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6" activeTab="31"/>
  </bookViews>
  <sheets>
    <sheet name="Лист41" sheetId="1" r:id="rId1"/>
    <sheet name="Двоеборье люб" sheetId="2" r:id="rId2"/>
    <sheet name="ПРО присед софт экип." sheetId="3" r:id="rId3"/>
    <sheet name="Люб. присед софт экип." sheetId="4" r:id="rId4"/>
    <sheet name="ПРО присед б.э." sheetId="5" r:id="rId5"/>
    <sheet name="Люб. присед б.э." sheetId="6" r:id="rId6"/>
    <sheet name="ПРО тяга б.э." sheetId="7" r:id="rId7"/>
    <sheet name="Люб. тяга б.э." sheetId="8" r:id="rId8"/>
    <sheet name="ПРО жим софт экип." sheetId="9" r:id="rId9"/>
    <sheet name="Люб. жим софт экип." sheetId="10" r:id="rId10"/>
    <sheet name="ПРО жим б.э." sheetId="11" r:id="rId11"/>
    <sheet name="Люб. жим б.э." sheetId="12" r:id="rId12"/>
    <sheet name="СОВ жим" sheetId="13" r:id="rId13"/>
    <sheet name="ПРО Военный жим" sheetId="14" r:id="rId14"/>
    <sheet name="Люб. Военный жим" sheetId="15" r:id="rId15"/>
    <sheet name="ПРО ПЛ. софт экип." sheetId="16" r:id="rId16"/>
    <sheet name="Люб. ПЛ. софт экип." sheetId="17" r:id="rId17"/>
    <sheet name="ПРО ПЛ. б.э." sheetId="18" r:id="rId18"/>
    <sheet name="Люб. ПЛ. б.э." sheetId="19" r:id="rId19"/>
    <sheet name="Пауэрспорт Профессионалы" sheetId="20" r:id="rId20"/>
    <sheet name="Двоеборье проф." sheetId="21" r:id="rId21"/>
    <sheet name="Пауэрспорт Любители" sheetId="22" r:id="rId22"/>
    <sheet name="Бицепс Профессионалы" sheetId="23" r:id="rId23"/>
    <sheet name="Бицепс Любители" sheetId="24" r:id="rId24"/>
    <sheet name="Жим стоя Любители" sheetId="25" r:id="rId25"/>
    <sheet name="Проф. народный жим 1 вес" sheetId="26" r:id="rId26"/>
    <sheet name="Люб. народный жим 1_2 вес" sheetId="27" r:id="rId27"/>
    <sheet name="Люб. народный жим 1 вес" sheetId="28" r:id="rId28"/>
    <sheet name="РЖ любители 100 кг." sheetId="29" r:id="rId29"/>
    <sheet name="РЖ любители 55 кг." sheetId="30" r:id="rId30"/>
    <sheet name="РЖ любители 75 кг." sheetId="31" r:id="rId31"/>
    <sheet name="РЖ Проф 75 кг." sheetId="32" r:id="rId32"/>
  </sheets>
  <definedNames/>
  <calcPr fullCalcOnLoad="1" refMode="R1C1"/>
</workbook>
</file>

<file path=xl/sharedStrings.xml><?xml version="1.0" encoding="utf-8"?>
<sst xmlns="http://schemas.openxmlformats.org/spreadsheetml/2006/main" count="5282" uniqueCount="1473">
  <si>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</si>
  <si>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</si>
  <si>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</si>
  <si>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</si>
  <si>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</si>
  <si>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</si>
  <si>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</si>
  <si>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</si>
  <si>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</si>
  <si>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</si>
  <si>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</si>
  <si>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</si>
  <si>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</si>
  <si>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</si>
  <si>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</si>
  <si>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</si>
  <si>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</si>
  <si>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</si>
  <si>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</si>
  <si>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России НАП
Любители пауэрлифтинг без экипировки
Кемерово/Кемеровская область 30 - 31 марта 2019 г.</t>
  </si>
  <si>
    <t>Shv/Mel</t>
  </si>
  <si>
    <t>Приседание</t>
  </si>
  <si>
    <t>Жим лёжа</t>
  </si>
  <si>
    <t>Становая тяга</t>
  </si>
  <si>
    <t>ВЕСОВАЯ КАТЕГОРИЯ   52</t>
  </si>
  <si>
    <t>Варкентин Екатерина</t>
  </si>
  <si>
    <t>1. Варкентин Екатерина</t>
  </si>
  <si>
    <t>Девушки 16 - 17 (21.12.2002)/16</t>
  </si>
  <si>
    <t>49,90</t>
  </si>
  <si>
    <t xml:space="preserve">лично </t>
  </si>
  <si>
    <t xml:space="preserve">Яшкино/Кемеровская область </t>
  </si>
  <si>
    <t>55,0</t>
  </si>
  <si>
    <t>60,0</t>
  </si>
  <si>
    <t>70,0</t>
  </si>
  <si>
    <t>35,0</t>
  </si>
  <si>
    <t>40,0</t>
  </si>
  <si>
    <t>65,0</t>
  </si>
  <si>
    <t xml:space="preserve">Романович Д. </t>
  </si>
  <si>
    <t>ВЕСОВАЯ КАТЕГОРИЯ   60</t>
  </si>
  <si>
    <t>Томилова Дарья</t>
  </si>
  <si>
    <t>1. Томилова Дарья</t>
  </si>
  <si>
    <t>Девушки 18 - 19 (07.10.1999)/19</t>
  </si>
  <si>
    <t>60,00</t>
  </si>
  <si>
    <t xml:space="preserve">Томск/Томская область </t>
  </si>
  <si>
    <t>105,0</t>
  </si>
  <si>
    <t>115,0</t>
  </si>
  <si>
    <t>120,0</t>
  </si>
  <si>
    <t>50,0</t>
  </si>
  <si>
    <t>130,0</t>
  </si>
  <si>
    <t>142,5</t>
  </si>
  <si>
    <t xml:space="preserve">Водопьянов М. </t>
  </si>
  <si>
    <t>Жалеева Лилия</t>
  </si>
  <si>
    <t>1. Жалеева Лилия</t>
  </si>
  <si>
    <t>Юниорки 20 - 23 (01.02.1996)/23</t>
  </si>
  <si>
    <t xml:space="preserve">Стальной Медведь </t>
  </si>
  <si>
    <t xml:space="preserve">Новосибирск/Новосибирская область </t>
  </si>
  <si>
    <t>80,0</t>
  </si>
  <si>
    <t>85,0</t>
  </si>
  <si>
    <t>45,0</t>
  </si>
  <si>
    <t>47,5</t>
  </si>
  <si>
    <t xml:space="preserve"> </t>
  </si>
  <si>
    <t>Открытая (07.10.1999)/19</t>
  </si>
  <si>
    <t>Федорова Анастасия</t>
  </si>
  <si>
    <t>2. Федорова Анастасия</t>
  </si>
  <si>
    <t>Открытая (10.01.1985)/34</t>
  </si>
  <si>
    <t>59,00</t>
  </si>
  <si>
    <t xml:space="preserve">Железное Братство Спарта </t>
  </si>
  <si>
    <t xml:space="preserve">Кемерово/Кемеровская область </t>
  </si>
  <si>
    <t>90,0</t>
  </si>
  <si>
    <t>100,0</t>
  </si>
  <si>
    <t>57,5</t>
  </si>
  <si>
    <t>110,0</t>
  </si>
  <si>
    <t>122,5</t>
  </si>
  <si>
    <t xml:space="preserve">Хоронжак И </t>
  </si>
  <si>
    <t>Завгородская Елизавета</t>
  </si>
  <si>
    <t>3. Завгородская Елизавета</t>
  </si>
  <si>
    <t>Открытая (14.05.1994)/24</t>
  </si>
  <si>
    <t>95,0</t>
  </si>
  <si>
    <t>97,0</t>
  </si>
  <si>
    <t>Леонова Любовь</t>
  </si>
  <si>
    <t>4. Леонова Любовь</t>
  </si>
  <si>
    <t>Открытая (28.07.1990)/28</t>
  </si>
  <si>
    <t>59,30</t>
  </si>
  <si>
    <t>67,5</t>
  </si>
  <si>
    <t>75,0</t>
  </si>
  <si>
    <t>Пищалко Татьяна</t>
  </si>
  <si>
    <t>1. Пищалко Татьяна</t>
  </si>
  <si>
    <t>Мастера 40 - 44 (23.04.1974)/44</t>
  </si>
  <si>
    <t>59,80</t>
  </si>
  <si>
    <t>ВЕСОВАЯ КАТЕГОРИЯ   67.5</t>
  </si>
  <si>
    <t>Манакова Валентина</t>
  </si>
  <si>
    <t>1. Манакова Валентина</t>
  </si>
  <si>
    <t>Открытая (01.11.1987)/31</t>
  </si>
  <si>
    <t>67,50</t>
  </si>
  <si>
    <t xml:space="preserve">Прогресс </t>
  </si>
  <si>
    <t xml:space="preserve">Ленинск-Кузнецкий/Кемеровская область </t>
  </si>
  <si>
    <t>107,5</t>
  </si>
  <si>
    <t>117,5</t>
  </si>
  <si>
    <t>62,5</t>
  </si>
  <si>
    <t>135,0</t>
  </si>
  <si>
    <t>140,0</t>
  </si>
  <si>
    <t>Повная Виктория</t>
  </si>
  <si>
    <t>2. Повная Виктория</t>
  </si>
  <si>
    <t>Открытая (21.08.1990)/28</t>
  </si>
  <si>
    <t>63,40</t>
  </si>
  <si>
    <t xml:space="preserve">Мирный/Якутия </t>
  </si>
  <si>
    <t>52,5</t>
  </si>
  <si>
    <t>125,0</t>
  </si>
  <si>
    <t xml:space="preserve">Бочарников А.В </t>
  </si>
  <si>
    <t>Толстушенко Лев</t>
  </si>
  <si>
    <t>1. Толстушенко Лев</t>
  </si>
  <si>
    <t>Юноши 0-13 (10.09.2005)/13</t>
  </si>
  <si>
    <t>48,80</t>
  </si>
  <si>
    <t xml:space="preserve">Белово/Кемеровская область </t>
  </si>
  <si>
    <t>30,0</t>
  </si>
  <si>
    <t>Пономарева Елена</t>
  </si>
  <si>
    <t>1. Пономарева Елена</t>
  </si>
  <si>
    <t>Юниоры 20 - 23 (04.12.1998)/20</t>
  </si>
  <si>
    <t>42,00</t>
  </si>
  <si>
    <t xml:space="preserve">Осинники/Кемеровская область </t>
  </si>
  <si>
    <t>67,0</t>
  </si>
  <si>
    <t>32,5</t>
  </si>
  <si>
    <t>72,5</t>
  </si>
  <si>
    <t>ВЕСОВАЯ КАТЕГОРИЯ   56</t>
  </si>
  <si>
    <t>Тусалимов Андрей</t>
  </si>
  <si>
    <t>1. Тусалимов Андрей</t>
  </si>
  <si>
    <t>Открытая (10.05.1992)/26</t>
  </si>
  <si>
    <t>56,00</t>
  </si>
  <si>
    <t>160,0</t>
  </si>
  <si>
    <t>170,0</t>
  </si>
  <si>
    <t>182,5</t>
  </si>
  <si>
    <t xml:space="preserve">Ефременко В.Н, </t>
  </si>
  <si>
    <t>Шипилов Сергей</t>
  </si>
  <si>
    <t>1. Шипилов Сергей</t>
  </si>
  <si>
    <t>Юноши 16 - 17 (18.01.2002)/17</t>
  </si>
  <si>
    <t>65,00</t>
  </si>
  <si>
    <t xml:space="preserve">Полысаево/Кемеровская область </t>
  </si>
  <si>
    <t>137,5</t>
  </si>
  <si>
    <t>Свидерский Владимир</t>
  </si>
  <si>
    <t>1. Свидерский Владимир</t>
  </si>
  <si>
    <t>Мастера 65 - 69 (07.05.1951)/67</t>
  </si>
  <si>
    <t>67,00</t>
  </si>
  <si>
    <t xml:space="preserve">Молодость </t>
  </si>
  <si>
    <t xml:space="preserve">Междуреченск/Кемеровская область </t>
  </si>
  <si>
    <t>92,5</t>
  </si>
  <si>
    <t>ВЕСОВАЯ КАТЕГОРИЯ   75</t>
  </si>
  <si>
    <t>Тихонов Владимир</t>
  </si>
  <si>
    <t>1. Тихонов Владимир</t>
  </si>
  <si>
    <t>Открытая (12.12.1991)/27</t>
  </si>
  <si>
    <t>75,00</t>
  </si>
  <si>
    <t>180,0</t>
  </si>
  <si>
    <t>185,0</t>
  </si>
  <si>
    <t>127,5</t>
  </si>
  <si>
    <t>215,0</t>
  </si>
  <si>
    <t>230,0</t>
  </si>
  <si>
    <t>240,0</t>
  </si>
  <si>
    <t>Карпов Михаил</t>
  </si>
  <si>
    <t>2. Карпов Михаил</t>
  </si>
  <si>
    <t>Открытая (06.04.1992)/26</t>
  </si>
  <si>
    <t>72,10</t>
  </si>
  <si>
    <t>175,0</t>
  </si>
  <si>
    <t>Саламанов Павел</t>
  </si>
  <si>
    <t>3. Саламанов Павел</t>
  </si>
  <si>
    <t>Открытая (06.01.1995)/24</t>
  </si>
  <si>
    <t>70,90</t>
  </si>
  <si>
    <t>150,0</t>
  </si>
  <si>
    <t>Самигуллин Рамиль</t>
  </si>
  <si>
    <t>1. Самигуллин Рамиль</t>
  </si>
  <si>
    <t>Мастера 55 - 59 (24.02.1961)/58</t>
  </si>
  <si>
    <t>74,60</t>
  </si>
  <si>
    <t>155,0</t>
  </si>
  <si>
    <t>172,5</t>
  </si>
  <si>
    <t>162,5</t>
  </si>
  <si>
    <t>ВЕСОВАЯ КАТЕГОРИЯ   82.5</t>
  </si>
  <si>
    <t>Полосин Сергей</t>
  </si>
  <si>
    <t>1. Полосин Сергей</t>
  </si>
  <si>
    <t>Открытая (27.09.1983)/35</t>
  </si>
  <si>
    <t>82,20</t>
  </si>
  <si>
    <t xml:space="preserve">Новоалтайск/Алтайский край </t>
  </si>
  <si>
    <t>190,0</t>
  </si>
  <si>
    <t>200,0</t>
  </si>
  <si>
    <t>210,0</t>
  </si>
  <si>
    <t>250,0</t>
  </si>
  <si>
    <t>260,0</t>
  </si>
  <si>
    <t>ВЕСОВАЯ КАТЕГОРИЯ   90</t>
  </si>
  <si>
    <t>Самойлов Евгений</t>
  </si>
  <si>
    <t>1. Самойлов Евгений</t>
  </si>
  <si>
    <t>Открытая (13.07.1989)/29</t>
  </si>
  <si>
    <t>85,00</t>
  </si>
  <si>
    <t>145,0</t>
  </si>
  <si>
    <t>Батин Петр</t>
  </si>
  <si>
    <t>2. Батин Петр</t>
  </si>
  <si>
    <t>Открытая (27.07.1987)/31</t>
  </si>
  <si>
    <t>89,50</t>
  </si>
  <si>
    <t xml:space="preserve">Мариинск/Кемеровская область </t>
  </si>
  <si>
    <t>165,0</t>
  </si>
  <si>
    <t>Курининов Владимир</t>
  </si>
  <si>
    <t>1. Курининов Владимир</t>
  </si>
  <si>
    <t>Мастера 50 - 54 (25.12.1965)/53</t>
  </si>
  <si>
    <t>87,80</t>
  </si>
  <si>
    <t xml:space="preserve">Новокузнецк/Кемеровская область </t>
  </si>
  <si>
    <t>187,5</t>
  </si>
  <si>
    <t>192,5</t>
  </si>
  <si>
    <t>Нугуманов Валерий</t>
  </si>
  <si>
    <t>1. Нугуманов Валерий</t>
  </si>
  <si>
    <t>Мастера 75 - 79 (25.06.1939)/79</t>
  </si>
  <si>
    <t>88,40</t>
  </si>
  <si>
    <t>ВЕСОВАЯ КАТЕГОРИЯ   110</t>
  </si>
  <si>
    <t>Иванов Михаил</t>
  </si>
  <si>
    <t>1. Иванов Михаил</t>
  </si>
  <si>
    <t>Юниоры 20 - 23 (16.01.1997)/22</t>
  </si>
  <si>
    <t>107,50</t>
  </si>
  <si>
    <t xml:space="preserve">Прокопьевск/Кемеровская область </t>
  </si>
  <si>
    <t>220,0</t>
  </si>
  <si>
    <t>167,5</t>
  </si>
  <si>
    <t>255,0</t>
  </si>
  <si>
    <t>270,0</t>
  </si>
  <si>
    <t>Портнов Юрий</t>
  </si>
  <si>
    <t>1. Портнов Юрий</t>
  </si>
  <si>
    <t>Открытая (22.12.1983)/35</t>
  </si>
  <si>
    <t>109,60</t>
  </si>
  <si>
    <t>195,0</t>
  </si>
  <si>
    <t>205,0</t>
  </si>
  <si>
    <t>Половников Евгений</t>
  </si>
  <si>
    <t>2. Половников Евгений</t>
  </si>
  <si>
    <t>Открытая (16.06.1994)/24</t>
  </si>
  <si>
    <t>104,90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</si>
  <si>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</si>
  <si>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</si>
  <si>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</si>
  <si>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</si>
  <si>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</si>
  <si>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</si>
  <si>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</si>
  <si>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</si>
  <si>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60</t>
  </si>
  <si>
    <t>295,0</t>
  </si>
  <si>
    <t>264,1241</t>
  </si>
  <si>
    <t xml:space="preserve">Юноши 16 - 17 </t>
  </si>
  <si>
    <t>52</t>
  </si>
  <si>
    <t>186,9068</t>
  </si>
  <si>
    <t xml:space="preserve">Юниорки </t>
  </si>
  <si>
    <t xml:space="preserve">Юниоры 20 - 23 </t>
  </si>
  <si>
    <t>180,7890</t>
  </si>
  <si>
    <t xml:space="preserve">Открытая </t>
  </si>
  <si>
    <t>253,9655</t>
  </si>
  <si>
    <t>67.5</t>
  </si>
  <si>
    <t>325,0</t>
  </si>
  <si>
    <t>253,0938</t>
  </si>
  <si>
    <t>305,0</t>
  </si>
  <si>
    <t>250,6643</t>
  </si>
  <si>
    <t>277,5</t>
  </si>
  <si>
    <t>242,2991</t>
  </si>
  <si>
    <t>235,7505</t>
  </si>
  <si>
    <t>182,5845</t>
  </si>
  <si>
    <t xml:space="preserve">Мастера </t>
  </si>
  <si>
    <t xml:space="preserve">Мастера 40 - 44 </t>
  </si>
  <si>
    <t>222,5413</t>
  </si>
  <si>
    <t xml:space="preserve">Мужчины </t>
  </si>
  <si>
    <t xml:space="preserve">Юноши </t>
  </si>
  <si>
    <t>335,0</t>
  </si>
  <si>
    <t>271,8565</t>
  </si>
  <si>
    <t xml:space="preserve">Юноши 0-13 </t>
  </si>
  <si>
    <t>233,4891</t>
  </si>
  <si>
    <t xml:space="preserve">Юниоры </t>
  </si>
  <si>
    <t>110</t>
  </si>
  <si>
    <t>677,5</t>
  </si>
  <si>
    <t>369,3716</t>
  </si>
  <si>
    <t>177,5</t>
  </si>
  <si>
    <t>225,8803</t>
  </si>
  <si>
    <t>56</t>
  </si>
  <si>
    <t>445,0</t>
  </si>
  <si>
    <t>389,2860</t>
  </si>
  <si>
    <t>75</t>
  </si>
  <si>
    <t>547,5</t>
  </si>
  <si>
    <t>363,8137</t>
  </si>
  <si>
    <t>82.5</t>
  </si>
  <si>
    <t>580,0</t>
  </si>
  <si>
    <t>360,1220</t>
  </si>
  <si>
    <t>570,0</t>
  </si>
  <si>
    <t>306,0900</t>
  </si>
  <si>
    <t>435,0</t>
  </si>
  <si>
    <t>298,3665</t>
  </si>
  <si>
    <t>90</t>
  </si>
  <si>
    <t>475,0</t>
  </si>
  <si>
    <t>288,2775</t>
  </si>
  <si>
    <t>380,0</t>
  </si>
  <si>
    <t>264,3006</t>
  </si>
  <si>
    <t>480,0</t>
  </si>
  <si>
    <t>261,0720</t>
  </si>
  <si>
    <t>412,5</t>
  </si>
  <si>
    <t>242,2613</t>
  </si>
  <si>
    <t xml:space="preserve">Мастера 65 - 69 </t>
  </si>
  <si>
    <t>350,0</t>
  </si>
  <si>
    <t>514,0475</t>
  </si>
  <si>
    <t xml:space="preserve">Мастера 75 - 79 </t>
  </si>
  <si>
    <t>390,0</t>
  </si>
  <si>
    <t>481,6838</t>
  </si>
  <si>
    <t xml:space="preserve">Мастера 55 - 59 </t>
  </si>
  <si>
    <t>455,0</t>
  </si>
  <si>
    <t>466,0590</t>
  </si>
  <si>
    <t xml:space="preserve">Мастера 50 - 54 </t>
  </si>
  <si>
    <t>462,5</t>
  </si>
  <si>
    <t>352,1004</t>
  </si>
  <si>
    <t>Кубок России НАП
ПРО пауэрлифтинг без экипировки
Кемерово/Кемеровская область 30 - 31 марта 2019 г.</t>
  </si>
  <si>
    <t>Гончаров Павел</t>
  </si>
  <si>
    <t>1. Гончаров Павел</t>
  </si>
  <si>
    <t>Юниоры 20 - 23 (18.07.1995)/23</t>
  </si>
  <si>
    <t>81,90</t>
  </si>
  <si>
    <t xml:space="preserve">Пульс </t>
  </si>
  <si>
    <t>Аржанников Михаил</t>
  </si>
  <si>
    <t>1. Аржанников Михаил</t>
  </si>
  <si>
    <t>Открытая (15.04.1993)/25</t>
  </si>
  <si>
    <t>82,30</t>
  </si>
  <si>
    <t>225,0</t>
  </si>
  <si>
    <t>235,0</t>
  </si>
  <si>
    <t>247,5</t>
  </si>
  <si>
    <t xml:space="preserve">Малашкин В </t>
  </si>
  <si>
    <t>Глебов Андрей</t>
  </si>
  <si>
    <t>1. Глебов Андрей</t>
  </si>
  <si>
    <t>Юноши 16 - 17 (13.08.2002)/16</t>
  </si>
  <si>
    <t>86,90</t>
  </si>
  <si>
    <t xml:space="preserve">Анжеро-Судженск/Кемеровская область </t>
  </si>
  <si>
    <t xml:space="preserve">Зевякин И </t>
  </si>
  <si>
    <t>Михайлов Виктор</t>
  </si>
  <si>
    <t>1. Михайлов Виктор</t>
  </si>
  <si>
    <t>Открытая (31.01.1997)/22</t>
  </si>
  <si>
    <t>89,30</t>
  </si>
  <si>
    <t>252,5</t>
  </si>
  <si>
    <t>257,5</t>
  </si>
  <si>
    <t>307,5</t>
  </si>
  <si>
    <t>320,0</t>
  </si>
  <si>
    <t>Иванов Максим</t>
  </si>
  <si>
    <t>2. Иванов Максим</t>
  </si>
  <si>
    <t>Открытая (16.06.1989)/29</t>
  </si>
  <si>
    <t xml:space="preserve">Красноярск/Красноярский край </t>
  </si>
  <si>
    <t>242,5</t>
  </si>
  <si>
    <t>272,5</t>
  </si>
  <si>
    <t>Кохась Петр</t>
  </si>
  <si>
    <t>3. Кохась Петр</t>
  </si>
  <si>
    <t>Открытая (21.09.1990)/28</t>
  </si>
  <si>
    <t>89,90</t>
  </si>
  <si>
    <t xml:space="preserve">Черданцев Е. </t>
  </si>
  <si>
    <t>Курилов Евгений</t>
  </si>
  <si>
    <t>4. Курилов Евгений</t>
  </si>
  <si>
    <t>Открытая (07.05.1981)/37</t>
  </si>
  <si>
    <t>88,70</t>
  </si>
  <si>
    <t xml:space="preserve">Здоровье Нации </t>
  </si>
  <si>
    <t>152,5</t>
  </si>
  <si>
    <t>157,5</t>
  </si>
  <si>
    <t>Долгов Кирилл</t>
  </si>
  <si>
    <t>5. Долгов Кирилл</t>
  </si>
  <si>
    <t>Открытая (08.07.1987)/31</t>
  </si>
  <si>
    <t>89,20</t>
  </si>
  <si>
    <t>ВЕСОВАЯ КАТЕГОРИЯ   100</t>
  </si>
  <si>
    <t>Водопьянов Максим</t>
  </si>
  <si>
    <t>1. Водопьянов Максим</t>
  </si>
  <si>
    <t>Открытая (17.05.1994)/24</t>
  </si>
  <si>
    <t>100,00</t>
  </si>
  <si>
    <t>Шадринцев Никита</t>
  </si>
  <si>
    <t>2. Шадринцев Никита</t>
  </si>
  <si>
    <t>Открытая (01.04.1994)/24</t>
  </si>
  <si>
    <t>99,80</t>
  </si>
  <si>
    <t>245,0</t>
  </si>
  <si>
    <t>Багаев Александр</t>
  </si>
  <si>
    <t>3. Багаев Александр</t>
  </si>
  <si>
    <t>Открытая (04.04.1986)/32</t>
  </si>
  <si>
    <t>98,50</t>
  </si>
  <si>
    <t>202,5</t>
  </si>
  <si>
    <t>Карташев Олег</t>
  </si>
  <si>
    <t>4. Карташев Олег</t>
  </si>
  <si>
    <t>Открытая (15.04.1994)/24</t>
  </si>
  <si>
    <t>99,50</t>
  </si>
  <si>
    <t>Отрубенников Александр</t>
  </si>
  <si>
    <t>1. Отрубенников Александр</t>
  </si>
  <si>
    <t>Открытая (09.03.1997)/22</t>
  </si>
  <si>
    <t>106,30</t>
  </si>
  <si>
    <t>280,0</t>
  </si>
  <si>
    <t>290,0</t>
  </si>
  <si>
    <t>Бочарников Андрей</t>
  </si>
  <si>
    <t>2. Бочарников Андрей</t>
  </si>
  <si>
    <t>Открытая (04.01.1984)/35</t>
  </si>
  <si>
    <t>106,50</t>
  </si>
  <si>
    <t>300,0</t>
  </si>
  <si>
    <t>ВЕСОВАЯ КАТЕГОРИЯ   125</t>
  </si>
  <si>
    <t>Чахлов Герман</t>
  </si>
  <si>
    <t>1. Чахлов Герман</t>
  </si>
  <si>
    <t>Юноши 18 - 19 (10.03.2001)/18</t>
  </si>
  <si>
    <t>117,00</t>
  </si>
  <si>
    <t>460,0</t>
  </si>
  <si>
    <t>310,9444</t>
  </si>
  <si>
    <t>125</t>
  </si>
  <si>
    <t>510,0</t>
  </si>
  <si>
    <t>286,3018</t>
  </si>
  <si>
    <t>635,0</t>
  </si>
  <si>
    <t>395,2240</t>
  </si>
  <si>
    <t>737,5</t>
  </si>
  <si>
    <t>433,7238</t>
  </si>
  <si>
    <t>675,0</t>
  </si>
  <si>
    <t>401,1525</t>
  </si>
  <si>
    <t>660,0</t>
  </si>
  <si>
    <t>386,5620</t>
  </si>
  <si>
    <t>705,0</t>
  </si>
  <si>
    <t>381,8280</t>
  </si>
  <si>
    <t>100</t>
  </si>
  <si>
    <t>667,5</t>
  </si>
  <si>
    <t>369,7950</t>
  </si>
  <si>
    <t>655,0</t>
  </si>
  <si>
    <t>363,1975</t>
  </si>
  <si>
    <t>647,5</t>
  </si>
  <si>
    <t>361,1755</t>
  </si>
  <si>
    <t>662,5</t>
  </si>
  <si>
    <t>358,6112</t>
  </si>
  <si>
    <t>562,5</t>
  </si>
  <si>
    <t>348,9187</t>
  </si>
  <si>
    <t>560,0</t>
  </si>
  <si>
    <t>330,6800</t>
  </si>
  <si>
    <t>437,5</t>
  </si>
  <si>
    <t>257,4688</t>
  </si>
  <si>
    <t>440,0</t>
  </si>
  <si>
    <t>244,3320</t>
  </si>
  <si>
    <t>Кубок России НАП
Любители пауэрлифтинг в софт экипировке
Кемерово/Кемеровская область 30 - 31 марта 2019 г.</t>
  </si>
  <si>
    <t>-. Овченкова София</t>
  </si>
  <si>
    <t>Открытая (01.05.1993)/25</t>
  </si>
  <si>
    <t>Баранский Глеб</t>
  </si>
  <si>
    <t>1. Баранский Глеб</t>
  </si>
  <si>
    <t>Открытая (06.09.1984)/34</t>
  </si>
  <si>
    <t>80,90</t>
  </si>
  <si>
    <t>207,5</t>
  </si>
  <si>
    <t>Бачин Артем</t>
  </si>
  <si>
    <t>1. Бачин Артем</t>
  </si>
  <si>
    <t>Открытая (19.10.1983)/35</t>
  </si>
  <si>
    <t>108,85</t>
  </si>
  <si>
    <t>735,0</t>
  </si>
  <si>
    <t>395,3565</t>
  </si>
  <si>
    <t>612,5</t>
  </si>
  <si>
    <t>384,5888</t>
  </si>
  <si>
    <t>Кубок России НАП
ПРО пауэрлифтинг в софт экипировке
Кемерово/Кемеровская область 30 - 31 марта 2019 г.</t>
  </si>
  <si>
    <t>Журжий Даниил</t>
  </si>
  <si>
    <t>1. Журжий Даниил</t>
  </si>
  <si>
    <t>Юноши 18 - 19 (28.12.1999)/19</t>
  </si>
  <si>
    <t>98,70</t>
  </si>
  <si>
    <t>132,5</t>
  </si>
  <si>
    <t>Леонтьев Андрей</t>
  </si>
  <si>
    <t>1. Леонтьев Андрей</t>
  </si>
  <si>
    <t>Открытая (23.09.1985)/33</t>
  </si>
  <si>
    <t>96,95</t>
  </si>
  <si>
    <t>262,5</t>
  </si>
  <si>
    <t>Глушков Евгений</t>
  </si>
  <si>
    <t>Открытая (09.12.1981)/37</t>
  </si>
  <si>
    <t>Силантьев Дмитрий</t>
  </si>
  <si>
    <t>1. Силантьев Дмитрий</t>
  </si>
  <si>
    <t>Мастера 40 - 44 (22.11.1978)/40</t>
  </si>
  <si>
    <t>109,20</t>
  </si>
  <si>
    <t xml:space="preserve">Шадров Е. </t>
  </si>
  <si>
    <t>Воронов Владимир</t>
  </si>
  <si>
    <t>1. Воронов Владимир</t>
  </si>
  <si>
    <t>Мастера 45 - 49 (14.05.1972)/46</t>
  </si>
  <si>
    <t>106,70</t>
  </si>
  <si>
    <t>ВЕСОВАЯ КАТЕГОРИЯ   140</t>
  </si>
  <si>
    <t>Голубев Евгений</t>
  </si>
  <si>
    <t>1. Голубев Евгений</t>
  </si>
  <si>
    <t>Мастера 50 - 54 (29.03.1969)/50</t>
  </si>
  <si>
    <t>134,80</t>
  </si>
  <si>
    <t xml:space="preserve">Силач Красноярск </t>
  </si>
  <si>
    <t xml:space="preserve">Верхотуров А. </t>
  </si>
  <si>
    <t>317,3266</t>
  </si>
  <si>
    <t>700,0</t>
  </si>
  <si>
    <t>393,4350</t>
  </si>
  <si>
    <t xml:space="preserve">Мастера 45 - 49 </t>
  </si>
  <si>
    <t>720,0</t>
  </si>
  <si>
    <t>416,3969</t>
  </si>
  <si>
    <t>770,0</t>
  </si>
  <si>
    <t>413,8750</t>
  </si>
  <si>
    <t>140</t>
  </si>
  <si>
    <t>620,0</t>
  </si>
  <si>
    <t>370,3499</t>
  </si>
  <si>
    <t>Кубок России НАП
Любители военный жим
Кемерово/Кемеровская область 30 - 31 марта 2019 г.</t>
  </si>
  <si>
    <t>Дятлов Константин</t>
  </si>
  <si>
    <t>1. Дятлов Константин</t>
  </si>
  <si>
    <t>Открытая (30.12.1992)/26</t>
  </si>
  <si>
    <t>66,40</t>
  </si>
  <si>
    <t xml:space="preserve">Бомба </t>
  </si>
  <si>
    <t>Абдулин Ринат</t>
  </si>
  <si>
    <t>1. Абдулин Ринат</t>
  </si>
  <si>
    <t>Открытая (01.01.1982)/37</t>
  </si>
  <si>
    <t>92,80</t>
  </si>
  <si>
    <t>Симанов Александр</t>
  </si>
  <si>
    <t>1. Симанов Александр</t>
  </si>
  <si>
    <t>Мастера 50 - 54 (09.09.1968)/50</t>
  </si>
  <si>
    <t>97,70</t>
  </si>
  <si>
    <t xml:space="preserve">Ачинск/Красноярский край </t>
  </si>
  <si>
    <t>92,0875</t>
  </si>
  <si>
    <t>76,2008</t>
  </si>
  <si>
    <t>90,3049</t>
  </si>
  <si>
    <t>Результат</t>
  </si>
  <si>
    <t>Кубок России НАП
ПРО военный жим
Кемерово/Кемеровская область 30 - 31 марта 2019 г.</t>
  </si>
  <si>
    <t>1. Бочарников Андрей</t>
  </si>
  <si>
    <t>106,40</t>
  </si>
  <si>
    <t>78,5030</t>
  </si>
  <si>
    <t>Кубок России НАП
СОВ жим лежа
Кемерово/Кемеровская область 30 - 31 марта 2019 г.</t>
  </si>
  <si>
    <t>Романов Иван</t>
  </si>
  <si>
    <t>Открытая (30.05.1980)/38</t>
  </si>
  <si>
    <t>94,50</t>
  </si>
  <si>
    <t>Титов Кирилл</t>
  </si>
  <si>
    <t>1. Титов Кирилл</t>
  </si>
  <si>
    <t>Юниоры 20 - 23 (10.11.1996)/22</t>
  </si>
  <si>
    <t>107,70</t>
  </si>
  <si>
    <t>76,2853</t>
  </si>
  <si>
    <t>Кубок России НАП
Любители жим лежа без экипировки
Кемерово/Кемеровская область 30 - 31 марта 2019 г.</t>
  </si>
  <si>
    <t>Дисс Елена</t>
  </si>
  <si>
    <t>1. Дисс Елена</t>
  </si>
  <si>
    <t>Открытая (10.01.1972)/47</t>
  </si>
  <si>
    <t>51,90</t>
  </si>
  <si>
    <t>Иванова София</t>
  </si>
  <si>
    <t>1. Иванова София</t>
  </si>
  <si>
    <t>Девушки 14-15 (21.10.2003)/15</t>
  </si>
  <si>
    <t>59,90</t>
  </si>
  <si>
    <t>Сульянова Мария</t>
  </si>
  <si>
    <t>1. Сульянова Мария</t>
  </si>
  <si>
    <t>Открытая (14.01.1988)/31</t>
  </si>
  <si>
    <t>59,20</t>
  </si>
  <si>
    <t>Соколова Оксана</t>
  </si>
  <si>
    <t>2. Соколова Оксана</t>
  </si>
  <si>
    <t>Открытая (21.06.1985)/33</t>
  </si>
  <si>
    <t>37,5</t>
  </si>
  <si>
    <t>42,5</t>
  </si>
  <si>
    <t>Открытая (17.05.1993)/25</t>
  </si>
  <si>
    <t>63,75</t>
  </si>
  <si>
    <t>Лузанова Ольга</t>
  </si>
  <si>
    <t>1. Лузанова Ольга</t>
  </si>
  <si>
    <t>Мастера 45 - 49 (23.07.1973)/45</t>
  </si>
  <si>
    <t>63,00</t>
  </si>
  <si>
    <t xml:space="preserve">Армада </t>
  </si>
  <si>
    <t>1. Рыбина Мария</t>
  </si>
  <si>
    <t>Открытая (11.10.1994)/24</t>
  </si>
  <si>
    <t>Демиденко Олег</t>
  </si>
  <si>
    <t>1. Демиденко Олег</t>
  </si>
  <si>
    <t>Открытая (11.07.1982)/36</t>
  </si>
  <si>
    <t>97,5</t>
  </si>
  <si>
    <t>Устинов Андрей</t>
  </si>
  <si>
    <t>1. Устинов Андрей</t>
  </si>
  <si>
    <t>Юниоры 20 - 23 (03.12.1997)/21</t>
  </si>
  <si>
    <t>64,00</t>
  </si>
  <si>
    <t xml:space="preserve">Василенко С </t>
  </si>
  <si>
    <t>-. Ковалев Кирилл</t>
  </si>
  <si>
    <t>Юноши 18 - 19 (18.05.1999)/19</t>
  </si>
  <si>
    <t>73,00</t>
  </si>
  <si>
    <t>Нуштаев Александр</t>
  </si>
  <si>
    <t>1. Нуштаев Александр</t>
  </si>
  <si>
    <t>Открытая (07.07.1983)/35</t>
  </si>
  <si>
    <t>73,30</t>
  </si>
  <si>
    <t>Васильев Олег</t>
  </si>
  <si>
    <t>2. Васильев Олег</t>
  </si>
  <si>
    <t>Открытая (11.11.1982)/36</t>
  </si>
  <si>
    <t>Дерига Михаил</t>
  </si>
  <si>
    <t>3. Дерига Михаил</t>
  </si>
  <si>
    <t>Открытая (10.08.1989)/29</t>
  </si>
  <si>
    <t>73,60</t>
  </si>
  <si>
    <t>Королев Алексей</t>
  </si>
  <si>
    <t>4. Королев Алексей</t>
  </si>
  <si>
    <t>Открытая (20.01.1985)/34</t>
  </si>
  <si>
    <t>Фокин Матвей</t>
  </si>
  <si>
    <t>5. Фокин Матвей</t>
  </si>
  <si>
    <t>Открытая (15.06.1988)/30</t>
  </si>
  <si>
    <t>74,30</t>
  </si>
  <si>
    <t>112,5</t>
  </si>
  <si>
    <t>Своровский Игорь</t>
  </si>
  <si>
    <t>1. Своровский Игорь</t>
  </si>
  <si>
    <t>Мастера 40 - 44 (21.03.1977)/42</t>
  </si>
  <si>
    <t>Шамсутдинов Тимур</t>
  </si>
  <si>
    <t>1. Шамсутдинов Тимур</t>
  </si>
  <si>
    <t>Открытая (20.05.1983)/35</t>
  </si>
  <si>
    <t>Фурман Юрий</t>
  </si>
  <si>
    <t>2. Фурман Юрий</t>
  </si>
  <si>
    <t>Открытая (20.08.1993)/25</t>
  </si>
  <si>
    <t>80,80</t>
  </si>
  <si>
    <t>147,5</t>
  </si>
  <si>
    <t>Мазанко Константин</t>
  </si>
  <si>
    <t>3. Мазанко Константин</t>
  </si>
  <si>
    <t>Открытая (11.03.1989)/30</t>
  </si>
  <si>
    <t>Бабушкин Вадим</t>
  </si>
  <si>
    <t>4. Бабушкин Вадим</t>
  </si>
  <si>
    <t>Открытая (01.05.1988)/30</t>
  </si>
  <si>
    <t>82,40</t>
  </si>
  <si>
    <t>Самаркин Василий</t>
  </si>
  <si>
    <t>5. Самаркин Василий</t>
  </si>
  <si>
    <t>Открытая (19.06.1988)/30</t>
  </si>
  <si>
    <t>81,80</t>
  </si>
  <si>
    <t>6. Каргин Михаил</t>
  </si>
  <si>
    <t>Открытая (13.05.1989)/29</t>
  </si>
  <si>
    <t>80,00</t>
  </si>
  <si>
    <t>Слайковский Данила</t>
  </si>
  <si>
    <t>1. Слайковский Данила</t>
  </si>
  <si>
    <t>Юноши 16 - 17 (14.12.2002)/16</t>
  </si>
  <si>
    <t>82,80</t>
  </si>
  <si>
    <t>Цых Данил</t>
  </si>
  <si>
    <t>1. Цых Данил</t>
  </si>
  <si>
    <t>Юноши 18 - 19 (04.04.1999)/19</t>
  </si>
  <si>
    <t>88,00</t>
  </si>
  <si>
    <t>Перевозчиков Игорь</t>
  </si>
  <si>
    <t>1. Перевозчиков Игорь</t>
  </si>
  <si>
    <t>Юниоры 20 - 23 (21.08.1995)/23</t>
  </si>
  <si>
    <t>88,80</t>
  </si>
  <si>
    <t xml:space="preserve">Метаев П. </t>
  </si>
  <si>
    <t>Осипенко Святослав</t>
  </si>
  <si>
    <t>2. Осипенко Святослав</t>
  </si>
  <si>
    <t>Юниоры 20 - 23 (05.05.1998)/20</t>
  </si>
  <si>
    <t>88,50</t>
  </si>
  <si>
    <t>Романович Денис</t>
  </si>
  <si>
    <t>1. Романович Денис</t>
  </si>
  <si>
    <t>90,00</t>
  </si>
  <si>
    <t>Лимарев Алексей</t>
  </si>
  <si>
    <t>2. Лимарев Алексей</t>
  </si>
  <si>
    <t>Открытая (05.09.1986)/32</t>
  </si>
  <si>
    <t>89,00</t>
  </si>
  <si>
    <t xml:space="preserve">Хованский Д.А. </t>
  </si>
  <si>
    <t>Шабин Павел</t>
  </si>
  <si>
    <t>3. Шабин Павел</t>
  </si>
  <si>
    <t>Открытая (04.05.1984)/34</t>
  </si>
  <si>
    <t>86,00</t>
  </si>
  <si>
    <t>Ханагян Эдвард</t>
  </si>
  <si>
    <t>4. Ханагян Эдвард</t>
  </si>
  <si>
    <t>Открытая (22.05.1989)/29</t>
  </si>
  <si>
    <t>Дробин Сергей</t>
  </si>
  <si>
    <t>5. Дробин Сергей</t>
  </si>
  <si>
    <t>Открытая (11.12.1990)/28</t>
  </si>
  <si>
    <t>-. Туманов Никита</t>
  </si>
  <si>
    <t>Открытая (10.07.1984)/34</t>
  </si>
  <si>
    <t>88,90</t>
  </si>
  <si>
    <t>Шишкин Евгений</t>
  </si>
  <si>
    <t>1. Шишкин Евгений</t>
  </si>
  <si>
    <t>Мастера 40 - 44 (17.04.1976)/42</t>
  </si>
  <si>
    <t>Дудин Вадим</t>
  </si>
  <si>
    <t>2. Дудин Вадим</t>
  </si>
  <si>
    <t>Мастера 40 - 44 (13.11.1976)/42</t>
  </si>
  <si>
    <t>88,60</t>
  </si>
  <si>
    <t>Щавин Александр</t>
  </si>
  <si>
    <t>1. Щавин Александр</t>
  </si>
  <si>
    <t>Мастера 45 - 49 (16.09.1971)/47</t>
  </si>
  <si>
    <t>88,85</t>
  </si>
  <si>
    <t>Белянко Геннадий</t>
  </si>
  <si>
    <t>1. Белянко Геннадий</t>
  </si>
  <si>
    <t>Мастера 65 - 69 (24.05.1951)/67</t>
  </si>
  <si>
    <t xml:space="preserve">Северск/Томская область </t>
  </si>
  <si>
    <t>Соколов Николай</t>
  </si>
  <si>
    <t>1. Соколов Николай</t>
  </si>
  <si>
    <t>Открытая (01.05.1990)/28</t>
  </si>
  <si>
    <t>99,60</t>
  </si>
  <si>
    <t>Попа Юрий</t>
  </si>
  <si>
    <t>2. Попа Юрий</t>
  </si>
  <si>
    <t>Открытая (10.01.1993)/26</t>
  </si>
  <si>
    <t>95,00</t>
  </si>
  <si>
    <t>Лопасов Вадим</t>
  </si>
  <si>
    <t>3. Лопасов Вадим</t>
  </si>
  <si>
    <t>Открытая (06.09.1987)/31</t>
  </si>
  <si>
    <t>95,40</t>
  </si>
  <si>
    <t>Бакланов Александр</t>
  </si>
  <si>
    <t>4. Бакланов Александр</t>
  </si>
  <si>
    <t>Открытая (25.01.1983)/36</t>
  </si>
  <si>
    <t>98,20</t>
  </si>
  <si>
    <t xml:space="preserve">Гурьевск/Кемеровская область </t>
  </si>
  <si>
    <t>Степаньченко Владимир</t>
  </si>
  <si>
    <t>5. Степаньченко Владимир</t>
  </si>
  <si>
    <t>Открытая (27.06.1990)/28</t>
  </si>
  <si>
    <t>97,95</t>
  </si>
  <si>
    <t>Якунин Кирилл</t>
  </si>
  <si>
    <t>6. Якунин Кирилл</t>
  </si>
  <si>
    <t>Открытая (30.09.1981)/37</t>
  </si>
  <si>
    <t>97,00</t>
  </si>
  <si>
    <t>-. Блинов Станислав</t>
  </si>
  <si>
    <t>Открытая (09.06.1982)/36</t>
  </si>
  <si>
    <t>99,90</t>
  </si>
  <si>
    <t xml:space="preserve">Меньшинин А.В. </t>
  </si>
  <si>
    <t>Воробьев Максим</t>
  </si>
  <si>
    <t>1. Воробьев Максим</t>
  </si>
  <si>
    <t>Мастера 40 - 44 (18.04.1975)/43</t>
  </si>
  <si>
    <t>Николаев Вячеслав</t>
  </si>
  <si>
    <t>1. Николаев Вячеслав</t>
  </si>
  <si>
    <t>Мастера 60 - 64 (10.07.1956)/62</t>
  </si>
  <si>
    <t>91,40</t>
  </si>
  <si>
    <t xml:space="preserve">Быховец А. </t>
  </si>
  <si>
    <t>Никонов Владимир</t>
  </si>
  <si>
    <t>1. Никонов Владимир</t>
  </si>
  <si>
    <t>Открытая (03.10.1988)/30</t>
  </si>
  <si>
    <t>103,00</t>
  </si>
  <si>
    <t>Григорьев Юрий</t>
  </si>
  <si>
    <t>2. Григорьев Юрий</t>
  </si>
  <si>
    <t>Открытая (31.03.1983)/35</t>
  </si>
  <si>
    <t>107,00</t>
  </si>
  <si>
    <t>Камольцев Дмитрий</t>
  </si>
  <si>
    <t>3. Камольцев Дмитрий</t>
  </si>
  <si>
    <t>Открытая (24.08.1985)/33</t>
  </si>
  <si>
    <t>102,90</t>
  </si>
  <si>
    <t xml:space="preserve">Спарта </t>
  </si>
  <si>
    <t>Шагвалев Олег</t>
  </si>
  <si>
    <t>1. Шагвалев Олег</t>
  </si>
  <si>
    <t>Мастера 40 - 44 (15.08.1977)/41</t>
  </si>
  <si>
    <t>121,00</t>
  </si>
  <si>
    <t xml:space="preserve">Юноши 14-15 </t>
  </si>
  <si>
    <t>71,2136</t>
  </si>
  <si>
    <t>60,6781</t>
  </si>
  <si>
    <t>53,1765</t>
  </si>
  <si>
    <t>39,1815</t>
  </si>
  <si>
    <t>36,6945</t>
  </si>
  <si>
    <t>34,6385</t>
  </si>
  <si>
    <t>74,0688</t>
  </si>
  <si>
    <t>73,2901</t>
  </si>
  <si>
    <t>91,4655</t>
  </si>
  <si>
    <t>79,1885</t>
  </si>
  <si>
    <t>77,7750</t>
  </si>
  <si>
    <t>111,2070</t>
  </si>
  <si>
    <t>105,4500</t>
  </si>
  <si>
    <t>100,1810</t>
  </si>
  <si>
    <t>98,5500</t>
  </si>
  <si>
    <t>96,5260</t>
  </si>
  <si>
    <t>93,3410</t>
  </si>
  <si>
    <t>93,1350</t>
  </si>
  <si>
    <t>93,0462</t>
  </si>
  <si>
    <t>92,6890</t>
  </si>
  <si>
    <t>92,0725</t>
  </si>
  <si>
    <t>91,8850</t>
  </si>
  <si>
    <t>91,4942</t>
  </si>
  <si>
    <t>90,7725</t>
  </si>
  <si>
    <t>89,7075</t>
  </si>
  <si>
    <t>89,3712</t>
  </si>
  <si>
    <t>88,7100</t>
  </si>
  <si>
    <t>88,4172</t>
  </si>
  <si>
    <t>88,3215</t>
  </si>
  <si>
    <t>88,0819</t>
  </si>
  <si>
    <t>87,0945</t>
  </si>
  <si>
    <t>83,5242</t>
  </si>
  <si>
    <t>79,4325</t>
  </si>
  <si>
    <t>78,8970</t>
  </si>
  <si>
    <t>75,3075</t>
  </si>
  <si>
    <t xml:space="preserve">Мастера 60 - 64 </t>
  </si>
  <si>
    <t>134,8950</t>
  </si>
  <si>
    <t>100,5452</t>
  </si>
  <si>
    <t>91,7943</t>
  </si>
  <si>
    <t>89,0695</t>
  </si>
  <si>
    <t>87,5493</t>
  </si>
  <si>
    <t>87,5297</t>
  </si>
  <si>
    <t>83,4847</t>
  </si>
  <si>
    <t>79,1367</t>
  </si>
  <si>
    <t>76,6585</t>
  </si>
  <si>
    <t>Кубок России НАП
ПРО жим лежа без экипировки
Кемерово/Кемеровская область 30 - 31 марта 2019 г.</t>
  </si>
  <si>
    <t>Черкасова Елизавета</t>
  </si>
  <si>
    <t>Девушки 0-13 (14.08.2007)/11</t>
  </si>
  <si>
    <t>58,00</t>
  </si>
  <si>
    <t>27,5</t>
  </si>
  <si>
    <t>Емельянова Тамара</t>
  </si>
  <si>
    <t>1. Емельянова Тамара</t>
  </si>
  <si>
    <t>Мастера 40 - 44 (13.07.1974)/44</t>
  </si>
  <si>
    <t>64,70</t>
  </si>
  <si>
    <t>Трубченко Тимофей</t>
  </si>
  <si>
    <t>1. Трубченко Тимофей</t>
  </si>
  <si>
    <t>Юноши 0-13 (30.03.2008)/11</t>
  </si>
  <si>
    <t>48,00</t>
  </si>
  <si>
    <t>Орлов Федор</t>
  </si>
  <si>
    <t>1. Орлов Федор</t>
  </si>
  <si>
    <t>Юноши 0-13 (21.04.2007)/11</t>
  </si>
  <si>
    <t>Бельвенцев Андрей</t>
  </si>
  <si>
    <t>1. Бельвенцев Андрей</t>
  </si>
  <si>
    <t>Юноши 14-15 (15.04.2004)/14</t>
  </si>
  <si>
    <t xml:space="preserve">Ефременко В </t>
  </si>
  <si>
    <t>Кашин Вадим</t>
  </si>
  <si>
    <t>1. Кашин Вадим</t>
  </si>
  <si>
    <t>Юноши 14-15 (24.02.2005)/14</t>
  </si>
  <si>
    <t>Андреев Станислав</t>
  </si>
  <si>
    <t>1. Андреев Станислав</t>
  </si>
  <si>
    <t>Открытая (07.09.1991)/27</t>
  </si>
  <si>
    <t>82,00</t>
  </si>
  <si>
    <t>Ильюша Евгений</t>
  </si>
  <si>
    <t>1. Ильюша Евгений</t>
  </si>
  <si>
    <t>Открытая (10.03.1993)/26</t>
  </si>
  <si>
    <t>89,70</t>
  </si>
  <si>
    <t>Решетников Евгений</t>
  </si>
  <si>
    <t>1. Решетников Евгений</t>
  </si>
  <si>
    <t>Мастера 40 - 44 (23.02.1978)/41</t>
  </si>
  <si>
    <t>86,30</t>
  </si>
  <si>
    <t xml:space="preserve">Киселёвск/Кемеровская область </t>
  </si>
  <si>
    <t>Самойлов Владимир</t>
  </si>
  <si>
    <t>1. Самойлов Владимир</t>
  </si>
  <si>
    <t>Открытая (09.05.1991)/27</t>
  </si>
  <si>
    <t>2. Романов Иван</t>
  </si>
  <si>
    <t>197,5</t>
  </si>
  <si>
    <t>Жаров Егор</t>
  </si>
  <si>
    <t>3. Жаров Егор</t>
  </si>
  <si>
    <t>Открытая (07.06.1987)/31</t>
  </si>
  <si>
    <t>Макаров Александр</t>
  </si>
  <si>
    <t>4. Макаров Александр</t>
  </si>
  <si>
    <t>Открытая (25.08.1979)/39</t>
  </si>
  <si>
    <t>Сынков Василий</t>
  </si>
  <si>
    <t>1. Сынков Василий</t>
  </si>
  <si>
    <t>Открытая (07.09.1972)/46</t>
  </si>
  <si>
    <t>106,00</t>
  </si>
  <si>
    <t>Матюнин Анатолий</t>
  </si>
  <si>
    <t>2. Матюнин Анатолий</t>
  </si>
  <si>
    <t>Открытая (23.07.1986)/32</t>
  </si>
  <si>
    <t>101,00</t>
  </si>
  <si>
    <t>0,0</t>
  </si>
  <si>
    <t>-. Дядюк Михаил</t>
  </si>
  <si>
    <t>Открытая (21.11.1991)/27</t>
  </si>
  <si>
    <t>108,00</t>
  </si>
  <si>
    <t xml:space="preserve">Веселые ребята </t>
  </si>
  <si>
    <t xml:space="preserve">Юрга/Кемеровская область </t>
  </si>
  <si>
    <t>Богатчук Павел</t>
  </si>
  <si>
    <t>1. Богатчук Павел</t>
  </si>
  <si>
    <t>Открытая (09.05.1983)/35</t>
  </si>
  <si>
    <t>113,50</t>
  </si>
  <si>
    <t>Ушаков Александр</t>
  </si>
  <si>
    <t>2. Ушаков Александр</t>
  </si>
  <si>
    <t>Открытая (16.08.1988)/30</t>
  </si>
  <si>
    <t>113,00</t>
  </si>
  <si>
    <t>Корыстин Дмитрий</t>
  </si>
  <si>
    <t>1. Корыстин Дмитрий</t>
  </si>
  <si>
    <t>Открытая (27.06.1979)/39</t>
  </si>
  <si>
    <t>127,00</t>
  </si>
  <si>
    <t>Баранов Олег</t>
  </si>
  <si>
    <t>2. Баранов Олег</t>
  </si>
  <si>
    <t>Открытая (31.03.1994)/25</t>
  </si>
  <si>
    <t>139,10</t>
  </si>
  <si>
    <t>ВЕСОВАЯ КАТЕГОРИЯ   140+</t>
  </si>
  <si>
    <t>Самойлик Александр</t>
  </si>
  <si>
    <t>1. Самойлик Александр</t>
  </si>
  <si>
    <t>Мастера 40 - 44 (20.06.1975)/43</t>
  </si>
  <si>
    <t>142,00</t>
  </si>
  <si>
    <t>32,6823</t>
  </si>
  <si>
    <t>66,6315</t>
  </si>
  <si>
    <t>64,6955</t>
  </si>
  <si>
    <t>63,5833</t>
  </si>
  <si>
    <t>45,0690</t>
  </si>
  <si>
    <t>44,0260</t>
  </si>
  <si>
    <t>121,9725</t>
  </si>
  <si>
    <t>116,7270</t>
  </si>
  <si>
    <t>116,3400</t>
  </si>
  <si>
    <t>106,5600</t>
  </si>
  <si>
    <t>106,3130</t>
  </si>
  <si>
    <t>105,0430</t>
  </si>
  <si>
    <t>102,6375</t>
  </si>
  <si>
    <t>99,5040</t>
  </si>
  <si>
    <t>95,8531</t>
  </si>
  <si>
    <t>94,2310</t>
  </si>
  <si>
    <t>90,6440</t>
  </si>
  <si>
    <t>89,6512</t>
  </si>
  <si>
    <t>96,4324</t>
  </si>
  <si>
    <t>140+</t>
  </si>
  <si>
    <t>89,3066</t>
  </si>
  <si>
    <t>Кубок России НАП
Любители жим лежа в софт экипировке
Кемерово/Кемеровская область 30 - 31 марта 2019 г.</t>
  </si>
  <si>
    <t>Левенец Оксана</t>
  </si>
  <si>
    <t>1. Левенец Оксана</t>
  </si>
  <si>
    <t>Открытая (16.10.1975)/43</t>
  </si>
  <si>
    <t>51,40</t>
  </si>
  <si>
    <t>Мастера 40 - 44 (16.10.1975)/43</t>
  </si>
  <si>
    <t>-. Кудрявцева Екатерина</t>
  </si>
  <si>
    <t>Открытая (08.03.1988)/31</t>
  </si>
  <si>
    <t>54,10</t>
  </si>
  <si>
    <t>Гаврилова Ксения</t>
  </si>
  <si>
    <t>1. Гаврилова Ксения</t>
  </si>
  <si>
    <t>Девушки 18 - 19 (09.09.2000)/18</t>
  </si>
  <si>
    <t>66,00</t>
  </si>
  <si>
    <t>Артемов Дмитрий</t>
  </si>
  <si>
    <t>1. Артемов Дмитрий</t>
  </si>
  <si>
    <t>Мастера 40 - 44 (14.11.1975)/43</t>
  </si>
  <si>
    <t>74,90</t>
  </si>
  <si>
    <t>Плотников Иван</t>
  </si>
  <si>
    <t>2. Плотников Иван</t>
  </si>
  <si>
    <t>Открытая (08.04.1984)/34</t>
  </si>
  <si>
    <t>Павленко Анатолий</t>
  </si>
  <si>
    <t>1. Павленко Анатолий</t>
  </si>
  <si>
    <t>Мастера 65 - 69 (26.05.1951)/67</t>
  </si>
  <si>
    <t>79,60</t>
  </si>
  <si>
    <t>1. Ханагян Эдвард</t>
  </si>
  <si>
    <t>217,5</t>
  </si>
  <si>
    <t>1. Якунин Кирилл</t>
  </si>
  <si>
    <t>98,80</t>
  </si>
  <si>
    <t>Ерин Владимир</t>
  </si>
  <si>
    <t>2. Ерин Владимир</t>
  </si>
  <si>
    <t>Открытая (24.02.1986)/33</t>
  </si>
  <si>
    <t>98,40</t>
  </si>
  <si>
    <t>212,5</t>
  </si>
  <si>
    <t>1. Камольцев Дмитрий</t>
  </si>
  <si>
    <t>Колчан Николай</t>
  </si>
  <si>
    <t>1. Колчан Николай</t>
  </si>
  <si>
    <t>Открытая (24.01.1984)/35</t>
  </si>
  <si>
    <t>117,70</t>
  </si>
  <si>
    <t>227,7</t>
  </si>
  <si>
    <t>Сажнев Олег</t>
  </si>
  <si>
    <t>1. Сажнев Олег</t>
  </si>
  <si>
    <t>Мастера 50 - 54 (11.01.1967)/52</t>
  </si>
  <si>
    <t>116,70</t>
  </si>
  <si>
    <t>Овчинников Алексей</t>
  </si>
  <si>
    <t>1. Овчинников Алексей</t>
  </si>
  <si>
    <t>Открытая (11.07.1985)/33</t>
  </si>
  <si>
    <t>164,10</t>
  </si>
  <si>
    <t>101,0350</t>
  </si>
  <si>
    <t>78,2840</t>
  </si>
  <si>
    <t>79,6931</t>
  </si>
  <si>
    <t>129,5487</t>
  </si>
  <si>
    <t>128,6295</t>
  </si>
  <si>
    <t>127,1498</t>
  </si>
  <si>
    <t>125,5095</t>
  </si>
  <si>
    <t>120,4533</t>
  </si>
  <si>
    <t>119,7550</t>
  </si>
  <si>
    <t>112,2785</t>
  </si>
  <si>
    <t>111,6200</t>
  </si>
  <si>
    <t>87,3760</t>
  </si>
  <si>
    <t>191,5128</t>
  </si>
  <si>
    <t>153,7558</t>
  </si>
  <si>
    <t>120,1983</t>
  </si>
  <si>
    <t>119,8592</t>
  </si>
  <si>
    <t>Кубок России НАП
ПРО жим лежа в софт экипировке
Кемерово/Кемеровская область 30 - 31 марта 2019 г.</t>
  </si>
  <si>
    <t>Баранов Валерий</t>
  </si>
  <si>
    <t>1. Баранов Валерий</t>
  </si>
  <si>
    <t>Юниоры 20 - 23 (13.01.1997)/22</t>
  </si>
  <si>
    <t>Николовский Павел</t>
  </si>
  <si>
    <t>1. Николовский Павел</t>
  </si>
  <si>
    <t>Открытая (08.05.1978)/40</t>
  </si>
  <si>
    <t>-. Верхотуров Алексей</t>
  </si>
  <si>
    <t>Открытая (30.03.1983)/36</t>
  </si>
  <si>
    <t>82,50</t>
  </si>
  <si>
    <t>Федоров Роман</t>
  </si>
  <si>
    <t>1. Федоров Роман</t>
  </si>
  <si>
    <t>Открытая (22.02.1982)/37</t>
  </si>
  <si>
    <t>315,0</t>
  </si>
  <si>
    <t>330,0</t>
  </si>
  <si>
    <t>2. Глушков Евгений</t>
  </si>
  <si>
    <t>Колесников Сергей</t>
  </si>
  <si>
    <t>1. Колесников Сергей</t>
  </si>
  <si>
    <t>Мастера 40 - 44 (20.05.1977)/41</t>
  </si>
  <si>
    <t>134,7946</t>
  </si>
  <si>
    <t>182,8200</t>
  </si>
  <si>
    <t>159,6480</t>
  </si>
  <si>
    <t>124,4145</t>
  </si>
  <si>
    <t>119,1100</t>
  </si>
  <si>
    <t>157,2152</t>
  </si>
  <si>
    <t>Кубок России НАП
Любители становая тяга без экипировки
Кемерово/Кемеровская область 30 - 31 марта 2019 г.</t>
  </si>
  <si>
    <t>Богданова Ольга</t>
  </si>
  <si>
    <t>1. Богданова Ольга</t>
  </si>
  <si>
    <t>Мастера 40 - 44 (02.01.1976)/43</t>
  </si>
  <si>
    <t>51,00</t>
  </si>
  <si>
    <t xml:space="preserve">Бойко В </t>
  </si>
  <si>
    <t>Мастера 45 - 49 (10.01.1972)/47</t>
  </si>
  <si>
    <t>Решетникова Анастасия</t>
  </si>
  <si>
    <t>1. Решетникова Анастасия</t>
  </si>
  <si>
    <t>Девушки 16 - 17 (28.02.2002)/17</t>
  </si>
  <si>
    <t>55,40</t>
  </si>
  <si>
    <t>Коблова Ирина</t>
  </si>
  <si>
    <t>1. Коблова Ирина</t>
  </si>
  <si>
    <t>Открытая (14.03.1982)/37</t>
  </si>
  <si>
    <t>54,80</t>
  </si>
  <si>
    <t>Хромова Алина</t>
  </si>
  <si>
    <t>1. Хромова Алина</t>
  </si>
  <si>
    <t>Девушки 18 - 19 (06.11.2000)/18</t>
  </si>
  <si>
    <t>57,90</t>
  </si>
  <si>
    <t>-. Завгородская Елизавета</t>
  </si>
  <si>
    <t>Пугосей Наталья</t>
  </si>
  <si>
    <t>1. Пугосей Наталья</t>
  </si>
  <si>
    <t>Открытая (03.12.1986)/32</t>
  </si>
  <si>
    <t>64,60</t>
  </si>
  <si>
    <t xml:space="preserve">Овечкин А. </t>
  </si>
  <si>
    <t>-. Лузанова Ольга</t>
  </si>
  <si>
    <t>66,90</t>
  </si>
  <si>
    <t>Лейман Сергей</t>
  </si>
  <si>
    <t>1. Лейман Сергей</t>
  </si>
  <si>
    <t>Юноши 0-13 (25.07.2006)/12</t>
  </si>
  <si>
    <t xml:space="preserve">Камольцев Д </t>
  </si>
  <si>
    <t>Решетников Сергей</t>
  </si>
  <si>
    <t>1. Решетников Сергей</t>
  </si>
  <si>
    <t>Юноши 18 - 19 (24.05.2000)/18</t>
  </si>
  <si>
    <t>Устюгов Сергей</t>
  </si>
  <si>
    <t>1. Устюгов Сергей</t>
  </si>
  <si>
    <t>Открытая (21.08.1989)/29</t>
  </si>
  <si>
    <t>Карманова Светлана</t>
  </si>
  <si>
    <t>1. Карманова Светлана</t>
  </si>
  <si>
    <t>Мастера 50 - 54 (07.02.1968)/51</t>
  </si>
  <si>
    <t>Нижегородов Михаил</t>
  </si>
  <si>
    <t>1. Нижегородов Михаил</t>
  </si>
  <si>
    <t>Юниоры 20 - 23 (23.03.1997)/22</t>
  </si>
  <si>
    <t>-. Дудченко Никита</t>
  </si>
  <si>
    <t>Юноши 16 - 17 (30.06.2001)/17</t>
  </si>
  <si>
    <t>Хлыбов Вячеслав</t>
  </si>
  <si>
    <t>1. Хлыбов Вячеслав</t>
  </si>
  <si>
    <t>Открытая (22.12.1985)/33</t>
  </si>
  <si>
    <t>74,00</t>
  </si>
  <si>
    <t>Матяж Александр</t>
  </si>
  <si>
    <t>2. Матяж Александр</t>
  </si>
  <si>
    <t>Открытая (07.03.1989)/30</t>
  </si>
  <si>
    <t>72,60</t>
  </si>
  <si>
    <t>-. Королев Алексей</t>
  </si>
  <si>
    <t>Пузырев Сергей</t>
  </si>
  <si>
    <t>1. Пузырев Сергей</t>
  </si>
  <si>
    <t>Мастера 45 - 49 (19.04.1971)/47</t>
  </si>
  <si>
    <t>73,40</t>
  </si>
  <si>
    <t>Чульденко Геннадий</t>
  </si>
  <si>
    <t>1. Чульденко Геннадий</t>
  </si>
  <si>
    <t>Мастера 70 - 74 (04.07.1948)/70</t>
  </si>
  <si>
    <t>Мытысон Дмитрий</t>
  </si>
  <si>
    <t>4. Мытысон Дмитрий</t>
  </si>
  <si>
    <t>Открытая (09.08.1983)/35</t>
  </si>
  <si>
    <t>82,10</t>
  </si>
  <si>
    <t>Шинкарев Виктор</t>
  </si>
  <si>
    <t>1. Шинкарев Виктор</t>
  </si>
  <si>
    <t>Мастера 45 - 49 (24.04.1971)/47</t>
  </si>
  <si>
    <t>Каменев Владимир</t>
  </si>
  <si>
    <t>1. Каменев Владимир</t>
  </si>
  <si>
    <t>Мастера 65 - 69 (23.06.1952)/66</t>
  </si>
  <si>
    <t>80,30</t>
  </si>
  <si>
    <t xml:space="preserve">Топки/Кемеровская область </t>
  </si>
  <si>
    <t>Исагулов Юрий</t>
  </si>
  <si>
    <t>1. Исагулов Юрий</t>
  </si>
  <si>
    <t>Мастера 75 - 79 (02.01.1944)/75</t>
  </si>
  <si>
    <t>81,60</t>
  </si>
  <si>
    <t xml:space="preserve">СК Ермак </t>
  </si>
  <si>
    <t>Каштанов Виталий</t>
  </si>
  <si>
    <t>1. Каштанов Виталий</t>
  </si>
  <si>
    <t>Юниоры 20 - 23 (20.06.1996)/22</t>
  </si>
  <si>
    <t>88,20</t>
  </si>
  <si>
    <t xml:space="preserve">Берёзовский/Кемеровская область </t>
  </si>
  <si>
    <t>Филипович Владислав</t>
  </si>
  <si>
    <t>1. Филипович Владислав</t>
  </si>
  <si>
    <t>Открытая (28.01.1991)/28</t>
  </si>
  <si>
    <t>Толстушенко Павел</t>
  </si>
  <si>
    <t>2. Толстушенко Павел</t>
  </si>
  <si>
    <t>Открытая (19.08.1981)/37</t>
  </si>
  <si>
    <t>87,60</t>
  </si>
  <si>
    <t>Черепанов Дмитрий</t>
  </si>
  <si>
    <t>3. Черепанов Дмитрий</t>
  </si>
  <si>
    <t>Открытая (11.07.1983)/35</t>
  </si>
  <si>
    <t>265,0</t>
  </si>
  <si>
    <t>267,5</t>
  </si>
  <si>
    <t>Башков Вячеслав</t>
  </si>
  <si>
    <t>1. Башков Вячеслав</t>
  </si>
  <si>
    <t>Юниоры 20 - 23 (14.02.1996)/23</t>
  </si>
  <si>
    <t>Соколов Антон</t>
  </si>
  <si>
    <t>1. Соколов Антон</t>
  </si>
  <si>
    <t>Открытая (13.07.1984)/34</t>
  </si>
  <si>
    <t>99,40</t>
  </si>
  <si>
    <t>Савельев Виктор</t>
  </si>
  <si>
    <t>2. Савельев Виктор</t>
  </si>
  <si>
    <t>Открытая (09.03.1993)/26</t>
  </si>
  <si>
    <t>95,50</t>
  </si>
  <si>
    <t>Вагов Александр</t>
  </si>
  <si>
    <t>1. Вагов Александр</t>
  </si>
  <si>
    <t>Мастера 40 - 44 (07.06.1976)/42</t>
  </si>
  <si>
    <t>Шабаев Амин</t>
  </si>
  <si>
    <t>1. Шабаев Амин</t>
  </si>
  <si>
    <t>Открытая (09.10.1986)/32</t>
  </si>
  <si>
    <t>109,00</t>
  </si>
  <si>
    <t>122,2217</t>
  </si>
  <si>
    <t>106,8236</t>
  </si>
  <si>
    <t>116,0500</t>
  </si>
  <si>
    <t>113,2530</t>
  </si>
  <si>
    <t>116,6185</t>
  </si>
  <si>
    <t>112,7842</t>
  </si>
  <si>
    <t>155,0822</t>
  </si>
  <si>
    <t>93,6141</t>
  </si>
  <si>
    <t>154,1204</t>
  </si>
  <si>
    <t>133,4330</t>
  </si>
  <si>
    <t>122,7872</t>
  </si>
  <si>
    <t>161,1840</t>
  </si>
  <si>
    <t>159,2190</t>
  </si>
  <si>
    <t>156,2767</t>
  </si>
  <si>
    <t>155,2250</t>
  </si>
  <si>
    <t>154,7520</t>
  </si>
  <si>
    <t>142,2400</t>
  </si>
  <si>
    <t>138,2480</t>
  </si>
  <si>
    <t>136,5980</t>
  </si>
  <si>
    <t>135,1545</t>
  </si>
  <si>
    <t>129,5800</t>
  </si>
  <si>
    <t>120,8212</t>
  </si>
  <si>
    <t>118,9230</t>
  </si>
  <si>
    <t>118,2940</t>
  </si>
  <si>
    <t xml:space="preserve">Мастера 70 - 74 </t>
  </si>
  <si>
    <t>274,3285</t>
  </si>
  <si>
    <t>208,0001</t>
  </si>
  <si>
    <t>186,5196</t>
  </si>
  <si>
    <t>142,7434</t>
  </si>
  <si>
    <t>140,6736</t>
  </si>
  <si>
    <t>136,5655</t>
  </si>
  <si>
    <t>117,5990</t>
  </si>
  <si>
    <t>92,9681</t>
  </si>
  <si>
    <t>Кубок России НАП
ПРО становая тяга без экипировки
Кемерово/Кемеровская область 30 - 31 марта 2019 г.</t>
  </si>
  <si>
    <t>1. Иванов Максим</t>
  </si>
  <si>
    <t>Елагин Сергей</t>
  </si>
  <si>
    <t>1. Елагин Сергей</t>
  </si>
  <si>
    <t>Мастера 40 - 44 (18.07.1974)/44</t>
  </si>
  <si>
    <t xml:space="preserve">Железное Братство </t>
  </si>
  <si>
    <t>1. Шадринцев Никита</t>
  </si>
  <si>
    <t>Соболев Евгений</t>
  </si>
  <si>
    <t>2. Соболев Евгений</t>
  </si>
  <si>
    <t>Открытая (24.06.1983)/35</t>
  </si>
  <si>
    <t>95,30</t>
  </si>
  <si>
    <t>Черданцев Антон</t>
  </si>
  <si>
    <t>3. Черданцев Антон</t>
  </si>
  <si>
    <t>Открытая (28.12.1982)/36</t>
  </si>
  <si>
    <t>93,60</t>
  </si>
  <si>
    <t xml:space="preserve">Свидерский </t>
  </si>
  <si>
    <t>Бызов Денис</t>
  </si>
  <si>
    <t>-. Бызов Денис</t>
  </si>
  <si>
    <t>Открытая (20.11.1987)/31</t>
  </si>
  <si>
    <t>104,30</t>
  </si>
  <si>
    <t xml:space="preserve">Краснобродский/Кемеровская область </t>
  </si>
  <si>
    <t>275,0</t>
  </si>
  <si>
    <t>Раскин Вадим</t>
  </si>
  <si>
    <t>1. Раскин Вадим</t>
  </si>
  <si>
    <t>Мастера 50 - 54 (05.02.1968)/51</t>
  </si>
  <si>
    <t>105,00</t>
  </si>
  <si>
    <t>Шевелев Илья</t>
  </si>
  <si>
    <t>1. Шевелев Илья</t>
  </si>
  <si>
    <t>Юниоры 20 - 23 (02.08.1997)/21</t>
  </si>
  <si>
    <t>122,50</t>
  </si>
  <si>
    <t>140,3813</t>
  </si>
  <si>
    <t>161,9467</t>
  </si>
  <si>
    <t>149,7150</t>
  </si>
  <si>
    <t>136,0560</t>
  </si>
  <si>
    <t>128,7675</t>
  </si>
  <si>
    <t>160,3806</t>
  </si>
  <si>
    <t>138,8870</t>
  </si>
  <si>
    <t>Кубок России НАП
Любители присед без экипировки
Кемерово/Кемеровская область 30 - 31 марта 2019 г.</t>
  </si>
  <si>
    <t>Дьячкова Мария</t>
  </si>
  <si>
    <t>1. Дьячкова Мария</t>
  </si>
  <si>
    <t>Открытая (28.03.1994)/25</t>
  </si>
  <si>
    <t>-. Шабаев Амин</t>
  </si>
  <si>
    <t>74,2177</t>
  </si>
  <si>
    <t>88,0005</t>
  </si>
  <si>
    <t>Кубок России НАП
ПРО присед без экипировки
Кемерово/Кемеровская область 30 - 31 марта 2019 г.</t>
  </si>
  <si>
    <t>1. Бызов Денис</t>
  </si>
  <si>
    <t>136,2500</t>
  </si>
  <si>
    <t>Кубок России НАП
Любители присед в софт экипировке
Кемерово/Кемеровская область 30 - 31 марта 2019 г.</t>
  </si>
  <si>
    <t>Кубок России НАП
ПРО присед в софт экипировке
Кемерово/Кемеровская область 30 - 31 марта 2019 г.</t>
  </si>
  <si>
    <t>-. Зевякин Иван</t>
  </si>
  <si>
    <t>Открытая (28.06.1988)/30</t>
  </si>
  <si>
    <t>115,70</t>
  </si>
  <si>
    <t>375,0</t>
  </si>
  <si>
    <t>Кубок России НАП
Силовое двоеборье любители
Кемерово/Кемеровская область 30 - 31 марта 2019 г.</t>
  </si>
  <si>
    <t>Комаров Егор</t>
  </si>
  <si>
    <t>1. Комаров Егор</t>
  </si>
  <si>
    <t>Юноши 16 - 17 (16.02.2003)/16</t>
  </si>
  <si>
    <t>Сулимов Андрей</t>
  </si>
  <si>
    <t>1. Сулимов Андрей</t>
  </si>
  <si>
    <t>Открытая (04.12.1992)/26</t>
  </si>
  <si>
    <t>78,70</t>
  </si>
  <si>
    <t>Руднев Сергей</t>
  </si>
  <si>
    <t>1. Руднев Сергей</t>
  </si>
  <si>
    <t>Открытая (24.08.1992)/26</t>
  </si>
  <si>
    <t>99,10</t>
  </si>
  <si>
    <t>Волков Иван</t>
  </si>
  <si>
    <t>1. Волков Иван</t>
  </si>
  <si>
    <t>Открытая (12.03.1988)/31</t>
  </si>
  <si>
    <t>114,50</t>
  </si>
  <si>
    <t>129,8237</t>
  </si>
  <si>
    <t>415,0</t>
  </si>
  <si>
    <t>230,8645</t>
  </si>
  <si>
    <t>200,2770</t>
  </si>
  <si>
    <t>292,5</t>
  </si>
  <si>
    <t>187,3463</t>
  </si>
  <si>
    <t>186,8790</t>
  </si>
  <si>
    <t>140,9270</t>
  </si>
  <si>
    <t>Кубок России НАП
Силовое двоеборье профессианалы
Кемерово/Кемеровская область 30 - 31 марта 2019 г.</t>
  </si>
  <si>
    <t>Открытая (14.11.1994)/24</t>
  </si>
  <si>
    <t>Коваль Владислав</t>
  </si>
  <si>
    <t>1. Коваль Владислав</t>
  </si>
  <si>
    <t>Лановикин Андрей</t>
  </si>
  <si>
    <t>1. Лановикин Андрей</t>
  </si>
  <si>
    <t>Юноши 18 - 19 (29.08.1999)/19</t>
  </si>
  <si>
    <t>129,20</t>
  </si>
  <si>
    <t>102,5</t>
  </si>
  <si>
    <t>232,5</t>
  </si>
  <si>
    <t>347,5</t>
  </si>
  <si>
    <t>186,4679</t>
  </si>
  <si>
    <t>360,0</t>
  </si>
  <si>
    <t>200,8080</t>
  </si>
  <si>
    <t>128,7660</t>
  </si>
  <si>
    <t>402,5</t>
  </si>
  <si>
    <t>205,4052</t>
  </si>
  <si>
    <t>1. Устяхин Егор</t>
  </si>
  <si>
    <t>Устяхин  Егор</t>
  </si>
  <si>
    <t>Мариинск</t>
  </si>
  <si>
    <t>115</t>
  </si>
  <si>
    <t>130</t>
  </si>
  <si>
    <t>1. Чекалова Елизавета</t>
  </si>
  <si>
    <t>132.5</t>
  </si>
  <si>
    <t>1. Барабанова Ирина</t>
  </si>
  <si>
    <t>Барабанова Ирина</t>
  </si>
  <si>
    <t>280</t>
  </si>
  <si>
    <t>290</t>
  </si>
  <si>
    <t>300</t>
  </si>
  <si>
    <t>106.6260</t>
  </si>
  <si>
    <t>1. Повная Виктория</t>
  </si>
  <si>
    <t>173.7300</t>
  </si>
  <si>
    <t>300.0</t>
  </si>
  <si>
    <t>81,9420</t>
  </si>
  <si>
    <t>Колесников Илья</t>
  </si>
  <si>
    <t>87,5</t>
  </si>
  <si>
    <t>Открытая (27.12.1982)/36</t>
  </si>
  <si>
    <t>1. Колесников Илья</t>
  </si>
  <si>
    <t>Подъем на бицепс</t>
  </si>
  <si>
    <t>Жим стоя</t>
  </si>
  <si>
    <t>Кубок России НАП Пауэрспорт
Пауэрспорт Профессионалы
Кемерово/Кемеровская область 30 - 31 марта 2019 г.</t>
  </si>
  <si>
    <t>87,2961</t>
  </si>
  <si>
    <t>Дегтярев Игорь</t>
  </si>
  <si>
    <t>83,9565</t>
  </si>
  <si>
    <t>Худышкин Роман</t>
  </si>
  <si>
    <t>90,0305</t>
  </si>
  <si>
    <t>Зиганьщин Максим</t>
  </si>
  <si>
    <t>91,0350</t>
  </si>
  <si>
    <t>94,0240</t>
  </si>
  <si>
    <t>102,2040</t>
  </si>
  <si>
    <t>103,7120</t>
  </si>
  <si>
    <t>Тыдыков Михаил</t>
  </si>
  <si>
    <t>Наговицын Дмитрий</t>
  </si>
  <si>
    <t>1. Попа Юрий</t>
  </si>
  <si>
    <t>1. Дробин Сергей</t>
  </si>
  <si>
    <t>82,5</t>
  </si>
  <si>
    <t>Открытая (06.12.1994)/24</t>
  </si>
  <si>
    <t>2. Худышкин Роман</t>
  </si>
  <si>
    <t>Открытая (25.06.1991)/27</t>
  </si>
  <si>
    <t>1. Зиганьщин Максим</t>
  </si>
  <si>
    <t xml:space="preserve">Барнаул/Алтайский край </t>
  </si>
  <si>
    <t>69,20</t>
  </si>
  <si>
    <t>Мастера 45 - 49 (19.11.1972)/46</t>
  </si>
  <si>
    <t>1. Дегтярев Игорь</t>
  </si>
  <si>
    <t>Юниоры 20 - 23 (20.09.1995)/23</t>
  </si>
  <si>
    <t>1. Наговицын Дмитрий</t>
  </si>
  <si>
    <t>77,5</t>
  </si>
  <si>
    <t>Открытая (28.11.1989)/29</t>
  </si>
  <si>
    <t>1. Тыдыков Михаил</t>
  </si>
  <si>
    <t>Кубок России НАП Пауэрспорт
Пауэрспорт Любители
Кемерово/Кемеровская область 30 - 31 марта 2019 г.</t>
  </si>
  <si>
    <t>35,8605</t>
  </si>
  <si>
    <t>42,6240</t>
  </si>
  <si>
    <t>1. Матюнин Анатолий</t>
  </si>
  <si>
    <t>Кубок России НАП Пауэрспорт
Одиночный подъём штанги на бицепс Профессионалы
Кемерово/Кемеровская область 30 - 31 марта 2019 г.</t>
  </si>
  <si>
    <t>45,4024</t>
  </si>
  <si>
    <t>Фомин Игорь</t>
  </si>
  <si>
    <t>56,5785</t>
  </si>
  <si>
    <t>40,7030</t>
  </si>
  <si>
    <t>42,0728</t>
  </si>
  <si>
    <t>Туркин Александр</t>
  </si>
  <si>
    <t>30,1390</t>
  </si>
  <si>
    <t>Хертек Айдыс</t>
  </si>
  <si>
    <t>39,6125</t>
  </si>
  <si>
    <t>Бессмертных Илья</t>
  </si>
  <si>
    <t>39,8700</t>
  </si>
  <si>
    <t>34,9892</t>
  </si>
  <si>
    <t>Михайлов Владимир</t>
  </si>
  <si>
    <t>35,4661</t>
  </si>
  <si>
    <t>Фофонов Вячеслав</t>
  </si>
  <si>
    <t>43,5199</t>
  </si>
  <si>
    <t>Громов Денис</t>
  </si>
  <si>
    <t>23,5565</t>
  </si>
  <si>
    <t>25,0</t>
  </si>
  <si>
    <t>Станченко Ирина</t>
  </si>
  <si>
    <t xml:space="preserve">Колесников Сергей </t>
  </si>
  <si>
    <t>84,00</t>
  </si>
  <si>
    <t>Юноши 18 - 19 (09.03.2000)/19</t>
  </si>
  <si>
    <t>1. Михайлов Владимир</t>
  </si>
  <si>
    <t>Юноши 14-15 (14.07.2003)/15</t>
  </si>
  <si>
    <t>1. Громов Денис</t>
  </si>
  <si>
    <t>Мастера 50 - 54 (29.01.1969)/50</t>
  </si>
  <si>
    <t>1. Фомин Игорь</t>
  </si>
  <si>
    <t>81,20</t>
  </si>
  <si>
    <t xml:space="preserve">Бийск/Алтайский край </t>
  </si>
  <si>
    <t>79,85</t>
  </si>
  <si>
    <t>Юниоры 20 - 23 (18.10.1995)/23</t>
  </si>
  <si>
    <t>1. Бессмертных Илья</t>
  </si>
  <si>
    <t>Открытая (18.08.1986)/32</t>
  </si>
  <si>
    <t>1. Туркин Александр</t>
  </si>
  <si>
    <t xml:space="preserve">Фомин И. </t>
  </si>
  <si>
    <t>66,20</t>
  </si>
  <si>
    <t>Юниоры 20 - 23 (19.03.1998)/21</t>
  </si>
  <si>
    <t>1. Хертек Айдыс</t>
  </si>
  <si>
    <t xml:space="preserve">Мостовой А </t>
  </si>
  <si>
    <t>Юноши 14-15 (27.11.2003)/15</t>
  </si>
  <si>
    <t>1. Фофонов Вячеслав</t>
  </si>
  <si>
    <t>55,00</t>
  </si>
  <si>
    <t>Мастера 40 - 44 (17.11.1975)/43</t>
  </si>
  <si>
    <t>1. Станченко Ирина</t>
  </si>
  <si>
    <t>Кубок России НАП Пауэрспорт
Одиночный подъём штанги на бицепс Любители
Кемерово/Кемеровская область 30 - 31 марта 2019 г.</t>
  </si>
  <si>
    <t>49,8375</t>
  </si>
  <si>
    <t>Кубок России НАП Пауэрспорт
Одиночный жим штанги стоя Любители
Кемерово/Кемеровская область 30 - 31 марта 2019 г.</t>
  </si>
  <si>
    <t>2496,1199</t>
  </si>
  <si>
    <t>3100,0</t>
  </si>
  <si>
    <t>Бардаков Сергей</t>
  </si>
  <si>
    <t>2368.7301</t>
  </si>
  <si>
    <t>3325.0</t>
  </si>
  <si>
    <t xml:space="preserve">   Быховец Артем</t>
  </si>
  <si>
    <t>2686,6401</t>
  </si>
  <si>
    <t>3440,0</t>
  </si>
  <si>
    <t>Князев Алексей</t>
  </si>
  <si>
    <t xml:space="preserve">НАП Н.Ж. </t>
  </si>
  <si>
    <t>92,90</t>
  </si>
  <si>
    <t>Открытая (19.07.1983)/35</t>
  </si>
  <si>
    <t>1. Быховец Артем</t>
  </si>
  <si>
    <t>77,50</t>
  </si>
  <si>
    <t>Открытая (20.10.1987)/31</t>
  </si>
  <si>
    <t>2. Бардаков Сергей</t>
  </si>
  <si>
    <t>43,0</t>
  </si>
  <si>
    <t>79,90</t>
  </si>
  <si>
    <t>Открытая (12.04.1987)/31</t>
  </si>
  <si>
    <t>1. Князев Алексей</t>
  </si>
  <si>
    <t>Повторы</t>
  </si>
  <si>
    <t>Вес</t>
  </si>
  <si>
    <t>Тоннаж</t>
  </si>
  <si>
    <t>Жим мн. повт.</t>
  </si>
  <si>
    <t>НАП Н.Ж.</t>
  </si>
  <si>
    <t>Кубок России НАП НЖ
Профессионалы народный жим (1 вес)
Кемерово/Кемеровская область 30 - 31 марта 2019 г.</t>
  </si>
  <si>
    <t>4020,5998</t>
  </si>
  <si>
    <t>3000,0</t>
  </si>
  <si>
    <t>Маслаов Владислав</t>
  </si>
  <si>
    <t>1030,4613</t>
  </si>
  <si>
    <t>1137,5</t>
  </si>
  <si>
    <t xml:space="preserve">Барабанова </t>
  </si>
  <si>
    <t>1024,7738</t>
  </si>
  <si>
    <t>Бакланова Анастасия</t>
  </si>
  <si>
    <t>1061,6580</t>
  </si>
  <si>
    <t>1170,0</t>
  </si>
  <si>
    <t>20,0</t>
  </si>
  <si>
    <t>38,80</t>
  </si>
  <si>
    <t>Юноши 0-13 (01.11.2005)/13</t>
  </si>
  <si>
    <t>1. Маслаов Владислав</t>
  </si>
  <si>
    <t>64,10</t>
  </si>
  <si>
    <t>Девушки 16 - 17 (19.07.2002)/16</t>
  </si>
  <si>
    <t>1. Бакланова Анастасия</t>
  </si>
  <si>
    <t>39,0</t>
  </si>
  <si>
    <t>Кубок России НАП НЖ
Любители народный жим (1/2 вес)
Кемерово/Кемеровская область 30 - 31 марта 2019 г.</t>
  </si>
  <si>
    <t>1839,5400</t>
  </si>
  <si>
    <t>2325,0</t>
  </si>
  <si>
    <t>1157,1945</t>
  </si>
  <si>
    <t>1155,0</t>
  </si>
  <si>
    <t>Рыбина Мария</t>
  </si>
  <si>
    <t>1356,4101</t>
  </si>
  <si>
    <t>1900,0</t>
  </si>
  <si>
    <t>1503,7500</t>
  </si>
  <si>
    <t>1875,0</t>
  </si>
  <si>
    <t>1820,9520</t>
  </si>
  <si>
    <t>2520,0</t>
  </si>
  <si>
    <t>Туманов Никита</t>
  </si>
  <si>
    <t>1862,8005</t>
  </si>
  <si>
    <t>2465,0</t>
  </si>
  <si>
    <t>Аксючиц Евгений</t>
  </si>
  <si>
    <t>1902,0374</t>
  </si>
  <si>
    <t>2475,0</t>
  </si>
  <si>
    <t>2059,2990</t>
  </si>
  <si>
    <t>2557,5</t>
  </si>
  <si>
    <t>Гербель Евгений</t>
  </si>
  <si>
    <t>2075,1555</t>
  </si>
  <si>
    <t>Астафьев Александр</t>
  </si>
  <si>
    <t>2277,1800</t>
  </si>
  <si>
    <t>2700,0</t>
  </si>
  <si>
    <t>2326,2121</t>
  </si>
  <si>
    <t>3060,0</t>
  </si>
  <si>
    <t>Мечев Андрей</t>
  </si>
  <si>
    <t>1874,4151</t>
  </si>
  <si>
    <t>Селянкин Владислав</t>
  </si>
  <si>
    <t>92,70</t>
  </si>
  <si>
    <t>28,0</t>
  </si>
  <si>
    <t>3. Туманов Никита</t>
  </si>
  <si>
    <t>29,0</t>
  </si>
  <si>
    <t>Открытая (21.01.1989)/30</t>
  </si>
  <si>
    <t>2. Аксючиц Евгений</t>
  </si>
  <si>
    <t>36,0</t>
  </si>
  <si>
    <t>84,50</t>
  </si>
  <si>
    <t>Открытая (16.10.1984)/34</t>
  </si>
  <si>
    <t>1. Мечев Андрей</t>
  </si>
  <si>
    <t>3. Шамсутдинов Тимур</t>
  </si>
  <si>
    <t>33,0</t>
  </si>
  <si>
    <t>Открытая (14.05.1984)/34</t>
  </si>
  <si>
    <t>1. Гербель Евгений</t>
  </si>
  <si>
    <t>76,90</t>
  </si>
  <si>
    <t>Открытая (02.08.1984)/34</t>
  </si>
  <si>
    <t>1. Астафьев Александр</t>
  </si>
  <si>
    <t>77,40</t>
  </si>
  <si>
    <t>Юноши 18 - 19 (01.07.2000)/18</t>
  </si>
  <si>
    <t>1. Селянкин Владислав</t>
  </si>
  <si>
    <t>32.0</t>
  </si>
  <si>
    <t>2. Дерига Михаил</t>
  </si>
  <si>
    <t>31,0</t>
  </si>
  <si>
    <t>1. Королев Алексей</t>
  </si>
  <si>
    <t>42,0</t>
  </si>
  <si>
    <t>Кубок России НАП НЖ
Любители народный жим (1 вес)
Кемерово/Кемеровская область 30 - 31 марта 2019 г.</t>
  </si>
  <si>
    <t>12,1827</t>
  </si>
  <si>
    <t>1200,0</t>
  </si>
  <si>
    <t>All</t>
  </si>
  <si>
    <t>Воробьев Алексей</t>
  </si>
  <si>
    <t xml:space="preserve">Атлетизм </t>
  </si>
  <si>
    <t>12,0</t>
  </si>
  <si>
    <t xml:space="preserve">КироваСпорт </t>
  </si>
  <si>
    <t>1. Воробьев Алексей</t>
  </si>
  <si>
    <t>ВЕСОВАЯ КАТЕГОРИЯ   All</t>
  </si>
  <si>
    <t>Атлетизм</t>
  </si>
  <si>
    <t>Кубок России НАП  РЖ
Русский жим любители 100 кг.
Кемерово/Кемеровская область 30 - 31 марта 2019 г.</t>
  </si>
  <si>
    <t>28,0046</t>
  </si>
  <si>
    <t>2400,0</t>
  </si>
  <si>
    <t>34,7222</t>
  </si>
  <si>
    <t>3375,0</t>
  </si>
  <si>
    <t>32,0</t>
  </si>
  <si>
    <t>85,70</t>
  </si>
  <si>
    <t>97,20</t>
  </si>
  <si>
    <t>1. Бакланов Александр</t>
  </si>
  <si>
    <t>Кубок России НАП  РЖ
Русский жим любители 75 кг.
Кемерово/Кемеровская область 30 - 31 марта 2019 г.</t>
  </si>
  <si>
    <t>31,7667</t>
  </si>
  <si>
    <t>2805,0</t>
  </si>
  <si>
    <t>Колупаев Игорь</t>
  </si>
  <si>
    <t>45,3333</t>
  </si>
  <si>
    <t>3740,0</t>
  </si>
  <si>
    <t>Кирасанкин Игорь</t>
  </si>
  <si>
    <t>48,4107</t>
  </si>
  <si>
    <t>4950,0</t>
  </si>
  <si>
    <t>Кожемяко Максим</t>
  </si>
  <si>
    <t>72,7941</t>
  </si>
  <si>
    <t>5940,0</t>
  </si>
  <si>
    <t>Козулин Владимир</t>
  </si>
  <si>
    <t>33,7333</t>
  </si>
  <si>
    <t>2530,0</t>
  </si>
  <si>
    <t>Документов Игорь</t>
  </si>
  <si>
    <t>33,7653</t>
  </si>
  <si>
    <t>Рагозин Николай</t>
  </si>
  <si>
    <t>36,2765</t>
  </si>
  <si>
    <t>3410,0</t>
  </si>
  <si>
    <t>Масалов Александр</t>
  </si>
  <si>
    <t>38,0373</t>
  </si>
  <si>
    <t>4070,0</t>
  </si>
  <si>
    <t>43,9006</t>
  </si>
  <si>
    <t>2915,0</t>
  </si>
  <si>
    <t>51,3904</t>
  </si>
  <si>
    <t>4620,0</t>
  </si>
  <si>
    <t>Хоронжак Иван</t>
  </si>
  <si>
    <t>57,4838</t>
  </si>
  <si>
    <t>4455,0</t>
  </si>
  <si>
    <t>44,7994</t>
  </si>
  <si>
    <t>3575,0</t>
  </si>
  <si>
    <t xml:space="preserve">Федосов </t>
  </si>
  <si>
    <t>108,0</t>
  </si>
  <si>
    <t>Мастера 60 - 64 (05.05.1958)/60</t>
  </si>
  <si>
    <t>1. Козулин Владимир</t>
  </si>
  <si>
    <t>51,0</t>
  </si>
  <si>
    <t>88,30</t>
  </si>
  <si>
    <t>Мастера 45 - 49 (23.06.1969)/49</t>
  </si>
  <si>
    <t>1. Колупаев Игорь</t>
  </si>
  <si>
    <t>68,0</t>
  </si>
  <si>
    <t>Мастера 40 - 44 (15.05.1975)/43</t>
  </si>
  <si>
    <t>2. Кирсанкин Игорь</t>
  </si>
  <si>
    <t>102,25</t>
  </si>
  <si>
    <t>Мастера 40 - 44 (31.03.1978)/40</t>
  </si>
  <si>
    <t>1. Кожемяко Максим</t>
  </si>
  <si>
    <t>Открытая (20.03.1992)/27</t>
  </si>
  <si>
    <t>7. Рагозин Николай</t>
  </si>
  <si>
    <t>46,0</t>
  </si>
  <si>
    <t>Открытая (25.03.1991)/28</t>
  </si>
  <si>
    <t>6. Документов Игорь</t>
  </si>
  <si>
    <t>53,0</t>
  </si>
  <si>
    <t>5. Дятлов Константин</t>
  </si>
  <si>
    <t>62,0</t>
  </si>
  <si>
    <t>94,00</t>
  </si>
  <si>
    <t>Открытая (04.01.1980)/39</t>
  </si>
  <si>
    <t>4. Масалов Александр</t>
  </si>
  <si>
    <t>74,0</t>
  </si>
  <si>
    <t>3. Григорьев Юрий</t>
  </si>
  <si>
    <t>81,0</t>
  </si>
  <si>
    <t>2. Гербель Евгений</t>
  </si>
  <si>
    <t>84,0</t>
  </si>
  <si>
    <t>Открытая (25.04.1982)/36</t>
  </si>
  <si>
    <t>1. Хоронжак Иван</t>
  </si>
  <si>
    <t>79,80</t>
  </si>
  <si>
    <t>Кубок России НАП  РЖ
Русский жим любители 55 кг.
Кемерово/Кемеровская область 30 - 31 марта 2019 г.</t>
  </si>
  <si>
    <t>38,9610</t>
  </si>
  <si>
    <t>3450,0</t>
  </si>
  <si>
    <t>Тихонов Станислав</t>
  </si>
  <si>
    <t>88,55</t>
  </si>
  <si>
    <t>Открытая (10.02.1990)/29</t>
  </si>
  <si>
    <t>1. Тихонов Станислав</t>
  </si>
  <si>
    <t>Кубок России НАП  РЖ
Русский жим профессионалы 75 кг.
Кемерово/Кемеровская область 30 - 31 марта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</si>
</sst>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51E1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6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10</v>
      </c>
      <c r="C3" s="44" t="s">
        <v>11</v>
      </c>
      <c r="D3" s="32" t="s">
        <v>9</v>
      </c>
      <c r="E3" s="46" t="s">
        <v>7</v>
      </c>
      <c r="F3" s="46" t="s">
        <v>12</v>
      </c>
      <c r="G3" s="46" t="s">
        <v>1</v>
      </c>
      <c r="H3" s="46"/>
      <c r="I3" s="46"/>
      <c r="J3" s="46"/>
      <c r="K3" s="46" t="s">
        <v>2</v>
      </c>
      <c r="L3" s="46"/>
      <c r="M3" s="46"/>
      <c r="N3" s="46"/>
      <c r="O3" s="46" t="s">
        <v>3</v>
      </c>
      <c r="P3" s="46"/>
      <c r="Q3" s="46"/>
      <c r="R3" s="46"/>
      <c r="S3" s="32" t="s">
        <v>4</v>
      </c>
      <c r="T3" s="32" t="s">
        <v>6</v>
      </c>
      <c r="U3" s="34" t="s">
        <v>5</v>
      </c>
    </row>
    <row r="4" spans="1:21" s="1" customFormat="1" ht="21" customHeight="1" thickBot="1">
      <c r="A4" s="43"/>
      <c r="B4" s="45"/>
      <c r="C4" s="45"/>
      <c r="D4" s="33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3"/>
      <c r="T4" s="33"/>
      <c r="U4" s="35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9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875" style="4" bestFit="1" customWidth="1"/>
    <col min="14" max="16384" width="9.125" style="3" customWidth="1"/>
  </cols>
  <sheetData>
    <row r="1" spans="1:13" s="2" customFormat="1" ht="28.5" customHeight="1">
      <c r="A1" s="51" t="s">
        <v>848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5" t="s">
        <v>850</v>
      </c>
      <c r="B6" s="15" t="s">
        <v>851</v>
      </c>
      <c r="C6" s="15" t="s">
        <v>852</v>
      </c>
      <c r="D6" s="15" t="str">
        <f>"0,9786"</f>
        <v>0,9786</v>
      </c>
      <c r="E6" s="15" t="s">
        <v>29</v>
      </c>
      <c r="F6" s="15" t="s">
        <v>55</v>
      </c>
      <c r="G6" s="16" t="s">
        <v>36</v>
      </c>
      <c r="H6" s="16" t="s">
        <v>122</v>
      </c>
      <c r="I6" s="16" t="s">
        <v>56</v>
      </c>
      <c r="J6" s="17"/>
      <c r="K6" s="15" t="str">
        <f>"80,0"</f>
        <v>80,0</v>
      </c>
      <c r="L6" s="16" t="str">
        <f>"78,2840"</f>
        <v>78,2840</v>
      </c>
      <c r="M6" s="15" t="s">
        <v>681</v>
      </c>
    </row>
    <row r="7" spans="1:13" ht="12.75">
      <c r="A7" s="21" t="s">
        <v>850</v>
      </c>
      <c r="B7" s="21" t="s">
        <v>853</v>
      </c>
      <c r="C7" s="21" t="s">
        <v>852</v>
      </c>
      <c r="D7" s="21" t="str">
        <f>"0,9786"</f>
        <v>0,9786</v>
      </c>
      <c r="E7" s="21" t="s">
        <v>29</v>
      </c>
      <c r="F7" s="21" t="s">
        <v>55</v>
      </c>
      <c r="G7" s="22" t="s">
        <v>36</v>
      </c>
      <c r="H7" s="22" t="s">
        <v>122</v>
      </c>
      <c r="I7" s="22" t="s">
        <v>56</v>
      </c>
      <c r="J7" s="23"/>
      <c r="K7" s="21" t="str">
        <f>"80,0"</f>
        <v>80,0</v>
      </c>
      <c r="L7" s="22" t="str">
        <f>"79,6931"</f>
        <v>79,6931</v>
      </c>
      <c r="M7" s="21" t="s">
        <v>681</v>
      </c>
    </row>
    <row r="9" spans="1:12" ht="15">
      <c r="A9" s="47" t="s">
        <v>123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11" t="s">
        <v>854</v>
      </c>
      <c r="B10" s="11" t="s">
        <v>855</v>
      </c>
      <c r="C10" s="11" t="s">
        <v>856</v>
      </c>
      <c r="D10" s="11" t="str">
        <f>"0,9383"</f>
        <v>0,9383</v>
      </c>
      <c r="E10" s="11" t="s">
        <v>54</v>
      </c>
      <c r="F10" s="11" t="s">
        <v>55</v>
      </c>
      <c r="G10" s="13" t="s">
        <v>56</v>
      </c>
      <c r="H10" s="13" t="s">
        <v>68</v>
      </c>
      <c r="I10" s="13" t="s">
        <v>68</v>
      </c>
      <c r="J10" s="13"/>
      <c r="K10" s="11" t="str">
        <f>"0.00"</f>
        <v>0.00</v>
      </c>
      <c r="L10" s="12" t="str">
        <f>"0,0000"</f>
        <v>0,0000</v>
      </c>
      <c r="M10" s="11" t="s">
        <v>616</v>
      </c>
    </row>
    <row r="12" spans="1:12" ht="15">
      <c r="A12" s="47" t="s">
        <v>89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2.75">
      <c r="A13" s="11" t="s">
        <v>858</v>
      </c>
      <c r="B13" s="11" t="s">
        <v>859</v>
      </c>
      <c r="C13" s="11" t="s">
        <v>860</v>
      </c>
      <c r="D13" s="11" t="str">
        <f>"0,7943"</f>
        <v>0,7943</v>
      </c>
      <c r="E13" s="11" t="s">
        <v>66</v>
      </c>
      <c r="F13" s="11" t="s">
        <v>67</v>
      </c>
      <c r="G13" s="12" t="s">
        <v>45</v>
      </c>
      <c r="H13" s="12" t="s">
        <v>46</v>
      </c>
      <c r="I13" s="13" t="s">
        <v>107</v>
      </c>
      <c r="J13" s="13"/>
      <c r="K13" s="11" t="str">
        <f>"120,0"</f>
        <v>120,0</v>
      </c>
      <c r="L13" s="12" t="str">
        <f>"101,0350"</f>
        <v>101,0350</v>
      </c>
      <c r="M13" s="11" t="s">
        <v>73</v>
      </c>
    </row>
    <row r="15" spans="1:12" ht="15">
      <c r="A15" s="47" t="s">
        <v>38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 ht="12.75">
      <c r="A16" s="11" t="s">
        <v>537</v>
      </c>
      <c r="B16" s="11" t="s">
        <v>538</v>
      </c>
      <c r="C16" s="11" t="s">
        <v>42</v>
      </c>
      <c r="D16" s="11" t="str">
        <f>"0,8128"</f>
        <v>0,8128</v>
      </c>
      <c r="E16" s="11" t="s">
        <v>29</v>
      </c>
      <c r="F16" s="11" t="s">
        <v>119</v>
      </c>
      <c r="G16" s="12" t="s">
        <v>44</v>
      </c>
      <c r="H16" s="12" t="s">
        <v>96</v>
      </c>
      <c r="I16" s="13" t="s">
        <v>566</v>
      </c>
      <c r="J16" s="13"/>
      <c r="K16" s="11" t="str">
        <f>"107,5"</f>
        <v>107,5</v>
      </c>
      <c r="L16" s="12" t="str">
        <f>"87,3760"</f>
        <v>87,3760</v>
      </c>
      <c r="M16" s="11" t="s">
        <v>60</v>
      </c>
    </row>
    <row r="18" spans="1:12" ht="15">
      <c r="A18" s="47" t="s">
        <v>145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1" t="s">
        <v>862</v>
      </c>
      <c r="B19" s="11" t="s">
        <v>863</v>
      </c>
      <c r="C19" s="11" t="s">
        <v>864</v>
      </c>
      <c r="D19" s="11" t="str">
        <f>"0,6652"</f>
        <v>0,6652</v>
      </c>
      <c r="E19" s="11" t="s">
        <v>29</v>
      </c>
      <c r="F19" s="11" t="s">
        <v>212</v>
      </c>
      <c r="G19" s="12" t="s">
        <v>195</v>
      </c>
      <c r="H19" s="12" t="s">
        <v>268</v>
      </c>
      <c r="I19" s="13" t="s">
        <v>151</v>
      </c>
      <c r="J19" s="13"/>
      <c r="K19" s="11" t="str">
        <f>"177,5"</f>
        <v>177,5</v>
      </c>
      <c r="L19" s="12" t="str">
        <f>"120,1983"</f>
        <v>120,1983</v>
      </c>
      <c r="M19" s="11" t="s">
        <v>60</v>
      </c>
    </row>
    <row r="21" spans="1:12" ht="15">
      <c r="A21" s="47" t="s">
        <v>173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5" t="s">
        <v>425</v>
      </c>
      <c r="B22" s="15" t="s">
        <v>426</v>
      </c>
      <c r="C22" s="15" t="s">
        <v>427</v>
      </c>
      <c r="D22" s="15" t="str">
        <f>"0,6279"</f>
        <v>0,6279</v>
      </c>
      <c r="E22" s="15" t="s">
        <v>29</v>
      </c>
      <c r="F22" s="15" t="s">
        <v>113</v>
      </c>
      <c r="G22" s="16" t="s">
        <v>368</v>
      </c>
      <c r="H22" s="17" t="s">
        <v>428</v>
      </c>
      <c r="I22" s="17" t="s">
        <v>428</v>
      </c>
      <c r="J22" s="17"/>
      <c r="K22" s="15" t="str">
        <f>"202,5"</f>
        <v>202,5</v>
      </c>
      <c r="L22" s="16" t="str">
        <f>"127,1498"</f>
        <v>127,1498</v>
      </c>
      <c r="M22" s="15" t="s">
        <v>60</v>
      </c>
    </row>
    <row r="23" spans="1:13" ht="12.75">
      <c r="A23" s="18" t="s">
        <v>866</v>
      </c>
      <c r="B23" s="18" t="s">
        <v>867</v>
      </c>
      <c r="C23" s="18" t="s">
        <v>584</v>
      </c>
      <c r="D23" s="18" t="str">
        <f>"0,6198"</f>
        <v>0,6198</v>
      </c>
      <c r="E23" s="18" t="s">
        <v>309</v>
      </c>
      <c r="F23" s="18" t="s">
        <v>67</v>
      </c>
      <c r="G23" s="20" t="s">
        <v>368</v>
      </c>
      <c r="H23" s="19" t="s">
        <v>368</v>
      </c>
      <c r="I23" s="20" t="s">
        <v>213</v>
      </c>
      <c r="J23" s="20"/>
      <c r="K23" s="18" t="str">
        <f>"202,5"</f>
        <v>202,5</v>
      </c>
      <c r="L23" s="19" t="str">
        <f>"125,5095"</f>
        <v>125,5095</v>
      </c>
      <c r="M23" s="18" t="s">
        <v>454</v>
      </c>
    </row>
    <row r="24" spans="1:13" ht="12.75">
      <c r="A24" s="21" t="s">
        <v>869</v>
      </c>
      <c r="B24" s="21" t="s">
        <v>870</v>
      </c>
      <c r="C24" s="21" t="s">
        <v>871</v>
      </c>
      <c r="D24" s="21" t="str">
        <f>"0,6352"</f>
        <v>0,6352</v>
      </c>
      <c r="E24" s="21" t="s">
        <v>29</v>
      </c>
      <c r="F24" s="21" t="s">
        <v>212</v>
      </c>
      <c r="G24" s="22" t="s">
        <v>165</v>
      </c>
      <c r="H24" s="23" t="s">
        <v>128</v>
      </c>
      <c r="I24" s="23" t="s">
        <v>128</v>
      </c>
      <c r="J24" s="23"/>
      <c r="K24" s="21" t="str">
        <f>"150,0"</f>
        <v>150,0</v>
      </c>
      <c r="L24" s="22" t="str">
        <f>"191,5128"</f>
        <v>191,5128</v>
      </c>
      <c r="M24" s="21" t="s">
        <v>60</v>
      </c>
    </row>
    <row r="26" spans="1:12" ht="15">
      <c r="A26" s="47" t="s">
        <v>184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2.75">
      <c r="A27" s="11" t="s">
        <v>872</v>
      </c>
      <c r="B27" s="11" t="s">
        <v>623</v>
      </c>
      <c r="C27" s="11" t="s">
        <v>608</v>
      </c>
      <c r="D27" s="11" t="str">
        <f>"0,5914"</f>
        <v>0,5914</v>
      </c>
      <c r="E27" s="11" t="s">
        <v>309</v>
      </c>
      <c r="F27" s="11" t="s">
        <v>67</v>
      </c>
      <c r="G27" s="13" t="s">
        <v>180</v>
      </c>
      <c r="H27" s="12" t="s">
        <v>180</v>
      </c>
      <c r="I27" s="12" t="s">
        <v>873</v>
      </c>
      <c r="J27" s="13"/>
      <c r="K27" s="11" t="str">
        <f>"217,5"</f>
        <v>217,5</v>
      </c>
      <c r="L27" s="12" t="str">
        <f>"128,6295"</f>
        <v>128,6295</v>
      </c>
      <c r="M27" s="11" t="s">
        <v>60</v>
      </c>
    </row>
    <row r="29" spans="1:12" ht="15">
      <c r="A29" s="47" t="s">
        <v>354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15" t="s">
        <v>874</v>
      </c>
      <c r="B30" s="15" t="s">
        <v>668</v>
      </c>
      <c r="C30" s="15" t="s">
        <v>875</v>
      </c>
      <c r="D30" s="15" t="str">
        <f>"0,5570"</f>
        <v>0,5570</v>
      </c>
      <c r="E30" s="15" t="s">
        <v>309</v>
      </c>
      <c r="F30" s="15" t="s">
        <v>67</v>
      </c>
      <c r="G30" s="17" t="s">
        <v>222</v>
      </c>
      <c r="H30" s="16" t="s">
        <v>222</v>
      </c>
      <c r="I30" s="16" t="s">
        <v>153</v>
      </c>
      <c r="J30" s="17"/>
      <c r="K30" s="15" t="str">
        <f>"215,0"</f>
        <v>215,0</v>
      </c>
      <c r="L30" s="16" t="str">
        <f>"119,7550"</f>
        <v>119,7550</v>
      </c>
      <c r="M30" s="15" t="s">
        <v>454</v>
      </c>
    </row>
    <row r="31" spans="1:13" ht="12.75">
      <c r="A31" s="18" t="s">
        <v>877</v>
      </c>
      <c r="B31" s="18" t="s">
        <v>878</v>
      </c>
      <c r="C31" s="18" t="s">
        <v>879</v>
      </c>
      <c r="D31" s="18" t="str">
        <f>"0,5581"</f>
        <v>0,5581</v>
      </c>
      <c r="E31" s="18" t="s">
        <v>29</v>
      </c>
      <c r="F31" s="18" t="s">
        <v>661</v>
      </c>
      <c r="G31" s="19" t="s">
        <v>180</v>
      </c>
      <c r="H31" s="20" t="s">
        <v>880</v>
      </c>
      <c r="I31" s="20" t="s">
        <v>880</v>
      </c>
      <c r="J31" s="20"/>
      <c r="K31" s="18" t="str">
        <f>"200,0"</f>
        <v>200,0</v>
      </c>
      <c r="L31" s="19" t="str">
        <f>"111,6200"</f>
        <v>111,6200</v>
      </c>
      <c r="M31" s="18" t="s">
        <v>60</v>
      </c>
    </row>
    <row r="32" spans="1:13" ht="12.75">
      <c r="A32" s="21" t="s">
        <v>488</v>
      </c>
      <c r="B32" s="21" t="s">
        <v>489</v>
      </c>
      <c r="C32" s="21" t="s">
        <v>490</v>
      </c>
      <c r="D32" s="21" t="str">
        <f>"0,5599"</f>
        <v>0,5599</v>
      </c>
      <c r="E32" s="21" t="s">
        <v>29</v>
      </c>
      <c r="F32" s="21" t="s">
        <v>491</v>
      </c>
      <c r="G32" s="22" t="s">
        <v>129</v>
      </c>
      <c r="H32" s="22" t="s">
        <v>268</v>
      </c>
      <c r="I32" s="22" t="s">
        <v>130</v>
      </c>
      <c r="J32" s="23"/>
      <c r="K32" s="21" t="str">
        <f>"182,5"</f>
        <v>182,5</v>
      </c>
      <c r="L32" s="22" t="str">
        <f>"119,8592"</f>
        <v>119,8592</v>
      </c>
      <c r="M32" s="21" t="s">
        <v>60</v>
      </c>
    </row>
    <row r="34" spans="1:12" ht="15">
      <c r="A34" s="47" t="s">
        <v>207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 ht="12.75">
      <c r="A35" s="11" t="s">
        <v>881</v>
      </c>
      <c r="B35" s="11" t="s">
        <v>692</v>
      </c>
      <c r="C35" s="11" t="s">
        <v>693</v>
      </c>
      <c r="D35" s="11" t="str">
        <f>"0,5477"</f>
        <v>0,5477</v>
      </c>
      <c r="E35" s="11" t="s">
        <v>694</v>
      </c>
      <c r="F35" s="11" t="s">
        <v>119</v>
      </c>
      <c r="G35" s="12" t="s">
        <v>222</v>
      </c>
      <c r="H35" s="13" t="s">
        <v>153</v>
      </c>
      <c r="I35" s="13" t="s">
        <v>153</v>
      </c>
      <c r="J35" s="13"/>
      <c r="K35" s="11" t="str">
        <f>"205,0"</f>
        <v>205,0</v>
      </c>
      <c r="L35" s="12" t="str">
        <f>"112,2785"</f>
        <v>112,2785</v>
      </c>
      <c r="M35" s="11" t="s">
        <v>60</v>
      </c>
    </row>
    <row r="37" spans="1:12" ht="15">
      <c r="A37" s="47" t="s">
        <v>384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3" ht="12.75">
      <c r="A38" s="15" t="s">
        <v>883</v>
      </c>
      <c r="B38" s="15" t="s">
        <v>884</v>
      </c>
      <c r="C38" s="15" t="s">
        <v>885</v>
      </c>
      <c r="D38" s="15" t="str">
        <f>"0,5290"</f>
        <v>0,5290</v>
      </c>
      <c r="E38" s="15" t="s">
        <v>464</v>
      </c>
      <c r="F38" s="15" t="s">
        <v>335</v>
      </c>
      <c r="G38" s="16" t="s">
        <v>181</v>
      </c>
      <c r="H38" s="16" t="s">
        <v>886</v>
      </c>
      <c r="I38" s="17"/>
      <c r="J38" s="17"/>
      <c r="K38" s="15" t="str">
        <f>"227,7"</f>
        <v>227,7</v>
      </c>
      <c r="L38" s="16" t="str">
        <f>"120,4533"</f>
        <v>120,4533</v>
      </c>
      <c r="M38" s="15" t="s">
        <v>60</v>
      </c>
    </row>
    <row r="39" spans="1:13" ht="12.75">
      <c r="A39" s="21" t="s">
        <v>888</v>
      </c>
      <c r="B39" s="21" t="s">
        <v>889</v>
      </c>
      <c r="C39" s="21" t="s">
        <v>890</v>
      </c>
      <c r="D39" s="21" t="str">
        <f>"0,5299"</f>
        <v>0,5299</v>
      </c>
      <c r="E39" s="21" t="s">
        <v>464</v>
      </c>
      <c r="F39" s="21" t="s">
        <v>335</v>
      </c>
      <c r="G39" s="22" t="s">
        <v>213</v>
      </c>
      <c r="H39" s="22" t="s">
        <v>154</v>
      </c>
      <c r="I39" s="22" t="s">
        <v>155</v>
      </c>
      <c r="J39" s="23"/>
      <c r="K39" s="21" t="str">
        <f>"240,0"</f>
        <v>240,0</v>
      </c>
      <c r="L39" s="22" t="str">
        <f>"153,7558"</f>
        <v>153,7558</v>
      </c>
      <c r="M39" s="21" t="s">
        <v>465</v>
      </c>
    </row>
    <row r="41" spans="1:12" ht="15">
      <c r="A41" s="47" t="s">
        <v>822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3" ht="12.75">
      <c r="A42" s="11" t="s">
        <v>892</v>
      </c>
      <c r="B42" s="11" t="s">
        <v>893</v>
      </c>
      <c r="C42" s="11" t="s">
        <v>894</v>
      </c>
      <c r="D42" s="11" t="str">
        <f>"0,4798"</f>
        <v>0,4798</v>
      </c>
      <c r="E42" s="11" t="s">
        <v>54</v>
      </c>
      <c r="F42" s="11" t="s">
        <v>55</v>
      </c>
      <c r="G42" s="13" t="s">
        <v>182</v>
      </c>
      <c r="H42" s="12" t="s">
        <v>182</v>
      </c>
      <c r="I42" s="12" t="s">
        <v>216</v>
      </c>
      <c r="J42" s="13"/>
      <c r="K42" s="11" t="str">
        <f>"270,0"</f>
        <v>270,0</v>
      </c>
      <c r="L42" s="12" t="str">
        <f>"129,5487"</f>
        <v>129,5487</v>
      </c>
      <c r="M42" s="11" t="s">
        <v>60</v>
      </c>
    </row>
    <row r="44" ht="15">
      <c r="E44" s="9" t="s">
        <v>13</v>
      </c>
    </row>
    <row r="45" ht="15">
      <c r="E45" s="9" t="s">
        <v>14</v>
      </c>
    </row>
    <row r="46" ht="15">
      <c r="E46" s="9" t="s">
        <v>15</v>
      </c>
    </row>
    <row r="47" ht="15">
      <c r="E47" s="9" t="s">
        <v>16</v>
      </c>
    </row>
    <row r="48" ht="15">
      <c r="E48" s="9" t="s">
        <v>16</v>
      </c>
    </row>
    <row r="49" ht="15">
      <c r="E49" s="9" t="s">
        <v>17</v>
      </c>
    </row>
    <row r="50" ht="15">
      <c r="E50" s="9"/>
    </row>
    <row r="52" spans="1:2" ht="18">
      <c r="A52" s="10" t="s">
        <v>18</v>
      </c>
      <c r="B52" s="10"/>
    </row>
    <row r="53" spans="1:2" ht="15">
      <c r="A53" s="24" t="s">
        <v>227</v>
      </c>
      <c r="B53" s="24"/>
    </row>
    <row r="54" spans="1:2" ht="14.25">
      <c r="A54" s="26"/>
      <c r="B54" s="27" t="s">
        <v>228</v>
      </c>
    </row>
    <row r="55" spans="1:5" ht="15">
      <c r="A55" s="28" t="s">
        <v>229</v>
      </c>
      <c r="B55" s="28" t="s">
        <v>230</v>
      </c>
      <c r="C55" s="28" t="s">
        <v>231</v>
      </c>
      <c r="D55" s="28" t="s">
        <v>232</v>
      </c>
      <c r="E55" s="28" t="s">
        <v>233</v>
      </c>
    </row>
    <row r="56" spans="1:5" ht="12.75">
      <c r="A56" s="25" t="s">
        <v>857</v>
      </c>
      <c r="B56" s="4" t="s">
        <v>234</v>
      </c>
      <c r="C56" s="4" t="s">
        <v>246</v>
      </c>
      <c r="D56" s="4" t="s">
        <v>46</v>
      </c>
      <c r="E56" s="29" t="s">
        <v>895</v>
      </c>
    </row>
    <row r="58" spans="1:2" ht="14.25">
      <c r="A58" s="26"/>
      <c r="B58" s="27" t="s">
        <v>244</v>
      </c>
    </row>
    <row r="59" spans="1:5" ht="15">
      <c r="A59" s="28" t="s">
        <v>229</v>
      </c>
      <c r="B59" s="28" t="s">
        <v>230</v>
      </c>
      <c r="C59" s="28" t="s">
        <v>231</v>
      </c>
      <c r="D59" s="28" t="s">
        <v>232</v>
      </c>
      <c r="E59" s="28" t="s">
        <v>233</v>
      </c>
    </row>
    <row r="60" spans="1:5" ht="12.75">
      <c r="A60" s="25" t="s">
        <v>849</v>
      </c>
      <c r="B60" s="4" t="s">
        <v>244</v>
      </c>
      <c r="C60" s="4" t="s">
        <v>239</v>
      </c>
      <c r="D60" s="4" t="s">
        <v>56</v>
      </c>
      <c r="E60" s="29" t="s">
        <v>896</v>
      </c>
    </row>
    <row r="62" spans="1:2" ht="14.25">
      <c r="A62" s="26"/>
      <c r="B62" s="27" t="s">
        <v>255</v>
      </c>
    </row>
    <row r="63" spans="1:5" ht="15">
      <c r="A63" s="28" t="s">
        <v>229</v>
      </c>
      <c r="B63" s="28" t="s">
        <v>230</v>
      </c>
      <c r="C63" s="28" t="s">
        <v>231</v>
      </c>
      <c r="D63" s="28" t="s">
        <v>232</v>
      </c>
      <c r="E63" s="28" t="s">
        <v>233</v>
      </c>
    </row>
    <row r="64" spans="1:5" ht="12.75">
      <c r="A64" s="25" t="s">
        <v>849</v>
      </c>
      <c r="B64" s="4" t="s">
        <v>256</v>
      </c>
      <c r="C64" s="4" t="s">
        <v>239</v>
      </c>
      <c r="D64" s="4" t="s">
        <v>56</v>
      </c>
      <c r="E64" s="29" t="s">
        <v>897</v>
      </c>
    </row>
    <row r="67" spans="1:2" ht="15">
      <c r="A67" s="24" t="s">
        <v>258</v>
      </c>
      <c r="B67" s="24"/>
    </row>
    <row r="68" spans="1:2" ht="14.25">
      <c r="A68" s="26"/>
      <c r="B68" s="27" t="s">
        <v>244</v>
      </c>
    </row>
    <row r="69" spans="1:5" ht="15">
      <c r="A69" s="28" t="s">
        <v>229</v>
      </c>
      <c r="B69" s="28" t="s">
        <v>230</v>
      </c>
      <c r="C69" s="28" t="s">
        <v>231</v>
      </c>
      <c r="D69" s="28" t="s">
        <v>232</v>
      </c>
      <c r="E69" s="28" t="s">
        <v>233</v>
      </c>
    </row>
    <row r="70" spans="1:5" ht="12.75">
      <c r="A70" s="25" t="s">
        <v>891</v>
      </c>
      <c r="B70" s="4" t="s">
        <v>244</v>
      </c>
      <c r="C70" s="4" t="s">
        <v>846</v>
      </c>
      <c r="D70" s="4" t="s">
        <v>216</v>
      </c>
      <c r="E70" s="29" t="s">
        <v>898</v>
      </c>
    </row>
    <row r="71" spans="1:5" ht="12.75">
      <c r="A71" s="25" t="s">
        <v>621</v>
      </c>
      <c r="B71" s="4" t="s">
        <v>244</v>
      </c>
      <c r="C71" s="4" t="s">
        <v>283</v>
      </c>
      <c r="D71" s="4" t="s">
        <v>873</v>
      </c>
      <c r="E71" s="29" t="s">
        <v>899</v>
      </c>
    </row>
    <row r="72" spans="1:5" ht="12.75">
      <c r="A72" s="25" t="s">
        <v>424</v>
      </c>
      <c r="B72" s="4" t="s">
        <v>244</v>
      </c>
      <c r="C72" s="4" t="s">
        <v>276</v>
      </c>
      <c r="D72" s="4" t="s">
        <v>368</v>
      </c>
      <c r="E72" s="29" t="s">
        <v>900</v>
      </c>
    </row>
    <row r="73" spans="1:5" ht="12.75">
      <c r="A73" s="25" t="s">
        <v>865</v>
      </c>
      <c r="B73" s="4" t="s">
        <v>244</v>
      </c>
      <c r="C73" s="4" t="s">
        <v>276</v>
      </c>
      <c r="D73" s="4" t="s">
        <v>368</v>
      </c>
      <c r="E73" s="29" t="s">
        <v>901</v>
      </c>
    </row>
    <row r="74" spans="1:5" ht="12.75">
      <c r="A74" s="25" t="s">
        <v>882</v>
      </c>
      <c r="B74" s="4" t="s">
        <v>244</v>
      </c>
      <c r="C74" s="4" t="s">
        <v>391</v>
      </c>
      <c r="D74" s="4" t="s">
        <v>886</v>
      </c>
      <c r="E74" s="29" t="s">
        <v>902</v>
      </c>
    </row>
    <row r="75" spans="1:5" ht="12.75">
      <c r="A75" s="25" t="s">
        <v>666</v>
      </c>
      <c r="B75" s="4" t="s">
        <v>244</v>
      </c>
      <c r="C75" s="4" t="s">
        <v>404</v>
      </c>
      <c r="D75" s="4" t="s">
        <v>153</v>
      </c>
      <c r="E75" s="29" t="s">
        <v>903</v>
      </c>
    </row>
    <row r="76" spans="1:5" ht="12.75">
      <c r="A76" s="25" t="s">
        <v>690</v>
      </c>
      <c r="B76" s="4" t="s">
        <v>244</v>
      </c>
      <c r="C76" s="4" t="s">
        <v>265</v>
      </c>
      <c r="D76" s="4" t="s">
        <v>222</v>
      </c>
      <c r="E76" s="29" t="s">
        <v>904</v>
      </c>
    </row>
    <row r="77" spans="1:5" ht="12.75">
      <c r="A77" s="25" t="s">
        <v>876</v>
      </c>
      <c r="B77" s="4" t="s">
        <v>244</v>
      </c>
      <c r="C77" s="4" t="s">
        <v>404</v>
      </c>
      <c r="D77" s="4" t="s">
        <v>180</v>
      </c>
      <c r="E77" s="29" t="s">
        <v>905</v>
      </c>
    </row>
    <row r="78" spans="1:5" ht="12.75">
      <c r="A78" s="25" t="s">
        <v>536</v>
      </c>
      <c r="B78" s="4" t="s">
        <v>244</v>
      </c>
      <c r="C78" s="4" t="s">
        <v>235</v>
      </c>
      <c r="D78" s="4" t="s">
        <v>96</v>
      </c>
      <c r="E78" s="29" t="s">
        <v>906</v>
      </c>
    </row>
    <row r="80" spans="1:2" ht="14.25">
      <c r="A80" s="26"/>
      <c r="B80" s="27" t="s">
        <v>255</v>
      </c>
    </row>
    <row r="81" spans="1:5" ht="15">
      <c r="A81" s="28" t="s">
        <v>229</v>
      </c>
      <c r="B81" s="28" t="s">
        <v>230</v>
      </c>
      <c r="C81" s="28" t="s">
        <v>231</v>
      </c>
      <c r="D81" s="28" t="s">
        <v>232</v>
      </c>
      <c r="E81" s="28" t="s">
        <v>233</v>
      </c>
    </row>
    <row r="82" spans="1:5" ht="12.75">
      <c r="A82" s="25" t="s">
        <v>868</v>
      </c>
      <c r="B82" s="4" t="s">
        <v>292</v>
      </c>
      <c r="C82" s="4" t="s">
        <v>276</v>
      </c>
      <c r="D82" s="4" t="s">
        <v>165</v>
      </c>
      <c r="E82" s="29" t="s">
        <v>907</v>
      </c>
    </row>
    <row r="83" spans="1:5" ht="12.75">
      <c r="A83" s="25" t="s">
        <v>887</v>
      </c>
      <c r="B83" s="4" t="s">
        <v>301</v>
      </c>
      <c r="C83" s="4" t="s">
        <v>391</v>
      </c>
      <c r="D83" s="4" t="s">
        <v>155</v>
      </c>
      <c r="E83" s="29" t="s">
        <v>908</v>
      </c>
    </row>
    <row r="84" spans="1:5" ht="12.75">
      <c r="A84" s="25" t="s">
        <v>861</v>
      </c>
      <c r="B84" s="4" t="s">
        <v>256</v>
      </c>
      <c r="C84" s="4" t="s">
        <v>273</v>
      </c>
      <c r="D84" s="4" t="s">
        <v>268</v>
      </c>
      <c r="E84" s="29" t="s">
        <v>909</v>
      </c>
    </row>
    <row r="85" spans="1:5" ht="12.75">
      <c r="A85" s="25" t="s">
        <v>487</v>
      </c>
      <c r="B85" s="4" t="s">
        <v>301</v>
      </c>
      <c r="C85" s="4" t="s">
        <v>404</v>
      </c>
      <c r="D85" s="4" t="s">
        <v>130</v>
      </c>
      <c r="E85" s="29" t="s">
        <v>910</v>
      </c>
    </row>
  </sheetData>
  <sheetProtection/>
  <mergeCells count="22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37:L37"/>
    <mergeCell ref="A41:L41"/>
    <mergeCell ref="A15:L15"/>
    <mergeCell ref="A18:L18"/>
    <mergeCell ref="A21:L21"/>
    <mergeCell ref="A26:L26"/>
    <mergeCell ref="A29:L29"/>
    <mergeCell ref="A34:L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28">
      <selection activeCell="M21" sqref="M2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1" t="s">
        <v>745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1181</v>
      </c>
      <c r="B6" s="11" t="s">
        <v>747</v>
      </c>
      <c r="C6" s="11" t="s">
        <v>748</v>
      </c>
      <c r="D6" s="11" t="str">
        <f>"0,8857"</f>
        <v>0,8857</v>
      </c>
      <c r="E6" s="11" t="s">
        <v>66</v>
      </c>
      <c r="F6" s="11" t="s">
        <v>67</v>
      </c>
      <c r="G6" s="12" t="s">
        <v>749</v>
      </c>
      <c r="H6" s="12" t="s">
        <v>114</v>
      </c>
      <c r="I6" s="13" t="s">
        <v>121</v>
      </c>
      <c r="J6" s="13"/>
      <c r="K6" s="11" t="str">
        <f>"30,0"</f>
        <v>30,0</v>
      </c>
      <c r="L6" s="12" t="str">
        <f>"32,6823"</f>
        <v>32,6823</v>
      </c>
      <c r="M6" s="11" t="s">
        <v>131</v>
      </c>
    </row>
    <row r="8" spans="1:12" ht="15">
      <c r="A8" s="47" t="s">
        <v>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751</v>
      </c>
      <c r="B9" s="11" t="s">
        <v>752</v>
      </c>
      <c r="C9" s="11" t="s">
        <v>753</v>
      </c>
      <c r="D9" s="11" t="str">
        <f>"0,8079"</f>
        <v>0,8079</v>
      </c>
      <c r="E9" s="11" t="s">
        <v>29</v>
      </c>
      <c r="F9" s="11" t="s">
        <v>67</v>
      </c>
      <c r="G9" s="12" t="s">
        <v>33</v>
      </c>
      <c r="H9" s="12" t="s">
        <v>56</v>
      </c>
      <c r="I9" s="13" t="s">
        <v>68</v>
      </c>
      <c r="J9" s="13"/>
      <c r="K9" s="11" t="str">
        <f>"80,0"</f>
        <v>80,0</v>
      </c>
      <c r="L9" s="12" t="str">
        <f>"66,6315"</f>
        <v>66,6315</v>
      </c>
      <c r="M9" s="11" t="s">
        <v>60</v>
      </c>
    </row>
    <row r="11" spans="1:12" ht="15">
      <c r="A11" s="47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1" t="s">
        <v>755</v>
      </c>
      <c r="B12" s="11" t="s">
        <v>756</v>
      </c>
      <c r="C12" s="11" t="s">
        <v>757</v>
      </c>
      <c r="D12" s="11" t="str">
        <f>"1,0469"</f>
        <v>1,0469</v>
      </c>
      <c r="E12" s="11" t="s">
        <v>66</v>
      </c>
      <c r="F12" s="11" t="s">
        <v>67</v>
      </c>
      <c r="G12" s="12" t="s">
        <v>121</v>
      </c>
      <c r="H12" s="12" t="s">
        <v>34</v>
      </c>
      <c r="I12" s="13" t="s">
        <v>525</v>
      </c>
      <c r="J12" s="13"/>
      <c r="K12" s="11" t="str">
        <f>"35,0"</f>
        <v>35,0</v>
      </c>
      <c r="L12" s="12" t="str">
        <f>"45,0690"</f>
        <v>45,0690</v>
      </c>
      <c r="M12" s="11" t="s">
        <v>131</v>
      </c>
    </row>
    <row r="14" spans="1:12" ht="15">
      <c r="A14" s="47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5" t="s">
        <v>759</v>
      </c>
      <c r="B15" s="15" t="s">
        <v>760</v>
      </c>
      <c r="C15" s="15" t="s">
        <v>748</v>
      </c>
      <c r="D15" s="15" t="str">
        <f>"0,8422"</f>
        <v>0,8422</v>
      </c>
      <c r="E15" s="15" t="s">
        <v>66</v>
      </c>
      <c r="F15" s="15" t="s">
        <v>67</v>
      </c>
      <c r="G15" s="16" t="s">
        <v>35</v>
      </c>
      <c r="H15" s="16" t="s">
        <v>526</v>
      </c>
      <c r="I15" s="17" t="s">
        <v>58</v>
      </c>
      <c r="J15" s="17"/>
      <c r="K15" s="15" t="str">
        <f>"42,5"</f>
        <v>42,5</v>
      </c>
      <c r="L15" s="16" t="str">
        <f>"44,0260"</f>
        <v>44,0260</v>
      </c>
      <c r="M15" s="15" t="s">
        <v>131</v>
      </c>
    </row>
    <row r="16" spans="1:13" ht="12.75">
      <c r="A16" s="21" t="s">
        <v>762</v>
      </c>
      <c r="B16" s="21" t="s">
        <v>763</v>
      </c>
      <c r="C16" s="21" t="s">
        <v>65</v>
      </c>
      <c r="D16" s="21" t="str">
        <f>"0,8271"</f>
        <v>0,8271</v>
      </c>
      <c r="E16" s="21" t="s">
        <v>66</v>
      </c>
      <c r="F16" s="21" t="s">
        <v>67</v>
      </c>
      <c r="G16" s="22" t="s">
        <v>31</v>
      </c>
      <c r="H16" s="22" t="s">
        <v>32</v>
      </c>
      <c r="I16" s="22" t="s">
        <v>98</v>
      </c>
      <c r="J16" s="23"/>
      <c r="K16" s="21" t="str">
        <f>"62,5"</f>
        <v>62,5</v>
      </c>
      <c r="L16" s="22" t="str">
        <f>"63,5833"</f>
        <v>63,5833</v>
      </c>
      <c r="M16" s="21" t="s">
        <v>131</v>
      </c>
    </row>
    <row r="18" spans="1:12" ht="15">
      <c r="A18" s="47" t="s">
        <v>89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1" t="s">
        <v>766</v>
      </c>
      <c r="B19" s="11" t="s">
        <v>767</v>
      </c>
      <c r="C19" s="11" t="s">
        <v>135</v>
      </c>
      <c r="D19" s="11" t="str">
        <f>"0,7514"</f>
        <v>0,7514</v>
      </c>
      <c r="E19" s="11" t="s">
        <v>29</v>
      </c>
      <c r="F19" s="11" t="s">
        <v>212</v>
      </c>
      <c r="G19" s="12" t="s">
        <v>32</v>
      </c>
      <c r="H19" s="12" t="s">
        <v>36</v>
      </c>
      <c r="I19" s="12" t="s">
        <v>33</v>
      </c>
      <c r="J19" s="13"/>
      <c r="K19" s="11" t="str">
        <f>"70,0"</f>
        <v>70,0</v>
      </c>
      <c r="L19" s="12" t="str">
        <f>"64,6955"</f>
        <v>64,6955</v>
      </c>
      <c r="M19" s="11" t="s">
        <v>60</v>
      </c>
    </row>
    <row r="21" spans="1:12" ht="15">
      <c r="A21" s="47" t="s">
        <v>173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1" t="s">
        <v>769</v>
      </c>
      <c r="B22" s="11" t="s">
        <v>770</v>
      </c>
      <c r="C22" s="11" t="s">
        <v>771</v>
      </c>
      <c r="D22" s="11" t="str">
        <f>"0,6219"</f>
        <v>0,6219</v>
      </c>
      <c r="E22" s="11" t="s">
        <v>29</v>
      </c>
      <c r="F22" s="11" t="s">
        <v>67</v>
      </c>
      <c r="G22" s="12" t="s">
        <v>170</v>
      </c>
      <c r="H22" s="12" t="s">
        <v>128</v>
      </c>
      <c r="I22" s="13" t="s">
        <v>171</v>
      </c>
      <c r="J22" s="13"/>
      <c r="K22" s="11" t="str">
        <f>"160,0"</f>
        <v>160,0</v>
      </c>
      <c r="L22" s="12" t="str">
        <f>"99,5040"</f>
        <v>99,5040</v>
      </c>
      <c r="M22" s="11" t="s">
        <v>60</v>
      </c>
    </row>
    <row r="24" spans="1:12" ht="15">
      <c r="A24" s="47" t="s">
        <v>184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 ht="12.75">
      <c r="A25" s="15" t="s">
        <v>773</v>
      </c>
      <c r="B25" s="15" t="s">
        <v>774</v>
      </c>
      <c r="C25" s="15" t="s">
        <v>775</v>
      </c>
      <c r="D25" s="15" t="str">
        <f>"0,5865"</f>
        <v>0,5865</v>
      </c>
      <c r="E25" s="15" t="s">
        <v>29</v>
      </c>
      <c r="F25" s="15" t="s">
        <v>200</v>
      </c>
      <c r="G25" s="17" t="s">
        <v>129</v>
      </c>
      <c r="H25" s="16" t="s">
        <v>160</v>
      </c>
      <c r="I25" s="17" t="s">
        <v>150</v>
      </c>
      <c r="J25" s="17"/>
      <c r="K25" s="15" t="str">
        <f>"175,0"</f>
        <v>175,0</v>
      </c>
      <c r="L25" s="16" t="str">
        <f>"102,6375"</f>
        <v>102,6375</v>
      </c>
      <c r="M25" s="15" t="s">
        <v>60</v>
      </c>
    </row>
    <row r="26" spans="1:13" ht="12.75">
      <c r="A26" s="21" t="s">
        <v>777</v>
      </c>
      <c r="B26" s="21" t="s">
        <v>778</v>
      </c>
      <c r="C26" s="21" t="s">
        <v>779</v>
      </c>
      <c r="D26" s="21" t="str">
        <f>"0,6009"</f>
        <v>0,6009</v>
      </c>
      <c r="E26" s="21" t="s">
        <v>29</v>
      </c>
      <c r="F26" s="21" t="s">
        <v>780</v>
      </c>
      <c r="G26" s="22" t="s">
        <v>100</v>
      </c>
      <c r="H26" s="22" t="s">
        <v>128</v>
      </c>
      <c r="I26" s="23" t="s">
        <v>195</v>
      </c>
      <c r="J26" s="23"/>
      <c r="K26" s="21" t="str">
        <f>"160,0"</f>
        <v>160,0</v>
      </c>
      <c r="L26" s="22" t="str">
        <f>"96,4324"</f>
        <v>96,4324</v>
      </c>
      <c r="M26" s="21" t="s">
        <v>60</v>
      </c>
    </row>
    <row r="28" spans="1:12" ht="15">
      <c r="A28" s="47" t="s">
        <v>354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ht="12.75">
      <c r="A29" s="15" t="s">
        <v>782</v>
      </c>
      <c r="B29" s="15" t="s">
        <v>783</v>
      </c>
      <c r="C29" s="15" t="s">
        <v>358</v>
      </c>
      <c r="D29" s="15" t="str">
        <f>"0,5540"</f>
        <v>0,5540</v>
      </c>
      <c r="E29" s="15" t="s">
        <v>66</v>
      </c>
      <c r="F29" s="15" t="s">
        <v>212</v>
      </c>
      <c r="G29" s="16" t="s">
        <v>180</v>
      </c>
      <c r="H29" s="16" t="s">
        <v>222</v>
      </c>
      <c r="I29" s="16" t="s">
        <v>181</v>
      </c>
      <c r="J29" s="17"/>
      <c r="K29" s="15" t="str">
        <f>"210,0"</f>
        <v>210,0</v>
      </c>
      <c r="L29" s="16" t="str">
        <f>"116,3400"</f>
        <v>116,3400</v>
      </c>
      <c r="M29" s="15" t="s">
        <v>60</v>
      </c>
    </row>
    <row r="30" spans="1:13" ht="12.75">
      <c r="A30" s="18" t="s">
        <v>784</v>
      </c>
      <c r="B30" s="18" t="s">
        <v>502</v>
      </c>
      <c r="C30" s="18" t="s">
        <v>503</v>
      </c>
      <c r="D30" s="18" t="str">
        <f>"0,5694"</f>
        <v>0,5694</v>
      </c>
      <c r="E30" s="18" t="s">
        <v>464</v>
      </c>
      <c r="F30" s="18" t="s">
        <v>335</v>
      </c>
      <c r="G30" s="19" t="s">
        <v>179</v>
      </c>
      <c r="H30" s="19" t="s">
        <v>785</v>
      </c>
      <c r="I30" s="19" t="s">
        <v>222</v>
      </c>
      <c r="J30" s="20"/>
      <c r="K30" s="18" t="str">
        <f>"205,0"</f>
        <v>205,0</v>
      </c>
      <c r="L30" s="19" t="str">
        <f>"116,7270"</f>
        <v>116,7270</v>
      </c>
      <c r="M30" s="18" t="s">
        <v>60</v>
      </c>
    </row>
    <row r="31" spans="1:13" ht="12.75">
      <c r="A31" s="18" t="s">
        <v>787</v>
      </c>
      <c r="B31" s="18" t="s">
        <v>788</v>
      </c>
      <c r="C31" s="18" t="s">
        <v>652</v>
      </c>
      <c r="D31" s="18" t="str">
        <f>"0,5678"</f>
        <v>0,5678</v>
      </c>
      <c r="E31" s="18" t="s">
        <v>66</v>
      </c>
      <c r="F31" s="18" t="s">
        <v>67</v>
      </c>
      <c r="G31" s="19" t="s">
        <v>129</v>
      </c>
      <c r="H31" s="19" t="s">
        <v>150</v>
      </c>
      <c r="I31" s="19" t="s">
        <v>151</v>
      </c>
      <c r="J31" s="20"/>
      <c r="K31" s="18" t="str">
        <f>"185,0"</f>
        <v>185,0</v>
      </c>
      <c r="L31" s="19" t="str">
        <f>"105,0430"</f>
        <v>105,0430</v>
      </c>
      <c r="M31" s="18" t="s">
        <v>60</v>
      </c>
    </row>
    <row r="32" spans="1:13" ht="12.75">
      <c r="A32" s="21" t="s">
        <v>790</v>
      </c>
      <c r="B32" s="21" t="s">
        <v>791</v>
      </c>
      <c r="C32" s="21" t="s">
        <v>672</v>
      </c>
      <c r="D32" s="21" t="str">
        <f>"0,5543"</f>
        <v>0,5543</v>
      </c>
      <c r="E32" s="21" t="s">
        <v>29</v>
      </c>
      <c r="F32" s="21" t="s">
        <v>780</v>
      </c>
      <c r="G32" s="22" t="s">
        <v>129</v>
      </c>
      <c r="H32" s="23" t="s">
        <v>150</v>
      </c>
      <c r="I32" s="23" t="s">
        <v>130</v>
      </c>
      <c r="J32" s="23"/>
      <c r="K32" s="21" t="str">
        <f>"170,0"</f>
        <v>170,0</v>
      </c>
      <c r="L32" s="22" t="str">
        <f>"94,2310"</f>
        <v>94,2310</v>
      </c>
      <c r="M32" s="21" t="s">
        <v>60</v>
      </c>
    </row>
    <row r="34" spans="1:12" ht="15">
      <c r="A34" s="47" t="s">
        <v>207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 ht="12.75">
      <c r="A35" s="15" t="s">
        <v>793</v>
      </c>
      <c r="B35" s="15" t="s">
        <v>794</v>
      </c>
      <c r="C35" s="15" t="s">
        <v>795</v>
      </c>
      <c r="D35" s="15" t="str">
        <f>"0,5421"</f>
        <v>0,5421</v>
      </c>
      <c r="E35" s="15" t="s">
        <v>29</v>
      </c>
      <c r="F35" s="15" t="s">
        <v>43</v>
      </c>
      <c r="G35" s="16" t="s">
        <v>180</v>
      </c>
      <c r="H35" s="16" t="s">
        <v>153</v>
      </c>
      <c r="I35" s="16" t="s">
        <v>314</v>
      </c>
      <c r="J35" s="17"/>
      <c r="K35" s="15" t="str">
        <f>"225,0"</f>
        <v>225,0</v>
      </c>
      <c r="L35" s="16" t="str">
        <f>"121,9725"</f>
        <v>121,9725</v>
      </c>
      <c r="M35" s="15" t="s">
        <v>60</v>
      </c>
    </row>
    <row r="36" spans="1:13" ht="12.75">
      <c r="A36" s="18" t="s">
        <v>797</v>
      </c>
      <c r="B36" s="18" t="s">
        <v>798</v>
      </c>
      <c r="C36" s="18" t="s">
        <v>799</v>
      </c>
      <c r="D36" s="18" t="str">
        <f>"0,5517"</f>
        <v>0,5517</v>
      </c>
      <c r="E36" s="18" t="s">
        <v>29</v>
      </c>
      <c r="F36" s="18" t="s">
        <v>200</v>
      </c>
      <c r="G36" s="19" t="s">
        <v>172</v>
      </c>
      <c r="H36" s="20" t="s">
        <v>129</v>
      </c>
      <c r="I36" s="20" t="s">
        <v>129</v>
      </c>
      <c r="J36" s="20"/>
      <c r="K36" s="18" t="str">
        <f>"162,5"</f>
        <v>162,5</v>
      </c>
      <c r="L36" s="19" t="str">
        <f>"89,6512"</f>
        <v>89,6512</v>
      </c>
      <c r="M36" s="18" t="s">
        <v>60</v>
      </c>
    </row>
    <row r="37" spans="1:13" ht="12.75">
      <c r="A37" s="21" t="s">
        <v>801</v>
      </c>
      <c r="B37" s="21" t="s">
        <v>802</v>
      </c>
      <c r="C37" s="21" t="s">
        <v>803</v>
      </c>
      <c r="D37" s="21" t="str">
        <f>"0,5391"</f>
        <v>0,5391</v>
      </c>
      <c r="E37" s="21" t="s">
        <v>804</v>
      </c>
      <c r="F37" s="21" t="s">
        <v>805</v>
      </c>
      <c r="G37" s="23" t="s">
        <v>221</v>
      </c>
      <c r="H37" s="23" t="s">
        <v>180</v>
      </c>
      <c r="I37" s="23"/>
      <c r="J37" s="23"/>
      <c r="K37" s="21" t="str">
        <f>"0.00"</f>
        <v>0.00</v>
      </c>
      <c r="L37" s="22" t="str">
        <f>"0,0000"</f>
        <v>0,0000</v>
      </c>
      <c r="M37" s="21" t="s">
        <v>60</v>
      </c>
    </row>
    <row r="39" spans="1:12" ht="15">
      <c r="A39" s="47" t="s">
        <v>384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15" t="s">
        <v>807</v>
      </c>
      <c r="B40" s="15" t="s">
        <v>808</v>
      </c>
      <c r="C40" s="15" t="s">
        <v>809</v>
      </c>
      <c r="D40" s="15" t="str">
        <f>"0,5328"</f>
        <v>0,5328</v>
      </c>
      <c r="E40" s="15" t="s">
        <v>29</v>
      </c>
      <c r="F40" s="15" t="s">
        <v>322</v>
      </c>
      <c r="G40" s="16" t="s">
        <v>160</v>
      </c>
      <c r="H40" s="16" t="s">
        <v>179</v>
      </c>
      <c r="I40" s="16" t="s">
        <v>180</v>
      </c>
      <c r="J40" s="17"/>
      <c r="K40" s="15" t="str">
        <f>"200,0"</f>
        <v>200,0</v>
      </c>
      <c r="L40" s="16" t="str">
        <f>"106,5600"</f>
        <v>106,5600</v>
      </c>
      <c r="M40" s="15" t="s">
        <v>323</v>
      </c>
    </row>
    <row r="41" spans="1:13" ht="12.75">
      <c r="A41" s="21" t="s">
        <v>811</v>
      </c>
      <c r="B41" s="21" t="s">
        <v>812</v>
      </c>
      <c r="C41" s="21" t="s">
        <v>813</v>
      </c>
      <c r="D41" s="21" t="str">
        <f>"0,5332"</f>
        <v>0,5332</v>
      </c>
      <c r="E41" s="21" t="s">
        <v>29</v>
      </c>
      <c r="F41" s="21" t="s">
        <v>67</v>
      </c>
      <c r="G41" s="23" t="s">
        <v>129</v>
      </c>
      <c r="H41" s="22" t="s">
        <v>129</v>
      </c>
      <c r="I41" s="23" t="s">
        <v>160</v>
      </c>
      <c r="J41" s="23"/>
      <c r="K41" s="21" t="str">
        <f>"170,0"</f>
        <v>170,0</v>
      </c>
      <c r="L41" s="22" t="str">
        <f>"90,6440"</f>
        <v>90,6440</v>
      </c>
      <c r="M41" s="21" t="s">
        <v>60</v>
      </c>
    </row>
    <row r="43" spans="1:12" ht="15">
      <c r="A43" s="47" t="s">
        <v>459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3" ht="12.75">
      <c r="A44" s="15" t="s">
        <v>815</v>
      </c>
      <c r="B44" s="15" t="s">
        <v>816</v>
      </c>
      <c r="C44" s="15" t="s">
        <v>817</v>
      </c>
      <c r="D44" s="15" t="str">
        <f>"0,5186"</f>
        <v>0,5186</v>
      </c>
      <c r="E44" s="15" t="s">
        <v>29</v>
      </c>
      <c r="F44" s="15" t="s">
        <v>113</v>
      </c>
      <c r="G44" s="16" t="s">
        <v>179</v>
      </c>
      <c r="H44" s="16" t="s">
        <v>180</v>
      </c>
      <c r="I44" s="16" t="s">
        <v>222</v>
      </c>
      <c r="J44" s="17"/>
      <c r="K44" s="15" t="str">
        <f>"205,0"</f>
        <v>205,0</v>
      </c>
      <c r="L44" s="16" t="str">
        <f>"106,3130"</f>
        <v>106,3130</v>
      </c>
      <c r="M44" s="15" t="s">
        <v>60</v>
      </c>
    </row>
    <row r="45" spans="1:13" ht="12.75">
      <c r="A45" s="21" t="s">
        <v>819</v>
      </c>
      <c r="B45" s="21" t="s">
        <v>820</v>
      </c>
      <c r="C45" s="21" t="s">
        <v>821</v>
      </c>
      <c r="D45" s="21" t="str">
        <f>"0,5045"</f>
        <v>0,5045</v>
      </c>
      <c r="E45" s="21" t="s">
        <v>29</v>
      </c>
      <c r="F45" s="21" t="s">
        <v>67</v>
      </c>
      <c r="G45" s="22" t="s">
        <v>179</v>
      </c>
      <c r="H45" s="23" t="s">
        <v>221</v>
      </c>
      <c r="I45" s="23" t="s">
        <v>180</v>
      </c>
      <c r="J45" s="23"/>
      <c r="K45" s="21" t="str">
        <f>"190,0"</f>
        <v>190,0</v>
      </c>
      <c r="L45" s="22" t="str">
        <f>"95,8531"</f>
        <v>95,8531</v>
      </c>
      <c r="M45" s="21" t="s">
        <v>60</v>
      </c>
    </row>
    <row r="47" spans="1:12" ht="15">
      <c r="A47" s="47" t="s">
        <v>822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12.75">
      <c r="A48" s="11" t="s">
        <v>824</v>
      </c>
      <c r="B48" s="11" t="s">
        <v>825</v>
      </c>
      <c r="C48" s="11" t="s">
        <v>826</v>
      </c>
      <c r="D48" s="11" t="str">
        <f>"0,5013"</f>
        <v>0,5013</v>
      </c>
      <c r="E48" s="11" t="s">
        <v>347</v>
      </c>
      <c r="F48" s="11" t="s">
        <v>200</v>
      </c>
      <c r="G48" s="12" t="s">
        <v>129</v>
      </c>
      <c r="H48" s="13" t="s">
        <v>160</v>
      </c>
      <c r="I48" s="12" t="s">
        <v>160</v>
      </c>
      <c r="J48" s="13"/>
      <c r="K48" s="11" t="str">
        <f>"175,0"</f>
        <v>175,0</v>
      </c>
      <c r="L48" s="12" t="str">
        <f>"89,3066"</f>
        <v>89,3066</v>
      </c>
      <c r="M48" s="11" t="s">
        <v>60</v>
      </c>
    </row>
    <row r="50" ht="15">
      <c r="E50" s="9" t="s">
        <v>13</v>
      </c>
    </row>
    <row r="51" ht="15">
      <c r="E51" s="9" t="s">
        <v>14</v>
      </c>
    </row>
    <row r="52" ht="15">
      <c r="E52" s="9" t="s">
        <v>15</v>
      </c>
    </row>
    <row r="53" ht="15">
      <c r="E53" s="9" t="s">
        <v>16</v>
      </c>
    </row>
    <row r="54" ht="15">
      <c r="E54" s="9" t="s">
        <v>16</v>
      </c>
    </row>
    <row r="55" ht="15">
      <c r="E55" s="9" t="s">
        <v>17</v>
      </c>
    </row>
    <row r="56" ht="15">
      <c r="E56" s="9"/>
    </row>
    <row r="58" spans="1:2" ht="18">
      <c r="A58" s="10" t="s">
        <v>18</v>
      </c>
      <c r="B58" s="10"/>
    </row>
    <row r="59" spans="1:2" ht="15">
      <c r="A59" s="24" t="s">
        <v>227</v>
      </c>
      <c r="B59" s="24"/>
    </row>
    <row r="60" spans="1:2" ht="14.25">
      <c r="A60" s="26"/>
      <c r="B60" s="27" t="s">
        <v>228</v>
      </c>
    </row>
    <row r="61" spans="1:5" ht="15">
      <c r="A61" s="28" t="s">
        <v>229</v>
      </c>
      <c r="B61" s="28" t="s">
        <v>230</v>
      </c>
      <c r="C61" s="28" t="s">
        <v>231</v>
      </c>
      <c r="D61" s="28" t="s">
        <v>232</v>
      </c>
      <c r="E61" s="28" t="s">
        <v>233</v>
      </c>
    </row>
    <row r="62" spans="1:5" ht="12.75">
      <c r="A62" s="25" t="s">
        <v>746</v>
      </c>
      <c r="B62" s="4" t="s">
        <v>262</v>
      </c>
      <c r="C62" s="4" t="s">
        <v>235</v>
      </c>
      <c r="D62" s="4" t="s">
        <v>114</v>
      </c>
      <c r="E62" s="29" t="s">
        <v>827</v>
      </c>
    </row>
    <row r="64" spans="1:2" ht="14.25">
      <c r="A64" s="26"/>
      <c r="B64" s="27" t="s">
        <v>255</v>
      </c>
    </row>
    <row r="65" spans="1:5" ht="15">
      <c r="A65" s="28" t="s">
        <v>229</v>
      </c>
      <c r="B65" s="28" t="s">
        <v>230</v>
      </c>
      <c r="C65" s="28" t="s">
        <v>231</v>
      </c>
      <c r="D65" s="28" t="s">
        <v>232</v>
      </c>
      <c r="E65" s="28" t="s">
        <v>233</v>
      </c>
    </row>
    <row r="66" spans="1:5" ht="12.75">
      <c r="A66" s="25" t="s">
        <v>750</v>
      </c>
      <c r="B66" s="4" t="s">
        <v>256</v>
      </c>
      <c r="C66" s="4" t="s">
        <v>246</v>
      </c>
      <c r="D66" s="4" t="s">
        <v>56</v>
      </c>
      <c r="E66" s="29" t="s">
        <v>828</v>
      </c>
    </row>
    <row r="69" spans="1:2" ht="15">
      <c r="A69" s="24" t="s">
        <v>258</v>
      </c>
      <c r="B69" s="24"/>
    </row>
    <row r="70" spans="1:2" ht="14.25">
      <c r="A70" s="26"/>
      <c r="B70" s="27" t="s">
        <v>259</v>
      </c>
    </row>
    <row r="71" spans="1:5" ht="15">
      <c r="A71" s="28" t="s">
        <v>229</v>
      </c>
      <c r="B71" s="28" t="s">
        <v>230</v>
      </c>
      <c r="C71" s="28" t="s">
        <v>231</v>
      </c>
      <c r="D71" s="28" t="s">
        <v>232</v>
      </c>
      <c r="E71" s="28" t="s">
        <v>233</v>
      </c>
    </row>
    <row r="72" spans="1:5" ht="12.75">
      <c r="A72" s="25" t="s">
        <v>765</v>
      </c>
      <c r="B72" s="4" t="s">
        <v>699</v>
      </c>
      <c r="C72" s="4" t="s">
        <v>246</v>
      </c>
      <c r="D72" s="4" t="s">
        <v>33</v>
      </c>
      <c r="E72" s="29" t="s">
        <v>829</v>
      </c>
    </row>
    <row r="73" spans="1:5" ht="12.75">
      <c r="A73" s="25" t="s">
        <v>761</v>
      </c>
      <c r="B73" s="4" t="s">
        <v>699</v>
      </c>
      <c r="C73" s="4" t="s">
        <v>235</v>
      </c>
      <c r="D73" s="4" t="s">
        <v>98</v>
      </c>
      <c r="E73" s="29" t="s">
        <v>830</v>
      </c>
    </row>
    <row r="74" spans="1:5" ht="12.75">
      <c r="A74" s="25" t="s">
        <v>754</v>
      </c>
      <c r="B74" s="4" t="s">
        <v>262</v>
      </c>
      <c r="C74" s="4" t="s">
        <v>239</v>
      </c>
      <c r="D74" s="4" t="s">
        <v>34</v>
      </c>
      <c r="E74" s="29" t="s">
        <v>831</v>
      </c>
    </row>
    <row r="75" spans="1:5" ht="12.75">
      <c r="A75" s="25" t="s">
        <v>758</v>
      </c>
      <c r="B75" s="4" t="s">
        <v>262</v>
      </c>
      <c r="C75" s="4" t="s">
        <v>235</v>
      </c>
      <c r="D75" s="4" t="s">
        <v>526</v>
      </c>
      <c r="E75" s="29" t="s">
        <v>832</v>
      </c>
    </row>
    <row r="77" spans="1:2" ht="14.25">
      <c r="A77" s="26"/>
      <c r="B77" s="27" t="s">
        <v>244</v>
      </c>
    </row>
    <row r="78" spans="1:5" ht="15">
      <c r="A78" s="28" t="s">
        <v>229</v>
      </c>
      <c r="B78" s="28" t="s">
        <v>230</v>
      </c>
      <c r="C78" s="28" t="s">
        <v>231</v>
      </c>
      <c r="D78" s="28" t="s">
        <v>232</v>
      </c>
      <c r="E78" s="28" t="s">
        <v>233</v>
      </c>
    </row>
    <row r="79" spans="1:5" ht="12.75">
      <c r="A79" s="25" t="s">
        <v>792</v>
      </c>
      <c r="B79" s="4" t="s">
        <v>244</v>
      </c>
      <c r="C79" s="4" t="s">
        <v>265</v>
      </c>
      <c r="D79" s="4" t="s">
        <v>314</v>
      </c>
      <c r="E79" s="29" t="s">
        <v>833</v>
      </c>
    </row>
    <row r="80" spans="1:5" ht="12.75">
      <c r="A80" s="25" t="s">
        <v>501</v>
      </c>
      <c r="B80" s="4" t="s">
        <v>244</v>
      </c>
      <c r="C80" s="4" t="s">
        <v>404</v>
      </c>
      <c r="D80" s="4" t="s">
        <v>222</v>
      </c>
      <c r="E80" s="29" t="s">
        <v>834</v>
      </c>
    </row>
    <row r="81" spans="1:5" ht="12.75">
      <c r="A81" s="25" t="s">
        <v>781</v>
      </c>
      <c r="B81" s="4" t="s">
        <v>244</v>
      </c>
      <c r="C81" s="4" t="s">
        <v>404</v>
      </c>
      <c r="D81" s="4" t="s">
        <v>181</v>
      </c>
      <c r="E81" s="29" t="s">
        <v>835</v>
      </c>
    </row>
    <row r="82" spans="1:5" ht="12.75">
      <c r="A82" s="25" t="s">
        <v>806</v>
      </c>
      <c r="B82" s="4" t="s">
        <v>244</v>
      </c>
      <c r="C82" s="4" t="s">
        <v>391</v>
      </c>
      <c r="D82" s="4" t="s">
        <v>180</v>
      </c>
      <c r="E82" s="29" t="s">
        <v>836</v>
      </c>
    </row>
    <row r="83" spans="1:5" ht="12.75">
      <c r="A83" s="25" t="s">
        <v>814</v>
      </c>
      <c r="B83" s="4" t="s">
        <v>244</v>
      </c>
      <c r="C83" s="4" t="s">
        <v>474</v>
      </c>
      <c r="D83" s="4" t="s">
        <v>222</v>
      </c>
      <c r="E83" s="29" t="s">
        <v>837</v>
      </c>
    </row>
    <row r="84" spans="1:5" ht="12.75">
      <c r="A84" s="25" t="s">
        <v>786</v>
      </c>
      <c r="B84" s="4" t="s">
        <v>244</v>
      </c>
      <c r="C84" s="4" t="s">
        <v>404</v>
      </c>
      <c r="D84" s="4" t="s">
        <v>151</v>
      </c>
      <c r="E84" s="29" t="s">
        <v>838</v>
      </c>
    </row>
    <row r="85" spans="1:5" ht="12.75">
      <c r="A85" s="25" t="s">
        <v>772</v>
      </c>
      <c r="B85" s="4" t="s">
        <v>244</v>
      </c>
      <c r="C85" s="4" t="s">
        <v>283</v>
      </c>
      <c r="D85" s="4" t="s">
        <v>160</v>
      </c>
      <c r="E85" s="29" t="s">
        <v>839</v>
      </c>
    </row>
    <row r="86" spans="1:5" ht="12.75">
      <c r="A86" s="25" t="s">
        <v>768</v>
      </c>
      <c r="B86" s="4" t="s">
        <v>244</v>
      </c>
      <c r="C86" s="4" t="s">
        <v>276</v>
      </c>
      <c r="D86" s="4" t="s">
        <v>128</v>
      </c>
      <c r="E86" s="29" t="s">
        <v>840</v>
      </c>
    </row>
    <row r="87" spans="1:5" ht="12.75">
      <c r="A87" s="25" t="s">
        <v>818</v>
      </c>
      <c r="B87" s="4" t="s">
        <v>244</v>
      </c>
      <c r="C87" s="4" t="s">
        <v>474</v>
      </c>
      <c r="D87" s="4" t="s">
        <v>179</v>
      </c>
      <c r="E87" s="29" t="s">
        <v>841</v>
      </c>
    </row>
    <row r="88" spans="1:5" ht="12.75">
      <c r="A88" s="25" t="s">
        <v>789</v>
      </c>
      <c r="B88" s="4" t="s">
        <v>244</v>
      </c>
      <c r="C88" s="4" t="s">
        <v>404</v>
      </c>
      <c r="D88" s="4" t="s">
        <v>129</v>
      </c>
      <c r="E88" s="29" t="s">
        <v>842</v>
      </c>
    </row>
    <row r="89" spans="1:5" ht="12.75">
      <c r="A89" s="25" t="s">
        <v>810</v>
      </c>
      <c r="B89" s="4" t="s">
        <v>244</v>
      </c>
      <c r="C89" s="4" t="s">
        <v>391</v>
      </c>
      <c r="D89" s="4" t="s">
        <v>129</v>
      </c>
      <c r="E89" s="29" t="s">
        <v>843</v>
      </c>
    </row>
    <row r="90" spans="1:5" ht="12.75">
      <c r="A90" s="25" t="s">
        <v>796</v>
      </c>
      <c r="B90" s="4" t="s">
        <v>244</v>
      </c>
      <c r="C90" s="4" t="s">
        <v>265</v>
      </c>
      <c r="D90" s="4" t="s">
        <v>172</v>
      </c>
      <c r="E90" s="29" t="s">
        <v>844</v>
      </c>
    </row>
    <row r="92" spans="1:2" ht="14.25">
      <c r="A92" s="26"/>
      <c r="B92" s="27" t="s">
        <v>255</v>
      </c>
    </row>
    <row r="93" spans="1:5" ht="15">
      <c r="A93" s="28" t="s">
        <v>229</v>
      </c>
      <c r="B93" s="28" t="s">
        <v>230</v>
      </c>
      <c r="C93" s="28" t="s">
        <v>231</v>
      </c>
      <c r="D93" s="28" t="s">
        <v>232</v>
      </c>
      <c r="E93" s="28" t="s">
        <v>233</v>
      </c>
    </row>
    <row r="94" spans="1:5" ht="12.75">
      <c r="A94" s="25" t="s">
        <v>776</v>
      </c>
      <c r="B94" s="4" t="s">
        <v>256</v>
      </c>
      <c r="C94" s="4" t="s">
        <v>283</v>
      </c>
      <c r="D94" s="4" t="s">
        <v>128</v>
      </c>
      <c r="E94" s="29" t="s">
        <v>845</v>
      </c>
    </row>
    <row r="95" spans="1:5" ht="12.75">
      <c r="A95" s="25" t="s">
        <v>823</v>
      </c>
      <c r="B95" s="4" t="s">
        <v>256</v>
      </c>
      <c r="C95" s="4" t="s">
        <v>846</v>
      </c>
      <c r="D95" s="4" t="s">
        <v>160</v>
      </c>
      <c r="E95" s="29" t="s">
        <v>847</v>
      </c>
    </row>
  </sheetData>
  <sheetProtection/>
  <mergeCells count="23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9:L39"/>
    <mergeCell ref="A43:L43"/>
    <mergeCell ref="A47:L47"/>
    <mergeCell ref="A14:L14"/>
    <mergeCell ref="A18:L18"/>
    <mergeCell ref="A21:L21"/>
    <mergeCell ref="A24:L24"/>
    <mergeCell ref="A28:L28"/>
    <mergeCell ref="A34:L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85">
      <selection activeCell="A98" sqref="A9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1" t="s">
        <v>509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511</v>
      </c>
      <c r="B6" s="11" t="s">
        <v>512</v>
      </c>
      <c r="C6" s="11" t="s">
        <v>513</v>
      </c>
      <c r="D6" s="11" t="str">
        <f>"0,9708"</f>
        <v>0,9708</v>
      </c>
      <c r="E6" s="11" t="s">
        <v>29</v>
      </c>
      <c r="F6" s="11" t="s">
        <v>212</v>
      </c>
      <c r="G6" s="12" t="s">
        <v>31</v>
      </c>
      <c r="H6" s="13" t="s">
        <v>32</v>
      </c>
      <c r="I6" s="12" t="s">
        <v>98</v>
      </c>
      <c r="J6" s="13"/>
      <c r="K6" s="11" t="str">
        <f>"62,5"</f>
        <v>62,5</v>
      </c>
      <c r="L6" s="12" t="str">
        <f>"60,6781"</f>
        <v>60,6781</v>
      </c>
      <c r="M6" s="11" t="s">
        <v>60</v>
      </c>
    </row>
    <row r="8" spans="1:12" ht="15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5" t="s">
        <v>515</v>
      </c>
      <c r="B9" s="15" t="s">
        <v>516</v>
      </c>
      <c r="C9" s="15" t="s">
        <v>517</v>
      </c>
      <c r="D9" s="15" t="str">
        <f>"0,8622"</f>
        <v>0,8622</v>
      </c>
      <c r="E9" s="15" t="s">
        <v>29</v>
      </c>
      <c r="F9" s="15" t="s">
        <v>143</v>
      </c>
      <c r="G9" s="16" t="s">
        <v>36</v>
      </c>
      <c r="H9" s="17" t="s">
        <v>33</v>
      </c>
      <c r="I9" s="16" t="s">
        <v>33</v>
      </c>
      <c r="J9" s="17"/>
      <c r="K9" s="15" t="str">
        <f>"70,0"</f>
        <v>70,0</v>
      </c>
      <c r="L9" s="16" t="str">
        <f>"71,2136"</f>
        <v>71,2136</v>
      </c>
      <c r="M9" s="15" t="s">
        <v>60</v>
      </c>
    </row>
    <row r="10" spans="1:13" ht="12.75">
      <c r="A10" s="18" t="s">
        <v>519</v>
      </c>
      <c r="B10" s="18" t="s">
        <v>520</v>
      </c>
      <c r="C10" s="18" t="s">
        <v>521</v>
      </c>
      <c r="D10" s="18" t="str">
        <f>"0,8707"</f>
        <v>0,8707</v>
      </c>
      <c r="E10" s="18" t="s">
        <v>29</v>
      </c>
      <c r="F10" s="18" t="s">
        <v>67</v>
      </c>
      <c r="G10" s="19" t="s">
        <v>35</v>
      </c>
      <c r="H10" s="19" t="s">
        <v>58</v>
      </c>
      <c r="I10" s="20" t="s">
        <v>47</v>
      </c>
      <c r="J10" s="20"/>
      <c r="K10" s="18" t="str">
        <f>"45,0"</f>
        <v>45,0</v>
      </c>
      <c r="L10" s="19" t="str">
        <f>"39,1815"</f>
        <v>39,1815</v>
      </c>
      <c r="M10" s="18" t="s">
        <v>60</v>
      </c>
    </row>
    <row r="11" spans="1:13" ht="12.75">
      <c r="A11" s="21" t="s">
        <v>523</v>
      </c>
      <c r="B11" s="21" t="s">
        <v>524</v>
      </c>
      <c r="C11" s="21" t="s">
        <v>88</v>
      </c>
      <c r="D11" s="21" t="str">
        <f>"0,8634"</f>
        <v>0,8634</v>
      </c>
      <c r="E11" s="21" t="s">
        <v>29</v>
      </c>
      <c r="F11" s="21" t="s">
        <v>67</v>
      </c>
      <c r="G11" s="22" t="s">
        <v>525</v>
      </c>
      <c r="H11" s="22" t="s">
        <v>526</v>
      </c>
      <c r="I11" s="23" t="s">
        <v>59</v>
      </c>
      <c r="J11" s="23"/>
      <c r="K11" s="21" t="str">
        <f>"42,5"</f>
        <v>42,5</v>
      </c>
      <c r="L11" s="22" t="str">
        <f>"36,6945"</f>
        <v>36,6945</v>
      </c>
      <c r="M11" s="21" t="s">
        <v>60</v>
      </c>
    </row>
    <row r="13" spans="1:12" ht="15">
      <c r="A13" s="47" t="s">
        <v>89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12.75">
      <c r="A14" s="15" t="s">
        <v>1183</v>
      </c>
      <c r="B14" s="15" t="s">
        <v>527</v>
      </c>
      <c r="C14" s="15" t="s">
        <v>528</v>
      </c>
      <c r="D14" s="15" t="str">
        <f>"0,8181"</f>
        <v>0,8181</v>
      </c>
      <c r="E14" s="15" t="s">
        <v>29</v>
      </c>
      <c r="F14" s="15" t="s">
        <v>200</v>
      </c>
      <c r="G14" s="16" t="s">
        <v>32</v>
      </c>
      <c r="H14" s="16" t="s">
        <v>36</v>
      </c>
      <c r="I14" s="17" t="s">
        <v>122</v>
      </c>
      <c r="J14" s="17"/>
      <c r="K14" s="15" t="str">
        <f>"65,0"</f>
        <v>65,0</v>
      </c>
      <c r="L14" s="16" t="str">
        <f>"53,1765"</f>
        <v>53,1765</v>
      </c>
      <c r="M14" s="15" t="s">
        <v>60</v>
      </c>
    </row>
    <row r="15" spans="1:13" ht="12.75">
      <c r="A15" s="21" t="s">
        <v>530</v>
      </c>
      <c r="B15" s="21" t="s">
        <v>531</v>
      </c>
      <c r="C15" s="21" t="s">
        <v>532</v>
      </c>
      <c r="D15" s="21" t="str">
        <f>"0,8263"</f>
        <v>0,8263</v>
      </c>
      <c r="E15" s="21" t="s">
        <v>533</v>
      </c>
      <c r="F15" s="21" t="s">
        <v>55</v>
      </c>
      <c r="G15" s="22" t="s">
        <v>114</v>
      </c>
      <c r="H15" s="22" t="s">
        <v>35</v>
      </c>
      <c r="I15" s="23" t="s">
        <v>59</v>
      </c>
      <c r="J15" s="23"/>
      <c r="K15" s="21" t="str">
        <f>"40,0"</f>
        <v>40,0</v>
      </c>
      <c r="L15" s="22" t="str">
        <f>"34,6385"</f>
        <v>34,6385</v>
      </c>
      <c r="M15" s="21" t="s">
        <v>60</v>
      </c>
    </row>
    <row r="17" spans="1:12" ht="15">
      <c r="A17" s="47" t="s">
        <v>24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11" t="s">
        <v>534</v>
      </c>
      <c r="B18" s="11" t="s">
        <v>535</v>
      </c>
      <c r="C18" s="11" t="s">
        <v>513</v>
      </c>
      <c r="D18" s="11" t="str">
        <f>"0,9536"</f>
        <v>0,9536</v>
      </c>
      <c r="E18" s="11" t="s">
        <v>29</v>
      </c>
      <c r="F18" s="11" t="s">
        <v>55</v>
      </c>
      <c r="G18" s="12" t="s">
        <v>59</v>
      </c>
      <c r="H18" s="12" t="s">
        <v>106</v>
      </c>
      <c r="I18" s="13" t="s">
        <v>70</v>
      </c>
      <c r="J18" s="13"/>
      <c r="K18" s="11" t="str">
        <f>"52,5"</f>
        <v>52,5</v>
      </c>
      <c r="L18" s="12" t="str">
        <f>"50,0640"</f>
        <v>50,0640</v>
      </c>
      <c r="M18" s="11" t="s">
        <v>60</v>
      </c>
    </row>
    <row r="20" spans="1:12" ht="15">
      <c r="A20" s="47" t="s">
        <v>38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 ht="12.75">
      <c r="A21" s="11" t="s">
        <v>537</v>
      </c>
      <c r="B21" s="11" t="s">
        <v>538</v>
      </c>
      <c r="C21" s="11" t="s">
        <v>42</v>
      </c>
      <c r="D21" s="11" t="str">
        <f>"0,8128"</f>
        <v>0,8128</v>
      </c>
      <c r="E21" s="11" t="s">
        <v>29</v>
      </c>
      <c r="F21" s="11" t="s">
        <v>119</v>
      </c>
      <c r="G21" s="12" t="s">
        <v>57</v>
      </c>
      <c r="H21" s="12" t="s">
        <v>68</v>
      </c>
      <c r="I21" s="13" t="s">
        <v>539</v>
      </c>
      <c r="J21" s="13"/>
      <c r="K21" s="11" t="str">
        <f>"90,0"</f>
        <v>90,0</v>
      </c>
      <c r="L21" s="12" t="str">
        <f>"73,1520"</f>
        <v>73,1520</v>
      </c>
      <c r="M21" s="11" t="s">
        <v>60</v>
      </c>
    </row>
    <row r="23" spans="1:12" ht="15">
      <c r="A23" s="47" t="s">
        <v>89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 ht="12.75">
      <c r="A24" s="11" t="s">
        <v>541</v>
      </c>
      <c r="B24" s="11" t="s">
        <v>542</v>
      </c>
      <c r="C24" s="11" t="s">
        <v>543</v>
      </c>
      <c r="D24" s="11" t="str">
        <f>"0,7625"</f>
        <v>0,7625</v>
      </c>
      <c r="E24" s="11" t="s">
        <v>29</v>
      </c>
      <c r="F24" s="11" t="s">
        <v>67</v>
      </c>
      <c r="G24" s="12" t="s">
        <v>68</v>
      </c>
      <c r="H24" s="12" t="s">
        <v>69</v>
      </c>
      <c r="I24" s="13" t="s">
        <v>71</v>
      </c>
      <c r="J24" s="13"/>
      <c r="K24" s="11" t="str">
        <f>"100,0"</f>
        <v>100,0</v>
      </c>
      <c r="L24" s="12" t="str">
        <f>"77,7750"</f>
        <v>77,7750</v>
      </c>
      <c r="M24" s="11" t="s">
        <v>544</v>
      </c>
    </row>
    <row r="26" spans="1:12" ht="15">
      <c r="A26" s="47" t="s">
        <v>145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2.75">
      <c r="A27" s="15" t="s">
        <v>545</v>
      </c>
      <c r="B27" s="15" t="s">
        <v>546</v>
      </c>
      <c r="C27" s="15" t="s">
        <v>547</v>
      </c>
      <c r="D27" s="15" t="str">
        <f>"0,6789"</f>
        <v>0,6789</v>
      </c>
      <c r="E27" s="15" t="s">
        <v>29</v>
      </c>
      <c r="F27" s="15" t="s">
        <v>212</v>
      </c>
      <c r="G27" s="17" t="s">
        <v>442</v>
      </c>
      <c r="H27" s="17" t="s">
        <v>137</v>
      </c>
      <c r="I27" s="17" t="s">
        <v>137</v>
      </c>
      <c r="J27" s="17"/>
      <c r="K27" s="15" t="str">
        <f>"0.00"</f>
        <v>0.00</v>
      </c>
      <c r="L27" s="16" t="str">
        <f>"0,0000"</f>
        <v>0,0000</v>
      </c>
      <c r="M27" s="15" t="s">
        <v>60</v>
      </c>
    </row>
    <row r="28" spans="1:13" ht="12.75">
      <c r="A28" s="18" t="s">
        <v>549</v>
      </c>
      <c r="B28" s="18" t="s">
        <v>550</v>
      </c>
      <c r="C28" s="18" t="s">
        <v>551</v>
      </c>
      <c r="D28" s="18" t="str">
        <f>"0,6767"</f>
        <v>0,6767</v>
      </c>
      <c r="E28" s="18" t="s">
        <v>142</v>
      </c>
      <c r="F28" s="18" t="s">
        <v>143</v>
      </c>
      <c r="G28" s="19" t="s">
        <v>107</v>
      </c>
      <c r="H28" s="19" t="s">
        <v>137</v>
      </c>
      <c r="I28" s="20" t="s">
        <v>189</v>
      </c>
      <c r="J28" s="20"/>
      <c r="K28" s="18" t="str">
        <f>"137,5"</f>
        <v>137,5</v>
      </c>
      <c r="L28" s="19" t="str">
        <f>"93,0462"</f>
        <v>93,0462</v>
      </c>
      <c r="M28" s="18" t="s">
        <v>60</v>
      </c>
    </row>
    <row r="29" spans="1:13" ht="12.75">
      <c r="A29" s="18" t="s">
        <v>553</v>
      </c>
      <c r="B29" s="18" t="s">
        <v>554</v>
      </c>
      <c r="C29" s="18" t="s">
        <v>149</v>
      </c>
      <c r="D29" s="18" t="str">
        <f>"0,6645"</f>
        <v>0,6645</v>
      </c>
      <c r="E29" s="18" t="s">
        <v>29</v>
      </c>
      <c r="F29" s="18" t="s">
        <v>67</v>
      </c>
      <c r="G29" s="19" t="s">
        <v>48</v>
      </c>
      <c r="H29" s="19" t="s">
        <v>99</v>
      </c>
      <c r="I29" s="20" t="s">
        <v>137</v>
      </c>
      <c r="J29" s="20"/>
      <c r="K29" s="18" t="str">
        <f>"135,0"</f>
        <v>135,0</v>
      </c>
      <c r="L29" s="19" t="str">
        <f>"89,7075"</f>
        <v>89,7075</v>
      </c>
      <c r="M29" s="18" t="s">
        <v>60</v>
      </c>
    </row>
    <row r="30" spans="1:13" ht="12.75">
      <c r="A30" s="18" t="s">
        <v>556</v>
      </c>
      <c r="B30" s="18" t="s">
        <v>557</v>
      </c>
      <c r="C30" s="18" t="s">
        <v>558</v>
      </c>
      <c r="D30" s="18" t="str">
        <f>"0,6745"</f>
        <v>0,6745</v>
      </c>
      <c r="E30" s="18" t="s">
        <v>533</v>
      </c>
      <c r="F30" s="18" t="s">
        <v>55</v>
      </c>
      <c r="G30" s="19" t="s">
        <v>152</v>
      </c>
      <c r="H30" s="19" t="s">
        <v>442</v>
      </c>
      <c r="I30" s="20" t="s">
        <v>137</v>
      </c>
      <c r="J30" s="20"/>
      <c r="K30" s="18" t="str">
        <f>"132,5"</f>
        <v>132,5</v>
      </c>
      <c r="L30" s="19" t="str">
        <f>"89,3712"</f>
        <v>89,3712</v>
      </c>
      <c r="M30" s="18" t="s">
        <v>60</v>
      </c>
    </row>
    <row r="31" spans="1:13" ht="12.75">
      <c r="A31" s="18" t="s">
        <v>560</v>
      </c>
      <c r="B31" s="18" t="s">
        <v>561</v>
      </c>
      <c r="C31" s="18" t="s">
        <v>169</v>
      </c>
      <c r="D31" s="18" t="str">
        <f>"0,6673"</f>
        <v>0,6673</v>
      </c>
      <c r="E31" s="18" t="s">
        <v>533</v>
      </c>
      <c r="F31" s="18" t="s">
        <v>55</v>
      </c>
      <c r="G31" s="19" t="s">
        <v>152</v>
      </c>
      <c r="H31" s="19" t="s">
        <v>442</v>
      </c>
      <c r="I31" s="20" t="s">
        <v>137</v>
      </c>
      <c r="J31" s="20"/>
      <c r="K31" s="18" t="str">
        <f>"132,5"</f>
        <v>132,5</v>
      </c>
      <c r="L31" s="19" t="str">
        <f>"88,4172"</f>
        <v>88,4172</v>
      </c>
      <c r="M31" s="18" t="s">
        <v>60</v>
      </c>
    </row>
    <row r="32" spans="1:13" ht="12.75">
      <c r="A32" s="18" t="s">
        <v>563</v>
      </c>
      <c r="B32" s="18" t="s">
        <v>564</v>
      </c>
      <c r="C32" s="18" t="s">
        <v>565</v>
      </c>
      <c r="D32" s="18" t="str">
        <f>"0,6694"</f>
        <v>0,6694</v>
      </c>
      <c r="E32" s="18" t="s">
        <v>54</v>
      </c>
      <c r="F32" s="18" t="s">
        <v>55</v>
      </c>
      <c r="G32" s="19" t="s">
        <v>44</v>
      </c>
      <c r="H32" s="19" t="s">
        <v>566</v>
      </c>
      <c r="I32" s="20" t="s">
        <v>45</v>
      </c>
      <c r="J32" s="20"/>
      <c r="K32" s="18" t="str">
        <f>"112,5"</f>
        <v>112,5</v>
      </c>
      <c r="L32" s="19" t="str">
        <f>"75,3075"</f>
        <v>75,3075</v>
      </c>
      <c r="M32" s="18" t="s">
        <v>60</v>
      </c>
    </row>
    <row r="33" spans="1:13" ht="12.75">
      <c r="A33" s="21" t="s">
        <v>568</v>
      </c>
      <c r="B33" s="21" t="s">
        <v>569</v>
      </c>
      <c r="C33" s="21" t="s">
        <v>169</v>
      </c>
      <c r="D33" s="21" t="str">
        <f>"0,6673"</f>
        <v>0,6673</v>
      </c>
      <c r="E33" s="21" t="s">
        <v>1178</v>
      </c>
      <c r="F33" s="21" t="s">
        <v>194</v>
      </c>
      <c r="G33" s="22" t="s">
        <v>107</v>
      </c>
      <c r="H33" s="22" t="s">
        <v>48</v>
      </c>
      <c r="I33" s="22" t="s">
        <v>442</v>
      </c>
      <c r="J33" s="23"/>
      <c r="K33" s="21" t="s">
        <v>1182</v>
      </c>
      <c r="L33" s="22" t="str">
        <f>"87,5297"</f>
        <v>87,5297</v>
      </c>
      <c r="M33" s="21" t="s">
        <v>60</v>
      </c>
    </row>
    <row r="35" spans="1:12" ht="15">
      <c r="A35" s="47" t="s">
        <v>173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3" ht="12.75">
      <c r="A36" s="15" t="s">
        <v>571</v>
      </c>
      <c r="B36" s="15" t="s">
        <v>572</v>
      </c>
      <c r="C36" s="15" t="s">
        <v>177</v>
      </c>
      <c r="D36" s="15" t="str">
        <f>"0,6209"</f>
        <v>0,6209</v>
      </c>
      <c r="E36" s="15" t="s">
        <v>347</v>
      </c>
      <c r="F36" s="15" t="s">
        <v>200</v>
      </c>
      <c r="G36" s="16" t="s">
        <v>100</v>
      </c>
      <c r="H36" s="16" t="s">
        <v>165</v>
      </c>
      <c r="I36" s="17"/>
      <c r="J36" s="17"/>
      <c r="K36" s="15" t="str">
        <f>"150,0"</f>
        <v>150,0</v>
      </c>
      <c r="L36" s="16" t="str">
        <f>"93,1350"</f>
        <v>93,1350</v>
      </c>
      <c r="M36" s="15" t="s">
        <v>60</v>
      </c>
    </row>
    <row r="37" spans="1:13" ht="12.75">
      <c r="A37" s="18" t="s">
        <v>574</v>
      </c>
      <c r="B37" s="18" t="s">
        <v>575</v>
      </c>
      <c r="C37" s="18" t="s">
        <v>576</v>
      </c>
      <c r="D37" s="18" t="str">
        <f>"0,6284"</f>
        <v>0,6284</v>
      </c>
      <c r="E37" s="18" t="s">
        <v>29</v>
      </c>
      <c r="F37" s="18" t="s">
        <v>55</v>
      </c>
      <c r="G37" s="19" t="s">
        <v>152</v>
      </c>
      <c r="H37" s="19" t="s">
        <v>137</v>
      </c>
      <c r="I37" s="19" t="s">
        <v>577</v>
      </c>
      <c r="J37" s="20"/>
      <c r="K37" s="18" t="str">
        <f>"147,5"</f>
        <v>147,5</v>
      </c>
      <c r="L37" s="19" t="str">
        <f>"92,6890"</f>
        <v>92,6890</v>
      </c>
      <c r="M37" s="18" t="s">
        <v>60</v>
      </c>
    </row>
    <row r="38" spans="1:13" ht="12.75">
      <c r="A38" s="18" t="s">
        <v>579</v>
      </c>
      <c r="B38" s="18" t="s">
        <v>580</v>
      </c>
      <c r="C38" s="18" t="s">
        <v>313</v>
      </c>
      <c r="D38" s="18" t="str">
        <f>"0,6203"</f>
        <v>0,6203</v>
      </c>
      <c r="E38" s="18" t="s">
        <v>29</v>
      </c>
      <c r="F38" s="18" t="s">
        <v>67</v>
      </c>
      <c r="G38" s="19" t="s">
        <v>100</v>
      </c>
      <c r="H38" s="19" t="s">
        <v>189</v>
      </c>
      <c r="I38" s="19" t="s">
        <v>577</v>
      </c>
      <c r="J38" s="20"/>
      <c r="K38" s="18" t="str">
        <f>"147,5"</f>
        <v>147,5</v>
      </c>
      <c r="L38" s="19" t="str">
        <f>"91,4942"</f>
        <v>91,4942</v>
      </c>
      <c r="M38" s="18" t="s">
        <v>60</v>
      </c>
    </row>
    <row r="39" spans="1:13" ht="12.75">
      <c r="A39" s="18" t="s">
        <v>582</v>
      </c>
      <c r="B39" s="18" t="s">
        <v>583</v>
      </c>
      <c r="C39" s="18" t="s">
        <v>584</v>
      </c>
      <c r="D39" s="18" t="str">
        <f>"0,6198"</f>
        <v>0,6198</v>
      </c>
      <c r="E39" s="18" t="s">
        <v>533</v>
      </c>
      <c r="F39" s="18" t="s">
        <v>55</v>
      </c>
      <c r="G39" s="19" t="s">
        <v>137</v>
      </c>
      <c r="H39" s="19" t="s">
        <v>49</v>
      </c>
      <c r="I39" s="20" t="s">
        <v>577</v>
      </c>
      <c r="J39" s="20"/>
      <c r="K39" s="18" t="str">
        <f>"142,5"</f>
        <v>142,5</v>
      </c>
      <c r="L39" s="19" t="str">
        <f>"88,3215"</f>
        <v>88,3215</v>
      </c>
      <c r="M39" s="18" t="s">
        <v>60</v>
      </c>
    </row>
    <row r="40" spans="1:13" ht="12.75">
      <c r="A40" s="18" t="s">
        <v>586</v>
      </c>
      <c r="B40" s="18" t="s">
        <v>587</v>
      </c>
      <c r="C40" s="18" t="s">
        <v>588</v>
      </c>
      <c r="D40" s="18" t="str">
        <f>"0,6230"</f>
        <v>0,6230</v>
      </c>
      <c r="E40" s="18" t="s">
        <v>29</v>
      </c>
      <c r="F40" s="18" t="s">
        <v>67</v>
      </c>
      <c r="G40" s="19" t="s">
        <v>97</v>
      </c>
      <c r="H40" s="19" t="s">
        <v>152</v>
      </c>
      <c r="I40" s="20" t="s">
        <v>442</v>
      </c>
      <c r="J40" s="20"/>
      <c r="K40" s="18" t="str">
        <f>"127,5"</f>
        <v>127,5</v>
      </c>
      <c r="L40" s="19" t="str">
        <f>"79,4325"</f>
        <v>79,4325</v>
      </c>
      <c r="M40" s="18" t="s">
        <v>60</v>
      </c>
    </row>
    <row r="41" spans="1:13" ht="12.75">
      <c r="A41" s="21" t="s">
        <v>589</v>
      </c>
      <c r="B41" s="21" t="s">
        <v>590</v>
      </c>
      <c r="C41" s="21" t="s">
        <v>591</v>
      </c>
      <c r="D41" s="21" t="str">
        <f>"0,6329"</f>
        <v>0,6329</v>
      </c>
      <c r="E41" s="21" t="s">
        <v>29</v>
      </c>
      <c r="F41" s="21" t="s">
        <v>200</v>
      </c>
      <c r="G41" s="23" t="s">
        <v>69</v>
      </c>
      <c r="H41" s="22" t="s">
        <v>44</v>
      </c>
      <c r="I41" s="23" t="s">
        <v>45</v>
      </c>
      <c r="J41" s="23"/>
      <c r="K41" s="21" t="str">
        <f>"105,0"</f>
        <v>105,0</v>
      </c>
      <c r="L41" s="22" t="str">
        <f>"66,4545"</f>
        <v>66,4545</v>
      </c>
      <c r="M41" s="21" t="s">
        <v>60</v>
      </c>
    </row>
    <row r="43" spans="1:12" ht="15">
      <c r="A43" s="47" t="s">
        <v>184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3" ht="12.75">
      <c r="A44" s="15" t="s">
        <v>593</v>
      </c>
      <c r="B44" s="15" t="s">
        <v>594</v>
      </c>
      <c r="C44" s="15" t="s">
        <v>595</v>
      </c>
      <c r="D44" s="15" t="str">
        <f>"0,6177"</f>
        <v>0,6177</v>
      </c>
      <c r="E44" s="15" t="s">
        <v>29</v>
      </c>
      <c r="F44" s="15" t="s">
        <v>491</v>
      </c>
      <c r="G44" s="16" t="s">
        <v>69</v>
      </c>
      <c r="H44" s="16" t="s">
        <v>44</v>
      </c>
      <c r="I44" s="17" t="s">
        <v>96</v>
      </c>
      <c r="J44" s="17"/>
      <c r="K44" s="15" t="str">
        <f>"105,0"</f>
        <v>105,0</v>
      </c>
      <c r="L44" s="16" t="str">
        <f>"73,2901"</f>
        <v>73,2901</v>
      </c>
      <c r="M44" s="15" t="s">
        <v>60</v>
      </c>
    </row>
    <row r="45" spans="1:13" ht="12.75">
      <c r="A45" s="18" t="s">
        <v>597</v>
      </c>
      <c r="B45" s="18" t="s">
        <v>598</v>
      </c>
      <c r="C45" s="18" t="s">
        <v>599</v>
      </c>
      <c r="D45" s="18" t="str">
        <f>"0,5935"</f>
        <v>0,5935</v>
      </c>
      <c r="E45" s="18" t="s">
        <v>142</v>
      </c>
      <c r="F45" s="18" t="s">
        <v>143</v>
      </c>
      <c r="G45" s="19" t="s">
        <v>45</v>
      </c>
      <c r="H45" s="19" t="s">
        <v>46</v>
      </c>
      <c r="I45" s="20" t="s">
        <v>107</v>
      </c>
      <c r="J45" s="20"/>
      <c r="K45" s="18" t="str">
        <f>"120,0"</f>
        <v>120,0</v>
      </c>
      <c r="L45" s="19" t="str">
        <f>"74,0688"</f>
        <v>74,0688</v>
      </c>
      <c r="M45" s="18" t="s">
        <v>60</v>
      </c>
    </row>
    <row r="46" spans="1:13" ht="12.75">
      <c r="A46" s="18" t="s">
        <v>601</v>
      </c>
      <c r="B46" s="18" t="s">
        <v>602</v>
      </c>
      <c r="C46" s="18" t="s">
        <v>603</v>
      </c>
      <c r="D46" s="18" t="str">
        <f>"0,5901"</f>
        <v>0,5901</v>
      </c>
      <c r="E46" s="18" t="s">
        <v>29</v>
      </c>
      <c r="F46" s="18" t="s">
        <v>43</v>
      </c>
      <c r="G46" s="19" t="s">
        <v>165</v>
      </c>
      <c r="H46" s="19" t="s">
        <v>170</v>
      </c>
      <c r="I46" s="20" t="s">
        <v>349</v>
      </c>
      <c r="J46" s="20"/>
      <c r="K46" s="18" t="str">
        <f>"155,0"</f>
        <v>155,0</v>
      </c>
      <c r="L46" s="19" t="str">
        <f>"91,4655"</f>
        <v>91,4655</v>
      </c>
      <c r="M46" s="18" t="s">
        <v>604</v>
      </c>
    </row>
    <row r="47" spans="1:13" ht="12.75">
      <c r="A47" s="18" t="s">
        <v>606</v>
      </c>
      <c r="B47" s="18" t="s">
        <v>607</v>
      </c>
      <c r="C47" s="18" t="s">
        <v>608</v>
      </c>
      <c r="D47" s="18" t="str">
        <f>"0,5914"</f>
        <v>0,5914</v>
      </c>
      <c r="E47" s="18" t="s">
        <v>29</v>
      </c>
      <c r="F47" s="18" t="s">
        <v>212</v>
      </c>
      <c r="G47" s="19" t="s">
        <v>48</v>
      </c>
      <c r="H47" s="20" t="s">
        <v>99</v>
      </c>
      <c r="I47" s="20" t="s">
        <v>99</v>
      </c>
      <c r="J47" s="20"/>
      <c r="K47" s="18" t="str">
        <f>"130,0"</f>
        <v>130,0</v>
      </c>
      <c r="L47" s="19" t="str">
        <f>"79,1885"</f>
        <v>79,1885</v>
      </c>
      <c r="M47" s="18" t="s">
        <v>60</v>
      </c>
    </row>
    <row r="48" spans="1:13" ht="12.75">
      <c r="A48" s="18" t="s">
        <v>610</v>
      </c>
      <c r="B48" s="18" t="s">
        <v>564</v>
      </c>
      <c r="C48" s="18" t="s">
        <v>611</v>
      </c>
      <c r="D48" s="18" t="str">
        <f>"0,5853"</f>
        <v>0,5853</v>
      </c>
      <c r="E48" s="18" t="s">
        <v>29</v>
      </c>
      <c r="F48" s="18" t="s">
        <v>30</v>
      </c>
      <c r="G48" s="19" t="s">
        <v>179</v>
      </c>
      <c r="H48" s="20" t="s">
        <v>180</v>
      </c>
      <c r="I48" s="20" t="s">
        <v>180</v>
      </c>
      <c r="J48" s="20"/>
      <c r="K48" s="18" t="str">
        <f>"190,0"</f>
        <v>190,0</v>
      </c>
      <c r="L48" s="19" t="str">
        <f>"111,2070"</f>
        <v>111,2070</v>
      </c>
      <c r="M48" s="18" t="s">
        <v>60</v>
      </c>
    </row>
    <row r="49" spans="1:13" ht="12.75">
      <c r="A49" s="18" t="s">
        <v>613</v>
      </c>
      <c r="B49" s="18" t="s">
        <v>614</v>
      </c>
      <c r="C49" s="18" t="s">
        <v>615</v>
      </c>
      <c r="D49" s="18" t="str">
        <f>"0,5893"</f>
        <v>0,5893</v>
      </c>
      <c r="E49" s="18" t="s">
        <v>54</v>
      </c>
      <c r="F49" s="18" t="s">
        <v>55</v>
      </c>
      <c r="G49" s="19" t="s">
        <v>129</v>
      </c>
      <c r="H49" s="20" t="s">
        <v>268</v>
      </c>
      <c r="I49" s="20" t="s">
        <v>268</v>
      </c>
      <c r="J49" s="20"/>
      <c r="K49" s="18" t="str">
        <f>"170,0"</f>
        <v>170,0</v>
      </c>
      <c r="L49" s="19" t="str">
        <f>"100,1810"</f>
        <v>100,1810</v>
      </c>
      <c r="M49" s="18" t="s">
        <v>616</v>
      </c>
    </row>
    <row r="50" spans="1:13" ht="12.75">
      <c r="A50" s="18" t="s">
        <v>618</v>
      </c>
      <c r="B50" s="18" t="s">
        <v>619</v>
      </c>
      <c r="C50" s="18" t="s">
        <v>620</v>
      </c>
      <c r="D50" s="18" t="str">
        <f>"0,6022"</f>
        <v>0,6022</v>
      </c>
      <c r="E50" s="18" t="s">
        <v>29</v>
      </c>
      <c r="F50" s="18" t="s">
        <v>200</v>
      </c>
      <c r="G50" s="19" t="s">
        <v>99</v>
      </c>
      <c r="H50" s="20" t="s">
        <v>170</v>
      </c>
      <c r="I50" s="19" t="s">
        <v>170</v>
      </c>
      <c r="J50" s="20"/>
      <c r="K50" s="18" t="str">
        <f>"155,0"</f>
        <v>155,0</v>
      </c>
      <c r="L50" s="19" t="str">
        <f>"93,3410"</f>
        <v>93,3410</v>
      </c>
      <c r="M50" s="18" t="s">
        <v>60</v>
      </c>
    </row>
    <row r="51" spans="1:13" ht="12.75">
      <c r="A51" s="18" t="s">
        <v>622</v>
      </c>
      <c r="B51" s="18" t="s">
        <v>623</v>
      </c>
      <c r="C51" s="18" t="s">
        <v>608</v>
      </c>
      <c r="D51" s="18" t="str">
        <f>"0,5914"</f>
        <v>0,5914</v>
      </c>
      <c r="E51" s="18" t="s">
        <v>309</v>
      </c>
      <c r="F51" s="18" t="s">
        <v>67</v>
      </c>
      <c r="G51" s="19" t="s">
        <v>165</v>
      </c>
      <c r="H51" s="20" t="s">
        <v>128</v>
      </c>
      <c r="I51" s="20" t="s">
        <v>128</v>
      </c>
      <c r="J51" s="20"/>
      <c r="K51" s="18" t="str">
        <f>"150,0"</f>
        <v>150,0</v>
      </c>
      <c r="L51" s="19" t="str">
        <f>"88,7100"</f>
        <v>88,7100</v>
      </c>
      <c r="M51" s="18" t="s">
        <v>60</v>
      </c>
    </row>
    <row r="52" spans="1:13" ht="12.75">
      <c r="A52" s="18" t="s">
        <v>625</v>
      </c>
      <c r="B52" s="18" t="s">
        <v>626</v>
      </c>
      <c r="C52" s="18" t="s">
        <v>188</v>
      </c>
      <c r="D52" s="18" t="str">
        <f>"0,6069"</f>
        <v>0,6069</v>
      </c>
      <c r="E52" s="18" t="s">
        <v>29</v>
      </c>
      <c r="F52" s="18" t="s">
        <v>200</v>
      </c>
      <c r="G52" s="19" t="s">
        <v>48</v>
      </c>
      <c r="H52" s="20" t="s">
        <v>99</v>
      </c>
      <c r="I52" s="20" t="s">
        <v>99</v>
      </c>
      <c r="J52" s="20"/>
      <c r="K52" s="18" t="str">
        <f>"130,0"</f>
        <v>130,0</v>
      </c>
      <c r="L52" s="19" t="str">
        <f>"78,8970"</f>
        <v>78,8970</v>
      </c>
      <c r="M52" s="18" t="s">
        <v>60</v>
      </c>
    </row>
    <row r="53" spans="1:13" ht="12.75">
      <c r="A53" s="18" t="s">
        <v>627</v>
      </c>
      <c r="B53" s="18" t="s">
        <v>628</v>
      </c>
      <c r="C53" s="18" t="s">
        <v>629</v>
      </c>
      <c r="D53" s="18" t="str">
        <f>"0,5897"</f>
        <v>0,5897</v>
      </c>
      <c r="E53" s="18" t="s">
        <v>29</v>
      </c>
      <c r="F53" s="18" t="s">
        <v>95</v>
      </c>
      <c r="G53" s="20" t="s">
        <v>189</v>
      </c>
      <c r="H53" s="20" t="s">
        <v>170</v>
      </c>
      <c r="I53" s="20"/>
      <c r="J53" s="20"/>
      <c r="K53" s="18" t="str">
        <f>"0.00"</f>
        <v>0.00</v>
      </c>
      <c r="L53" s="19" t="str">
        <f>"0,0000"</f>
        <v>0,0000</v>
      </c>
      <c r="M53" s="18" t="s">
        <v>60</v>
      </c>
    </row>
    <row r="54" spans="1:13" ht="12.75">
      <c r="A54" s="18" t="s">
        <v>631</v>
      </c>
      <c r="B54" s="18" t="s">
        <v>632</v>
      </c>
      <c r="C54" s="18" t="s">
        <v>353</v>
      </c>
      <c r="D54" s="18" t="str">
        <f>"0,5885"</f>
        <v>0,5885</v>
      </c>
      <c r="E54" s="18" t="s">
        <v>94</v>
      </c>
      <c r="F54" s="18" t="s">
        <v>136</v>
      </c>
      <c r="G54" s="19" t="s">
        <v>100</v>
      </c>
      <c r="H54" s="19" t="s">
        <v>165</v>
      </c>
      <c r="I54" s="20" t="s">
        <v>128</v>
      </c>
      <c r="J54" s="20"/>
      <c r="K54" s="18" t="str">
        <f>"150,0"</f>
        <v>150,0</v>
      </c>
      <c r="L54" s="19" t="str">
        <f>"89,0695"</f>
        <v>89,0695</v>
      </c>
      <c r="M54" s="18" t="s">
        <v>60</v>
      </c>
    </row>
    <row r="55" spans="1:13" ht="12.75">
      <c r="A55" s="18" t="s">
        <v>634</v>
      </c>
      <c r="B55" s="18" t="s">
        <v>635</v>
      </c>
      <c r="C55" s="18" t="s">
        <v>636</v>
      </c>
      <c r="D55" s="18" t="str">
        <f>"0,5910"</f>
        <v>0,5910</v>
      </c>
      <c r="E55" s="18" t="s">
        <v>94</v>
      </c>
      <c r="F55" s="18" t="s">
        <v>95</v>
      </c>
      <c r="G55" s="19" t="s">
        <v>48</v>
      </c>
      <c r="H55" s="19" t="s">
        <v>100</v>
      </c>
      <c r="I55" s="20" t="s">
        <v>577</v>
      </c>
      <c r="J55" s="20"/>
      <c r="K55" s="18" t="str">
        <f>"140,0"</f>
        <v>140,0</v>
      </c>
      <c r="L55" s="19" t="str">
        <f>"83,4847"</f>
        <v>83,4847</v>
      </c>
      <c r="M55" s="18" t="s">
        <v>60</v>
      </c>
    </row>
    <row r="56" spans="1:13" ht="12.75">
      <c r="A56" s="18" t="s">
        <v>638</v>
      </c>
      <c r="B56" s="18" t="s">
        <v>639</v>
      </c>
      <c r="C56" s="18" t="s">
        <v>640</v>
      </c>
      <c r="D56" s="18" t="str">
        <f>"0,5899"</f>
        <v>0,5899</v>
      </c>
      <c r="E56" s="18" t="s">
        <v>1178</v>
      </c>
      <c r="F56" s="18" t="s">
        <v>194</v>
      </c>
      <c r="G56" s="19" t="s">
        <v>137</v>
      </c>
      <c r="H56" s="19" t="s">
        <v>49</v>
      </c>
      <c r="I56" s="20" t="s">
        <v>577</v>
      </c>
      <c r="J56" s="20"/>
      <c r="K56" s="18" t="str">
        <f>"142,5"</f>
        <v>142,5</v>
      </c>
      <c r="L56" s="19" t="str">
        <f>"91,7943"</f>
        <v>91,7943</v>
      </c>
      <c r="M56" s="18" t="s">
        <v>60</v>
      </c>
    </row>
    <row r="57" spans="1:13" ht="12.75">
      <c r="A57" s="18" t="s">
        <v>197</v>
      </c>
      <c r="B57" s="18" t="s">
        <v>198</v>
      </c>
      <c r="C57" s="18" t="s">
        <v>199</v>
      </c>
      <c r="D57" s="18" t="str">
        <f>"0,5943"</f>
        <v>0,5943</v>
      </c>
      <c r="E57" s="18" t="s">
        <v>29</v>
      </c>
      <c r="F57" s="18" t="s">
        <v>200</v>
      </c>
      <c r="G57" s="19" t="s">
        <v>45</v>
      </c>
      <c r="H57" s="20" t="s">
        <v>107</v>
      </c>
      <c r="I57" s="20" t="s">
        <v>107</v>
      </c>
      <c r="J57" s="20"/>
      <c r="K57" s="18" t="str">
        <f>"115,0"</f>
        <v>115,0</v>
      </c>
      <c r="L57" s="19" t="str">
        <f>"87,5493"</f>
        <v>87,5493</v>
      </c>
      <c r="M57" s="18" t="s">
        <v>60</v>
      </c>
    </row>
    <row r="58" spans="1:13" ht="12.75">
      <c r="A58" s="21" t="s">
        <v>642</v>
      </c>
      <c r="B58" s="21" t="s">
        <v>643</v>
      </c>
      <c r="C58" s="21" t="s">
        <v>353</v>
      </c>
      <c r="D58" s="21" t="str">
        <f>"0,5885"</f>
        <v>0,5885</v>
      </c>
      <c r="E58" s="21" t="s">
        <v>29</v>
      </c>
      <c r="F58" s="21" t="s">
        <v>644</v>
      </c>
      <c r="G58" s="23" t="s">
        <v>57</v>
      </c>
      <c r="H58" s="22" t="s">
        <v>57</v>
      </c>
      <c r="I58" s="23" t="s">
        <v>77</v>
      </c>
      <c r="J58" s="23"/>
      <c r="K58" s="21" t="str">
        <f>"85,0"</f>
        <v>85,0</v>
      </c>
      <c r="L58" s="22" t="str">
        <f>"100,5452"</f>
        <v>100,5452</v>
      </c>
      <c r="M58" s="21" t="s">
        <v>60</v>
      </c>
    </row>
    <row r="60" spans="1:12" ht="15">
      <c r="A60" s="47" t="s">
        <v>354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3" ht="12.75">
      <c r="A61" s="15" t="s">
        <v>646</v>
      </c>
      <c r="B61" s="15" t="s">
        <v>647</v>
      </c>
      <c r="C61" s="15" t="s">
        <v>648</v>
      </c>
      <c r="D61" s="15" t="str">
        <f>"0,5550"</f>
        <v>0,5550</v>
      </c>
      <c r="E61" s="15" t="s">
        <v>309</v>
      </c>
      <c r="F61" s="15" t="s">
        <v>67</v>
      </c>
      <c r="G61" s="17" t="s">
        <v>150</v>
      </c>
      <c r="H61" s="16" t="s">
        <v>151</v>
      </c>
      <c r="I61" s="16" t="s">
        <v>179</v>
      </c>
      <c r="J61" s="17"/>
      <c r="K61" s="15" t="str">
        <f>"190,0"</f>
        <v>190,0</v>
      </c>
      <c r="L61" s="16" t="str">
        <f>"105,4500"</f>
        <v>105,4500</v>
      </c>
      <c r="M61" s="15" t="s">
        <v>454</v>
      </c>
    </row>
    <row r="62" spans="1:13" ht="12.75">
      <c r="A62" s="18" t="s">
        <v>650</v>
      </c>
      <c r="B62" s="18" t="s">
        <v>651</v>
      </c>
      <c r="C62" s="18" t="s">
        <v>652</v>
      </c>
      <c r="D62" s="18" t="str">
        <f>"0,5678"</f>
        <v>0,5678</v>
      </c>
      <c r="E62" s="18" t="s">
        <v>29</v>
      </c>
      <c r="F62" s="18" t="s">
        <v>200</v>
      </c>
      <c r="G62" s="19" t="s">
        <v>170</v>
      </c>
      <c r="H62" s="19" t="s">
        <v>172</v>
      </c>
      <c r="I62" s="19" t="s">
        <v>129</v>
      </c>
      <c r="J62" s="20"/>
      <c r="K62" s="18" t="str">
        <f>"170,0"</f>
        <v>170,0</v>
      </c>
      <c r="L62" s="19" t="str">
        <f>"96,5260"</f>
        <v>96,5260</v>
      </c>
      <c r="M62" s="18" t="s">
        <v>60</v>
      </c>
    </row>
    <row r="63" spans="1:13" ht="12.75">
      <c r="A63" s="18" t="s">
        <v>654</v>
      </c>
      <c r="B63" s="18" t="s">
        <v>655</v>
      </c>
      <c r="C63" s="18" t="s">
        <v>656</v>
      </c>
      <c r="D63" s="18" t="str">
        <f>"0,5666"</f>
        <v>0,5666</v>
      </c>
      <c r="E63" s="18" t="s">
        <v>347</v>
      </c>
      <c r="F63" s="18" t="s">
        <v>200</v>
      </c>
      <c r="G63" s="19" t="s">
        <v>49</v>
      </c>
      <c r="H63" s="19" t="s">
        <v>348</v>
      </c>
      <c r="I63" s="19" t="s">
        <v>172</v>
      </c>
      <c r="J63" s="20"/>
      <c r="K63" s="18" t="str">
        <f>"162,5"</f>
        <v>162,5</v>
      </c>
      <c r="L63" s="19" t="str">
        <f>"92,0725"</f>
        <v>92,0725</v>
      </c>
      <c r="M63" s="18" t="s">
        <v>60</v>
      </c>
    </row>
    <row r="64" spans="1:13" ht="12.75">
      <c r="A64" s="18" t="s">
        <v>658</v>
      </c>
      <c r="B64" s="18" t="s">
        <v>659</v>
      </c>
      <c r="C64" s="18" t="s">
        <v>660</v>
      </c>
      <c r="D64" s="18" t="str">
        <f>"0,5586"</f>
        <v>0,5586</v>
      </c>
      <c r="E64" s="18" t="s">
        <v>29</v>
      </c>
      <c r="F64" s="18" t="s">
        <v>661</v>
      </c>
      <c r="G64" s="19" t="s">
        <v>165</v>
      </c>
      <c r="H64" s="19" t="s">
        <v>128</v>
      </c>
      <c r="I64" s="19" t="s">
        <v>172</v>
      </c>
      <c r="J64" s="20"/>
      <c r="K64" s="18" t="str">
        <f>"162,5"</f>
        <v>162,5</v>
      </c>
      <c r="L64" s="19" t="str">
        <f>"90,7725"</f>
        <v>90,7725</v>
      </c>
      <c r="M64" s="18" t="s">
        <v>60</v>
      </c>
    </row>
    <row r="65" spans="1:13" ht="12.75">
      <c r="A65" s="18" t="s">
        <v>663</v>
      </c>
      <c r="B65" s="18" t="s">
        <v>664</v>
      </c>
      <c r="C65" s="18" t="s">
        <v>665</v>
      </c>
      <c r="D65" s="18" t="str">
        <f>"0,5592"</f>
        <v>0,5592</v>
      </c>
      <c r="E65" s="18" t="s">
        <v>29</v>
      </c>
      <c r="F65" s="18" t="s">
        <v>43</v>
      </c>
      <c r="G65" s="19" t="s">
        <v>349</v>
      </c>
      <c r="H65" s="20" t="s">
        <v>172</v>
      </c>
      <c r="I65" s="20" t="s">
        <v>172</v>
      </c>
      <c r="J65" s="20"/>
      <c r="K65" s="18" t="str">
        <f>"157,5"</f>
        <v>157,5</v>
      </c>
      <c r="L65" s="19" t="str">
        <f>"88,0819"</f>
        <v>88,0819</v>
      </c>
      <c r="M65" s="18" t="s">
        <v>60</v>
      </c>
    </row>
    <row r="66" spans="1:13" ht="12.75">
      <c r="A66" s="18" t="s">
        <v>667</v>
      </c>
      <c r="B66" s="18" t="s">
        <v>668</v>
      </c>
      <c r="C66" s="18" t="s">
        <v>669</v>
      </c>
      <c r="D66" s="18" t="str">
        <f>"0,5619"</f>
        <v>0,5619</v>
      </c>
      <c r="E66" s="18" t="s">
        <v>309</v>
      </c>
      <c r="F66" s="18" t="s">
        <v>67</v>
      </c>
      <c r="G66" s="19" t="s">
        <v>99</v>
      </c>
      <c r="H66" s="19" t="s">
        <v>49</v>
      </c>
      <c r="I66" s="19" t="s">
        <v>170</v>
      </c>
      <c r="J66" s="20"/>
      <c r="K66" s="18" t="str">
        <f>"155,0"</f>
        <v>155,0</v>
      </c>
      <c r="L66" s="19" t="str">
        <f>"87,0945"</f>
        <v>87,0945</v>
      </c>
      <c r="M66" s="18" t="s">
        <v>454</v>
      </c>
    </row>
    <row r="67" spans="1:13" ht="12.75">
      <c r="A67" s="18" t="s">
        <v>670</v>
      </c>
      <c r="B67" s="18" t="s">
        <v>671</v>
      </c>
      <c r="C67" s="18" t="s">
        <v>672</v>
      </c>
      <c r="D67" s="18" t="str">
        <f>"0,5543"</f>
        <v>0,5543</v>
      </c>
      <c r="E67" s="18" t="s">
        <v>29</v>
      </c>
      <c r="F67" s="18" t="s">
        <v>200</v>
      </c>
      <c r="G67" s="20" t="s">
        <v>165</v>
      </c>
      <c r="H67" s="20" t="s">
        <v>165</v>
      </c>
      <c r="I67" s="20" t="s">
        <v>172</v>
      </c>
      <c r="J67" s="20"/>
      <c r="K67" s="18" t="str">
        <f>"0.00"</f>
        <v>0.00</v>
      </c>
      <c r="L67" s="19" t="str">
        <f>"0,0000"</f>
        <v>0,0000</v>
      </c>
      <c r="M67" s="18" t="s">
        <v>673</v>
      </c>
    </row>
    <row r="68" spans="1:13" ht="12.75">
      <c r="A68" s="18" t="s">
        <v>675</v>
      </c>
      <c r="B68" s="18" t="s">
        <v>676</v>
      </c>
      <c r="C68" s="18" t="s">
        <v>367</v>
      </c>
      <c r="D68" s="18" t="str">
        <f>"0,5578"</f>
        <v>0,5578</v>
      </c>
      <c r="E68" s="18" t="s">
        <v>29</v>
      </c>
      <c r="F68" s="18" t="s">
        <v>200</v>
      </c>
      <c r="G68" s="19" t="s">
        <v>48</v>
      </c>
      <c r="H68" s="19" t="s">
        <v>99</v>
      </c>
      <c r="I68" s="20" t="s">
        <v>49</v>
      </c>
      <c r="J68" s="20"/>
      <c r="K68" s="18" t="str">
        <f>"135,0"</f>
        <v>135,0</v>
      </c>
      <c r="L68" s="19" t="str">
        <f>"76,6585"</f>
        <v>76,6585</v>
      </c>
      <c r="M68" s="18" t="s">
        <v>60</v>
      </c>
    </row>
    <row r="69" spans="1:13" ht="12.75">
      <c r="A69" s="21" t="s">
        <v>678</v>
      </c>
      <c r="B69" s="21" t="s">
        <v>679</v>
      </c>
      <c r="C69" s="21" t="s">
        <v>680</v>
      </c>
      <c r="D69" s="21" t="str">
        <f>"0,5801"</f>
        <v>0,5801</v>
      </c>
      <c r="E69" s="21" t="s">
        <v>54</v>
      </c>
      <c r="F69" s="21" t="s">
        <v>55</v>
      </c>
      <c r="G69" s="22" t="s">
        <v>107</v>
      </c>
      <c r="H69" s="22" t="s">
        <v>442</v>
      </c>
      <c r="I69" s="23" t="s">
        <v>137</v>
      </c>
      <c r="J69" s="23"/>
      <c r="K69" s="21" t="str">
        <f>"132,5"</f>
        <v>132,5</v>
      </c>
      <c r="L69" s="22" t="str">
        <f>"134,8950"</f>
        <v>134,8950</v>
      </c>
      <c r="M69" s="21" t="s">
        <v>681</v>
      </c>
    </row>
    <row r="71" spans="1:12" ht="15">
      <c r="A71" s="47" t="s">
        <v>207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3" ht="12.75">
      <c r="A72" s="15" t="s">
        <v>683</v>
      </c>
      <c r="B72" s="15" t="s">
        <v>684</v>
      </c>
      <c r="C72" s="15" t="s">
        <v>685</v>
      </c>
      <c r="D72" s="15" t="str">
        <f>"0,5475"</f>
        <v>0,5475</v>
      </c>
      <c r="E72" s="15" t="s">
        <v>29</v>
      </c>
      <c r="F72" s="15" t="s">
        <v>200</v>
      </c>
      <c r="G72" s="17" t="s">
        <v>150</v>
      </c>
      <c r="H72" s="16" t="s">
        <v>150</v>
      </c>
      <c r="I72" s="17" t="s">
        <v>151</v>
      </c>
      <c r="J72" s="17"/>
      <c r="K72" s="15" t="str">
        <f>"180,0"</f>
        <v>180,0</v>
      </c>
      <c r="L72" s="16" t="str">
        <f>"98,5500"</f>
        <v>98,5500</v>
      </c>
      <c r="M72" s="15" t="s">
        <v>60</v>
      </c>
    </row>
    <row r="73" spans="1:13" ht="12.75">
      <c r="A73" s="18" t="s">
        <v>687</v>
      </c>
      <c r="B73" s="18" t="s">
        <v>688</v>
      </c>
      <c r="C73" s="18" t="s">
        <v>689</v>
      </c>
      <c r="D73" s="18" t="str">
        <f>"0,5405"</f>
        <v>0,5405</v>
      </c>
      <c r="E73" s="18" t="s">
        <v>29</v>
      </c>
      <c r="F73" s="18" t="s">
        <v>661</v>
      </c>
      <c r="G73" s="19" t="s">
        <v>170</v>
      </c>
      <c r="H73" s="19" t="s">
        <v>214</v>
      </c>
      <c r="I73" s="19" t="s">
        <v>129</v>
      </c>
      <c r="J73" s="20"/>
      <c r="K73" s="18" t="str">
        <f>"170,0"</f>
        <v>170,0</v>
      </c>
      <c r="L73" s="19" t="str">
        <f>"91,8850"</f>
        <v>91,8850</v>
      </c>
      <c r="M73" s="18" t="s">
        <v>60</v>
      </c>
    </row>
    <row r="74" spans="1:13" ht="12.75">
      <c r="A74" s="21" t="s">
        <v>691</v>
      </c>
      <c r="B74" s="21" t="s">
        <v>692</v>
      </c>
      <c r="C74" s="21" t="s">
        <v>693</v>
      </c>
      <c r="D74" s="21" t="str">
        <f>"0,5477"</f>
        <v>0,5477</v>
      </c>
      <c r="E74" s="21" t="s">
        <v>694</v>
      </c>
      <c r="F74" s="21" t="s">
        <v>119</v>
      </c>
      <c r="G74" s="22" t="s">
        <v>348</v>
      </c>
      <c r="H74" s="23" t="s">
        <v>349</v>
      </c>
      <c r="I74" s="23" t="s">
        <v>349</v>
      </c>
      <c r="J74" s="23"/>
      <c r="K74" s="21" t="str">
        <f>"152,5"</f>
        <v>152,5</v>
      </c>
      <c r="L74" s="22" t="str">
        <f>"83,5242"</f>
        <v>83,5242</v>
      </c>
      <c r="M74" s="21" t="s">
        <v>60</v>
      </c>
    </row>
    <row r="76" spans="1:12" ht="15">
      <c r="A76" s="47" t="s">
        <v>384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3" ht="12.75">
      <c r="A77" s="11" t="s">
        <v>696</v>
      </c>
      <c r="B77" s="11" t="s">
        <v>697</v>
      </c>
      <c r="C77" s="11" t="s">
        <v>698</v>
      </c>
      <c r="D77" s="11" t="str">
        <f>"0,5260"</f>
        <v>0,5260</v>
      </c>
      <c r="E77" s="11" t="s">
        <v>29</v>
      </c>
      <c r="F77" s="11" t="s">
        <v>200</v>
      </c>
      <c r="G77" s="12" t="s">
        <v>189</v>
      </c>
      <c r="H77" s="12" t="s">
        <v>165</v>
      </c>
      <c r="I77" s="13" t="s">
        <v>170</v>
      </c>
      <c r="J77" s="13"/>
      <c r="K77" s="11" t="str">
        <f>"150,0"</f>
        <v>150,0</v>
      </c>
      <c r="L77" s="12" t="str">
        <f>"79,1367"</f>
        <v>79,1367</v>
      </c>
      <c r="M77" s="11" t="s">
        <v>673</v>
      </c>
    </row>
    <row r="79" ht="15">
      <c r="E79" s="9" t="s">
        <v>13</v>
      </c>
    </row>
    <row r="80" ht="15">
      <c r="E80" s="9" t="s">
        <v>14</v>
      </c>
    </row>
    <row r="81" ht="15">
      <c r="E81" s="9" t="s">
        <v>15</v>
      </c>
    </row>
    <row r="82" ht="15">
      <c r="E82" s="9" t="s">
        <v>16</v>
      </c>
    </row>
    <row r="83" ht="15">
      <c r="E83" s="9" t="s">
        <v>16</v>
      </c>
    </row>
    <row r="84" ht="15">
      <c r="E84" s="9" t="s">
        <v>17</v>
      </c>
    </row>
    <row r="85" ht="15">
      <c r="E85" s="9"/>
    </row>
    <row r="87" spans="1:2" ht="18">
      <c r="A87" s="10" t="s">
        <v>18</v>
      </c>
      <c r="B87" s="10"/>
    </row>
    <row r="88" spans="1:2" ht="15">
      <c r="A88" s="24" t="s">
        <v>227</v>
      </c>
      <c r="B88" s="24"/>
    </row>
    <row r="89" spans="1:2" ht="14.25">
      <c r="A89" s="26"/>
      <c r="B89" s="27" t="s">
        <v>228</v>
      </c>
    </row>
    <row r="90" spans="1:5" ht="15">
      <c r="A90" s="28" t="s">
        <v>229</v>
      </c>
      <c r="B90" s="28" t="s">
        <v>230</v>
      </c>
      <c r="C90" s="28" t="s">
        <v>231</v>
      </c>
      <c r="D90" s="28" t="s">
        <v>232</v>
      </c>
      <c r="E90" s="28" t="s">
        <v>233</v>
      </c>
    </row>
    <row r="91" spans="1:5" ht="12.75">
      <c r="A91" s="25" t="s">
        <v>514</v>
      </c>
      <c r="B91" s="4" t="s">
        <v>699</v>
      </c>
      <c r="C91" s="4" t="s">
        <v>235</v>
      </c>
      <c r="D91" s="4" t="s">
        <v>33</v>
      </c>
      <c r="E91" s="29" t="s">
        <v>700</v>
      </c>
    </row>
    <row r="93" spans="1:2" ht="14.25">
      <c r="A93" s="26"/>
      <c r="B93" s="27" t="s">
        <v>244</v>
      </c>
    </row>
    <row r="94" spans="1:5" ht="15">
      <c r="A94" s="28" t="s">
        <v>229</v>
      </c>
      <c r="B94" s="28" t="s">
        <v>230</v>
      </c>
      <c r="C94" s="28" t="s">
        <v>231</v>
      </c>
      <c r="D94" s="28" t="s">
        <v>232</v>
      </c>
      <c r="E94" s="28" t="s">
        <v>233</v>
      </c>
    </row>
    <row r="95" spans="1:5" ht="12.75">
      <c r="A95" s="25" t="s">
        <v>510</v>
      </c>
      <c r="B95" s="4" t="s">
        <v>244</v>
      </c>
      <c r="C95" s="4" t="s">
        <v>239</v>
      </c>
      <c r="D95" s="4" t="s">
        <v>98</v>
      </c>
      <c r="E95" s="29" t="s">
        <v>701</v>
      </c>
    </row>
    <row r="96" spans="1:5" ht="12.75">
      <c r="A96" s="25" t="s">
        <v>1184</v>
      </c>
      <c r="B96" s="4" t="s">
        <v>244</v>
      </c>
      <c r="C96" s="4" t="s">
        <v>246</v>
      </c>
      <c r="D96" s="4" t="s">
        <v>36</v>
      </c>
      <c r="E96" s="29" t="s">
        <v>702</v>
      </c>
    </row>
    <row r="97" spans="1:5" ht="12.75">
      <c r="A97" s="25" t="s">
        <v>518</v>
      </c>
      <c r="B97" s="4" t="s">
        <v>244</v>
      </c>
      <c r="C97" s="4" t="s">
        <v>235</v>
      </c>
      <c r="D97" s="4" t="s">
        <v>58</v>
      </c>
      <c r="E97" s="29" t="s">
        <v>703</v>
      </c>
    </row>
    <row r="98" spans="1:5" ht="12.75">
      <c r="A98" s="25" t="s">
        <v>522</v>
      </c>
      <c r="B98" s="4" t="s">
        <v>244</v>
      </c>
      <c r="C98" s="4" t="s">
        <v>235</v>
      </c>
      <c r="D98" s="4" t="s">
        <v>526</v>
      </c>
      <c r="E98" s="29" t="s">
        <v>704</v>
      </c>
    </row>
    <row r="100" spans="1:2" ht="14.25">
      <c r="A100" s="26"/>
      <c r="B100" s="27" t="s">
        <v>255</v>
      </c>
    </row>
    <row r="101" spans="1:5" ht="15">
      <c r="A101" s="28" t="s">
        <v>229</v>
      </c>
      <c r="B101" s="28" t="s">
        <v>230</v>
      </c>
      <c r="C101" s="28" t="s">
        <v>231</v>
      </c>
      <c r="D101" s="28" t="s">
        <v>232</v>
      </c>
      <c r="E101" s="28" t="s">
        <v>233</v>
      </c>
    </row>
    <row r="102" spans="1:5" ht="12.75">
      <c r="A102" s="25" t="s">
        <v>529</v>
      </c>
      <c r="B102" s="4" t="s">
        <v>469</v>
      </c>
      <c r="C102" s="4" t="s">
        <v>246</v>
      </c>
      <c r="D102" s="4" t="s">
        <v>35</v>
      </c>
      <c r="E102" s="29" t="s">
        <v>705</v>
      </c>
    </row>
    <row r="105" spans="1:2" ht="15">
      <c r="A105" s="24" t="s">
        <v>258</v>
      </c>
      <c r="B105" s="24"/>
    </row>
    <row r="106" spans="1:2" ht="14.25">
      <c r="A106" s="26"/>
      <c r="B106" s="27" t="s">
        <v>259</v>
      </c>
    </row>
    <row r="107" spans="1:5" ht="15">
      <c r="A107" s="28" t="s">
        <v>229</v>
      </c>
      <c r="B107" s="28" t="s">
        <v>230</v>
      </c>
      <c r="C107" s="28" t="s">
        <v>231</v>
      </c>
      <c r="D107" s="28" t="s">
        <v>232</v>
      </c>
      <c r="E107" s="28" t="s">
        <v>233</v>
      </c>
    </row>
    <row r="108" spans="1:5" ht="12.75">
      <c r="A108" s="25" t="s">
        <v>596</v>
      </c>
      <c r="B108" s="4" t="s">
        <v>234</v>
      </c>
      <c r="C108" s="4" t="s">
        <v>283</v>
      </c>
      <c r="D108" s="4" t="s">
        <v>46</v>
      </c>
      <c r="E108" s="29" t="s">
        <v>706</v>
      </c>
    </row>
    <row r="109" spans="1:5" ht="12.75">
      <c r="A109" s="25" t="s">
        <v>592</v>
      </c>
      <c r="B109" s="4" t="s">
        <v>238</v>
      </c>
      <c r="C109" s="4" t="s">
        <v>283</v>
      </c>
      <c r="D109" s="4" t="s">
        <v>44</v>
      </c>
      <c r="E109" s="29" t="s">
        <v>707</v>
      </c>
    </row>
    <row r="111" spans="1:2" ht="14.25">
      <c r="A111" s="26"/>
      <c r="B111" s="27" t="s">
        <v>264</v>
      </c>
    </row>
    <row r="112" spans="1:5" ht="15">
      <c r="A112" s="28" t="s">
        <v>229</v>
      </c>
      <c r="B112" s="28" t="s">
        <v>230</v>
      </c>
      <c r="C112" s="28" t="s">
        <v>231</v>
      </c>
      <c r="D112" s="28" t="s">
        <v>232</v>
      </c>
      <c r="E112" s="28" t="s">
        <v>233</v>
      </c>
    </row>
    <row r="113" spans="1:5" ht="12.75">
      <c r="A113" s="25" t="s">
        <v>600</v>
      </c>
      <c r="B113" s="4" t="s">
        <v>242</v>
      </c>
      <c r="C113" s="4" t="s">
        <v>283</v>
      </c>
      <c r="D113" s="4" t="s">
        <v>170</v>
      </c>
      <c r="E113" s="29" t="s">
        <v>708</v>
      </c>
    </row>
    <row r="114" spans="1:5" ht="12.75">
      <c r="A114" s="25" t="s">
        <v>605</v>
      </c>
      <c r="B114" s="4" t="s">
        <v>242</v>
      </c>
      <c r="C114" s="4" t="s">
        <v>283</v>
      </c>
      <c r="D114" s="4" t="s">
        <v>48</v>
      </c>
      <c r="E114" s="29" t="s">
        <v>709</v>
      </c>
    </row>
    <row r="115" spans="1:5" ht="12.75">
      <c r="A115" s="25" t="s">
        <v>540</v>
      </c>
      <c r="B115" s="4" t="s">
        <v>242</v>
      </c>
      <c r="C115" s="4" t="s">
        <v>246</v>
      </c>
      <c r="D115" s="4" t="s">
        <v>69</v>
      </c>
      <c r="E115" s="29" t="s">
        <v>710</v>
      </c>
    </row>
    <row r="117" spans="1:2" ht="14.25">
      <c r="A117" s="26"/>
      <c r="B117" s="27" t="s">
        <v>244</v>
      </c>
    </row>
    <row r="118" spans="1:5" ht="15">
      <c r="A118" s="28" t="s">
        <v>229</v>
      </c>
      <c r="B118" s="28" t="s">
        <v>230</v>
      </c>
      <c r="C118" s="28" t="s">
        <v>231</v>
      </c>
      <c r="D118" s="28" t="s">
        <v>232</v>
      </c>
      <c r="E118" s="28" t="s">
        <v>233</v>
      </c>
    </row>
    <row r="119" spans="1:5" ht="12.75">
      <c r="A119" s="25" t="s">
        <v>609</v>
      </c>
      <c r="B119" s="4" t="s">
        <v>244</v>
      </c>
      <c r="C119" s="4" t="s">
        <v>283</v>
      </c>
      <c r="D119" s="4" t="s">
        <v>179</v>
      </c>
      <c r="E119" s="29" t="s">
        <v>711</v>
      </c>
    </row>
    <row r="120" spans="1:5" ht="12.75">
      <c r="A120" s="25" t="s">
        <v>645</v>
      </c>
      <c r="B120" s="4" t="s">
        <v>244</v>
      </c>
      <c r="C120" s="4" t="s">
        <v>404</v>
      </c>
      <c r="D120" s="4" t="s">
        <v>179</v>
      </c>
      <c r="E120" s="29" t="s">
        <v>712</v>
      </c>
    </row>
    <row r="121" spans="1:5" ht="12.75">
      <c r="A121" s="25" t="s">
        <v>612</v>
      </c>
      <c r="B121" s="4" t="s">
        <v>244</v>
      </c>
      <c r="C121" s="4" t="s">
        <v>283</v>
      </c>
      <c r="D121" s="4" t="s">
        <v>129</v>
      </c>
      <c r="E121" s="29" t="s">
        <v>713</v>
      </c>
    </row>
    <row r="122" spans="1:5" ht="12.75">
      <c r="A122" s="25" t="s">
        <v>682</v>
      </c>
      <c r="B122" s="4" t="s">
        <v>244</v>
      </c>
      <c r="C122" s="4" t="s">
        <v>265</v>
      </c>
      <c r="D122" s="4" t="s">
        <v>150</v>
      </c>
      <c r="E122" s="29" t="s">
        <v>714</v>
      </c>
    </row>
    <row r="123" spans="1:5" ht="12.75">
      <c r="A123" s="25" t="s">
        <v>649</v>
      </c>
      <c r="B123" s="4" t="s">
        <v>244</v>
      </c>
      <c r="C123" s="4" t="s">
        <v>404</v>
      </c>
      <c r="D123" s="4" t="s">
        <v>129</v>
      </c>
      <c r="E123" s="29" t="s">
        <v>715</v>
      </c>
    </row>
    <row r="124" spans="1:5" ht="12.75">
      <c r="A124" s="25" t="s">
        <v>617</v>
      </c>
      <c r="B124" s="4" t="s">
        <v>244</v>
      </c>
      <c r="C124" s="4" t="s">
        <v>283</v>
      </c>
      <c r="D124" s="4" t="s">
        <v>170</v>
      </c>
      <c r="E124" s="29" t="s">
        <v>716</v>
      </c>
    </row>
    <row r="125" spans="1:5" ht="12.75">
      <c r="A125" s="25" t="s">
        <v>570</v>
      </c>
      <c r="B125" s="4" t="s">
        <v>244</v>
      </c>
      <c r="C125" s="4" t="s">
        <v>276</v>
      </c>
      <c r="D125" s="4" t="s">
        <v>165</v>
      </c>
      <c r="E125" s="29" t="s">
        <v>717</v>
      </c>
    </row>
    <row r="126" spans="1:5" ht="12.75">
      <c r="A126" s="25" t="s">
        <v>548</v>
      </c>
      <c r="B126" s="4" t="s">
        <v>244</v>
      </c>
      <c r="C126" s="4" t="s">
        <v>273</v>
      </c>
      <c r="D126" s="4" t="s">
        <v>137</v>
      </c>
      <c r="E126" s="29" t="s">
        <v>718</v>
      </c>
    </row>
    <row r="127" spans="1:5" ht="12.75">
      <c r="A127" s="25" t="s">
        <v>573</v>
      </c>
      <c r="B127" s="4" t="s">
        <v>244</v>
      </c>
      <c r="C127" s="4" t="s">
        <v>276</v>
      </c>
      <c r="D127" s="4" t="s">
        <v>577</v>
      </c>
      <c r="E127" s="29" t="s">
        <v>719</v>
      </c>
    </row>
    <row r="128" spans="1:5" ht="12.75">
      <c r="A128" s="25" t="s">
        <v>653</v>
      </c>
      <c r="B128" s="4" t="s">
        <v>244</v>
      </c>
      <c r="C128" s="4" t="s">
        <v>404</v>
      </c>
      <c r="D128" s="4" t="s">
        <v>172</v>
      </c>
      <c r="E128" s="29" t="s">
        <v>720</v>
      </c>
    </row>
    <row r="129" spans="1:5" ht="12.75">
      <c r="A129" s="25" t="s">
        <v>686</v>
      </c>
      <c r="B129" s="4" t="s">
        <v>244</v>
      </c>
      <c r="C129" s="4" t="s">
        <v>265</v>
      </c>
      <c r="D129" s="4" t="s">
        <v>129</v>
      </c>
      <c r="E129" s="29" t="s">
        <v>721</v>
      </c>
    </row>
    <row r="130" spans="1:5" ht="12.75">
      <c r="A130" s="25" t="s">
        <v>578</v>
      </c>
      <c r="B130" s="4" t="s">
        <v>244</v>
      </c>
      <c r="C130" s="4" t="s">
        <v>276</v>
      </c>
      <c r="D130" s="4" t="s">
        <v>577</v>
      </c>
      <c r="E130" s="29" t="s">
        <v>722</v>
      </c>
    </row>
    <row r="131" spans="1:5" ht="12.75">
      <c r="A131" s="25" t="s">
        <v>657</v>
      </c>
      <c r="B131" s="4" t="s">
        <v>244</v>
      </c>
      <c r="C131" s="4" t="s">
        <v>404</v>
      </c>
      <c r="D131" s="4" t="s">
        <v>172</v>
      </c>
      <c r="E131" s="29" t="s">
        <v>723</v>
      </c>
    </row>
    <row r="132" spans="1:5" ht="12.75">
      <c r="A132" s="25" t="s">
        <v>552</v>
      </c>
      <c r="B132" s="4" t="s">
        <v>244</v>
      </c>
      <c r="C132" s="4" t="s">
        <v>273</v>
      </c>
      <c r="D132" s="4" t="s">
        <v>99</v>
      </c>
      <c r="E132" s="29" t="s">
        <v>724</v>
      </c>
    </row>
    <row r="133" spans="1:5" ht="12.75">
      <c r="A133" s="25" t="s">
        <v>555</v>
      </c>
      <c r="B133" s="4" t="s">
        <v>244</v>
      </c>
      <c r="C133" s="4" t="s">
        <v>273</v>
      </c>
      <c r="D133" s="4" t="s">
        <v>442</v>
      </c>
      <c r="E133" s="29" t="s">
        <v>725</v>
      </c>
    </row>
    <row r="134" spans="1:5" ht="12.75">
      <c r="A134" s="25" t="s">
        <v>621</v>
      </c>
      <c r="B134" s="4" t="s">
        <v>244</v>
      </c>
      <c r="C134" s="4" t="s">
        <v>283</v>
      </c>
      <c r="D134" s="4" t="s">
        <v>165</v>
      </c>
      <c r="E134" s="29" t="s">
        <v>726</v>
      </c>
    </row>
    <row r="135" spans="1:5" ht="12.75">
      <c r="A135" s="25" t="s">
        <v>559</v>
      </c>
      <c r="B135" s="4" t="s">
        <v>244</v>
      </c>
      <c r="C135" s="4" t="s">
        <v>273</v>
      </c>
      <c r="D135" s="4" t="s">
        <v>442</v>
      </c>
      <c r="E135" s="29" t="s">
        <v>727</v>
      </c>
    </row>
    <row r="136" spans="1:5" ht="12.75">
      <c r="A136" s="25" t="s">
        <v>581</v>
      </c>
      <c r="B136" s="4" t="s">
        <v>244</v>
      </c>
      <c r="C136" s="4" t="s">
        <v>276</v>
      </c>
      <c r="D136" s="4" t="s">
        <v>49</v>
      </c>
      <c r="E136" s="29" t="s">
        <v>728</v>
      </c>
    </row>
    <row r="137" spans="1:5" ht="12.75">
      <c r="A137" s="25" t="s">
        <v>662</v>
      </c>
      <c r="B137" s="4" t="s">
        <v>244</v>
      </c>
      <c r="C137" s="4" t="s">
        <v>404</v>
      </c>
      <c r="D137" s="4" t="s">
        <v>349</v>
      </c>
      <c r="E137" s="29" t="s">
        <v>729</v>
      </c>
    </row>
    <row r="138" spans="1:5" ht="12.75">
      <c r="A138" s="25" t="s">
        <v>666</v>
      </c>
      <c r="B138" s="4" t="s">
        <v>244</v>
      </c>
      <c r="C138" s="4" t="s">
        <v>404</v>
      </c>
      <c r="D138" s="4" t="s">
        <v>170</v>
      </c>
      <c r="E138" s="29" t="s">
        <v>730</v>
      </c>
    </row>
    <row r="139" spans="1:5" ht="12.75">
      <c r="A139" s="25" t="s">
        <v>690</v>
      </c>
      <c r="B139" s="4" t="s">
        <v>244</v>
      </c>
      <c r="C139" s="4" t="s">
        <v>265</v>
      </c>
      <c r="D139" s="4" t="s">
        <v>348</v>
      </c>
      <c r="E139" s="29" t="s">
        <v>731</v>
      </c>
    </row>
    <row r="140" spans="1:5" ht="12.75">
      <c r="A140" s="25" t="s">
        <v>585</v>
      </c>
      <c r="B140" s="4" t="s">
        <v>244</v>
      </c>
      <c r="C140" s="4" t="s">
        <v>276</v>
      </c>
      <c r="D140" s="4" t="s">
        <v>152</v>
      </c>
      <c r="E140" s="29" t="s">
        <v>732</v>
      </c>
    </row>
    <row r="141" spans="1:5" ht="12.75">
      <c r="A141" s="25" t="s">
        <v>624</v>
      </c>
      <c r="B141" s="4" t="s">
        <v>244</v>
      </c>
      <c r="C141" s="4" t="s">
        <v>283</v>
      </c>
      <c r="D141" s="4" t="s">
        <v>48</v>
      </c>
      <c r="E141" s="29" t="s">
        <v>733</v>
      </c>
    </row>
    <row r="142" spans="1:5" ht="12.75">
      <c r="A142" s="25" t="s">
        <v>562</v>
      </c>
      <c r="B142" s="4" t="s">
        <v>244</v>
      </c>
      <c r="C142" s="4" t="s">
        <v>273</v>
      </c>
      <c r="D142" s="4" t="s">
        <v>566</v>
      </c>
      <c r="E142" s="29" t="s">
        <v>734</v>
      </c>
    </row>
    <row r="144" spans="1:2" ht="14.25">
      <c r="A144" s="26"/>
      <c r="B144" s="27" t="s">
        <v>255</v>
      </c>
    </row>
    <row r="145" spans="1:5" ht="15">
      <c r="A145" s="28" t="s">
        <v>229</v>
      </c>
      <c r="B145" s="28" t="s">
        <v>230</v>
      </c>
      <c r="C145" s="28" t="s">
        <v>231</v>
      </c>
      <c r="D145" s="28" t="s">
        <v>232</v>
      </c>
      <c r="E145" s="28" t="s">
        <v>233</v>
      </c>
    </row>
    <row r="146" spans="1:5" ht="12.75">
      <c r="A146" s="25" t="s">
        <v>677</v>
      </c>
      <c r="B146" s="4" t="s">
        <v>735</v>
      </c>
      <c r="C146" s="4" t="s">
        <v>404</v>
      </c>
      <c r="D146" s="4" t="s">
        <v>442</v>
      </c>
      <c r="E146" s="29" t="s">
        <v>736</v>
      </c>
    </row>
    <row r="147" spans="1:5" ht="12.75">
      <c r="A147" s="25" t="s">
        <v>641</v>
      </c>
      <c r="B147" s="4" t="s">
        <v>292</v>
      </c>
      <c r="C147" s="4" t="s">
        <v>283</v>
      </c>
      <c r="D147" s="4" t="s">
        <v>57</v>
      </c>
      <c r="E147" s="29" t="s">
        <v>737</v>
      </c>
    </row>
    <row r="148" spans="1:5" ht="12.75">
      <c r="A148" s="25" t="s">
        <v>637</v>
      </c>
      <c r="B148" s="4" t="s">
        <v>469</v>
      </c>
      <c r="C148" s="4" t="s">
        <v>283</v>
      </c>
      <c r="D148" s="4" t="s">
        <v>49</v>
      </c>
      <c r="E148" s="29" t="s">
        <v>738</v>
      </c>
    </row>
    <row r="149" spans="1:5" ht="12.75">
      <c r="A149" s="25" t="s">
        <v>630</v>
      </c>
      <c r="B149" s="4" t="s">
        <v>256</v>
      </c>
      <c r="C149" s="4" t="s">
        <v>283</v>
      </c>
      <c r="D149" s="4" t="s">
        <v>165</v>
      </c>
      <c r="E149" s="29" t="s">
        <v>739</v>
      </c>
    </row>
    <row r="150" spans="1:5" ht="12.75">
      <c r="A150" s="25" t="s">
        <v>196</v>
      </c>
      <c r="B150" s="4" t="s">
        <v>301</v>
      </c>
      <c r="C150" s="4" t="s">
        <v>283</v>
      </c>
      <c r="D150" s="4" t="s">
        <v>45</v>
      </c>
      <c r="E150" s="29" t="s">
        <v>740</v>
      </c>
    </row>
    <row r="151" spans="1:5" ht="12.75">
      <c r="A151" s="25" t="s">
        <v>567</v>
      </c>
      <c r="B151" s="4" t="s">
        <v>256</v>
      </c>
      <c r="C151" s="4" t="s">
        <v>273</v>
      </c>
      <c r="D151" s="4" t="s">
        <v>48</v>
      </c>
      <c r="E151" s="29" t="s">
        <v>741</v>
      </c>
    </row>
    <row r="152" spans="1:5" ht="12.75">
      <c r="A152" s="25" t="s">
        <v>633</v>
      </c>
      <c r="B152" s="4" t="s">
        <v>256</v>
      </c>
      <c r="C152" s="4" t="s">
        <v>283</v>
      </c>
      <c r="D152" s="4" t="s">
        <v>100</v>
      </c>
      <c r="E152" s="29" t="s">
        <v>742</v>
      </c>
    </row>
    <row r="153" spans="1:5" ht="12.75">
      <c r="A153" s="25" t="s">
        <v>695</v>
      </c>
      <c r="B153" s="4" t="s">
        <v>256</v>
      </c>
      <c r="C153" s="4" t="s">
        <v>391</v>
      </c>
      <c r="D153" s="4" t="s">
        <v>165</v>
      </c>
      <c r="E153" s="29" t="s">
        <v>743</v>
      </c>
    </row>
    <row r="154" spans="1:5" ht="12.75">
      <c r="A154" s="25" t="s">
        <v>674</v>
      </c>
      <c r="B154" s="4" t="s">
        <v>256</v>
      </c>
      <c r="C154" s="4" t="s">
        <v>404</v>
      </c>
      <c r="D154" s="4" t="s">
        <v>99</v>
      </c>
      <c r="E154" s="29" t="s">
        <v>744</v>
      </c>
    </row>
  </sheetData>
  <sheetProtection/>
  <mergeCells count="23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60:L60"/>
    <mergeCell ref="A71:L71"/>
    <mergeCell ref="A76:L76"/>
    <mergeCell ref="A17:L17"/>
    <mergeCell ref="A20:L20"/>
    <mergeCell ref="A23:L23"/>
    <mergeCell ref="A26:L26"/>
    <mergeCell ref="A35:L35"/>
    <mergeCell ref="A43:L4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500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7" t="s">
        <v>207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11" t="s">
        <v>505</v>
      </c>
      <c r="B6" s="11" t="s">
        <v>506</v>
      </c>
      <c r="C6" s="11" t="s">
        <v>507</v>
      </c>
      <c r="D6" s="11" t="str">
        <f>"0,5395"</f>
        <v>0,5395</v>
      </c>
      <c r="E6" s="11" t="s">
        <v>29</v>
      </c>
      <c r="F6" s="11" t="s">
        <v>113</v>
      </c>
      <c r="G6" s="13" t="s">
        <v>99</v>
      </c>
      <c r="H6" s="12" t="s">
        <v>99</v>
      </c>
      <c r="I6" s="12" t="s">
        <v>100</v>
      </c>
      <c r="J6" s="13"/>
      <c r="K6" s="11" t="str">
        <f>"140,0"</f>
        <v>140,0</v>
      </c>
      <c r="L6" s="12" t="str">
        <f>"76,2853"</f>
        <v>76,2853</v>
      </c>
      <c r="M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2" ht="15">
      <c r="A17" s="24" t="s">
        <v>258</v>
      </c>
      <c r="B17" s="24"/>
    </row>
    <row r="18" spans="1:2" ht="14.25">
      <c r="A18" s="26"/>
      <c r="B18" s="27" t="s">
        <v>264</v>
      </c>
    </row>
    <row r="19" spans="1:5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ht="12.75">
      <c r="A20" s="25" t="s">
        <v>504</v>
      </c>
      <c r="B20" s="4" t="s">
        <v>242</v>
      </c>
      <c r="C20" s="4" t="s">
        <v>265</v>
      </c>
      <c r="D20" s="4" t="s">
        <v>100</v>
      </c>
      <c r="E20" s="29" t="s">
        <v>508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496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207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497</v>
      </c>
      <c r="B6" s="11" t="s">
        <v>381</v>
      </c>
      <c r="C6" s="11" t="s">
        <v>498</v>
      </c>
      <c r="D6" s="11" t="str">
        <f>"0,5414"</f>
        <v>0,5414</v>
      </c>
      <c r="E6" s="11" t="s">
        <v>29</v>
      </c>
      <c r="F6" s="11" t="s">
        <v>105</v>
      </c>
      <c r="G6" s="12" t="s">
        <v>48</v>
      </c>
      <c r="H6" s="12" t="s">
        <v>100</v>
      </c>
      <c r="I6" s="12" t="s">
        <v>189</v>
      </c>
      <c r="J6" s="13"/>
      <c r="K6" s="11" t="str">
        <f>"145,0"</f>
        <v>145,0</v>
      </c>
      <c r="L6" s="12" t="str">
        <f>"78,5030"</f>
        <v>78,5030</v>
      </c>
      <c r="M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2" ht="15">
      <c r="A17" s="24" t="s">
        <v>258</v>
      </c>
      <c r="B17" s="24"/>
    </row>
    <row r="18" spans="1:2" ht="14.25">
      <c r="A18" s="26"/>
      <c r="B18" s="27" t="s">
        <v>244</v>
      </c>
    </row>
    <row r="19" spans="1:5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ht="12.75">
      <c r="A20" s="25" t="s">
        <v>379</v>
      </c>
      <c r="B20" s="4" t="s">
        <v>244</v>
      </c>
      <c r="C20" s="4" t="s">
        <v>265</v>
      </c>
      <c r="D20" s="4" t="s">
        <v>189</v>
      </c>
      <c r="E20" s="29" t="s">
        <v>499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477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479</v>
      </c>
      <c r="B6" s="11" t="s">
        <v>480</v>
      </c>
      <c r="C6" s="11" t="s">
        <v>481</v>
      </c>
      <c r="D6" s="11" t="str">
        <f>"0,7367"</f>
        <v>0,7367</v>
      </c>
      <c r="E6" s="11" t="s">
        <v>482</v>
      </c>
      <c r="F6" s="11" t="s">
        <v>212</v>
      </c>
      <c r="G6" s="12" t="s">
        <v>97</v>
      </c>
      <c r="H6" s="12" t="s">
        <v>72</v>
      </c>
      <c r="I6" s="12" t="s">
        <v>107</v>
      </c>
      <c r="J6" s="13"/>
      <c r="K6" s="11" t="str">
        <f>"125,0"</f>
        <v>125,0</v>
      </c>
      <c r="L6" s="12" t="str">
        <f>"92,0875"</f>
        <v>92,0875</v>
      </c>
      <c r="M6" s="11" t="s">
        <v>60</v>
      </c>
    </row>
    <row r="8" spans="1:12" ht="15">
      <c r="A8" s="47" t="s">
        <v>354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5" t="s">
        <v>484</v>
      </c>
      <c r="B9" s="15" t="s">
        <v>485</v>
      </c>
      <c r="C9" s="15" t="s">
        <v>486</v>
      </c>
      <c r="D9" s="15" t="str">
        <f>"0,5751"</f>
        <v>0,5751</v>
      </c>
      <c r="E9" s="15" t="s">
        <v>482</v>
      </c>
      <c r="F9" s="15" t="s">
        <v>212</v>
      </c>
      <c r="G9" s="16" t="s">
        <v>45</v>
      </c>
      <c r="H9" s="16" t="s">
        <v>442</v>
      </c>
      <c r="I9" s="17" t="s">
        <v>100</v>
      </c>
      <c r="J9" s="17"/>
      <c r="K9" s="15" t="str">
        <f>"132,5"</f>
        <v>132,5</v>
      </c>
      <c r="L9" s="16" t="str">
        <f>"76,2008"</f>
        <v>76,2008</v>
      </c>
      <c r="M9" s="15" t="s">
        <v>60</v>
      </c>
    </row>
    <row r="10" spans="1:13" ht="12.75">
      <c r="A10" s="21" t="s">
        <v>488</v>
      </c>
      <c r="B10" s="21" t="s">
        <v>489</v>
      </c>
      <c r="C10" s="21" t="s">
        <v>490</v>
      </c>
      <c r="D10" s="21" t="str">
        <f>"0,5599"</f>
        <v>0,5599</v>
      </c>
      <c r="E10" s="21" t="s">
        <v>29</v>
      </c>
      <c r="F10" s="21" t="s">
        <v>491</v>
      </c>
      <c r="G10" s="22" t="s">
        <v>152</v>
      </c>
      <c r="H10" s="22" t="s">
        <v>442</v>
      </c>
      <c r="I10" s="22" t="s">
        <v>137</v>
      </c>
      <c r="J10" s="23"/>
      <c r="K10" s="21" t="str">
        <f>"137,5"</f>
        <v>137,5</v>
      </c>
      <c r="L10" s="22" t="str">
        <f>"90,3049"</f>
        <v>90,3049</v>
      </c>
      <c r="M10" s="21" t="s">
        <v>60</v>
      </c>
    </row>
    <row r="12" ht="15">
      <c r="E12" s="9" t="s">
        <v>13</v>
      </c>
    </row>
    <row r="13" ht="15">
      <c r="E13" s="9" t="s">
        <v>14</v>
      </c>
    </row>
    <row r="14" ht="15">
      <c r="E14" s="9" t="s">
        <v>15</v>
      </c>
    </row>
    <row r="15" ht="15">
      <c r="E15" s="9" t="s">
        <v>16</v>
      </c>
    </row>
    <row r="16" ht="15">
      <c r="E16" s="9" t="s">
        <v>16</v>
      </c>
    </row>
    <row r="17" ht="15">
      <c r="E17" s="9" t="s">
        <v>17</v>
      </c>
    </row>
    <row r="18" ht="15">
      <c r="E18" s="9"/>
    </row>
    <row r="20" spans="1:2" ht="18">
      <c r="A20" s="10" t="s">
        <v>18</v>
      </c>
      <c r="B20" s="10"/>
    </row>
    <row r="21" spans="1:2" ht="15">
      <c r="A21" s="24" t="s">
        <v>258</v>
      </c>
      <c r="B21" s="24"/>
    </row>
    <row r="22" spans="1:2" ht="14.25">
      <c r="A22" s="26"/>
      <c r="B22" s="27" t="s">
        <v>244</v>
      </c>
    </row>
    <row r="23" spans="1:5" ht="15">
      <c r="A23" s="28" t="s">
        <v>229</v>
      </c>
      <c r="B23" s="28" t="s">
        <v>230</v>
      </c>
      <c r="C23" s="28" t="s">
        <v>231</v>
      </c>
      <c r="D23" s="28" t="s">
        <v>232</v>
      </c>
      <c r="E23" s="28" t="s">
        <v>233</v>
      </c>
    </row>
    <row r="24" spans="1:5" ht="12.75">
      <c r="A24" s="25" t="s">
        <v>478</v>
      </c>
      <c r="B24" s="4" t="s">
        <v>244</v>
      </c>
      <c r="C24" s="4" t="s">
        <v>246</v>
      </c>
      <c r="D24" s="4" t="s">
        <v>107</v>
      </c>
      <c r="E24" s="29" t="s">
        <v>492</v>
      </c>
    </row>
    <row r="25" spans="1:5" ht="12.75">
      <c r="A25" s="25" t="s">
        <v>483</v>
      </c>
      <c r="B25" s="4" t="s">
        <v>244</v>
      </c>
      <c r="C25" s="4" t="s">
        <v>404</v>
      </c>
      <c r="D25" s="4" t="s">
        <v>442</v>
      </c>
      <c r="E25" s="29" t="s">
        <v>493</v>
      </c>
    </row>
    <row r="27" spans="1:2" ht="14.25">
      <c r="A27" s="26"/>
      <c r="B27" s="27" t="s">
        <v>255</v>
      </c>
    </row>
    <row r="28" spans="1:5" ht="15">
      <c r="A28" s="28" t="s">
        <v>229</v>
      </c>
      <c r="B28" s="28" t="s">
        <v>230</v>
      </c>
      <c r="C28" s="28" t="s">
        <v>231</v>
      </c>
      <c r="D28" s="28" t="s">
        <v>232</v>
      </c>
      <c r="E28" s="28" t="s">
        <v>233</v>
      </c>
    </row>
    <row r="29" spans="1:5" ht="12.75">
      <c r="A29" s="25" t="s">
        <v>487</v>
      </c>
      <c r="B29" s="4" t="s">
        <v>301</v>
      </c>
      <c r="C29" s="4" t="s">
        <v>404</v>
      </c>
      <c r="D29" s="4" t="s">
        <v>137</v>
      </c>
      <c r="E29" s="29" t="s">
        <v>494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4.125" style="4" bestFit="1" customWidth="1"/>
    <col min="22" max="16384" width="9.125" style="3" customWidth="1"/>
  </cols>
  <sheetData>
    <row r="1" spans="1:21" s="2" customFormat="1" ht="28.5" customHeight="1">
      <c r="A1" s="51" t="s">
        <v>437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22</v>
      </c>
      <c r="L3" s="46"/>
      <c r="M3" s="46"/>
      <c r="N3" s="46"/>
      <c r="O3" s="46" t="s">
        <v>23</v>
      </c>
      <c r="P3" s="46"/>
      <c r="Q3" s="46"/>
      <c r="R3" s="46"/>
      <c r="S3" s="46" t="s">
        <v>4</v>
      </c>
      <c r="T3" s="46" t="s">
        <v>6</v>
      </c>
      <c r="U3" s="34" t="s">
        <v>5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5"/>
      <c r="T4" s="45"/>
      <c r="U4" s="35"/>
    </row>
    <row r="5" spans="1:20" ht="15">
      <c r="A5" s="49" t="s">
        <v>354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5" t="s">
        <v>439</v>
      </c>
      <c r="B6" s="15" t="s">
        <v>440</v>
      </c>
      <c r="C6" s="15" t="s">
        <v>441</v>
      </c>
      <c r="D6" s="15" t="str">
        <f>"0,5573"</f>
        <v>0,5573</v>
      </c>
      <c r="E6" s="15" t="s">
        <v>29</v>
      </c>
      <c r="F6" s="15" t="s">
        <v>322</v>
      </c>
      <c r="G6" s="16" t="s">
        <v>151</v>
      </c>
      <c r="H6" s="16" t="s">
        <v>221</v>
      </c>
      <c r="I6" s="17" t="s">
        <v>368</v>
      </c>
      <c r="J6" s="17"/>
      <c r="K6" s="16" t="s">
        <v>97</v>
      </c>
      <c r="L6" s="16" t="s">
        <v>107</v>
      </c>
      <c r="M6" s="16" t="s">
        <v>442</v>
      </c>
      <c r="N6" s="17"/>
      <c r="O6" s="16" t="s">
        <v>179</v>
      </c>
      <c r="P6" s="16" t="s">
        <v>181</v>
      </c>
      <c r="Q6" s="16" t="s">
        <v>213</v>
      </c>
      <c r="R6" s="17"/>
      <c r="S6" s="15" t="str">
        <f>"547,5"</f>
        <v>547,5</v>
      </c>
      <c r="T6" s="16" t="str">
        <f>"317,3266"</f>
        <v>317,3266</v>
      </c>
      <c r="U6" s="15" t="s">
        <v>323</v>
      </c>
    </row>
    <row r="7" spans="1:21" ht="12.75">
      <c r="A7" s="21" t="s">
        <v>444</v>
      </c>
      <c r="B7" s="21" t="s">
        <v>445</v>
      </c>
      <c r="C7" s="21" t="s">
        <v>446</v>
      </c>
      <c r="D7" s="21" t="str">
        <f>"0,5620"</f>
        <v>0,5620</v>
      </c>
      <c r="E7" s="21" t="s">
        <v>66</v>
      </c>
      <c r="F7" s="21" t="s">
        <v>67</v>
      </c>
      <c r="G7" s="22" t="s">
        <v>213</v>
      </c>
      <c r="H7" s="22" t="s">
        <v>154</v>
      </c>
      <c r="I7" s="22" t="s">
        <v>155</v>
      </c>
      <c r="J7" s="23"/>
      <c r="K7" s="22" t="s">
        <v>221</v>
      </c>
      <c r="L7" s="23" t="s">
        <v>222</v>
      </c>
      <c r="M7" s="22" t="s">
        <v>222</v>
      </c>
      <c r="N7" s="23"/>
      <c r="O7" s="22" t="s">
        <v>155</v>
      </c>
      <c r="P7" s="22" t="s">
        <v>215</v>
      </c>
      <c r="Q7" s="23" t="s">
        <v>447</v>
      </c>
      <c r="R7" s="23"/>
      <c r="S7" s="21" t="str">
        <f>"700,0"</f>
        <v>700,0</v>
      </c>
      <c r="T7" s="22" t="str">
        <f>"393,4350"</f>
        <v>393,4350</v>
      </c>
      <c r="U7" s="21" t="s">
        <v>73</v>
      </c>
    </row>
    <row r="9" spans="1:20" ht="15">
      <c r="A9" s="47" t="s">
        <v>207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1" ht="12.75">
      <c r="A10" s="15" t="s">
        <v>451</v>
      </c>
      <c r="B10" s="15" t="s">
        <v>452</v>
      </c>
      <c r="C10" s="15" t="s">
        <v>453</v>
      </c>
      <c r="D10" s="15" t="str">
        <f>"0,5375"</f>
        <v>0,5375</v>
      </c>
      <c r="E10" s="15" t="s">
        <v>309</v>
      </c>
      <c r="F10" s="15" t="s">
        <v>67</v>
      </c>
      <c r="G10" s="17" t="s">
        <v>155</v>
      </c>
      <c r="H10" s="17" t="s">
        <v>155</v>
      </c>
      <c r="I10" s="16" t="s">
        <v>155</v>
      </c>
      <c r="J10" s="17"/>
      <c r="K10" s="16" t="s">
        <v>213</v>
      </c>
      <c r="L10" s="16" t="s">
        <v>155</v>
      </c>
      <c r="M10" s="16" t="s">
        <v>182</v>
      </c>
      <c r="N10" s="17"/>
      <c r="O10" s="16" t="s">
        <v>182</v>
      </c>
      <c r="P10" s="16" t="s">
        <v>216</v>
      </c>
      <c r="Q10" s="16" t="s">
        <v>377</v>
      </c>
      <c r="R10" s="17"/>
      <c r="S10" s="15" t="str">
        <f>"770,0"</f>
        <v>770,0</v>
      </c>
      <c r="T10" s="16" t="str">
        <f>"413,8750"</f>
        <v>413,8750</v>
      </c>
      <c r="U10" s="15" t="s">
        <v>454</v>
      </c>
    </row>
    <row r="11" spans="1:21" ht="12.75">
      <c r="A11" s="21" t="s">
        <v>456</v>
      </c>
      <c r="B11" s="21" t="s">
        <v>457</v>
      </c>
      <c r="C11" s="21" t="s">
        <v>458</v>
      </c>
      <c r="D11" s="21" t="str">
        <f>"0,5410"</f>
        <v>0,5410</v>
      </c>
      <c r="E11" s="21" t="s">
        <v>29</v>
      </c>
      <c r="F11" s="21" t="s">
        <v>143</v>
      </c>
      <c r="G11" s="22" t="s">
        <v>315</v>
      </c>
      <c r="H11" s="22" t="s">
        <v>182</v>
      </c>
      <c r="I11" s="22" t="s">
        <v>183</v>
      </c>
      <c r="J11" s="23"/>
      <c r="K11" s="22" t="s">
        <v>179</v>
      </c>
      <c r="L11" s="22" t="s">
        <v>222</v>
      </c>
      <c r="M11" s="22" t="s">
        <v>181</v>
      </c>
      <c r="N11" s="23"/>
      <c r="O11" s="23" t="s">
        <v>314</v>
      </c>
      <c r="P11" s="22" t="s">
        <v>154</v>
      </c>
      <c r="Q11" s="22" t="s">
        <v>182</v>
      </c>
      <c r="R11" s="23"/>
      <c r="S11" s="21" t="str">
        <f>"720,0"</f>
        <v>720,0</v>
      </c>
      <c r="T11" s="22" t="str">
        <f>"416,3969"</f>
        <v>416,3969</v>
      </c>
      <c r="U11" s="21" t="s">
        <v>60</v>
      </c>
    </row>
    <row r="13" spans="1:20" ht="15">
      <c r="A13" s="47" t="s">
        <v>459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1" ht="12.75">
      <c r="A14" s="11" t="s">
        <v>461</v>
      </c>
      <c r="B14" s="11" t="s">
        <v>462</v>
      </c>
      <c r="C14" s="11" t="s">
        <v>463</v>
      </c>
      <c r="D14" s="11" t="str">
        <f>"0,5092"</f>
        <v>0,5092</v>
      </c>
      <c r="E14" s="11" t="s">
        <v>464</v>
      </c>
      <c r="F14" s="11" t="s">
        <v>335</v>
      </c>
      <c r="G14" s="12" t="s">
        <v>213</v>
      </c>
      <c r="H14" s="13" t="s">
        <v>154</v>
      </c>
      <c r="I14" s="13" t="s">
        <v>154</v>
      </c>
      <c r="J14" s="13"/>
      <c r="K14" s="13" t="s">
        <v>128</v>
      </c>
      <c r="L14" s="12" t="s">
        <v>195</v>
      </c>
      <c r="M14" s="12" t="s">
        <v>160</v>
      </c>
      <c r="N14" s="13"/>
      <c r="O14" s="13" t="s">
        <v>314</v>
      </c>
      <c r="P14" s="12" t="s">
        <v>314</v>
      </c>
      <c r="Q14" s="13" t="s">
        <v>315</v>
      </c>
      <c r="R14" s="13"/>
      <c r="S14" s="11" t="str">
        <f>"620,0"</f>
        <v>620,0</v>
      </c>
      <c r="T14" s="12" t="str">
        <f>"370,3499"</f>
        <v>370,3499</v>
      </c>
      <c r="U14" s="11" t="s">
        <v>465</v>
      </c>
    </row>
    <row r="16" ht="15">
      <c r="E16" s="9" t="s">
        <v>13</v>
      </c>
    </row>
    <row r="17" ht="15">
      <c r="E17" s="9" t="s">
        <v>14</v>
      </c>
    </row>
    <row r="18" ht="15">
      <c r="E18" s="9" t="s">
        <v>15</v>
      </c>
    </row>
    <row r="19" ht="15">
      <c r="E19" s="9" t="s">
        <v>16</v>
      </c>
    </row>
    <row r="20" ht="15">
      <c r="E20" s="9" t="s">
        <v>16</v>
      </c>
    </row>
    <row r="21" ht="15">
      <c r="E21" s="9" t="s">
        <v>17</v>
      </c>
    </row>
    <row r="22" ht="15">
      <c r="E22" s="9"/>
    </row>
    <row r="24" spans="1:2" ht="18">
      <c r="A24" s="10" t="s">
        <v>18</v>
      </c>
      <c r="B24" s="10"/>
    </row>
    <row r="25" spans="1:2" ht="15">
      <c r="A25" s="24" t="s">
        <v>258</v>
      </c>
      <c r="B25" s="24"/>
    </row>
    <row r="26" spans="1:2" ht="14.25">
      <c r="A26" s="26"/>
      <c r="B26" s="27" t="s">
        <v>259</v>
      </c>
    </row>
    <row r="27" spans="1:5" ht="15">
      <c r="A27" s="28" t="s">
        <v>229</v>
      </c>
      <c r="B27" s="28" t="s">
        <v>230</v>
      </c>
      <c r="C27" s="28" t="s">
        <v>231</v>
      </c>
      <c r="D27" s="28" t="s">
        <v>232</v>
      </c>
      <c r="E27" s="28" t="s">
        <v>233</v>
      </c>
    </row>
    <row r="28" spans="1:5" ht="12.75">
      <c r="A28" s="25" t="s">
        <v>438</v>
      </c>
      <c r="B28" s="4" t="s">
        <v>234</v>
      </c>
      <c r="C28" s="4" t="s">
        <v>404</v>
      </c>
      <c r="D28" s="4" t="s">
        <v>274</v>
      </c>
      <c r="E28" s="29" t="s">
        <v>466</v>
      </c>
    </row>
    <row r="30" spans="1:2" ht="14.25">
      <c r="A30" s="26"/>
      <c r="B30" s="27" t="s">
        <v>244</v>
      </c>
    </row>
    <row r="31" spans="1:5" ht="15">
      <c r="A31" s="28" t="s">
        <v>229</v>
      </c>
      <c r="B31" s="28" t="s">
        <v>230</v>
      </c>
      <c r="C31" s="28" t="s">
        <v>231</v>
      </c>
      <c r="D31" s="28" t="s">
        <v>232</v>
      </c>
      <c r="E31" s="28" t="s">
        <v>233</v>
      </c>
    </row>
    <row r="32" spans="1:5" ht="12.75">
      <c r="A32" s="25" t="s">
        <v>443</v>
      </c>
      <c r="B32" s="4" t="s">
        <v>244</v>
      </c>
      <c r="C32" s="4" t="s">
        <v>404</v>
      </c>
      <c r="D32" s="4" t="s">
        <v>467</v>
      </c>
      <c r="E32" s="29" t="s">
        <v>468</v>
      </c>
    </row>
    <row r="34" spans="1:2" ht="14.25">
      <c r="A34" s="26"/>
      <c r="B34" s="27" t="s">
        <v>255</v>
      </c>
    </row>
    <row r="35" spans="1:5" ht="15">
      <c r="A35" s="28" t="s">
        <v>229</v>
      </c>
      <c r="B35" s="28" t="s">
        <v>230</v>
      </c>
      <c r="C35" s="28" t="s">
        <v>231</v>
      </c>
      <c r="D35" s="28" t="s">
        <v>232</v>
      </c>
      <c r="E35" s="28" t="s">
        <v>233</v>
      </c>
    </row>
    <row r="36" spans="1:5" ht="12.75">
      <c r="A36" s="25" t="s">
        <v>455</v>
      </c>
      <c r="B36" s="4" t="s">
        <v>469</v>
      </c>
      <c r="C36" s="4" t="s">
        <v>265</v>
      </c>
      <c r="D36" s="4" t="s">
        <v>470</v>
      </c>
      <c r="E36" s="29" t="s">
        <v>471</v>
      </c>
    </row>
    <row r="37" spans="1:5" ht="12.75">
      <c r="A37" s="25" t="s">
        <v>450</v>
      </c>
      <c r="B37" s="4" t="s">
        <v>256</v>
      </c>
      <c r="C37" s="4" t="s">
        <v>265</v>
      </c>
      <c r="D37" s="4" t="s">
        <v>472</v>
      </c>
      <c r="E37" s="29" t="s">
        <v>473</v>
      </c>
    </row>
    <row r="38" spans="1:5" ht="12.75">
      <c r="A38" s="25" t="s">
        <v>460</v>
      </c>
      <c r="B38" s="4" t="s">
        <v>301</v>
      </c>
      <c r="C38" s="4" t="s">
        <v>474</v>
      </c>
      <c r="D38" s="4" t="s">
        <v>475</v>
      </c>
      <c r="E38" s="29" t="s">
        <v>476</v>
      </c>
    </row>
  </sheetData>
  <sheetProtection/>
  <mergeCells count="16"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625" style="4" bestFit="1" customWidth="1"/>
    <col min="22" max="16384" width="9.125" style="3" customWidth="1"/>
  </cols>
  <sheetData>
    <row r="1" spans="1:21" s="2" customFormat="1" ht="28.5" customHeight="1">
      <c r="A1" s="51" t="s">
        <v>421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22</v>
      </c>
      <c r="L3" s="46"/>
      <c r="M3" s="46"/>
      <c r="N3" s="46"/>
      <c r="O3" s="46" t="s">
        <v>23</v>
      </c>
      <c r="P3" s="46"/>
      <c r="Q3" s="46"/>
      <c r="R3" s="46"/>
      <c r="S3" s="46" t="s">
        <v>4</v>
      </c>
      <c r="T3" s="46" t="s">
        <v>6</v>
      </c>
      <c r="U3" s="34" t="s">
        <v>5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5"/>
      <c r="T4" s="45"/>
      <c r="U4" s="35"/>
    </row>
    <row r="5" spans="1:20" ht="15">
      <c r="A5" s="49" t="s">
        <v>145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1" t="s">
        <v>422</v>
      </c>
      <c r="B6" s="11" t="s">
        <v>423</v>
      </c>
      <c r="C6" s="11" t="s">
        <v>169</v>
      </c>
      <c r="D6" s="11" t="str">
        <f>"0,7247"</f>
        <v>0,7247</v>
      </c>
      <c r="E6" s="11" t="s">
        <v>54</v>
      </c>
      <c r="F6" s="11" t="s">
        <v>55</v>
      </c>
      <c r="G6" s="12" t="s">
        <v>46</v>
      </c>
      <c r="H6" s="12" t="s">
        <v>107</v>
      </c>
      <c r="I6" s="12" t="s">
        <v>48</v>
      </c>
      <c r="J6" s="13"/>
      <c r="K6" s="13" t="s">
        <v>56</v>
      </c>
      <c r="L6" s="13" t="s">
        <v>56</v>
      </c>
      <c r="M6" s="13" t="s">
        <v>56</v>
      </c>
      <c r="N6" s="13"/>
      <c r="O6" s="13" t="s">
        <v>45</v>
      </c>
      <c r="P6" s="13"/>
      <c r="Q6" s="13"/>
      <c r="R6" s="13"/>
      <c r="S6" s="11" t="str">
        <f>"0.00"</f>
        <v>0.00</v>
      </c>
      <c r="T6" s="12" t="str">
        <f>"0,0000"</f>
        <v>0,0000</v>
      </c>
      <c r="U6" s="11" t="s">
        <v>60</v>
      </c>
    </row>
    <row r="8" spans="1:20" ht="15">
      <c r="A8" s="47" t="s">
        <v>173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11" t="s">
        <v>425</v>
      </c>
      <c r="B9" s="11" t="s">
        <v>426</v>
      </c>
      <c r="C9" s="11" t="s">
        <v>427</v>
      </c>
      <c r="D9" s="11" t="str">
        <f>"0,6279"</f>
        <v>0,6279</v>
      </c>
      <c r="E9" s="11" t="s">
        <v>29</v>
      </c>
      <c r="F9" s="11" t="s">
        <v>113</v>
      </c>
      <c r="G9" s="12" t="s">
        <v>151</v>
      </c>
      <c r="H9" s="13" t="s">
        <v>221</v>
      </c>
      <c r="I9" s="12" t="s">
        <v>221</v>
      </c>
      <c r="J9" s="13"/>
      <c r="K9" s="12" t="s">
        <v>368</v>
      </c>
      <c r="L9" s="13" t="s">
        <v>428</v>
      </c>
      <c r="M9" s="13" t="s">
        <v>428</v>
      </c>
      <c r="N9" s="13"/>
      <c r="O9" s="12" t="s">
        <v>153</v>
      </c>
      <c r="P9" s="13" t="s">
        <v>314</v>
      </c>
      <c r="Q9" s="13" t="s">
        <v>314</v>
      </c>
      <c r="R9" s="13"/>
      <c r="S9" s="11" t="str">
        <f>"612,5"</f>
        <v>612,5</v>
      </c>
      <c r="T9" s="12" t="str">
        <f>"384,5888"</f>
        <v>384,5888</v>
      </c>
      <c r="U9" s="11" t="s">
        <v>60</v>
      </c>
    </row>
    <row r="11" spans="1:20" ht="15">
      <c r="A11" s="47" t="s">
        <v>207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.75">
      <c r="A12" s="11" t="s">
        <v>430</v>
      </c>
      <c r="B12" s="11" t="s">
        <v>431</v>
      </c>
      <c r="C12" s="11" t="s">
        <v>432</v>
      </c>
      <c r="D12" s="11" t="str">
        <f>"0,5379"</f>
        <v>0,5379</v>
      </c>
      <c r="E12" s="11" t="s">
        <v>66</v>
      </c>
      <c r="F12" s="11" t="s">
        <v>67</v>
      </c>
      <c r="G12" s="12" t="s">
        <v>155</v>
      </c>
      <c r="H12" s="12" t="s">
        <v>182</v>
      </c>
      <c r="I12" s="12" t="s">
        <v>183</v>
      </c>
      <c r="J12" s="13"/>
      <c r="K12" s="12" t="s">
        <v>314</v>
      </c>
      <c r="L12" s="12" t="s">
        <v>363</v>
      </c>
      <c r="M12" s="13"/>
      <c r="N12" s="13"/>
      <c r="O12" s="12" t="s">
        <v>154</v>
      </c>
      <c r="P12" s="13" t="s">
        <v>155</v>
      </c>
      <c r="Q12" s="13"/>
      <c r="R12" s="13"/>
      <c r="S12" s="11" t="str">
        <f>"735,0"</f>
        <v>735,0</v>
      </c>
      <c r="T12" s="12" t="str">
        <f>"395,3565"</f>
        <v>395,3565</v>
      </c>
      <c r="U12" s="11" t="s">
        <v>73</v>
      </c>
    </row>
    <row r="14" ht="15">
      <c r="E14" s="9" t="s">
        <v>13</v>
      </c>
    </row>
    <row r="15" ht="15">
      <c r="E15" s="9" t="s">
        <v>14</v>
      </c>
    </row>
    <row r="16" ht="15">
      <c r="E16" s="9" t="s">
        <v>15</v>
      </c>
    </row>
    <row r="17" ht="15">
      <c r="E17" s="9" t="s">
        <v>16</v>
      </c>
    </row>
    <row r="18" ht="15">
      <c r="E18" s="9" t="s">
        <v>16</v>
      </c>
    </row>
    <row r="19" ht="15">
      <c r="E19" s="9" t="s">
        <v>17</v>
      </c>
    </row>
    <row r="20" ht="15">
      <c r="E20" s="9"/>
    </row>
    <row r="22" spans="1:2" ht="18">
      <c r="A22" s="10" t="s">
        <v>18</v>
      </c>
      <c r="B22" s="10"/>
    </row>
    <row r="23" spans="1:2" ht="15">
      <c r="A23" s="24" t="s">
        <v>258</v>
      </c>
      <c r="B23" s="24"/>
    </row>
    <row r="24" spans="1:2" ht="14.25">
      <c r="A24" s="26"/>
      <c r="B24" s="27" t="s">
        <v>244</v>
      </c>
    </row>
    <row r="25" spans="1:5" ht="15">
      <c r="A25" s="28" t="s">
        <v>229</v>
      </c>
      <c r="B25" s="28" t="s">
        <v>230</v>
      </c>
      <c r="C25" s="28" t="s">
        <v>231</v>
      </c>
      <c r="D25" s="28" t="s">
        <v>232</v>
      </c>
      <c r="E25" s="28" t="s">
        <v>233</v>
      </c>
    </row>
    <row r="26" spans="1:5" ht="12.75">
      <c r="A26" s="25" t="s">
        <v>429</v>
      </c>
      <c r="B26" s="4" t="s">
        <v>244</v>
      </c>
      <c r="C26" s="4" t="s">
        <v>265</v>
      </c>
      <c r="D26" s="4" t="s">
        <v>433</v>
      </c>
      <c r="E26" s="29" t="s">
        <v>434</v>
      </c>
    </row>
    <row r="27" spans="1:5" ht="12.75">
      <c r="A27" s="25" t="s">
        <v>424</v>
      </c>
      <c r="B27" s="4" t="s">
        <v>244</v>
      </c>
      <c r="C27" s="4" t="s">
        <v>276</v>
      </c>
      <c r="D27" s="4" t="s">
        <v>435</v>
      </c>
      <c r="E27" s="29" t="s">
        <v>436</v>
      </c>
    </row>
  </sheetData>
  <sheetProtection/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C10">
      <selection activeCell="A25" sqref="A25:F25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4.875" style="4" bestFit="1" customWidth="1"/>
    <col min="22" max="16384" width="9.125" style="3" customWidth="1"/>
  </cols>
  <sheetData>
    <row r="1" spans="1:21" s="2" customFormat="1" ht="28.5" customHeight="1">
      <c r="A1" s="51" t="s">
        <v>304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22</v>
      </c>
      <c r="L3" s="46"/>
      <c r="M3" s="46"/>
      <c r="N3" s="46"/>
      <c r="O3" s="46" t="s">
        <v>23</v>
      </c>
      <c r="P3" s="46"/>
      <c r="Q3" s="46"/>
      <c r="R3" s="46"/>
      <c r="S3" s="46" t="s">
        <v>4</v>
      </c>
      <c r="T3" s="46" t="s">
        <v>6</v>
      </c>
      <c r="U3" s="34" t="s">
        <v>5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5"/>
      <c r="T4" s="45"/>
      <c r="U4" s="35"/>
    </row>
    <row r="5" spans="1:20" ht="15">
      <c r="A5" s="49" t="s">
        <v>173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5" t="s">
        <v>306</v>
      </c>
      <c r="B6" s="15" t="s">
        <v>307</v>
      </c>
      <c r="C6" s="15" t="s">
        <v>308</v>
      </c>
      <c r="D6" s="15" t="str">
        <f>"0,6224"</f>
        <v>0,6224</v>
      </c>
      <c r="E6" s="15" t="s">
        <v>309</v>
      </c>
      <c r="F6" s="15" t="s">
        <v>67</v>
      </c>
      <c r="G6" s="17" t="s">
        <v>180</v>
      </c>
      <c r="H6" s="16" t="s">
        <v>180</v>
      </c>
      <c r="I6" s="16" t="s">
        <v>153</v>
      </c>
      <c r="J6" s="17"/>
      <c r="K6" s="16" t="s">
        <v>128</v>
      </c>
      <c r="L6" s="16" t="s">
        <v>195</v>
      </c>
      <c r="M6" s="16" t="s">
        <v>129</v>
      </c>
      <c r="N6" s="17"/>
      <c r="O6" s="16" t="s">
        <v>154</v>
      </c>
      <c r="P6" s="16" t="s">
        <v>155</v>
      </c>
      <c r="Q6" s="16" t="s">
        <v>182</v>
      </c>
      <c r="R6" s="17"/>
      <c r="S6" s="15" t="str">
        <f>"635,0"</f>
        <v>635,0</v>
      </c>
      <c r="T6" s="16" t="str">
        <f>"395,2240"</f>
        <v>395,2240</v>
      </c>
      <c r="U6" s="15" t="s">
        <v>60</v>
      </c>
    </row>
    <row r="7" spans="1:21" ht="12.75">
      <c r="A7" s="21" t="s">
        <v>311</v>
      </c>
      <c r="B7" s="21" t="s">
        <v>312</v>
      </c>
      <c r="C7" s="21" t="s">
        <v>313</v>
      </c>
      <c r="D7" s="21" t="str">
        <f>"0,6203"</f>
        <v>0,6203</v>
      </c>
      <c r="E7" s="21" t="s">
        <v>309</v>
      </c>
      <c r="F7" s="21" t="s">
        <v>67</v>
      </c>
      <c r="G7" s="22" t="s">
        <v>129</v>
      </c>
      <c r="H7" s="22" t="s">
        <v>150</v>
      </c>
      <c r="I7" s="23" t="s">
        <v>179</v>
      </c>
      <c r="J7" s="23"/>
      <c r="K7" s="22" t="s">
        <v>46</v>
      </c>
      <c r="L7" s="22" t="s">
        <v>99</v>
      </c>
      <c r="M7" s="23" t="s">
        <v>100</v>
      </c>
      <c r="N7" s="23"/>
      <c r="O7" s="22" t="s">
        <v>314</v>
      </c>
      <c r="P7" s="22" t="s">
        <v>315</v>
      </c>
      <c r="Q7" s="22" t="s">
        <v>316</v>
      </c>
      <c r="R7" s="23"/>
      <c r="S7" s="21" t="str">
        <f>"562,5"</f>
        <v>562,5</v>
      </c>
      <c r="T7" s="22" t="str">
        <f>"348,9187"</f>
        <v>348,9187</v>
      </c>
      <c r="U7" s="21" t="s">
        <v>317</v>
      </c>
    </row>
    <row r="9" spans="1:20" ht="15">
      <c r="A9" s="47" t="s">
        <v>184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1" ht="12.75">
      <c r="A10" s="15" t="s">
        <v>319</v>
      </c>
      <c r="B10" s="15" t="s">
        <v>320</v>
      </c>
      <c r="C10" s="15" t="s">
        <v>321</v>
      </c>
      <c r="D10" s="15" t="str">
        <f>"0,5982"</f>
        <v>0,5982</v>
      </c>
      <c r="E10" s="15" t="s">
        <v>29</v>
      </c>
      <c r="F10" s="15" t="s">
        <v>322</v>
      </c>
      <c r="G10" s="16" t="s">
        <v>100</v>
      </c>
      <c r="H10" s="16" t="s">
        <v>170</v>
      </c>
      <c r="I10" s="17" t="s">
        <v>128</v>
      </c>
      <c r="J10" s="17"/>
      <c r="K10" s="16" t="s">
        <v>68</v>
      </c>
      <c r="L10" s="17" t="s">
        <v>77</v>
      </c>
      <c r="M10" s="16" t="s">
        <v>77</v>
      </c>
      <c r="N10" s="17"/>
      <c r="O10" s="16" t="s">
        <v>180</v>
      </c>
      <c r="P10" s="16" t="s">
        <v>181</v>
      </c>
      <c r="Q10" s="17" t="s">
        <v>153</v>
      </c>
      <c r="R10" s="17"/>
      <c r="S10" s="15" t="str">
        <f>"460,0"</f>
        <v>460,0</v>
      </c>
      <c r="T10" s="16" t="str">
        <f>"310,9444"</f>
        <v>310,9444</v>
      </c>
      <c r="U10" s="15" t="s">
        <v>323</v>
      </c>
    </row>
    <row r="11" spans="1:21" ht="12.75">
      <c r="A11" s="18" t="s">
        <v>325</v>
      </c>
      <c r="B11" s="18" t="s">
        <v>326</v>
      </c>
      <c r="C11" s="18" t="s">
        <v>327</v>
      </c>
      <c r="D11" s="18" t="str">
        <f>"0,5881"</f>
        <v>0,5881</v>
      </c>
      <c r="E11" s="18" t="s">
        <v>29</v>
      </c>
      <c r="F11" s="18" t="s">
        <v>43</v>
      </c>
      <c r="G11" s="19" t="s">
        <v>316</v>
      </c>
      <c r="H11" s="19" t="s">
        <v>328</v>
      </c>
      <c r="I11" s="19" t="s">
        <v>329</v>
      </c>
      <c r="J11" s="20"/>
      <c r="K11" s="19" t="s">
        <v>128</v>
      </c>
      <c r="L11" s="19" t="s">
        <v>195</v>
      </c>
      <c r="M11" s="19" t="s">
        <v>171</v>
      </c>
      <c r="N11" s="20"/>
      <c r="O11" s="19" t="s">
        <v>330</v>
      </c>
      <c r="P11" s="20" t="s">
        <v>331</v>
      </c>
      <c r="Q11" s="20" t="s">
        <v>331</v>
      </c>
      <c r="R11" s="20"/>
      <c r="S11" s="18" t="str">
        <f>"737,5"</f>
        <v>737,5</v>
      </c>
      <c r="T11" s="19" t="str">
        <f>"433,7238"</f>
        <v>433,7238</v>
      </c>
      <c r="U11" s="18" t="s">
        <v>60</v>
      </c>
    </row>
    <row r="12" spans="1:21" ht="12.75">
      <c r="A12" s="18" t="s">
        <v>333</v>
      </c>
      <c r="B12" s="18" t="s">
        <v>334</v>
      </c>
      <c r="C12" s="18" t="s">
        <v>199</v>
      </c>
      <c r="D12" s="18" t="str">
        <f>"0,5943"</f>
        <v>0,5943</v>
      </c>
      <c r="E12" s="18" t="s">
        <v>29</v>
      </c>
      <c r="F12" s="18" t="s">
        <v>335</v>
      </c>
      <c r="G12" s="19" t="s">
        <v>314</v>
      </c>
      <c r="H12" s="19" t="s">
        <v>315</v>
      </c>
      <c r="I12" s="19" t="s">
        <v>336</v>
      </c>
      <c r="J12" s="20"/>
      <c r="K12" s="19" t="s">
        <v>165</v>
      </c>
      <c r="L12" s="19" t="s">
        <v>128</v>
      </c>
      <c r="M12" s="20" t="s">
        <v>214</v>
      </c>
      <c r="N12" s="20"/>
      <c r="O12" s="20" t="s">
        <v>183</v>
      </c>
      <c r="P12" s="19" t="s">
        <v>183</v>
      </c>
      <c r="Q12" s="19" t="s">
        <v>337</v>
      </c>
      <c r="R12" s="20"/>
      <c r="S12" s="18" t="str">
        <f>"675,0"</f>
        <v>675,0</v>
      </c>
      <c r="T12" s="19" t="str">
        <f>"401,1525"</f>
        <v>401,1525</v>
      </c>
      <c r="U12" s="18" t="s">
        <v>60</v>
      </c>
    </row>
    <row r="13" spans="1:21" ht="12.75">
      <c r="A13" s="18" t="s">
        <v>339</v>
      </c>
      <c r="B13" s="18" t="s">
        <v>340</v>
      </c>
      <c r="C13" s="18" t="s">
        <v>341</v>
      </c>
      <c r="D13" s="18" t="str">
        <f>"0,5857"</f>
        <v>0,5857</v>
      </c>
      <c r="E13" s="18" t="s">
        <v>94</v>
      </c>
      <c r="F13" s="18" t="s">
        <v>136</v>
      </c>
      <c r="G13" s="19" t="s">
        <v>222</v>
      </c>
      <c r="H13" s="19" t="s">
        <v>314</v>
      </c>
      <c r="I13" s="20" t="s">
        <v>155</v>
      </c>
      <c r="J13" s="20"/>
      <c r="K13" s="19" t="s">
        <v>128</v>
      </c>
      <c r="L13" s="19" t="s">
        <v>129</v>
      </c>
      <c r="M13" s="19" t="s">
        <v>150</v>
      </c>
      <c r="N13" s="20"/>
      <c r="O13" s="19" t="s">
        <v>181</v>
      </c>
      <c r="P13" s="19" t="s">
        <v>315</v>
      </c>
      <c r="Q13" s="19" t="s">
        <v>215</v>
      </c>
      <c r="R13" s="20"/>
      <c r="S13" s="18" t="str">
        <f>"660,0"</f>
        <v>660,0</v>
      </c>
      <c r="T13" s="19" t="str">
        <f>"386,5620"</f>
        <v>386,5620</v>
      </c>
      <c r="U13" s="18" t="s">
        <v>342</v>
      </c>
    </row>
    <row r="14" spans="1:21" ht="12.75">
      <c r="A14" s="18" t="s">
        <v>344</v>
      </c>
      <c r="B14" s="18" t="s">
        <v>345</v>
      </c>
      <c r="C14" s="18" t="s">
        <v>346</v>
      </c>
      <c r="D14" s="18" t="str">
        <f>"0,5905"</f>
        <v>0,5905</v>
      </c>
      <c r="E14" s="18" t="s">
        <v>347</v>
      </c>
      <c r="F14" s="18" t="s">
        <v>200</v>
      </c>
      <c r="G14" s="19" t="s">
        <v>195</v>
      </c>
      <c r="H14" s="20" t="s">
        <v>171</v>
      </c>
      <c r="I14" s="19" t="s">
        <v>268</v>
      </c>
      <c r="J14" s="20"/>
      <c r="K14" s="19" t="s">
        <v>137</v>
      </c>
      <c r="L14" s="19" t="s">
        <v>348</v>
      </c>
      <c r="M14" s="19" t="s">
        <v>349</v>
      </c>
      <c r="N14" s="20"/>
      <c r="O14" s="19" t="s">
        <v>181</v>
      </c>
      <c r="P14" s="20" t="s">
        <v>314</v>
      </c>
      <c r="Q14" s="19" t="s">
        <v>314</v>
      </c>
      <c r="R14" s="20"/>
      <c r="S14" s="18" t="str">
        <f>"560,0"</f>
        <v>560,0</v>
      </c>
      <c r="T14" s="19" t="str">
        <f>"330,6800"</f>
        <v>330,6800</v>
      </c>
      <c r="U14" s="18" t="s">
        <v>60</v>
      </c>
    </row>
    <row r="15" spans="1:21" ht="12.75">
      <c r="A15" s="21" t="s">
        <v>351</v>
      </c>
      <c r="B15" s="21" t="s">
        <v>352</v>
      </c>
      <c r="C15" s="21" t="s">
        <v>353</v>
      </c>
      <c r="D15" s="21" t="str">
        <f>"0,5885"</f>
        <v>0,5885</v>
      </c>
      <c r="E15" s="21" t="s">
        <v>347</v>
      </c>
      <c r="F15" s="21" t="s">
        <v>200</v>
      </c>
      <c r="G15" s="23" t="s">
        <v>48</v>
      </c>
      <c r="H15" s="23" t="s">
        <v>99</v>
      </c>
      <c r="I15" s="22" t="s">
        <v>99</v>
      </c>
      <c r="J15" s="23"/>
      <c r="K15" s="22" t="s">
        <v>45</v>
      </c>
      <c r="L15" s="22" t="s">
        <v>107</v>
      </c>
      <c r="M15" s="23" t="s">
        <v>48</v>
      </c>
      <c r="N15" s="23"/>
      <c r="O15" s="22" t="s">
        <v>128</v>
      </c>
      <c r="P15" s="22" t="s">
        <v>129</v>
      </c>
      <c r="Q15" s="22" t="s">
        <v>268</v>
      </c>
      <c r="R15" s="23"/>
      <c r="S15" s="21" t="str">
        <f>"437,5"</f>
        <v>437,5</v>
      </c>
      <c r="T15" s="22" t="str">
        <f>"257,4688"</f>
        <v>257,4688</v>
      </c>
      <c r="U15" s="21" t="s">
        <v>60</v>
      </c>
    </row>
    <row r="17" spans="1:20" ht="15">
      <c r="A17" s="47" t="s">
        <v>354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1" ht="12.75">
      <c r="A18" s="15" t="s">
        <v>356</v>
      </c>
      <c r="B18" s="15" t="s">
        <v>357</v>
      </c>
      <c r="C18" s="15" t="s">
        <v>358</v>
      </c>
      <c r="D18" s="15" t="str">
        <f>"0,5540"</f>
        <v>0,5540</v>
      </c>
      <c r="E18" s="15" t="s">
        <v>29</v>
      </c>
      <c r="F18" s="15" t="s">
        <v>43</v>
      </c>
      <c r="G18" s="16" t="s">
        <v>153</v>
      </c>
      <c r="H18" s="17" t="s">
        <v>314</v>
      </c>
      <c r="I18" s="17" t="s">
        <v>314</v>
      </c>
      <c r="J18" s="17"/>
      <c r="K18" s="16" t="s">
        <v>179</v>
      </c>
      <c r="L18" s="17" t="s">
        <v>180</v>
      </c>
      <c r="M18" s="16" t="s">
        <v>180</v>
      </c>
      <c r="N18" s="17"/>
      <c r="O18" s="16" t="s">
        <v>155</v>
      </c>
      <c r="P18" s="17" t="s">
        <v>328</v>
      </c>
      <c r="Q18" s="16" t="s">
        <v>328</v>
      </c>
      <c r="R18" s="17"/>
      <c r="S18" s="15" t="str">
        <f>"667,5"</f>
        <v>667,5</v>
      </c>
      <c r="T18" s="16" t="str">
        <f>"369,7950"</f>
        <v>369,7950</v>
      </c>
      <c r="U18" s="15" t="s">
        <v>60</v>
      </c>
    </row>
    <row r="19" spans="1:21" ht="12.75">
      <c r="A19" s="18" t="s">
        <v>360</v>
      </c>
      <c r="B19" s="18" t="s">
        <v>361</v>
      </c>
      <c r="C19" s="18" t="s">
        <v>362</v>
      </c>
      <c r="D19" s="18" t="str">
        <f>"0,5545"</f>
        <v>0,5545</v>
      </c>
      <c r="E19" s="18" t="s">
        <v>29</v>
      </c>
      <c r="F19" s="18" t="s">
        <v>43</v>
      </c>
      <c r="G19" s="19" t="s">
        <v>314</v>
      </c>
      <c r="H19" s="19" t="s">
        <v>315</v>
      </c>
      <c r="I19" s="20" t="s">
        <v>363</v>
      </c>
      <c r="J19" s="20"/>
      <c r="K19" s="19" t="s">
        <v>100</v>
      </c>
      <c r="L19" s="19" t="s">
        <v>165</v>
      </c>
      <c r="M19" s="20" t="s">
        <v>128</v>
      </c>
      <c r="N19" s="20"/>
      <c r="O19" s="19" t="s">
        <v>155</v>
      </c>
      <c r="P19" s="19" t="s">
        <v>183</v>
      </c>
      <c r="Q19" s="19" t="s">
        <v>216</v>
      </c>
      <c r="R19" s="20"/>
      <c r="S19" s="18" t="str">
        <f>"655,0"</f>
        <v>655,0</v>
      </c>
      <c r="T19" s="19" t="str">
        <f>"363,1975"</f>
        <v>363,1975</v>
      </c>
      <c r="U19" s="18" t="s">
        <v>50</v>
      </c>
    </row>
    <row r="20" spans="1:21" ht="12.75">
      <c r="A20" s="18" t="s">
        <v>365</v>
      </c>
      <c r="B20" s="18" t="s">
        <v>366</v>
      </c>
      <c r="C20" s="18" t="s">
        <v>367</v>
      </c>
      <c r="D20" s="18" t="str">
        <f>"0,5578"</f>
        <v>0,5578</v>
      </c>
      <c r="E20" s="18" t="s">
        <v>309</v>
      </c>
      <c r="F20" s="18" t="s">
        <v>67</v>
      </c>
      <c r="G20" s="19" t="s">
        <v>221</v>
      </c>
      <c r="H20" s="19" t="s">
        <v>222</v>
      </c>
      <c r="I20" s="19" t="s">
        <v>153</v>
      </c>
      <c r="J20" s="20"/>
      <c r="K20" s="19" t="s">
        <v>179</v>
      </c>
      <c r="L20" s="19" t="s">
        <v>368</v>
      </c>
      <c r="M20" s="20" t="s">
        <v>222</v>
      </c>
      <c r="N20" s="20"/>
      <c r="O20" s="19" t="s">
        <v>153</v>
      </c>
      <c r="P20" s="19" t="s">
        <v>154</v>
      </c>
      <c r="Q20" s="20" t="s">
        <v>155</v>
      </c>
      <c r="R20" s="20"/>
      <c r="S20" s="18" t="str">
        <f>"647,5"</f>
        <v>647,5</v>
      </c>
      <c r="T20" s="19" t="str">
        <f>"361,1755"</f>
        <v>361,1755</v>
      </c>
      <c r="U20" s="18" t="s">
        <v>60</v>
      </c>
    </row>
    <row r="21" spans="1:21" ht="12.75">
      <c r="A21" s="21" t="s">
        <v>370</v>
      </c>
      <c r="B21" s="21" t="s">
        <v>371</v>
      </c>
      <c r="C21" s="21" t="s">
        <v>372</v>
      </c>
      <c r="D21" s="21" t="str">
        <f>"0,5553"</f>
        <v>0,5553</v>
      </c>
      <c r="E21" s="21" t="s">
        <v>347</v>
      </c>
      <c r="F21" s="21" t="s">
        <v>200</v>
      </c>
      <c r="G21" s="23" t="s">
        <v>189</v>
      </c>
      <c r="H21" s="22" t="s">
        <v>189</v>
      </c>
      <c r="I21" s="23" t="s">
        <v>170</v>
      </c>
      <c r="J21" s="23"/>
      <c r="K21" s="23" t="s">
        <v>77</v>
      </c>
      <c r="L21" s="22" t="s">
        <v>69</v>
      </c>
      <c r="M21" s="22" t="s">
        <v>45</v>
      </c>
      <c r="N21" s="23"/>
      <c r="O21" s="22" t="s">
        <v>129</v>
      </c>
      <c r="P21" s="22" t="s">
        <v>150</v>
      </c>
      <c r="Q21" s="23" t="s">
        <v>179</v>
      </c>
      <c r="R21" s="23"/>
      <c r="S21" s="21" t="str">
        <f>"440,0"</f>
        <v>440,0</v>
      </c>
      <c r="T21" s="22" t="str">
        <f>"244,3320"</f>
        <v>244,3320</v>
      </c>
      <c r="U21" s="21" t="s">
        <v>60</v>
      </c>
    </row>
    <row r="23" spans="1:20" ht="15">
      <c r="A23" s="47" t="s">
        <v>207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1" ht="12.75">
      <c r="A24" s="15" t="s">
        <v>374</v>
      </c>
      <c r="B24" s="15" t="s">
        <v>375</v>
      </c>
      <c r="C24" s="15" t="s">
        <v>376</v>
      </c>
      <c r="D24" s="15" t="str">
        <f>"0,5416"</f>
        <v>0,5416</v>
      </c>
      <c r="E24" s="15" t="s">
        <v>29</v>
      </c>
      <c r="F24" s="15" t="s">
        <v>113</v>
      </c>
      <c r="G24" s="17" t="s">
        <v>155</v>
      </c>
      <c r="H24" s="16" t="s">
        <v>155</v>
      </c>
      <c r="I24" s="16" t="s">
        <v>182</v>
      </c>
      <c r="J24" s="17"/>
      <c r="K24" s="16" t="s">
        <v>128</v>
      </c>
      <c r="L24" s="16" t="s">
        <v>129</v>
      </c>
      <c r="M24" s="16" t="s">
        <v>160</v>
      </c>
      <c r="N24" s="17"/>
      <c r="O24" s="16" t="s">
        <v>216</v>
      </c>
      <c r="P24" s="16" t="s">
        <v>377</v>
      </c>
      <c r="Q24" s="17" t="s">
        <v>378</v>
      </c>
      <c r="R24" s="17"/>
      <c r="S24" s="15" t="str">
        <f>"705,0"</f>
        <v>705,0</v>
      </c>
      <c r="T24" s="16" t="str">
        <f>"381,8280"</f>
        <v>381,8280</v>
      </c>
      <c r="U24" s="15" t="s">
        <v>60</v>
      </c>
    </row>
    <row r="25" spans="1:21" ht="12.75">
      <c r="A25" s="21" t="s">
        <v>380</v>
      </c>
      <c r="B25" s="21" t="s">
        <v>381</v>
      </c>
      <c r="C25" s="21" t="s">
        <v>382</v>
      </c>
      <c r="D25" s="21" t="str">
        <f>"0,5413"</f>
        <v>0,5413</v>
      </c>
      <c r="E25" s="21" t="s">
        <v>29</v>
      </c>
      <c r="F25" s="21" t="s">
        <v>105</v>
      </c>
      <c r="G25" s="22" t="s">
        <v>150</v>
      </c>
      <c r="H25" s="22" t="s">
        <v>179</v>
      </c>
      <c r="I25" s="22" t="s">
        <v>368</v>
      </c>
      <c r="J25" s="23"/>
      <c r="K25" s="22" t="s">
        <v>165</v>
      </c>
      <c r="L25" s="22" t="s">
        <v>128</v>
      </c>
      <c r="M25" s="23" t="s">
        <v>195</v>
      </c>
      <c r="N25" s="23"/>
      <c r="O25" s="23" t="s">
        <v>377</v>
      </c>
      <c r="P25" s="22" t="s">
        <v>378</v>
      </c>
      <c r="Q25" s="22" t="s">
        <v>383</v>
      </c>
      <c r="R25" s="23"/>
      <c r="S25" s="21" t="str">
        <f>"662,5"</f>
        <v>662,5</v>
      </c>
      <c r="T25" s="22" t="str">
        <f>"358,6112"</f>
        <v>358,6112</v>
      </c>
      <c r="U25" s="21" t="s">
        <v>60</v>
      </c>
    </row>
    <row r="27" spans="1:20" ht="15">
      <c r="A27" s="47" t="s">
        <v>384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1" ht="12.75">
      <c r="A28" s="11" t="s">
        <v>386</v>
      </c>
      <c r="B28" s="11" t="s">
        <v>387</v>
      </c>
      <c r="C28" s="11" t="s">
        <v>388</v>
      </c>
      <c r="D28" s="11" t="str">
        <f>"0,5296"</f>
        <v>0,5296</v>
      </c>
      <c r="E28" s="11" t="s">
        <v>29</v>
      </c>
      <c r="F28" s="11" t="s">
        <v>322</v>
      </c>
      <c r="G28" s="12" t="s">
        <v>129</v>
      </c>
      <c r="H28" s="12" t="s">
        <v>151</v>
      </c>
      <c r="I28" s="13" t="s">
        <v>180</v>
      </c>
      <c r="J28" s="13"/>
      <c r="K28" s="12" t="s">
        <v>71</v>
      </c>
      <c r="L28" s="12" t="s">
        <v>46</v>
      </c>
      <c r="M28" s="12" t="s">
        <v>107</v>
      </c>
      <c r="N28" s="13"/>
      <c r="O28" s="12" t="s">
        <v>150</v>
      </c>
      <c r="P28" s="12" t="s">
        <v>179</v>
      </c>
      <c r="Q28" s="12" t="s">
        <v>180</v>
      </c>
      <c r="R28" s="13"/>
      <c r="S28" s="11" t="str">
        <f>"510,0"</f>
        <v>510,0</v>
      </c>
      <c r="T28" s="12" t="str">
        <f>"286,3018"</f>
        <v>286,3018</v>
      </c>
      <c r="U28" s="11" t="s">
        <v>323</v>
      </c>
    </row>
    <row r="30" ht="15">
      <c r="E30" s="9" t="s">
        <v>13</v>
      </c>
    </row>
    <row r="31" ht="15">
      <c r="E31" s="9" t="s">
        <v>14</v>
      </c>
    </row>
    <row r="32" ht="15">
      <c r="E32" s="9" t="s">
        <v>15</v>
      </c>
    </row>
    <row r="33" ht="15">
      <c r="E33" s="9" t="s">
        <v>16</v>
      </c>
    </row>
    <row r="34" ht="15">
      <c r="E34" s="9" t="s">
        <v>16</v>
      </c>
    </row>
    <row r="35" ht="15">
      <c r="E35" s="9" t="s">
        <v>17</v>
      </c>
    </row>
    <row r="36" ht="15">
      <c r="E36" s="9"/>
    </row>
    <row r="38" spans="1:2" ht="18">
      <c r="A38" s="10" t="s">
        <v>18</v>
      </c>
      <c r="B38" s="10"/>
    </row>
    <row r="39" spans="1:2" ht="15">
      <c r="A39" s="24" t="s">
        <v>258</v>
      </c>
      <c r="B39" s="24"/>
    </row>
    <row r="40" spans="1:2" ht="14.25">
      <c r="A40" s="26"/>
      <c r="B40" s="27" t="s">
        <v>259</v>
      </c>
    </row>
    <row r="41" spans="1:5" ht="15">
      <c r="A41" s="28" t="s">
        <v>229</v>
      </c>
      <c r="B41" s="28" t="s">
        <v>230</v>
      </c>
      <c r="C41" s="28" t="s">
        <v>231</v>
      </c>
      <c r="D41" s="28" t="s">
        <v>232</v>
      </c>
      <c r="E41" s="28" t="s">
        <v>233</v>
      </c>
    </row>
    <row r="42" spans="1:5" ht="12.75">
      <c r="A42" s="25" t="s">
        <v>318</v>
      </c>
      <c r="B42" s="4" t="s">
        <v>238</v>
      </c>
      <c r="C42" s="4" t="s">
        <v>283</v>
      </c>
      <c r="D42" s="4" t="s">
        <v>389</v>
      </c>
      <c r="E42" s="29" t="s">
        <v>390</v>
      </c>
    </row>
    <row r="43" spans="1:5" ht="12.75">
      <c r="A43" s="25" t="s">
        <v>385</v>
      </c>
      <c r="B43" s="4" t="s">
        <v>234</v>
      </c>
      <c r="C43" s="4" t="s">
        <v>391</v>
      </c>
      <c r="D43" s="4" t="s">
        <v>392</v>
      </c>
      <c r="E43" s="29" t="s">
        <v>393</v>
      </c>
    </row>
    <row r="45" spans="1:2" ht="14.25">
      <c r="A45" s="26"/>
      <c r="B45" s="27" t="s">
        <v>264</v>
      </c>
    </row>
    <row r="46" spans="1:5" ht="15">
      <c r="A46" s="28" t="s">
        <v>229</v>
      </c>
      <c r="B46" s="28" t="s">
        <v>230</v>
      </c>
      <c r="C46" s="28" t="s">
        <v>231</v>
      </c>
      <c r="D46" s="28" t="s">
        <v>232</v>
      </c>
      <c r="E46" s="28" t="s">
        <v>233</v>
      </c>
    </row>
    <row r="47" spans="1:5" ht="12.75">
      <c r="A47" s="25" t="s">
        <v>305</v>
      </c>
      <c r="B47" s="4" t="s">
        <v>242</v>
      </c>
      <c r="C47" s="4" t="s">
        <v>276</v>
      </c>
      <c r="D47" s="4" t="s">
        <v>394</v>
      </c>
      <c r="E47" s="29" t="s">
        <v>395</v>
      </c>
    </row>
    <row r="49" spans="1:2" ht="14.25">
      <c r="A49" s="26"/>
      <c r="B49" s="27" t="s">
        <v>244</v>
      </c>
    </row>
    <row r="50" spans="1:5" ht="15">
      <c r="A50" s="28" t="s">
        <v>229</v>
      </c>
      <c r="B50" s="28" t="s">
        <v>230</v>
      </c>
      <c r="C50" s="28" t="s">
        <v>231</v>
      </c>
      <c r="D50" s="28" t="s">
        <v>232</v>
      </c>
      <c r="E50" s="28" t="s">
        <v>233</v>
      </c>
    </row>
    <row r="51" spans="1:5" ht="12.75">
      <c r="A51" s="25" t="s">
        <v>324</v>
      </c>
      <c r="B51" s="4" t="s">
        <v>244</v>
      </c>
      <c r="C51" s="4" t="s">
        <v>283</v>
      </c>
      <c r="D51" s="4" t="s">
        <v>396</v>
      </c>
      <c r="E51" s="29" t="s">
        <v>397</v>
      </c>
    </row>
    <row r="52" spans="1:5" ht="12.75">
      <c r="A52" s="25" t="s">
        <v>332</v>
      </c>
      <c r="B52" s="4" t="s">
        <v>244</v>
      </c>
      <c r="C52" s="4" t="s">
        <v>283</v>
      </c>
      <c r="D52" s="4" t="s">
        <v>398</v>
      </c>
      <c r="E52" s="29" t="s">
        <v>399</v>
      </c>
    </row>
    <row r="53" spans="1:5" ht="12.75">
      <c r="A53" s="25" t="s">
        <v>338</v>
      </c>
      <c r="B53" s="4" t="s">
        <v>244</v>
      </c>
      <c r="C53" s="4" t="s">
        <v>283</v>
      </c>
      <c r="D53" s="4" t="s">
        <v>400</v>
      </c>
      <c r="E53" s="29" t="s">
        <v>401</v>
      </c>
    </row>
    <row r="54" spans="1:5" ht="12.75">
      <c r="A54" s="25" t="s">
        <v>373</v>
      </c>
      <c r="B54" s="4" t="s">
        <v>244</v>
      </c>
      <c r="C54" s="4" t="s">
        <v>265</v>
      </c>
      <c r="D54" s="4" t="s">
        <v>402</v>
      </c>
      <c r="E54" s="29" t="s">
        <v>403</v>
      </c>
    </row>
    <row r="55" spans="1:5" ht="12.75">
      <c r="A55" s="25" t="s">
        <v>355</v>
      </c>
      <c r="B55" s="4" t="s">
        <v>244</v>
      </c>
      <c r="C55" s="4" t="s">
        <v>404</v>
      </c>
      <c r="D55" s="4" t="s">
        <v>405</v>
      </c>
      <c r="E55" s="29" t="s">
        <v>406</v>
      </c>
    </row>
    <row r="56" spans="1:5" ht="12.75">
      <c r="A56" s="25" t="s">
        <v>359</v>
      </c>
      <c r="B56" s="4" t="s">
        <v>244</v>
      </c>
      <c r="C56" s="4" t="s">
        <v>404</v>
      </c>
      <c r="D56" s="4" t="s">
        <v>407</v>
      </c>
      <c r="E56" s="29" t="s">
        <v>408</v>
      </c>
    </row>
    <row r="57" spans="1:5" ht="12.75">
      <c r="A57" s="25" t="s">
        <v>364</v>
      </c>
      <c r="B57" s="4" t="s">
        <v>244</v>
      </c>
      <c r="C57" s="4" t="s">
        <v>404</v>
      </c>
      <c r="D57" s="4" t="s">
        <v>409</v>
      </c>
      <c r="E57" s="29" t="s">
        <v>410</v>
      </c>
    </row>
    <row r="58" spans="1:5" ht="12.75">
      <c r="A58" s="25" t="s">
        <v>379</v>
      </c>
      <c r="B58" s="4" t="s">
        <v>244</v>
      </c>
      <c r="C58" s="4" t="s">
        <v>265</v>
      </c>
      <c r="D58" s="4" t="s">
        <v>411</v>
      </c>
      <c r="E58" s="29" t="s">
        <v>412</v>
      </c>
    </row>
    <row r="59" spans="1:5" ht="12.75">
      <c r="A59" s="25" t="s">
        <v>310</v>
      </c>
      <c r="B59" s="4" t="s">
        <v>244</v>
      </c>
      <c r="C59" s="4" t="s">
        <v>276</v>
      </c>
      <c r="D59" s="4" t="s">
        <v>413</v>
      </c>
      <c r="E59" s="29" t="s">
        <v>414</v>
      </c>
    </row>
    <row r="60" spans="1:5" ht="12.75">
      <c r="A60" s="25" t="s">
        <v>343</v>
      </c>
      <c r="B60" s="4" t="s">
        <v>244</v>
      </c>
      <c r="C60" s="4" t="s">
        <v>283</v>
      </c>
      <c r="D60" s="4" t="s">
        <v>415</v>
      </c>
      <c r="E60" s="29" t="s">
        <v>416</v>
      </c>
    </row>
    <row r="61" spans="1:5" ht="12.75">
      <c r="A61" s="25" t="s">
        <v>350</v>
      </c>
      <c r="B61" s="4" t="s">
        <v>244</v>
      </c>
      <c r="C61" s="4" t="s">
        <v>283</v>
      </c>
      <c r="D61" s="4" t="s">
        <v>417</v>
      </c>
      <c r="E61" s="29" t="s">
        <v>418</v>
      </c>
    </row>
    <row r="62" spans="1:5" ht="12.75">
      <c r="A62" s="25" t="s">
        <v>369</v>
      </c>
      <c r="B62" s="4" t="s">
        <v>244</v>
      </c>
      <c r="C62" s="4" t="s">
        <v>404</v>
      </c>
      <c r="D62" s="4" t="s">
        <v>419</v>
      </c>
      <c r="E62" s="29" t="s">
        <v>420</v>
      </c>
    </row>
  </sheetData>
  <sheetProtection/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3:T23"/>
    <mergeCell ref="A27:T27"/>
    <mergeCell ref="S3:S4"/>
    <mergeCell ref="T3:T4"/>
    <mergeCell ref="U3:U4"/>
    <mergeCell ref="A5:T5"/>
    <mergeCell ref="A9:T9"/>
    <mergeCell ref="A17:T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25">
      <selection activeCell="B44" sqref="B44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51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22</v>
      </c>
      <c r="L3" s="46"/>
      <c r="M3" s="46"/>
      <c r="N3" s="46"/>
      <c r="O3" s="46" t="s">
        <v>23</v>
      </c>
      <c r="P3" s="46"/>
      <c r="Q3" s="46"/>
      <c r="R3" s="46"/>
      <c r="S3" s="46" t="s">
        <v>4</v>
      </c>
      <c r="T3" s="46" t="s">
        <v>6</v>
      </c>
      <c r="U3" s="34" t="s">
        <v>5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5"/>
      <c r="T4" s="45"/>
      <c r="U4" s="35"/>
    </row>
    <row r="5" spans="1:20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1" t="s">
        <v>26</v>
      </c>
      <c r="B6" s="11" t="s">
        <v>27</v>
      </c>
      <c r="C6" s="11" t="s">
        <v>28</v>
      </c>
      <c r="D6" s="11" t="str">
        <f>"1,0024"</f>
        <v>1,0024</v>
      </c>
      <c r="E6" s="11" t="s">
        <v>29</v>
      </c>
      <c r="F6" s="11" t="s">
        <v>30</v>
      </c>
      <c r="G6" s="12" t="s">
        <v>31</v>
      </c>
      <c r="H6" s="12" t="s">
        <v>32</v>
      </c>
      <c r="I6" s="13" t="s">
        <v>33</v>
      </c>
      <c r="J6" s="13"/>
      <c r="K6" s="12" t="s">
        <v>34</v>
      </c>
      <c r="L6" s="13" t="s">
        <v>35</v>
      </c>
      <c r="M6" s="13" t="s">
        <v>35</v>
      </c>
      <c r="N6" s="13"/>
      <c r="O6" s="12" t="s">
        <v>32</v>
      </c>
      <c r="P6" s="12" t="s">
        <v>36</v>
      </c>
      <c r="Q6" s="12" t="s">
        <v>33</v>
      </c>
      <c r="R6" s="13"/>
      <c r="S6" s="11" t="str">
        <f>"165,0"</f>
        <v>165,0</v>
      </c>
      <c r="T6" s="12" t="str">
        <f>"186,9068"</f>
        <v>186,9068</v>
      </c>
      <c r="U6" s="11" t="s">
        <v>37</v>
      </c>
    </row>
    <row r="8" spans="1:20" ht="15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15" t="s">
        <v>40</v>
      </c>
      <c r="B9" s="15" t="s">
        <v>41</v>
      </c>
      <c r="C9" s="15" t="s">
        <v>42</v>
      </c>
      <c r="D9" s="15" t="str">
        <f>"0,8609"</f>
        <v>0,8609</v>
      </c>
      <c r="E9" s="15" t="s">
        <v>29</v>
      </c>
      <c r="F9" s="15" t="s">
        <v>43</v>
      </c>
      <c r="G9" s="16" t="s">
        <v>44</v>
      </c>
      <c r="H9" s="16" t="s">
        <v>45</v>
      </c>
      <c r="I9" s="17" t="s">
        <v>46</v>
      </c>
      <c r="J9" s="17"/>
      <c r="K9" s="17" t="s">
        <v>47</v>
      </c>
      <c r="L9" s="16" t="s">
        <v>47</v>
      </c>
      <c r="M9" s="17" t="s">
        <v>31</v>
      </c>
      <c r="N9" s="17"/>
      <c r="O9" s="16" t="s">
        <v>48</v>
      </c>
      <c r="P9" s="17" t="s">
        <v>49</v>
      </c>
      <c r="Q9" s="17" t="s">
        <v>49</v>
      </c>
      <c r="R9" s="17"/>
      <c r="S9" s="15" t="str">
        <f>"295,0"</f>
        <v>295,0</v>
      </c>
      <c r="T9" s="16" t="str">
        <f>"264,1241"</f>
        <v>264,1241</v>
      </c>
      <c r="U9" s="15" t="s">
        <v>50</v>
      </c>
    </row>
    <row r="10" spans="1:21" ht="12.75">
      <c r="A10" s="18" t="s">
        <v>52</v>
      </c>
      <c r="B10" s="18" t="s">
        <v>53</v>
      </c>
      <c r="C10" s="18" t="s">
        <v>42</v>
      </c>
      <c r="D10" s="18" t="str">
        <f>"0,8609"</f>
        <v>0,8609</v>
      </c>
      <c r="E10" s="18" t="s">
        <v>54</v>
      </c>
      <c r="F10" s="18" t="s">
        <v>55</v>
      </c>
      <c r="G10" s="19" t="s">
        <v>33</v>
      </c>
      <c r="H10" s="19" t="s">
        <v>56</v>
      </c>
      <c r="I10" s="20" t="s">
        <v>57</v>
      </c>
      <c r="J10" s="20"/>
      <c r="K10" s="19" t="s">
        <v>35</v>
      </c>
      <c r="L10" s="19" t="s">
        <v>58</v>
      </c>
      <c r="M10" s="20" t="s">
        <v>59</v>
      </c>
      <c r="N10" s="20"/>
      <c r="O10" s="19" t="s">
        <v>33</v>
      </c>
      <c r="P10" s="19" t="s">
        <v>56</v>
      </c>
      <c r="Q10" s="19" t="s">
        <v>57</v>
      </c>
      <c r="R10" s="20"/>
      <c r="S10" s="18" t="str">
        <f>"210,0"</f>
        <v>210,0</v>
      </c>
      <c r="T10" s="19" t="str">
        <f>"180,7890"</f>
        <v>180,7890</v>
      </c>
      <c r="U10" s="18" t="s">
        <v>60</v>
      </c>
    </row>
    <row r="11" spans="1:21" ht="12.75">
      <c r="A11" s="18" t="s">
        <v>40</v>
      </c>
      <c r="B11" s="18" t="s">
        <v>61</v>
      </c>
      <c r="C11" s="18" t="s">
        <v>42</v>
      </c>
      <c r="D11" s="18" t="str">
        <f>"0,8609"</f>
        <v>0,8609</v>
      </c>
      <c r="E11" s="18" t="s">
        <v>29</v>
      </c>
      <c r="F11" s="18" t="s">
        <v>43</v>
      </c>
      <c r="G11" s="19" t="s">
        <v>44</v>
      </c>
      <c r="H11" s="19" t="s">
        <v>45</v>
      </c>
      <c r="I11" s="20" t="s">
        <v>46</v>
      </c>
      <c r="J11" s="20"/>
      <c r="K11" s="20" t="s">
        <v>47</v>
      </c>
      <c r="L11" s="19" t="s">
        <v>47</v>
      </c>
      <c r="M11" s="20" t="s">
        <v>31</v>
      </c>
      <c r="N11" s="20"/>
      <c r="O11" s="19" t="s">
        <v>48</v>
      </c>
      <c r="P11" s="20" t="s">
        <v>49</v>
      </c>
      <c r="Q11" s="20" t="s">
        <v>49</v>
      </c>
      <c r="R11" s="20"/>
      <c r="S11" s="18" t="str">
        <f>"295,0"</f>
        <v>295,0</v>
      </c>
      <c r="T11" s="19" t="str">
        <f>"253,9655"</f>
        <v>253,9655</v>
      </c>
      <c r="U11" s="18" t="s">
        <v>50</v>
      </c>
    </row>
    <row r="12" spans="1:21" ht="12.75">
      <c r="A12" s="18" t="s">
        <v>63</v>
      </c>
      <c r="B12" s="18" t="s">
        <v>64</v>
      </c>
      <c r="C12" s="18" t="s">
        <v>65</v>
      </c>
      <c r="D12" s="18" t="str">
        <f>"0,8731"</f>
        <v>0,8731</v>
      </c>
      <c r="E12" s="18" t="s">
        <v>66</v>
      </c>
      <c r="F12" s="18" t="s">
        <v>67</v>
      </c>
      <c r="G12" s="19" t="s">
        <v>68</v>
      </c>
      <c r="H12" s="19" t="s">
        <v>69</v>
      </c>
      <c r="I12" s="20"/>
      <c r="J12" s="20"/>
      <c r="K12" s="19" t="s">
        <v>47</v>
      </c>
      <c r="L12" s="19" t="s">
        <v>31</v>
      </c>
      <c r="M12" s="20" t="s">
        <v>70</v>
      </c>
      <c r="N12" s="20"/>
      <c r="O12" s="19" t="s">
        <v>71</v>
      </c>
      <c r="P12" s="19" t="s">
        <v>72</v>
      </c>
      <c r="Q12" s="20"/>
      <c r="R12" s="20"/>
      <c r="S12" s="18" t="str">
        <f>"277,5"</f>
        <v>277,5</v>
      </c>
      <c r="T12" s="19" t="str">
        <f>"242,2991"</f>
        <v>242,2991</v>
      </c>
      <c r="U12" s="18" t="s">
        <v>73</v>
      </c>
    </row>
    <row r="13" spans="1:21" ht="12.75">
      <c r="A13" s="18" t="s">
        <v>75</v>
      </c>
      <c r="B13" s="18" t="s">
        <v>76</v>
      </c>
      <c r="C13" s="18" t="s">
        <v>65</v>
      </c>
      <c r="D13" s="18" t="str">
        <f>"0,8731"</f>
        <v>0,8731</v>
      </c>
      <c r="E13" s="18" t="s">
        <v>29</v>
      </c>
      <c r="F13" s="18" t="s">
        <v>43</v>
      </c>
      <c r="G13" s="19" t="s">
        <v>68</v>
      </c>
      <c r="H13" s="19" t="s">
        <v>77</v>
      </c>
      <c r="I13" s="20" t="s">
        <v>78</v>
      </c>
      <c r="J13" s="20"/>
      <c r="K13" s="20" t="s">
        <v>47</v>
      </c>
      <c r="L13" s="19" t="s">
        <v>31</v>
      </c>
      <c r="M13" s="20"/>
      <c r="N13" s="20"/>
      <c r="O13" s="20" t="s">
        <v>71</v>
      </c>
      <c r="P13" s="19" t="s">
        <v>45</v>
      </c>
      <c r="Q13" s="19" t="s">
        <v>46</v>
      </c>
      <c r="R13" s="20"/>
      <c r="S13" s="18" t="str">
        <f>"270,0"</f>
        <v>270,0</v>
      </c>
      <c r="T13" s="19" t="str">
        <f>"235,7505"</f>
        <v>235,7505</v>
      </c>
      <c r="U13" s="18" t="s">
        <v>60</v>
      </c>
    </row>
    <row r="14" spans="1:21" ht="12.75">
      <c r="A14" s="18" t="s">
        <v>80</v>
      </c>
      <c r="B14" s="18" t="s">
        <v>81</v>
      </c>
      <c r="C14" s="18" t="s">
        <v>82</v>
      </c>
      <c r="D14" s="18" t="str">
        <f>"0,8694"</f>
        <v>0,8694</v>
      </c>
      <c r="E14" s="18" t="s">
        <v>29</v>
      </c>
      <c r="F14" s="18" t="s">
        <v>67</v>
      </c>
      <c r="G14" s="19" t="s">
        <v>83</v>
      </c>
      <c r="H14" s="19" t="s">
        <v>84</v>
      </c>
      <c r="I14" s="19" t="s">
        <v>56</v>
      </c>
      <c r="J14" s="20"/>
      <c r="K14" s="19" t="s">
        <v>58</v>
      </c>
      <c r="L14" s="19" t="s">
        <v>47</v>
      </c>
      <c r="M14" s="20" t="s">
        <v>31</v>
      </c>
      <c r="N14" s="20"/>
      <c r="O14" s="19" t="s">
        <v>33</v>
      </c>
      <c r="P14" s="19" t="s">
        <v>56</v>
      </c>
      <c r="Q14" s="20" t="s">
        <v>57</v>
      </c>
      <c r="R14" s="20"/>
      <c r="S14" s="18" t="str">
        <f>"210,0"</f>
        <v>210,0</v>
      </c>
      <c r="T14" s="19" t="str">
        <f>"182,5845"</f>
        <v>182,5845</v>
      </c>
      <c r="U14" s="18" t="s">
        <v>60</v>
      </c>
    </row>
    <row r="15" spans="1:21" ht="12.75">
      <c r="A15" s="21" t="s">
        <v>86</v>
      </c>
      <c r="B15" s="21" t="s">
        <v>87</v>
      </c>
      <c r="C15" s="21" t="s">
        <v>88</v>
      </c>
      <c r="D15" s="21" t="str">
        <f>"0,8634"</f>
        <v>0,8634</v>
      </c>
      <c r="E15" s="21" t="s">
        <v>54</v>
      </c>
      <c r="F15" s="21" t="s">
        <v>55</v>
      </c>
      <c r="G15" s="22" t="s">
        <v>56</v>
      </c>
      <c r="H15" s="22" t="s">
        <v>68</v>
      </c>
      <c r="I15" s="23" t="s">
        <v>77</v>
      </c>
      <c r="J15" s="23"/>
      <c r="K15" s="22" t="s">
        <v>58</v>
      </c>
      <c r="L15" s="23" t="s">
        <v>59</v>
      </c>
      <c r="M15" s="23" t="s">
        <v>59</v>
      </c>
      <c r="N15" s="23"/>
      <c r="O15" s="22" t="s">
        <v>69</v>
      </c>
      <c r="P15" s="22" t="s">
        <v>71</v>
      </c>
      <c r="Q15" s="22" t="s">
        <v>45</v>
      </c>
      <c r="R15" s="23"/>
      <c r="S15" s="21" t="str">
        <f>"250,0"</f>
        <v>250,0</v>
      </c>
      <c r="T15" s="22" t="str">
        <f>"222,5413"</f>
        <v>222,5413</v>
      </c>
      <c r="U15" s="21" t="s">
        <v>60</v>
      </c>
    </row>
    <row r="17" spans="1:20" ht="15">
      <c r="A17" s="47" t="s">
        <v>89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1" ht="12.75">
      <c r="A18" s="15" t="s">
        <v>91</v>
      </c>
      <c r="B18" s="15" t="s">
        <v>92</v>
      </c>
      <c r="C18" s="15" t="s">
        <v>93</v>
      </c>
      <c r="D18" s="15" t="str">
        <f>"0,7788"</f>
        <v>0,7788</v>
      </c>
      <c r="E18" s="15" t="s">
        <v>94</v>
      </c>
      <c r="F18" s="15" t="s">
        <v>95</v>
      </c>
      <c r="G18" s="16" t="s">
        <v>96</v>
      </c>
      <c r="H18" s="16" t="s">
        <v>97</v>
      </c>
      <c r="I18" s="16" t="s">
        <v>72</v>
      </c>
      <c r="J18" s="17"/>
      <c r="K18" s="16" t="s">
        <v>31</v>
      </c>
      <c r="L18" s="16" t="s">
        <v>32</v>
      </c>
      <c r="M18" s="16" t="s">
        <v>98</v>
      </c>
      <c r="N18" s="17"/>
      <c r="O18" s="16" t="s">
        <v>46</v>
      </c>
      <c r="P18" s="16" t="s">
        <v>99</v>
      </c>
      <c r="Q18" s="16" t="s">
        <v>100</v>
      </c>
      <c r="R18" s="17"/>
      <c r="S18" s="15" t="str">
        <f>"325,0"</f>
        <v>325,0</v>
      </c>
      <c r="T18" s="16" t="str">
        <f>"253,0938"</f>
        <v>253,0938</v>
      </c>
      <c r="U18" s="15" t="s">
        <v>60</v>
      </c>
    </row>
    <row r="19" spans="1:21" ht="12.75">
      <c r="A19" s="21" t="s">
        <v>102</v>
      </c>
      <c r="B19" s="21" t="s">
        <v>103</v>
      </c>
      <c r="C19" s="21" t="s">
        <v>104</v>
      </c>
      <c r="D19" s="21" t="str">
        <f>"0,8219"</f>
        <v>0,8219</v>
      </c>
      <c r="E19" s="21" t="s">
        <v>29</v>
      </c>
      <c r="F19" s="21" t="s">
        <v>105</v>
      </c>
      <c r="G19" s="22" t="s">
        <v>71</v>
      </c>
      <c r="H19" s="22" t="s">
        <v>97</v>
      </c>
      <c r="I19" s="23" t="s">
        <v>46</v>
      </c>
      <c r="J19" s="23"/>
      <c r="K19" s="22" t="s">
        <v>106</v>
      </c>
      <c r="L19" s="22" t="s">
        <v>70</v>
      </c>
      <c r="M19" s="23"/>
      <c r="N19" s="23"/>
      <c r="O19" s="22" t="s">
        <v>45</v>
      </c>
      <c r="P19" s="22" t="s">
        <v>107</v>
      </c>
      <c r="Q19" s="22" t="s">
        <v>48</v>
      </c>
      <c r="R19" s="23"/>
      <c r="S19" s="21" t="str">
        <f>"305,0"</f>
        <v>305,0</v>
      </c>
      <c r="T19" s="22" t="str">
        <f>"250,6643"</f>
        <v>250,6643</v>
      </c>
      <c r="U19" s="21" t="s">
        <v>108</v>
      </c>
    </row>
    <row r="21" spans="1:20" ht="15">
      <c r="A21" s="47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2.75">
      <c r="A22" s="15" t="s">
        <v>110</v>
      </c>
      <c r="B22" s="15" t="s">
        <v>111</v>
      </c>
      <c r="C22" s="15" t="s">
        <v>112</v>
      </c>
      <c r="D22" s="15" t="str">
        <f>"1,0261"</f>
        <v>1,0261</v>
      </c>
      <c r="E22" s="15" t="s">
        <v>29</v>
      </c>
      <c r="F22" s="15" t="s">
        <v>113</v>
      </c>
      <c r="G22" s="16" t="s">
        <v>47</v>
      </c>
      <c r="H22" s="16" t="s">
        <v>32</v>
      </c>
      <c r="I22" s="16" t="s">
        <v>33</v>
      </c>
      <c r="J22" s="17"/>
      <c r="K22" s="16" t="s">
        <v>114</v>
      </c>
      <c r="L22" s="16" t="s">
        <v>34</v>
      </c>
      <c r="M22" s="16" t="s">
        <v>35</v>
      </c>
      <c r="N22" s="17"/>
      <c r="O22" s="17" t="s">
        <v>33</v>
      </c>
      <c r="P22" s="16" t="s">
        <v>84</v>
      </c>
      <c r="Q22" s="17" t="s">
        <v>68</v>
      </c>
      <c r="R22" s="17"/>
      <c r="S22" s="15" t="str">
        <f>"185,0"</f>
        <v>185,0</v>
      </c>
      <c r="T22" s="16" t="str">
        <f>"233,4891"</f>
        <v>233,4891</v>
      </c>
      <c r="U22" s="15" t="s">
        <v>60</v>
      </c>
    </row>
    <row r="23" spans="1:21" ht="12.75">
      <c r="A23" s="21" t="s">
        <v>116</v>
      </c>
      <c r="B23" s="21" t="s">
        <v>117</v>
      </c>
      <c r="C23" s="21" t="s">
        <v>118</v>
      </c>
      <c r="D23" s="21" t="str">
        <f>"1,2355"</f>
        <v>1,2355</v>
      </c>
      <c r="E23" s="21" t="s">
        <v>29</v>
      </c>
      <c r="F23" s="21" t="s">
        <v>119</v>
      </c>
      <c r="G23" s="22" t="s">
        <v>98</v>
      </c>
      <c r="H23" s="23" t="s">
        <v>36</v>
      </c>
      <c r="I23" s="23" t="s">
        <v>120</v>
      </c>
      <c r="J23" s="23"/>
      <c r="K23" s="22" t="s">
        <v>114</v>
      </c>
      <c r="L23" s="22" t="s">
        <v>121</v>
      </c>
      <c r="M23" s="22" t="s">
        <v>34</v>
      </c>
      <c r="N23" s="23"/>
      <c r="O23" s="22" t="s">
        <v>122</v>
      </c>
      <c r="P23" s="22" t="s">
        <v>84</v>
      </c>
      <c r="Q23" s="22" t="s">
        <v>56</v>
      </c>
      <c r="R23" s="23"/>
      <c r="S23" s="21" t="str">
        <f>"177,5"</f>
        <v>177,5</v>
      </c>
      <c r="T23" s="22" t="str">
        <f>"225,8803"</f>
        <v>225,8803</v>
      </c>
      <c r="U23" s="21" t="s">
        <v>60</v>
      </c>
    </row>
    <row r="25" spans="1:20" ht="15">
      <c r="A25" s="47" t="s">
        <v>123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1" ht="12.75">
      <c r="A26" s="11" t="s">
        <v>125</v>
      </c>
      <c r="B26" s="11" t="s">
        <v>126</v>
      </c>
      <c r="C26" s="11" t="s">
        <v>127</v>
      </c>
      <c r="D26" s="11" t="str">
        <f>"0,8748"</f>
        <v>0,8748</v>
      </c>
      <c r="E26" s="11" t="s">
        <v>66</v>
      </c>
      <c r="F26" s="11" t="s">
        <v>67</v>
      </c>
      <c r="G26" s="12" t="s">
        <v>48</v>
      </c>
      <c r="H26" s="12" t="s">
        <v>99</v>
      </c>
      <c r="I26" s="12" t="s">
        <v>49</v>
      </c>
      <c r="J26" s="13"/>
      <c r="K26" s="12" t="s">
        <v>71</v>
      </c>
      <c r="L26" s="12" t="s">
        <v>45</v>
      </c>
      <c r="M26" s="12" t="s">
        <v>46</v>
      </c>
      <c r="N26" s="13"/>
      <c r="O26" s="12" t="s">
        <v>128</v>
      </c>
      <c r="P26" s="12" t="s">
        <v>129</v>
      </c>
      <c r="Q26" s="12" t="s">
        <v>130</v>
      </c>
      <c r="R26" s="13"/>
      <c r="S26" s="11" t="str">
        <f>"445,0"</f>
        <v>445,0</v>
      </c>
      <c r="T26" s="12" t="str">
        <f>"389,2860"</f>
        <v>389,2860</v>
      </c>
      <c r="U26" s="11" t="s">
        <v>131</v>
      </c>
    </row>
    <row r="28" spans="1:20" ht="15">
      <c r="A28" s="47" t="s">
        <v>89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1" ht="12.75">
      <c r="A29" s="15" t="s">
        <v>133</v>
      </c>
      <c r="B29" s="15" t="s">
        <v>134</v>
      </c>
      <c r="C29" s="15" t="s">
        <v>135</v>
      </c>
      <c r="D29" s="15" t="str">
        <f>"0,7514"</f>
        <v>0,7514</v>
      </c>
      <c r="E29" s="15" t="s">
        <v>29</v>
      </c>
      <c r="F29" s="15" t="s">
        <v>136</v>
      </c>
      <c r="G29" s="16" t="s">
        <v>96</v>
      </c>
      <c r="H29" s="16" t="s">
        <v>45</v>
      </c>
      <c r="I29" s="16" t="s">
        <v>72</v>
      </c>
      <c r="J29" s="17"/>
      <c r="K29" s="16" t="s">
        <v>36</v>
      </c>
      <c r="L29" s="16" t="s">
        <v>33</v>
      </c>
      <c r="M29" s="17" t="s">
        <v>84</v>
      </c>
      <c r="N29" s="17"/>
      <c r="O29" s="16" t="s">
        <v>107</v>
      </c>
      <c r="P29" s="16" t="s">
        <v>137</v>
      </c>
      <c r="Q29" s="16" t="s">
        <v>49</v>
      </c>
      <c r="R29" s="17"/>
      <c r="S29" s="15" t="str">
        <f>"335,0"</f>
        <v>335,0</v>
      </c>
      <c r="T29" s="16" t="str">
        <f>"271,8565"</f>
        <v>271,8565</v>
      </c>
      <c r="U29" s="15" t="s">
        <v>60</v>
      </c>
    </row>
    <row r="30" spans="1:21" ht="12.75">
      <c r="A30" s="21" t="s">
        <v>139</v>
      </c>
      <c r="B30" s="21" t="s">
        <v>140</v>
      </c>
      <c r="C30" s="21" t="s">
        <v>141</v>
      </c>
      <c r="D30" s="21" t="str">
        <f>"0,7307"</f>
        <v>0,7307</v>
      </c>
      <c r="E30" s="21" t="s">
        <v>142</v>
      </c>
      <c r="F30" s="21" t="s">
        <v>143</v>
      </c>
      <c r="G30" s="22" t="s">
        <v>45</v>
      </c>
      <c r="H30" s="22" t="s">
        <v>46</v>
      </c>
      <c r="I30" s="22" t="s">
        <v>107</v>
      </c>
      <c r="J30" s="23"/>
      <c r="K30" s="22" t="s">
        <v>57</v>
      </c>
      <c r="L30" s="22" t="s">
        <v>68</v>
      </c>
      <c r="M30" s="23" t="s">
        <v>144</v>
      </c>
      <c r="N30" s="23"/>
      <c r="O30" s="23" t="s">
        <v>107</v>
      </c>
      <c r="P30" s="22" t="s">
        <v>48</v>
      </c>
      <c r="Q30" s="22" t="s">
        <v>99</v>
      </c>
      <c r="R30" s="23"/>
      <c r="S30" s="21" t="str">
        <f>"350,0"</f>
        <v>350,0</v>
      </c>
      <c r="T30" s="22" t="str">
        <f>"514,0475"</f>
        <v>514,0475</v>
      </c>
      <c r="U30" s="21" t="s">
        <v>60</v>
      </c>
    </row>
    <row r="32" spans="1:20" ht="15">
      <c r="A32" s="47" t="s">
        <v>145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1" ht="12.75">
      <c r="A33" s="15" t="s">
        <v>147</v>
      </c>
      <c r="B33" s="15" t="s">
        <v>148</v>
      </c>
      <c r="C33" s="15" t="s">
        <v>149</v>
      </c>
      <c r="D33" s="15" t="str">
        <f>"0,6645"</f>
        <v>0,6645</v>
      </c>
      <c r="E33" s="15" t="s">
        <v>29</v>
      </c>
      <c r="F33" s="15" t="s">
        <v>67</v>
      </c>
      <c r="G33" s="16" t="s">
        <v>129</v>
      </c>
      <c r="H33" s="16" t="s">
        <v>150</v>
      </c>
      <c r="I33" s="17" t="s">
        <v>151</v>
      </c>
      <c r="J33" s="17"/>
      <c r="K33" s="16" t="s">
        <v>72</v>
      </c>
      <c r="L33" s="17" t="s">
        <v>152</v>
      </c>
      <c r="M33" s="16" t="s">
        <v>152</v>
      </c>
      <c r="N33" s="17"/>
      <c r="O33" s="16" t="s">
        <v>153</v>
      </c>
      <c r="P33" s="16" t="s">
        <v>154</v>
      </c>
      <c r="Q33" s="16" t="s">
        <v>155</v>
      </c>
      <c r="R33" s="17"/>
      <c r="S33" s="15" t="str">
        <f>"547,5"</f>
        <v>547,5</v>
      </c>
      <c r="T33" s="16" t="str">
        <f>"363,8137"</f>
        <v>363,8137</v>
      </c>
      <c r="U33" s="15" t="s">
        <v>60</v>
      </c>
    </row>
    <row r="34" spans="1:21" ht="12.75">
      <c r="A34" s="18" t="s">
        <v>157</v>
      </c>
      <c r="B34" s="18" t="s">
        <v>158</v>
      </c>
      <c r="C34" s="18" t="s">
        <v>159</v>
      </c>
      <c r="D34" s="18" t="str">
        <f>"0,6859"</f>
        <v>0,6859</v>
      </c>
      <c r="E34" s="18" t="s">
        <v>29</v>
      </c>
      <c r="F34" s="18" t="s">
        <v>43</v>
      </c>
      <c r="G34" s="19" t="s">
        <v>48</v>
      </c>
      <c r="H34" s="20" t="s">
        <v>99</v>
      </c>
      <c r="I34" s="20" t="s">
        <v>99</v>
      </c>
      <c r="J34" s="20"/>
      <c r="K34" s="19" t="s">
        <v>107</v>
      </c>
      <c r="L34" s="19" t="s">
        <v>48</v>
      </c>
      <c r="M34" s="19" t="s">
        <v>99</v>
      </c>
      <c r="N34" s="20"/>
      <c r="O34" s="19" t="s">
        <v>129</v>
      </c>
      <c r="P34" s="20" t="s">
        <v>160</v>
      </c>
      <c r="Q34" s="20" t="s">
        <v>160</v>
      </c>
      <c r="R34" s="20"/>
      <c r="S34" s="18" t="str">
        <f>"435,0"</f>
        <v>435,0</v>
      </c>
      <c r="T34" s="19" t="str">
        <f>"298,3665"</f>
        <v>298,3665</v>
      </c>
      <c r="U34" s="18" t="s">
        <v>60</v>
      </c>
    </row>
    <row r="35" spans="1:21" ht="12.75">
      <c r="A35" s="18" t="s">
        <v>162</v>
      </c>
      <c r="B35" s="18" t="s">
        <v>163</v>
      </c>
      <c r="C35" s="18" t="s">
        <v>164</v>
      </c>
      <c r="D35" s="18" t="str">
        <f>"0,6955"</f>
        <v>0,6955</v>
      </c>
      <c r="E35" s="18" t="s">
        <v>29</v>
      </c>
      <c r="F35" s="18" t="s">
        <v>43</v>
      </c>
      <c r="G35" s="19" t="s">
        <v>45</v>
      </c>
      <c r="H35" s="19" t="s">
        <v>107</v>
      </c>
      <c r="I35" s="19" t="s">
        <v>48</v>
      </c>
      <c r="J35" s="20"/>
      <c r="K35" s="19" t="s">
        <v>77</v>
      </c>
      <c r="L35" s="19" t="s">
        <v>69</v>
      </c>
      <c r="M35" s="20" t="s">
        <v>44</v>
      </c>
      <c r="N35" s="20"/>
      <c r="O35" s="19" t="s">
        <v>100</v>
      </c>
      <c r="P35" s="19" t="s">
        <v>165</v>
      </c>
      <c r="Q35" s="20" t="s">
        <v>128</v>
      </c>
      <c r="R35" s="20"/>
      <c r="S35" s="18" t="str">
        <f>"380,0"</f>
        <v>380,0</v>
      </c>
      <c r="T35" s="19" t="str">
        <f>"264,3006"</f>
        <v>264,3006</v>
      </c>
      <c r="U35" s="18" t="s">
        <v>60</v>
      </c>
    </row>
    <row r="36" spans="1:21" ht="12.75">
      <c r="A36" s="21" t="s">
        <v>167</v>
      </c>
      <c r="B36" s="21" t="s">
        <v>168</v>
      </c>
      <c r="C36" s="21" t="s">
        <v>169</v>
      </c>
      <c r="D36" s="21" t="str">
        <f>"0,6673"</f>
        <v>0,6673</v>
      </c>
      <c r="E36" s="21" t="s">
        <v>142</v>
      </c>
      <c r="F36" s="21" t="s">
        <v>143</v>
      </c>
      <c r="G36" s="22" t="s">
        <v>170</v>
      </c>
      <c r="H36" s="22" t="s">
        <v>171</v>
      </c>
      <c r="I36" s="23" t="s">
        <v>130</v>
      </c>
      <c r="J36" s="23"/>
      <c r="K36" s="22" t="s">
        <v>44</v>
      </c>
      <c r="L36" s="22" t="s">
        <v>96</v>
      </c>
      <c r="M36" s="22" t="s">
        <v>71</v>
      </c>
      <c r="N36" s="23"/>
      <c r="O36" s="22" t="s">
        <v>165</v>
      </c>
      <c r="P36" s="22" t="s">
        <v>172</v>
      </c>
      <c r="Q36" s="22" t="s">
        <v>171</v>
      </c>
      <c r="R36" s="23"/>
      <c r="S36" s="21" t="str">
        <f>"455,0"</f>
        <v>455,0</v>
      </c>
      <c r="T36" s="22" t="str">
        <f>"466,0590"</f>
        <v>466,0590</v>
      </c>
      <c r="U36" s="21" t="s">
        <v>60</v>
      </c>
    </row>
    <row r="38" spans="1:20" ht="15">
      <c r="A38" s="47" t="s">
        <v>173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1" ht="12.75">
      <c r="A39" s="11" t="s">
        <v>175</v>
      </c>
      <c r="B39" s="11" t="s">
        <v>176</v>
      </c>
      <c r="C39" s="11" t="s">
        <v>177</v>
      </c>
      <c r="D39" s="11" t="str">
        <f>"0,6209"</f>
        <v>0,6209</v>
      </c>
      <c r="E39" s="11" t="s">
        <v>54</v>
      </c>
      <c r="F39" s="11" t="s">
        <v>178</v>
      </c>
      <c r="G39" s="12" t="s">
        <v>179</v>
      </c>
      <c r="H39" s="12" t="s">
        <v>180</v>
      </c>
      <c r="I39" s="12" t="s">
        <v>181</v>
      </c>
      <c r="J39" s="13"/>
      <c r="K39" s="12" t="s">
        <v>71</v>
      </c>
      <c r="L39" s="12" t="s">
        <v>97</v>
      </c>
      <c r="M39" s="12" t="s">
        <v>46</v>
      </c>
      <c r="N39" s="13"/>
      <c r="O39" s="12" t="s">
        <v>155</v>
      </c>
      <c r="P39" s="12" t="s">
        <v>182</v>
      </c>
      <c r="Q39" s="13" t="s">
        <v>183</v>
      </c>
      <c r="R39" s="13"/>
      <c r="S39" s="11" t="str">
        <f>"580,0"</f>
        <v>580,0</v>
      </c>
      <c r="T39" s="12" t="str">
        <f>"360,1220"</f>
        <v>360,1220</v>
      </c>
      <c r="U39" s="11" t="s">
        <v>60</v>
      </c>
    </row>
    <row r="41" spans="1:20" ht="15">
      <c r="A41" s="47" t="s">
        <v>184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1" ht="12.75">
      <c r="A42" s="15" t="s">
        <v>186</v>
      </c>
      <c r="B42" s="15" t="s">
        <v>187</v>
      </c>
      <c r="C42" s="15" t="s">
        <v>188</v>
      </c>
      <c r="D42" s="15" t="str">
        <f>"0,6069"</f>
        <v>0,6069</v>
      </c>
      <c r="E42" s="15" t="s">
        <v>29</v>
      </c>
      <c r="F42" s="15" t="s">
        <v>119</v>
      </c>
      <c r="G42" s="16" t="s">
        <v>48</v>
      </c>
      <c r="H42" s="16" t="s">
        <v>99</v>
      </c>
      <c r="I42" s="16" t="s">
        <v>189</v>
      </c>
      <c r="J42" s="17"/>
      <c r="K42" s="16" t="s">
        <v>46</v>
      </c>
      <c r="L42" s="17" t="s">
        <v>107</v>
      </c>
      <c r="M42" s="17" t="s">
        <v>107</v>
      </c>
      <c r="N42" s="17"/>
      <c r="O42" s="16" t="s">
        <v>179</v>
      </c>
      <c r="P42" s="16" t="s">
        <v>181</v>
      </c>
      <c r="Q42" s="17" t="s">
        <v>155</v>
      </c>
      <c r="R42" s="17"/>
      <c r="S42" s="15" t="str">
        <f>"475,0"</f>
        <v>475,0</v>
      </c>
      <c r="T42" s="16" t="str">
        <f>"288,2775"</f>
        <v>288,2775</v>
      </c>
      <c r="U42" s="15" t="s">
        <v>60</v>
      </c>
    </row>
    <row r="43" spans="1:21" ht="12.75">
      <c r="A43" s="18" t="s">
        <v>191</v>
      </c>
      <c r="B43" s="18" t="s">
        <v>192</v>
      </c>
      <c r="C43" s="18" t="s">
        <v>193</v>
      </c>
      <c r="D43" s="18" t="str">
        <f>"0,5873"</f>
        <v>0,5873</v>
      </c>
      <c r="E43" s="18" t="s">
        <v>1178</v>
      </c>
      <c r="F43" s="18" t="s">
        <v>194</v>
      </c>
      <c r="G43" s="20" t="s">
        <v>46</v>
      </c>
      <c r="H43" s="19" t="s">
        <v>48</v>
      </c>
      <c r="I43" s="20" t="s">
        <v>100</v>
      </c>
      <c r="J43" s="20"/>
      <c r="K43" s="19" t="s">
        <v>45</v>
      </c>
      <c r="L43" s="19" t="s">
        <v>97</v>
      </c>
      <c r="M43" s="20" t="s">
        <v>46</v>
      </c>
      <c r="N43" s="20"/>
      <c r="O43" s="19" t="s">
        <v>165</v>
      </c>
      <c r="P43" s="19" t="s">
        <v>195</v>
      </c>
      <c r="Q43" s="20" t="s">
        <v>150</v>
      </c>
      <c r="R43" s="20"/>
      <c r="S43" s="18" t="str">
        <f>"412,5"</f>
        <v>412,5</v>
      </c>
      <c r="T43" s="19" t="str">
        <f>"242,2613"</f>
        <v>242,2613</v>
      </c>
      <c r="U43" s="18" t="s">
        <v>60</v>
      </c>
    </row>
    <row r="44" spans="1:21" ht="12.75">
      <c r="A44" s="18" t="s">
        <v>197</v>
      </c>
      <c r="B44" s="18" t="s">
        <v>198</v>
      </c>
      <c r="C44" s="18" t="s">
        <v>199</v>
      </c>
      <c r="D44" s="18" t="str">
        <f>"0,5943"</f>
        <v>0,5943</v>
      </c>
      <c r="E44" s="18" t="s">
        <v>29</v>
      </c>
      <c r="F44" s="18" t="s">
        <v>200</v>
      </c>
      <c r="G44" s="19" t="s">
        <v>165</v>
      </c>
      <c r="H44" s="19" t="s">
        <v>128</v>
      </c>
      <c r="I44" s="20" t="s">
        <v>195</v>
      </c>
      <c r="J44" s="20"/>
      <c r="K44" s="19" t="s">
        <v>45</v>
      </c>
      <c r="L44" s="20" t="s">
        <v>107</v>
      </c>
      <c r="M44" s="20" t="s">
        <v>107</v>
      </c>
      <c r="N44" s="20"/>
      <c r="O44" s="19" t="s">
        <v>129</v>
      </c>
      <c r="P44" s="19" t="s">
        <v>201</v>
      </c>
      <c r="Q44" s="20" t="s">
        <v>202</v>
      </c>
      <c r="R44" s="20"/>
      <c r="S44" s="18" t="str">
        <f>"462,5"</f>
        <v>462,5</v>
      </c>
      <c r="T44" s="19" t="str">
        <f>"352,1004"</f>
        <v>352,1004</v>
      </c>
      <c r="U44" s="18" t="s">
        <v>60</v>
      </c>
    </row>
    <row r="45" spans="1:21" ht="12.75">
      <c r="A45" s="21" t="s">
        <v>204</v>
      </c>
      <c r="B45" s="21" t="s">
        <v>205</v>
      </c>
      <c r="C45" s="21" t="s">
        <v>206</v>
      </c>
      <c r="D45" s="21" t="str">
        <f>"0,5918"</f>
        <v>0,5918</v>
      </c>
      <c r="E45" s="21" t="s">
        <v>142</v>
      </c>
      <c r="F45" s="21" t="s">
        <v>143</v>
      </c>
      <c r="G45" s="23" t="s">
        <v>99</v>
      </c>
      <c r="H45" s="22" t="s">
        <v>99</v>
      </c>
      <c r="I45" s="22" t="s">
        <v>100</v>
      </c>
      <c r="J45" s="23"/>
      <c r="K45" s="22" t="s">
        <v>56</v>
      </c>
      <c r="L45" s="22" t="s">
        <v>57</v>
      </c>
      <c r="M45" s="22" t="s">
        <v>68</v>
      </c>
      <c r="N45" s="23"/>
      <c r="O45" s="22" t="s">
        <v>100</v>
      </c>
      <c r="P45" s="22" t="s">
        <v>165</v>
      </c>
      <c r="Q45" s="22" t="s">
        <v>128</v>
      </c>
      <c r="R45" s="23"/>
      <c r="S45" s="21" t="str">
        <f>"390,0"</f>
        <v>390,0</v>
      </c>
      <c r="T45" s="22" t="str">
        <f>"481,6838"</f>
        <v>481,6838</v>
      </c>
      <c r="U45" s="21" t="s">
        <v>60</v>
      </c>
    </row>
    <row r="47" spans="1:20" ht="15">
      <c r="A47" s="47" t="s">
        <v>207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1" ht="12.75">
      <c r="A48" s="15" t="s">
        <v>209</v>
      </c>
      <c r="B48" s="15" t="s">
        <v>210</v>
      </c>
      <c r="C48" s="15" t="s">
        <v>211</v>
      </c>
      <c r="D48" s="15" t="str">
        <f>"0,5398"</f>
        <v>0,5398</v>
      </c>
      <c r="E48" s="15" t="s">
        <v>29</v>
      </c>
      <c r="F48" s="15" t="s">
        <v>212</v>
      </c>
      <c r="G48" s="16" t="s">
        <v>213</v>
      </c>
      <c r="H48" s="16" t="s">
        <v>154</v>
      </c>
      <c r="I48" s="16" t="s">
        <v>155</v>
      </c>
      <c r="J48" s="17"/>
      <c r="K48" s="16" t="s">
        <v>128</v>
      </c>
      <c r="L48" s="16" t="s">
        <v>214</v>
      </c>
      <c r="M48" s="17" t="s">
        <v>171</v>
      </c>
      <c r="N48" s="17"/>
      <c r="O48" s="16" t="s">
        <v>155</v>
      </c>
      <c r="P48" s="16" t="s">
        <v>215</v>
      </c>
      <c r="Q48" s="16" t="s">
        <v>216</v>
      </c>
      <c r="R48" s="17"/>
      <c r="S48" s="15" t="str">
        <f>"677,5"</f>
        <v>677,5</v>
      </c>
      <c r="T48" s="16" t="str">
        <f>"369,3716"</f>
        <v>369,3716</v>
      </c>
      <c r="U48" s="15" t="s">
        <v>60</v>
      </c>
    </row>
    <row r="49" spans="1:21" ht="12.75">
      <c r="A49" s="18" t="s">
        <v>218</v>
      </c>
      <c r="B49" s="18" t="s">
        <v>219</v>
      </c>
      <c r="C49" s="18" t="s">
        <v>220</v>
      </c>
      <c r="D49" s="18" t="str">
        <f>"0,5370"</f>
        <v>0,5370</v>
      </c>
      <c r="E49" s="18" t="s">
        <v>66</v>
      </c>
      <c r="F49" s="18" t="s">
        <v>67</v>
      </c>
      <c r="G49" s="19" t="s">
        <v>221</v>
      </c>
      <c r="H49" s="19" t="s">
        <v>222</v>
      </c>
      <c r="I49" s="20" t="s">
        <v>181</v>
      </c>
      <c r="J49" s="20"/>
      <c r="K49" s="19" t="s">
        <v>99</v>
      </c>
      <c r="L49" s="20" t="s">
        <v>100</v>
      </c>
      <c r="M49" s="20"/>
      <c r="N49" s="20"/>
      <c r="O49" s="19" t="s">
        <v>213</v>
      </c>
      <c r="P49" s="19" t="s">
        <v>154</v>
      </c>
      <c r="Q49" s="20"/>
      <c r="R49" s="20"/>
      <c r="S49" s="18" t="str">
        <f>"570,0"</f>
        <v>570,0</v>
      </c>
      <c r="T49" s="19" t="str">
        <f>"306,0900"</f>
        <v>306,0900</v>
      </c>
      <c r="U49" s="18" t="s">
        <v>131</v>
      </c>
    </row>
    <row r="50" spans="1:21" ht="12.75">
      <c r="A50" s="21" t="s">
        <v>224</v>
      </c>
      <c r="B50" s="21" t="s">
        <v>225</v>
      </c>
      <c r="C50" s="21" t="s">
        <v>226</v>
      </c>
      <c r="D50" s="21" t="str">
        <f>"0,5439"</f>
        <v>0,5439</v>
      </c>
      <c r="E50" s="21" t="s">
        <v>29</v>
      </c>
      <c r="F50" s="21" t="s">
        <v>43</v>
      </c>
      <c r="G50" s="23" t="s">
        <v>100</v>
      </c>
      <c r="H50" s="22" t="s">
        <v>189</v>
      </c>
      <c r="I50" s="22" t="s">
        <v>128</v>
      </c>
      <c r="J50" s="23"/>
      <c r="K50" s="22" t="s">
        <v>48</v>
      </c>
      <c r="L50" s="22" t="s">
        <v>100</v>
      </c>
      <c r="M50" s="23" t="s">
        <v>165</v>
      </c>
      <c r="N50" s="23"/>
      <c r="O50" s="22" t="s">
        <v>128</v>
      </c>
      <c r="P50" s="22" t="s">
        <v>150</v>
      </c>
      <c r="Q50" s="23" t="s">
        <v>180</v>
      </c>
      <c r="R50" s="23"/>
      <c r="S50" s="21" t="str">
        <f>"480,0"</f>
        <v>480,0</v>
      </c>
      <c r="T50" s="22" t="str">
        <f>"261,0720"</f>
        <v>261,0720</v>
      </c>
      <c r="U50" s="21" t="s">
        <v>50</v>
      </c>
    </row>
    <row r="52" ht="15">
      <c r="E52" s="9" t="s">
        <v>13</v>
      </c>
    </row>
    <row r="53" ht="15">
      <c r="E53" s="9" t="s">
        <v>14</v>
      </c>
    </row>
    <row r="54" ht="15">
      <c r="E54" s="9" t="s">
        <v>15</v>
      </c>
    </row>
    <row r="55" ht="15">
      <c r="E55" s="9" t="s">
        <v>16</v>
      </c>
    </row>
    <row r="56" ht="15">
      <c r="E56" s="9" t="s">
        <v>16</v>
      </c>
    </row>
    <row r="57" ht="15">
      <c r="E57" s="9" t="s">
        <v>17</v>
      </c>
    </row>
    <row r="58" ht="15">
      <c r="E58" s="9"/>
    </row>
    <row r="60" spans="1:2" ht="18">
      <c r="A60" s="10" t="s">
        <v>18</v>
      </c>
      <c r="B60" s="10"/>
    </row>
    <row r="61" spans="1:2" ht="15">
      <c r="A61" s="24" t="s">
        <v>227</v>
      </c>
      <c r="B61" s="24"/>
    </row>
    <row r="62" spans="1:2" ht="14.25">
      <c r="A62" s="26"/>
      <c r="B62" s="27" t="s">
        <v>228</v>
      </c>
    </row>
    <row r="63" spans="1:5" ht="15">
      <c r="A63" s="28" t="s">
        <v>229</v>
      </c>
      <c r="B63" s="28" t="s">
        <v>230</v>
      </c>
      <c r="C63" s="28" t="s">
        <v>231</v>
      </c>
      <c r="D63" s="28" t="s">
        <v>232</v>
      </c>
      <c r="E63" s="28" t="s">
        <v>233</v>
      </c>
    </row>
    <row r="64" spans="1:5" ht="12.75">
      <c r="A64" s="25" t="s">
        <v>39</v>
      </c>
      <c r="B64" s="4" t="s">
        <v>234</v>
      </c>
      <c r="C64" s="4" t="s">
        <v>235</v>
      </c>
      <c r="D64" s="4" t="s">
        <v>236</v>
      </c>
      <c r="E64" s="29" t="s">
        <v>237</v>
      </c>
    </row>
    <row r="65" spans="1:5" ht="12.75">
      <c r="A65" s="25" t="s">
        <v>25</v>
      </c>
      <c r="B65" s="4" t="s">
        <v>238</v>
      </c>
      <c r="C65" s="4" t="s">
        <v>239</v>
      </c>
      <c r="D65" s="4" t="s">
        <v>195</v>
      </c>
      <c r="E65" s="29" t="s">
        <v>240</v>
      </c>
    </row>
    <row r="67" spans="1:2" ht="14.25">
      <c r="A67" s="26"/>
      <c r="B67" s="27" t="s">
        <v>241</v>
      </c>
    </row>
    <row r="68" spans="1:5" ht="15">
      <c r="A68" s="28" t="s">
        <v>229</v>
      </c>
      <c r="B68" s="28" t="s">
        <v>230</v>
      </c>
      <c r="C68" s="28" t="s">
        <v>231</v>
      </c>
      <c r="D68" s="28" t="s">
        <v>232</v>
      </c>
      <c r="E68" s="28" t="s">
        <v>233</v>
      </c>
    </row>
    <row r="69" spans="1:5" ht="12.75">
      <c r="A69" s="25" t="s">
        <v>51</v>
      </c>
      <c r="B69" s="4" t="s">
        <v>242</v>
      </c>
      <c r="C69" s="4" t="s">
        <v>235</v>
      </c>
      <c r="D69" s="4" t="s">
        <v>181</v>
      </c>
      <c r="E69" s="29" t="s">
        <v>243</v>
      </c>
    </row>
    <row r="71" spans="1:2" ht="14.25">
      <c r="A71" s="26"/>
      <c r="B71" s="27" t="s">
        <v>244</v>
      </c>
    </row>
    <row r="72" spans="1:5" ht="15">
      <c r="A72" s="28" t="s">
        <v>229</v>
      </c>
      <c r="B72" s="28" t="s">
        <v>230</v>
      </c>
      <c r="C72" s="28" t="s">
        <v>231</v>
      </c>
      <c r="D72" s="28" t="s">
        <v>232</v>
      </c>
      <c r="E72" s="28" t="s">
        <v>233</v>
      </c>
    </row>
    <row r="73" spans="1:5" ht="12.75">
      <c r="A73" s="25" t="s">
        <v>39</v>
      </c>
      <c r="B73" s="4" t="s">
        <v>244</v>
      </c>
      <c r="C73" s="4" t="s">
        <v>235</v>
      </c>
      <c r="D73" s="4" t="s">
        <v>236</v>
      </c>
      <c r="E73" s="29" t="s">
        <v>245</v>
      </c>
    </row>
    <row r="74" spans="1:5" ht="12.75">
      <c r="A74" s="25" t="s">
        <v>90</v>
      </c>
      <c r="B74" s="4" t="s">
        <v>244</v>
      </c>
      <c r="C74" s="4" t="s">
        <v>246</v>
      </c>
      <c r="D74" s="4" t="s">
        <v>247</v>
      </c>
      <c r="E74" s="29" t="s">
        <v>248</v>
      </c>
    </row>
    <row r="75" spans="1:5" ht="12.75">
      <c r="A75" s="25" t="s">
        <v>101</v>
      </c>
      <c r="B75" s="4" t="s">
        <v>244</v>
      </c>
      <c r="C75" s="4" t="s">
        <v>246</v>
      </c>
      <c r="D75" s="4" t="s">
        <v>249</v>
      </c>
      <c r="E75" s="29" t="s">
        <v>250</v>
      </c>
    </row>
    <row r="76" spans="1:5" ht="12.75">
      <c r="A76" s="25" t="s">
        <v>62</v>
      </c>
      <c r="B76" s="4" t="s">
        <v>244</v>
      </c>
      <c r="C76" s="4" t="s">
        <v>235</v>
      </c>
      <c r="D76" s="4" t="s">
        <v>251</v>
      </c>
      <c r="E76" s="29" t="s">
        <v>252</v>
      </c>
    </row>
    <row r="77" spans="1:5" ht="12.75">
      <c r="A77" s="25" t="s">
        <v>74</v>
      </c>
      <c r="B77" s="4" t="s">
        <v>244</v>
      </c>
      <c r="C77" s="4" t="s">
        <v>235</v>
      </c>
      <c r="D77" s="4" t="s">
        <v>216</v>
      </c>
      <c r="E77" s="29" t="s">
        <v>253</v>
      </c>
    </row>
    <row r="78" spans="1:5" ht="12.75">
      <c r="A78" s="25" t="s">
        <v>79</v>
      </c>
      <c r="B78" s="4" t="s">
        <v>244</v>
      </c>
      <c r="C78" s="4" t="s">
        <v>235</v>
      </c>
      <c r="D78" s="4" t="s">
        <v>181</v>
      </c>
      <c r="E78" s="29" t="s">
        <v>254</v>
      </c>
    </row>
    <row r="80" spans="1:2" ht="14.25">
      <c r="A80" s="26"/>
      <c r="B80" s="27" t="s">
        <v>255</v>
      </c>
    </row>
    <row r="81" spans="1:5" ht="15">
      <c r="A81" s="28" t="s">
        <v>229</v>
      </c>
      <c r="B81" s="28" t="s">
        <v>230</v>
      </c>
      <c r="C81" s="28" t="s">
        <v>231</v>
      </c>
      <c r="D81" s="28" t="s">
        <v>232</v>
      </c>
      <c r="E81" s="28" t="s">
        <v>233</v>
      </c>
    </row>
    <row r="82" spans="1:5" ht="12.75">
      <c r="A82" s="25" t="s">
        <v>85</v>
      </c>
      <c r="B82" s="4" t="s">
        <v>256</v>
      </c>
      <c r="C82" s="4" t="s">
        <v>235</v>
      </c>
      <c r="D82" s="4" t="s">
        <v>182</v>
      </c>
      <c r="E82" s="29" t="s">
        <v>257</v>
      </c>
    </row>
    <row r="85" spans="1:2" ht="15">
      <c r="A85" s="24" t="s">
        <v>258</v>
      </c>
      <c r="B85" s="24"/>
    </row>
    <row r="86" spans="1:2" ht="14.25">
      <c r="A86" s="26"/>
      <c r="B86" s="27" t="s">
        <v>259</v>
      </c>
    </row>
    <row r="87" spans="1:5" ht="15">
      <c r="A87" s="28" t="s">
        <v>229</v>
      </c>
      <c r="B87" s="28" t="s">
        <v>230</v>
      </c>
      <c r="C87" s="28" t="s">
        <v>231</v>
      </c>
      <c r="D87" s="28" t="s">
        <v>232</v>
      </c>
      <c r="E87" s="28" t="s">
        <v>233</v>
      </c>
    </row>
    <row r="88" spans="1:5" ht="12.75">
      <c r="A88" s="25" t="s">
        <v>132</v>
      </c>
      <c r="B88" s="4" t="s">
        <v>238</v>
      </c>
      <c r="C88" s="4" t="s">
        <v>246</v>
      </c>
      <c r="D88" s="4" t="s">
        <v>260</v>
      </c>
      <c r="E88" s="29" t="s">
        <v>261</v>
      </c>
    </row>
    <row r="89" spans="1:5" ht="12.75">
      <c r="A89" s="25" t="s">
        <v>109</v>
      </c>
      <c r="B89" s="4" t="s">
        <v>262</v>
      </c>
      <c r="C89" s="4" t="s">
        <v>239</v>
      </c>
      <c r="D89" s="4" t="s">
        <v>151</v>
      </c>
      <c r="E89" s="29" t="s">
        <v>263</v>
      </c>
    </row>
    <row r="91" spans="1:2" ht="14.25">
      <c r="A91" s="26"/>
      <c r="B91" s="27" t="s">
        <v>264</v>
      </c>
    </row>
    <row r="92" spans="1:5" ht="15">
      <c r="A92" s="28" t="s">
        <v>229</v>
      </c>
      <c r="B92" s="28" t="s">
        <v>230</v>
      </c>
      <c r="C92" s="28" t="s">
        <v>231</v>
      </c>
      <c r="D92" s="28" t="s">
        <v>232</v>
      </c>
      <c r="E92" s="28" t="s">
        <v>233</v>
      </c>
    </row>
    <row r="93" spans="1:5" ht="12.75">
      <c r="A93" s="25" t="s">
        <v>208</v>
      </c>
      <c r="B93" s="4" t="s">
        <v>242</v>
      </c>
      <c r="C93" s="4" t="s">
        <v>265</v>
      </c>
      <c r="D93" s="4" t="s">
        <v>266</v>
      </c>
      <c r="E93" s="29" t="s">
        <v>267</v>
      </c>
    </row>
    <row r="94" spans="1:5" ht="12.75">
      <c r="A94" s="25" t="s">
        <v>115</v>
      </c>
      <c r="B94" s="4" t="s">
        <v>242</v>
      </c>
      <c r="C94" s="4" t="s">
        <v>239</v>
      </c>
      <c r="D94" s="4" t="s">
        <v>268</v>
      </c>
      <c r="E94" s="29" t="s">
        <v>269</v>
      </c>
    </row>
    <row r="96" spans="1:2" ht="14.25">
      <c r="A96" s="26"/>
      <c r="B96" s="27" t="s">
        <v>244</v>
      </c>
    </row>
    <row r="97" spans="1:5" ht="15">
      <c r="A97" s="28" t="s">
        <v>229</v>
      </c>
      <c r="B97" s="28" t="s">
        <v>230</v>
      </c>
      <c r="C97" s="28" t="s">
        <v>231</v>
      </c>
      <c r="D97" s="28" t="s">
        <v>232</v>
      </c>
      <c r="E97" s="28" t="s">
        <v>233</v>
      </c>
    </row>
    <row r="98" spans="1:5" ht="12.75">
      <c r="A98" s="25" t="s">
        <v>124</v>
      </c>
      <c r="B98" s="4" t="s">
        <v>244</v>
      </c>
      <c r="C98" s="4" t="s">
        <v>270</v>
      </c>
      <c r="D98" s="4" t="s">
        <v>271</v>
      </c>
      <c r="E98" s="29" t="s">
        <v>272</v>
      </c>
    </row>
    <row r="99" spans="1:5" ht="12.75">
      <c r="A99" s="25" t="s">
        <v>146</v>
      </c>
      <c r="B99" s="4" t="s">
        <v>244</v>
      </c>
      <c r="C99" s="4" t="s">
        <v>273</v>
      </c>
      <c r="D99" s="4" t="s">
        <v>274</v>
      </c>
      <c r="E99" s="29" t="s">
        <v>275</v>
      </c>
    </row>
    <row r="100" spans="1:5" ht="12.75">
      <c r="A100" s="25" t="s">
        <v>174</v>
      </c>
      <c r="B100" s="4" t="s">
        <v>244</v>
      </c>
      <c r="C100" s="4" t="s">
        <v>276</v>
      </c>
      <c r="D100" s="4" t="s">
        <v>277</v>
      </c>
      <c r="E100" s="29" t="s">
        <v>278</v>
      </c>
    </row>
    <row r="101" spans="1:5" ht="12.75">
      <c r="A101" s="25" t="s">
        <v>217</v>
      </c>
      <c r="B101" s="4" t="s">
        <v>244</v>
      </c>
      <c r="C101" s="4" t="s">
        <v>265</v>
      </c>
      <c r="D101" s="4" t="s">
        <v>279</v>
      </c>
      <c r="E101" s="29" t="s">
        <v>280</v>
      </c>
    </row>
    <row r="102" spans="1:5" ht="12.75">
      <c r="A102" s="25" t="s">
        <v>156</v>
      </c>
      <c r="B102" s="4" t="s">
        <v>244</v>
      </c>
      <c r="C102" s="4" t="s">
        <v>273</v>
      </c>
      <c r="D102" s="4" t="s">
        <v>281</v>
      </c>
      <c r="E102" s="29" t="s">
        <v>282</v>
      </c>
    </row>
    <row r="103" spans="1:5" ht="12.75">
      <c r="A103" s="25" t="s">
        <v>185</v>
      </c>
      <c r="B103" s="4" t="s">
        <v>244</v>
      </c>
      <c r="C103" s="4" t="s">
        <v>283</v>
      </c>
      <c r="D103" s="4" t="s">
        <v>284</v>
      </c>
      <c r="E103" s="29" t="s">
        <v>285</v>
      </c>
    </row>
    <row r="104" spans="1:5" ht="12.75">
      <c r="A104" s="25" t="s">
        <v>161</v>
      </c>
      <c r="B104" s="4" t="s">
        <v>244</v>
      </c>
      <c r="C104" s="4" t="s">
        <v>273</v>
      </c>
      <c r="D104" s="4" t="s">
        <v>286</v>
      </c>
      <c r="E104" s="29" t="s">
        <v>287</v>
      </c>
    </row>
    <row r="105" spans="1:5" ht="12.75">
      <c r="A105" s="25" t="s">
        <v>223</v>
      </c>
      <c r="B105" s="4" t="s">
        <v>244</v>
      </c>
      <c r="C105" s="4" t="s">
        <v>265</v>
      </c>
      <c r="D105" s="4" t="s">
        <v>288</v>
      </c>
      <c r="E105" s="29" t="s">
        <v>289</v>
      </c>
    </row>
    <row r="106" spans="1:5" ht="12.75">
      <c r="A106" s="25" t="s">
        <v>190</v>
      </c>
      <c r="B106" s="4" t="s">
        <v>244</v>
      </c>
      <c r="C106" s="4" t="s">
        <v>283</v>
      </c>
      <c r="D106" s="4" t="s">
        <v>290</v>
      </c>
      <c r="E106" s="29" t="s">
        <v>291</v>
      </c>
    </row>
    <row r="108" spans="1:2" ht="14.25">
      <c r="A108" s="26"/>
      <c r="B108" s="27" t="s">
        <v>255</v>
      </c>
    </row>
    <row r="109" spans="1:5" ht="15">
      <c r="A109" s="28" t="s">
        <v>229</v>
      </c>
      <c r="B109" s="28" t="s">
        <v>230</v>
      </c>
      <c r="C109" s="28" t="s">
        <v>231</v>
      </c>
      <c r="D109" s="28" t="s">
        <v>232</v>
      </c>
      <c r="E109" s="28" t="s">
        <v>233</v>
      </c>
    </row>
    <row r="110" spans="1:5" ht="12.75">
      <c r="A110" s="25" t="s">
        <v>138</v>
      </c>
      <c r="B110" s="4" t="s">
        <v>292</v>
      </c>
      <c r="C110" s="4" t="s">
        <v>246</v>
      </c>
      <c r="D110" s="4" t="s">
        <v>293</v>
      </c>
      <c r="E110" s="29" t="s">
        <v>294</v>
      </c>
    </row>
    <row r="111" spans="1:5" ht="12.75">
      <c r="A111" s="25" t="s">
        <v>203</v>
      </c>
      <c r="B111" s="4" t="s">
        <v>295</v>
      </c>
      <c r="C111" s="4" t="s">
        <v>283</v>
      </c>
      <c r="D111" s="4" t="s">
        <v>296</v>
      </c>
      <c r="E111" s="29" t="s">
        <v>297</v>
      </c>
    </row>
    <row r="112" spans="1:5" ht="12.75">
      <c r="A112" s="25" t="s">
        <v>166</v>
      </c>
      <c r="B112" s="4" t="s">
        <v>298</v>
      </c>
      <c r="C112" s="4" t="s">
        <v>273</v>
      </c>
      <c r="D112" s="4" t="s">
        <v>299</v>
      </c>
      <c r="E112" s="29" t="s">
        <v>300</v>
      </c>
    </row>
    <row r="113" spans="1:5" ht="12.75">
      <c r="A113" s="25" t="s">
        <v>196</v>
      </c>
      <c r="B113" s="4" t="s">
        <v>301</v>
      </c>
      <c r="C113" s="4" t="s">
        <v>283</v>
      </c>
      <c r="D113" s="4" t="s">
        <v>302</v>
      </c>
      <c r="E113" s="29" t="s">
        <v>303</v>
      </c>
    </row>
  </sheetData>
  <sheetProtection/>
  <mergeCells count="23">
    <mergeCell ref="A17:T17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7:T47"/>
    <mergeCell ref="A21:T21"/>
    <mergeCell ref="A25:T25"/>
    <mergeCell ref="A28:T28"/>
    <mergeCell ref="A32:T32"/>
    <mergeCell ref="A38:T38"/>
    <mergeCell ref="A41:T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1" t="s">
        <v>1135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23</v>
      </c>
      <c r="L3" s="46"/>
      <c r="M3" s="46"/>
      <c r="N3" s="46"/>
      <c r="O3" s="46" t="s">
        <v>4</v>
      </c>
      <c r="P3" s="46" t="s">
        <v>6</v>
      </c>
      <c r="Q3" s="34" t="s">
        <v>5</v>
      </c>
    </row>
    <row r="4" spans="1:17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5"/>
      <c r="P4" s="45"/>
      <c r="Q4" s="35"/>
    </row>
    <row r="5" spans="1:16" ht="15">
      <c r="A5" s="49" t="s">
        <v>145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1" t="s">
        <v>1137</v>
      </c>
      <c r="B6" s="11" t="s">
        <v>1138</v>
      </c>
      <c r="C6" s="11" t="s">
        <v>159</v>
      </c>
      <c r="D6" s="11" t="str">
        <f>"0,6859"</f>
        <v>0,6859</v>
      </c>
      <c r="E6" s="11" t="s">
        <v>29</v>
      </c>
      <c r="F6" s="11" t="s">
        <v>119</v>
      </c>
      <c r="G6" s="12" t="s">
        <v>47</v>
      </c>
      <c r="H6" s="13" t="s">
        <v>32</v>
      </c>
      <c r="I6" s="13" t="s">
        <v>98</v>
      </c>
      <c r="J6" s="13"/>
      <c r="K6" s="12" t="s">
        <v>69</v>
      </c>
      <c r="L6" s="12" t="s">
        <v>71</v>
      </c>
      <c r="M6" s="12" t="s">
        <v>97</v>
      </c>
      <c r="N6" s="13"/>
      <c r="O6" s="11" t="str">
        <f>"167,5"</f>
        <v>167,5</v>
      </c>
      <c r="P6" s="12" t="str">
        <f>"129,8237"</f>
        <v>129,8237</v>
      </c>
      <c r="Q6" s="11" t="s">
        <v>60</v>
      </c>
    </row>
    <row r="8" spans="1:16" ht="15">
      <c r="A8" s="47" t="s">
        <v>173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2.75">
      <c r="A9" s="11" t="s">
        <v>1140</v>
      </c>
      <c r="B9" s="11" t="s">
        <v>1141</v>
      </c>
      <c r="C9" s="11" t="s">
        <v>1142</v>
      </c>
      <c r="D9" s="11" t="str">
        <f>"0,6405"</f>
        <v>0,6405</v>
      </c>
      <c r="E9" s="11" t="s">
        <v>29</v>
      </c>
      <c r="F9" s="11" t="s">
        <v>119</v>
      </c>
      <c r="G9" s="12" t="s">
        <v>71</v>
      </c>
      <c r="H9" s="13" t="s">
        <v>46</v>
      </c>
      <c r="I9" s="13" t="s">
        <v>107</v>
      </c>
      <c r="J9" s="13"/>
      <c r="K9" s="12" t="s">
        <v>214</v>
      </c>
      <c r="L9" s="12" t="s">
        <v>160</v>
      </c>
      <c r="M9" s="12" t="s">
        <v>130</v>
      </c>
      <c r="N9" s="13"/>
      <c r="O9" s="11" t="str">
        <f>"292,5"</f>
        <v>292,5</v>
      </c>
      <c r="P9" s="12" t="str">
        <f>"187,3463"</f>
        <v>187,3463</v>
      </c>
      <c r="Q9" s="11" t="s">
        <v>60</v>
      </c>
    </row>
    <row r="11" spans="1:16" ht="15">
      <c r="A11" s="47" t="s">
        <v>184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7" ht="12.75">
      <c r="A12" s="11" t="s">
        <v>186</v>
      </c>
      <c r="B12" s="11" t="s">
        <v>187</v>
      </c>
      <c r="C12" s="11" t="s">
        <v>188</v>
      </c>
      <c r="D12" s="11" t="str">
        <f>"0,6069"</f>
        <v>0,6069</v>
      </c>
      <c r="E12" s="11" t="s">
        <v>29</v>
      </c>
      <c r="F12" s="11" t="s">
        <v>119</v>
      </c>
      <c r="G12" s="12" t="s">
        <v>46</v>
      </c>
      <c r="H12" s="13" t="s">
        <v>107</v>
      </c>
      <c r="I12" s="13" t="s">
        <v>107</v>
      </c>
      <c r="J12" s="13"/>
      <c r="K12" s="12" t="s">
        <v>179</v>
      </c>
      <c r="L12" s="12" t="s">
        <v>181</v>
      </c>
      <c r="M12" s="13" t="s">
        <v>155</v>
      </c>
      <c r="N12" s="13"/>
      <c r="O12" s="11" t="str">
        <f>"330,0"</f>
        <v>330,0</v>
      </c>
      <c r="P12" s="12" t="str">
        <f>"200,2770"</f>
        <v>200,2770</v>
      </c>
      <c r="Q12" s="11" t="s">
        <v>60</v>
      </c>
    </row>
    <row r="14" spans="1:16" ht="15">
      <c r="A14" s="47" t="s">
        <v>354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7" ht="12.75">
      <c r="A15" s="15" t="s">
        <v>1144</v>
      </c>
      <c r="B15" s="15" t="s">
        <v>1145</v>
      </c>
      <c r="C15" s="15" t="s">
        <v>1146</v>
      </c>
      <c r="D15" s="15" t="str">
        <f>"0,5563"</f>
        <v>0,5563</v>
      </c>
      <c r="E15" s="15" t="s">
        <v>29</v>
      </c>
      <c r="F15" s="15" t="s">
        <v>67</v>
      </c>
      <c r="G15" s="16" t="s">
        <v>128</v>
      </c>
      <c r="H15" s="17" t="s">
        <v>195</v>
      </c>
      <c r="I15" s="16" t="s">
        <v>195</v>
      </c>
      <c r="J15" s="17"/>
      <c r="K15" s="16" t="s">
        <v>315</v>
      </c>
      <c r="L15" s="17" t="s">
        <v>182</v>
      </c>
      <c r="M15" s="16" t="s">
        <v>182</v>
      </c>
      <c r="N15" s="17"/>
      <c r="O15" s="15" t="str">
        <f>"415,0"</f>
        <v>415,0</v>
      </c>
      <c r="P15" s="16" t="str">
        <f>"230,8645"</f>
        <v>230,8645</v>
      </c>
      <c r="Q15" s="15" t="s">
        <v>60</v>
      </c>
    </row>
    <row r="16" spans="1:17" ht="12.75">
      <c r="A16" s="21" t="s">
        <v>1039</v>
      </c>
      <c r="B16" s="21" t="s">
        <v>1040</v>
      </c>
      <c r="C16" s="21" t="s">
        <v>1041</v>
      </c>
      <c r="D16" s="21" t="str">
        <f>"0,5663"</f>
        <v>0,5663</v>
      </c>
      <c r="E16" s="21" t="s">
        <v>29</v>
      </c>
      <c r="F16" s="21" t="s">
        <v>119</v>
      </c>
      <c r="G16" s="22" t="s">
        <v>71</v>
      </c>
      <c r="H16" s="22" t="s">
        <v>46</v>
      </c>
      <c r="I16" s="23" t="s">
        <v>48</v>
      </c>
      <c r="J16" s="23"/>
      <c r="K16" s="22" t="s">
        <v>181</v>
      </c>
      <c r="L16" s="23" t="s">
        <v>213</v>
      </c>
      <c r="M16" s="23" t="s">
        <v>314</v>
      </c>
      <c r="N16" s="23"/>
      <c r="O16" s="21" t="str">
        <f>"330,0"</f>
        <v>330,0</v>
      </c>
      <c r="P16" s="22" t="str">
        <f>"186,8790"</f>
        <v>186,8790</v>
      </c>
      <c r="Q16" s="21" t="s">
        <v>60</v>
      </c>
    </row>
    <row r="18" spans="1:16" ht="15">
      <c r="A18" s="47" t="s">
        <v>384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7" ht="12.75">
      <c r="A19" s="11" t="s">
        <v>1148</v>
      </c>
      <c r="B19" s="11" t="s">
        <v>1149</v>
      </c>
      <c r="C19" s="11" t="s">
        <v>1150</v>
      </c>
      <c r="D19" s="11" t="str">
        <f>"0,5318"</f>
        <v>0,5318</v>
      </c>
      <c r="E19" s="11" t="s">
        <v>66</v>
      </c>
      <c r="F19" s="11" t="s">
        <v>67</v>
      </c>
      <c r="G19" s="12" t="s">
        <v>165</v>
      </c>
      <c r="H19" s="12" t="s">
        <v>128</v>
      </c>
      <c r="I19" s="12" t="s">
        <v>195</v>
      </c>
      <c r="J19" s="13"/>
      <c r="K19" s="12" t="s">
        <v>69</v>
      </c>
      <c r="L19" s="13"/>
      <c r="M19" s="13"/>
      <c r="N19" s="13"/>
      <c r="O19" s="11" t="str">
        <f>"265,0"</f>
        <v>265,0</v>
      </c>
      <c r="P19" s="12" t="str">
        <f>"140,9270"</f>
        <v>140,9270</v>
      </c>
      <c r="Q19" s="11" t="s">
        <v>60</v>
      </c>
    </row>
    <row r="21" ht="15">
      <c r="E21" s="9" t="s">
        <v>13</v>
      </c>
    </row>
    <row r="22" ht="15">
      <c r="E22" s="9" t="s">
        <v>14</v>
      </c>
    </row>
    <row r="23" ht="15">
      <c r="E23" s="9" t="s">
        <v>15</v>
      </c>
    </row>
    <row r="24" ht="15">
      <c r="E24" s="9" t="s">
        <v>16</v>
      </c>
    </row>
    <row r="25" ht="15">
      <c r="E25" s="9" t="s">
        <v>16</v>
      </c>
    </row>
    <row r="26" ht="15">
      <c r="E26" s="9" t="s">
        <v>17</v>
      </c>
    </row>
    <row r="27" ht="15">
      <c r="E27" s="9"/>
    </row>
    <row r="29" spans="1:2" ht="18">
      <c r="A29" s="10" t="s">
        <v>18</v>
      </c>
      <c r="B29" s="10"/>
    </row>
    <row r="30" spans="1:2" ht="15">
      <c r="A30" s="24" t="s">
        <v>258</v>
      </c>
      <c r="B30" s="24"/>
    </row>
    <row r="31" spans="1:2" ht="14.25">
      <c r="A31" s="26"/>
      <c r="B31" s="27" t="s">
        <v>259</v>
      </c>
    </row>
    <row r="32" spans="1:5" ht="15">
      <c r="A32" s="28" t="s">
        <v>229</v>
      </c>
      <c r="B32" s="28" t="s">
        <v>230</v>
      </c>
      <c r="C32" s="28" t="s">
        <v>231</v>
      </c>
      <c r="D32" s="28" t="s">
        <v>232</v>
      </c>
      <c r="E32" s="28" t="s">
        <v>233</v>
      </c>
    </row>
    <row r="33" spans="1:5" ht="12.75">
      <c r="A33" s="25" t="s">
        <v>1136</v>
      </c>
      <c r="B33" s="4" t="s">
        <v>238</v>
      </c>
      <c r="C33" s="4" t="s">
        <v>273</v>
      </c>
      <c r="D33" s="4" t="s">
        <v>214</v>
      </c>
      <c r="E33" s="29" t="s">
        <v>1151</v>
      </c>
    </row>
    <row r="35" spans="1:2" ht="14.25">
      <c r="A35" s="26"/>
      <c r="B35" s="27" t="s">
        <v>244</v>
      </c>
    </row>
    <row r="36" spans="1:5" ht="15">
      <c r="A36" s="28" t="s">
        <v>229</v>
      </c>
      <c r="B36" s="28" t="s">
        <v>230</v>
      </c>
      <c r="C36" s="28" t="s">
        <v>231</v>
      </c>
      <c r="D36" s="28" t="s">
        <v>232</v>
      </c>
      <c r="E36" s="28" t="s">
        <v>233</v>
      </c>
    </row>
    <row r="37" spans="1:5" ht="12.75">
      <c r="A37" s="25" t="s">
        <v>1143</v>
      </c>
      <c r="B37" s="4" t="s">
        <v>244</v>
      </c>
      <c r="C37" s="4" t="s">
        <v>404</v>
      </c>
      <c r="D37" s="4" t="s">
        <v>1152</v>
      </c>
      <c r="E37" s="29" t="s">
        <v>1153</v>
      </c>
    </row>
    <row r="38" spans="1:5" ht="12.75">
      <c r="A38" s="25" t="s">
        <v>185</v>
      </c>
      <c r="B38" s="4" t="s">
        <v>244</v>
      </c>
      <c r="C38" s="4" t="s">
        <v>283</v>
      </c>
      <c r="D38" s="4" t="s">
        <v>925</v>
      </c>
      <c r="E38" s="29" t="s">
        <v>1154</v>
      </c>
    </row>
    <row r="39" spans="1:5" ht="12.75">
      <c r="A39" s="25" t="s">
        <v>1139</v>
      </c>
      <c r="B39" s="4" t="s">
        <v>244</v>
      </c>
      <c r="C39" s="4" t="s">
        <v>276</v>
      </c>
      <c r="D39" s="4" t="s">
        <v>1155</v>
      </c>
      <c r="E39" s="29" t="s">
        <v>1156</v>
      </c>
    </row>
    <row r="40" spans="1:5" ht="12.75">
      <c r="A40" s="25" t="s">
        <v>1038</v>
      </c>
      <c r="B40" s="4" t="s">
        <v>244</v>
      </c>
      <c r="C40" s="4" t="s">
        <v>404</v>
      </c>
      <c r="D40" s="4" t="s">
        <v>925</v>
      </c>
      <c r="E40" s="29" t="s">
        <v>1157</v>
      </c>
    </row>
    <row r="41" spans="1:5" ht="12.75">
      <c r="A41" s="25" t="s">
        <v>1147</v>
      </c>
      <c r="B41" s="4" t="s">
        <v>244</v>
      </c>
      <c r="C41" s="4" t="s">
        <v>391</v>
      </c>
      <c r="D41" s="4" t="s">
        <v>1029</v>
      </c>
      <c r="E41" s="29" t="s">
        <v>1158</v>
      </c>
    </row>
  </sheetData>
  <sheetProtection/>
  <mergeCells count="17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4:P14"/>
    <mergeCell ref="A18:P18"/>
    <mergeCell ref="O3:O4"/>
    <mergeCell ref="P3:P4"/>
    <mergeCell ref="Q3:Q4"/>
    <mergeCell ref="A5:P5"/>
    <mergeCell ref="A8:P8"/>
    <mergeCell ref="A11:P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1" t="s">
        <v>1199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1198</v>
      </c>
      <c r="H3" s="46"/>
      <c r="I3" s="46"/>
      <c r="J3" s="46"/>
      <c r="K3" s="46" t="s">
        <v>1197</v>
      </c>
      <c r="L3" s="46"/>
      <c r="M3" s="46"/>
      <c r="N3" s="46"/>
      <c r="O3" s="46" t="s">
        <v>4</v>
      </c>
      <c r="P3" s="46" t="s">
        <v>6</v>
      </c>
      <c r="Q3" s="34" t="s">
        <v>5</v>
      </c>
    </row>
    <row r="4" spans="1:17" s="1" customFormat="1" ht="21" customHeight="1" thickBot="1">
      <c r="A4" s="43"/>
      <c r="B4" s="45"/>
      <c r="C4" s="45"/>
      <c r="D4" s="45"/>
      <c r="E4" s="45"/>
      <c r="F4" s="4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45"/>
      <c r="P4" s="45"/>
      <c r="Q4" s="35"/>
    </row>
    <row r="5" spans="1:16" ht="15">
      <c r="A5" s="49" t="s">
        <v>184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1" t="s">
        <v>1196</v>
      </c>
      <c r="B6" s="11" t="s">
        <v>1195</v>
      </c>
      <c r="C6" s="11" t="s">
        <v>611</v>
      </c>
      <c r="D6" s="11" t="str">
        <f>"0,5853"</f>
        <v>0,5853</v>
      </c>
      <c r="E6" s="11" t="s">
        <v>347</v>
      </c>
      <c r="F6" s="11" t="s">
        <v>200</v>
      </c>
      <c r="G6" s="12" t="s">
        <v>84</v>
      </c>
      <c r="H6" s="12" t="s">
        <v>56</v>
      </c>
      <c r="I6" s="13" t="s">
        <v>1194</v>
      </c>
      <c r="J6" s="13"/>
      <c r="K6" s="12" t="s">
        <v>47</v>
      </c>
      <c r="L6" s="12" t="s">
        <v>31</v>
      </c>
      <c r="M6" s="12" t="s">
        <v>32</v>
      </c>
      <c r="N6" s="13"/>
      <c r="O6" s="11" t="str">
        <f>"140,0"</f>
        <v>140,0</v>
      </c>
      <c r="P6" s="12" t="str">
        <f>"81,9420"</f>
        <v>81,9420</v>
      </c>
      <c r="Q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5" s="3" customFormat="1" ht="15">
      <c r="A17" s="24" t="s">
        <v>258</v>
      </c>
      <c r="B17" s="24"/>
      <c r="C17" s="4"/>
      <c r="D17" s="4"/>
      <c r="E17" s="4"/>
    </row>
    <row r="18" spans="1:5" s="3" customFormat="1" ht="14.25">
      <c r="A18" s="26"/>
      <c r="B18" s="27" t="s">
        <v>244</v>
      </c>
      <c r="C18" s="4"/>
      <c r="D18" s="4"/>
      <c r="E18" s="4"/>
    </row>
    <row r="19" spans="1:5" s="3" customFormat="1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s="3" customFormat="1" ht="12.75">
      <c r="A20" s="25" t="s">
        <v>1193</v>
      </c>
      <c r="B20" s="4" t="s">
        <v>244</v>
      </c>
      <c r="C20" s="4" t="s">
        <v>283</v>
      </c>
      <c r="D20" s="4" t="s">
        <v>100</v>
      </c>
      <c r="E20" s="29" t="s">
        <v>1192</v>
      </c>
    </row>
  </sheetData>
  <sheetProtection/>
  <mergeCells count="13">
    <mergeCell ref="F3:F4"/>
    <mergeCell ref="G3:J3"/>
    <mergeCell ref="K3:N3"/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3.25390625" style="4" bestFit="1" customWidth="1"/>
    <col min="18" max="16384" width="9.125" style="3" customWidth="1"/>
  </cols>
  <sheetData>
    <row r="1" spans="1:17" s="2" customFormat="1" ht="28.5" customHeight="1">
      <c r="A1" s="51" t="s">
        <v>1159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23</v>
      </c>
      <c r="L3" s="46"/>
      <c r="M3" s="46"/>
      <c r="N3" s="46"/>
      <c r="O3" s="46" t="s">
        <v>4</v>
      </c>
      <c r="P3" s="46" t="s">
        <v>6</v>
      </c>
      <c r="Q3" s="34" t="s">
        <v>5</v>
      </c>
    </row>
    <row r="4" spans="1:17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5"/>
      <c r="P4" s="45"/>
      <c r="Q4" s="35"/>
    </row>
    <row r="5" spans="1:16" ht="15">
      <c r="A5" s="49" t="s">
        <v>184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1" t="s">
        <v>1176</v>
      </c>
      <c r="B6" s="11" t="s">
        <v>1160</v>
      </c>
      <c r="C6" s="11" t="s">
        <v>611</v>
      </c>
      <c r="D6" s="11" t="str">
        <f>"0,5853"</f>
        <v>0,5853</v>
      </c>
      <c r="E6" s="11" t="s">
        <v>66</v>
      </c>
      <c r="F6" s="11" t="s">
        <v>67</v>
      </c>
      <c r="G6" s="12" t="s">
        <v>45</v>
      </c>
      <c r="H6" s="12" t="s">
        <v>46</v>
      </c>
      <c r="I6" s="13" t="s">
        <v>107</v>
      </c>
      <c r="J6" s="13"/>
      <c r="K6" s="12" t="s">
        <v>69</v>
      </c>
      <c r="L6" s="13"/>
      <c r="M6" s="13"/>
      <c r="N6" s="13"/>
      <c r="O6" s="11" t="str">
        <f>"220,0"</f>
        <v>220,0</v>
      </c>
      <c r="P6" s="12" t="str">
        <f>"128,7660"</f>
        <v>128,7660</v>
      </c>
      <c r="Q6" s="11" t="s">
        <v>764</v>
      </c>
    </row>
    <row r="8" spans="1:16" ht="15">
      <c r="A8" s="47" t="s">
        <v>354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2.75">
      <c r="A9" s="11" t="s">
        <v>1162</v>
      </c>
      <c r="B9" s="11" t="s">
        <v>357</v>
      </c>
      <c r="C9" s="11" t="s">
        <v>367</v>
      </c>
      <c r="D9" s="11" t="str">
        <f>"0,5578"</f>
        <v>0,5578</v>
      </c>
      <c r="E9" s="11" t="s">
        <v>29</v>
      </c>
      <c r="F9" s="11" t="s">
        <v>322</v>
      </c>
      <c r="G9" s="12" t="s">
        <v>46</v>
      </c>
      <c r="H9" s="12" t="s">
        <v>48</v>
      </c>
      <c r="I9" s="13" t="s">
        <v>99</v>
      </c>
      <c r="J9" s="13"/>
      <c r="K9" s="12" t="s">
        <v>181</v>
      </c>
      <c r="L9" s="12" t="s">
        <v>154</v>
      </c>
      <c r="M9" s="13" t="s">
        <v>155</v>
      </c>
      <c r="N9" s="13"/>
      <c r="O9" s="11" t="str">
        <f>"360,0"</f>
        <v>360,0</v>
      </c>
      <c r="P9" s="12" t="str">
        <f>"200,8080"</f>
        <v>200,8080</v>
      </c>
      <c r="Q9" s="11" t="s">
        <v>323</v>
      </c>
    </row>
    <row r="11" spans="1:16" ht="15">
      <c r="A11" s="47" t="s">
        <v>459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7" ht="12.75">
      <c r="A12" s="11" t="s">
        <v>1164</v>
      </c>
      <c r="B12" s="11" t="s">
        <v>1165</v>
      </c>
      <c r="C12" s="11" t="s">
        <v>1166</v>
      </c>
      <c r="D12" s="11" t="str">
        <f>"0,5160"</f>
        <v>0,5160</v>
      </c>
      <c r="E12" s="11" t="s">
        <v>29</v>
      </c>
      <c r="F12" s="11" t="s">
        <v>322</v>
      </c>
      <c r="G12" s="12" t="s">
        <v>1167</v>
      </c>
      <c r="H12" s="12" t="s">
        <v>96</v>
      </c>
      <c r="I12" s="12" t="s">
        <v>566</v>
      </c>
      <c r="J12" s="13"/>
      <c r="K12" s="12" t="s">
        <v>213</v>
      </c>
      <c r="L12" s="12" t="s">
        <v>315</v>
      </c>
      <c r="M12" s="13"/>
      <c r="N12" s="13"/>
      <c r="O12" s="11" t="str">
        <f>"347,5"</f>
        <v>347,5</v>
      </c>
      <c r="P12" s="12" t="str">
        <f>"186,4679"</f>
        <v>186,4679</v>
      </c>
      <c r="Q12" s="11" t="s">
        <v>323</v>
      </c>
    </row>
    <row r="14" spans="1:16" ht="15">
      <c r="A14" s="47" t="s">
        <v>822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7" ht="12.75">
      <c r="A15" s="11" t="s">
        <v>824</v>
      </c>
      <c r="B15" s="11" t="s">
        <v>825</v>
      </c>
      <c r="C15" s="11" t="s">
        <v>826</v>
      </c>
      <c r="D15" s="11" t="str">
        <f>"0,5013"</f>
        <v>0,5013</v>
      </c>
      <c r="E15" s="11" t="s">
        <v>347</v>
      </c>
      <c r="F15" s="11" t="s">
        <v>200</v>
      </c>
      <c r="G15" s="12" t="s">
        <v>128</v>
      </c>
      <c r="H15" s="12" t="s">
        <v>129</v>
      </c>
      <c r="I15" s="13" t="s">
        <v>268</v>
      </c>
      <c r="J15" s="13"/>
      <c r="K15" s="12" t="s">
        <v>181</v>
      </c>
      <c r="L15" s="12" t="s">
        <v>314</v>
      </c>
      <c r="M15" s="12" t="s">
        <v>1168</v>
      </c>
      <c r="N15" s="13"/>
      <c r="O15" s="11" t="str">
        <f>"402,5"</f>
        <v>402,5</v>
      </c>
      <c r="P15" s="12" t="str">
        <f>"205,4052"</f>
        <v>205,4052</v>
      </c>
      <c r="Q15" s="11" t="s">
        <v>60</v>
      </c>
    </row>
    <row r="17" ht="15">
      <c r="E17" s="9" t="s">
        <v>13</v>
      </c>
    </row>
    <row r="18" ht="15">
      <c r="E18" s="9" t="s">
        <v>14</v>
      </c>
    </row>
    <row r="19" ht="15">
      <c r="E19" s="9" t="s">
        <v>15</v>
      </c>
    </row>
    <row r="20" ht="15">
      <c r="E20" s="9" t="s">
        <v>16</v>
      </c>
    </row>
    <row r="21" ht="15">
      <c r="E21" s="9" t="s">
        <v>16</v>
      </c>
    </row>
    <row r="22" ht="15">
      <c r="E22" s="9" t="s">
        <v>17</v>
      </c>
    </row>
    <row r="23" ht="15">
      <c r="E23" s="9"/>
    </row>
    <row r="25" spans="1:2" ht="18">
      <c r="A25" s="10" t="s">
        <v>18</v>
      </c>
      <c r="B25" s="10"/>
    </row>
    <row r="26" spans="1:2" ht="15">
      <c r="A26" s="24" t="s">
        <v>258</v>
      </c>
      <c r="B26" s="24"/>
    </row>
    <row r="27" spans="1:2" ht="14.25">
      <c r="A27" s="26"/>
      <c r="B27" s="27" t="s">
        <v>259</v>
      </c>
    </row>
    <row r="28" spans="1:5" ht="15">
      <c r="A28" s="28" t="s">
        <v>229</v>
      </c>
      <c r="B28" s="28" t="s">
        <v>230</v>
      </c>
      <c r="C28" s="28" t="s">
        <v>231</v>
      </c>
      <c r="D28" s="28" t="s">
        <v>232</v>
      </c>
      <c r="E28" s="28" t="s">
        <v>233</v>
      </c>
    </row>
    <row r="29" spans="1:5" ht="12.75">
      <c r="A29" s="25" t="s">
        <v>1163</v>
      </c>
      <c r="B29" s="4" t="s">
        <v>234</v>
      </c>
      <c r="C29" s="4" t="s">
        <v>474</v>
      </c>
      <c r="D29" s="4" t="s">
        <v>1169</v>
      </c>
      <c r="E29" s="29" t="s">
        <v>1170</v>
      </c>
    </row>
    <row r="31" spans="1:2" ht="14.25">
      <c r="A31" s="26"/>
      <c r="B31" s="27" t="s">
        <v>244</v>
      </c>
    </row>
    <row r="32" spans="1:5" ht="15">
      <c r="A32" s="28" t="s">
        <v>229</v>
      </c>
      <c r="B32" s="28" t="s">
        <v>230</v>
      </c>
      <c r="C32" s="28" t="s">
        <v>231</v>
      </c>
      <c r="D32" s="28" t="s">
        <v>232</v>
      </c>
      <c r="E32" s="28" t="s">
        <v>233</v>
      </c>
    </row>
    <row r="33" spans="1:5" ht="12.75">
      <c r="A33" s="25" t="s">
        <v>1161</v>
      </c>
      <c r="B33" s="4" t="s">
        <v>244</v>
      </c>
      <c r="C33" s="4" t="s">
        <v>404</v>
      </c>
      <c r="D33" s="4" t="s">
        <v>1171</v>
      </c>
      <c r="E33" s="29" t="s">
        <v>1172</v>
      </c>
    </row>
    <row r="34" spans="1:5" ht="12.75">
      <c r="A34" s="25" t="s">
        <v>1177</v>
      </c>
      <c r="B34" s="4" t="s">
        <v>244</v>
      </c>
      <c r="C34" s="4" t="s">
        <v>283</v>
      </c>
      <c r="D34" s="4" t="s">
        <v>213</v>
      </c>
      <c r="E34" s="29" t="s">
        <v>1173</v>
      </c>
    </row>
    <row r="36" spans="1:2" ht="14.25">
      <c r="A36" s="26"/>
      <c r="B36" s="27" t="s">
        <v>255</v>
      </c>
    </row>
    <row r="37" spans="1:5" ht="15">
      <c r="A37" s="28" t="s">
        <v>229</v>
      </c>
      <c r="B37" s="28" t="s">
        <v>230</v>
      </c>
      <c r="C37" s="28" t="s">
        <v>231</v>
      </c>
      <c r="D37" s="28" t="s">
        <v>232</v>
      </c>
      <c r="E37" s="28" t="s">
        <v>233</v>
      </c>
    </row>
    <row r="38" spans="1:5" ht="12.75">
      <c r="A38" s="25" t="s">
        <v>823</v>
      </c>
      <c r="B38" s="4" t="s">
        <v>256</v>
      </c>
      <c r="C38" s="4" t="s">
        <v>846</v>
      </c>
      <c r="D38" s="4" t="s">
        <v>1174</v>
      </c>
      <c r="E38" s="29" t="s">
        <v>1175</v>
      </c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4:P14"/>
    <mergeCell ref="O3:O4"/>
    <mergeCell ref="P3:P4"/>
    <mergeCell ref="Q3:Q4"/>
    <mergeCell ref="A5:P5"/>
    <mergeCell ref="A8:P8"/>
    <mergeCell ref="A11:P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1" t="s">
        <v>1228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1198</v>
      </c>
      <c r="H3" s="46"/>
      <c r="I3" s="46"/>
      <c r="J3" s="46"/>
      <c r="K3" s="46" t="s">
        <v>1197</v>
      </c>
      <c r="L3" s="46"/>
      <c r="M3" s="46"/>
      <c r="N3" s="46"/>
      <c r="O3" s="46" t="s">
        <v>4</v>
      </c>
      <c r="P3" s="46" t="s">
        <v>6</v>
      </c>
      <c r="Q3" s="34" t="s">
        <v>5</v>
      </c>
    </row>
    <row r="4" spans="1:17" s="1" customFormat="1" ht="21" customHeight="1" thickBot="1">
      <c r="A4" s="43"/>
      <c r="B4" s="45"/>
      <c r="C4" s="45"/>
      <c r="D4" s="45"/>
      <c r="E4" s="45"/>
      <c r="F4" s="45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45"/>
      <c r="P4" s="45"/>
      <c r="Q4" s="35"/>
    </row>
    <row r="5" spans="1:16" ht="15">
      <c r="A5" s="49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1" t="s">
        <v>1227</v>
      </c>
      <c r="B6" s="11" t="s">
        <v>1226</v>
      </c>
      <c r="C6" s="11" t="s">
        <v>860</v>
      </c>
      <c r="D6" s="11" t="str">
        <f>"0,7408"</f>
        <v>0,7408</v>
      </c>
      <c r="E6" s="11" t="s">
        <v>347</v>
      </c>
      <c r="F6" s="11" t="s">
        <v>200</v>
      </c>
      <c r="G6" s="12" t="s">
        <v>122</v>
      </c>
      <c r="H6" s="12" t="s">
        <v>1225</v>
      </c>
      <c r="I6" s="12" t="s">
        <v>56</v>
      </c>
      <c r="J6" s="13"/>
      <c r="K6" s="12" t="s">
        <v>31</v>
      </c>
      <c r="L6" s="12" t="s">
        <v>70</v>
      </c>
      <c r="M6" s="12" t="s">
        <v>32</v>
      </c>
      <c r="N6" s="13"/>
      <c r="O6" s="11" t="str">
        <f>"140,0"</f>
        <v>140,0</v>
      </c>
      <c r="P6" s="12" t="str">
        <f>"103,7120"</f>
        <v>103,7120</v>
      </c>
      <c r="Q6" s="11" t="s">
        <v>60</v>
      </c>
    </row>
    <row r="8" spans="1:16" ht="15">
      <c r="A8" s="47" t="s">
        <v>145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2.75">
      <c r="A9" s="15" t="s">
        <v>1224</v>
      </c>
      <c r="B9" s="15" t="s">
        <v>1223</v>
      </c>
      <c r="C9" s="15" t="s">
        <v>149</v>
      </c>
      <c r="D9" s="15" t="str">
        <f>"0,6645"</f>
        <v>0,6645</v>
      </c>
      <c r="E9" s="15" t="s">
        <v>29</v>
      </c>
      <c r="F9" s="15" t="s">
        <v>55</v>
      </c>
      <c r="G9" s="16" t="s">
        <v>33</v>
      </c>
      <c r="H9" s="16" t="s">
        <v>84</v>
      </c>
      <c r="I9" s="17" t="s">
        <v>56</v>
      </c>
      <c r="J9" s="17"/>
      <c r="K9" s="16" t="s">
        <v>106</v>
      </c>
      <c r="L9" s="16" t="s">
        <v>32</v>
      </c>
      <c r="M9" s="17" t="s">
        <v>36</v>
      </c>
      <c r="N9" s="17"/>
      <c r="O9" s="15" t="str">
        <f>"135,0"</f>
        <v>135,0</v>
      </c>
      <c r="P9" s="16" t="str">
        <f>"89,7075"</f>
        <v>89,7075</v>
      </c>
      <c r="Q9" s="15" t="s">
        <v>60</v>
      </c>
    </row>
    <row r="10" spans="1:17" ht="12.75">
      <c r="A10" s="18" t="s">
        <v>982</v>
      </c>
      <c r="B10" s="18" t="s">
        <v>983</v>
      </c>
      <c r="C10" s="18" t="s">
        <v>984</v>
      </c>
      <c r="D10" s="18" t="str">
        <f>"0,6716"</f>
        <v>0,6716</v>
      </c>
      <c r="E10" s="18" t="s">
        <v>66</v>
      </c>
      <c r="F10" s="18" t="s">
        <v>67</v>
      </c>
      <c r="G10" s="19" t="s">
        <v>84</v>
      </c>
      <c r="H10" s="19" t="s">
        <v>56</v>
      </c>
      <c r="I10" s="20" t="s">
        <v>57</v>
      </c>
      <c r="J10" s="20"/>
      <c r="K10" s="19" t="s">
        <v>31</v>
      </c>
      <c r="L10" s="19" t="s">
        <v>32</v>
      </c>
      <c r="M10" s="20" t="s">
        <v>83</v>
      </c>
      <c r="N10" s="20"/>
      <c r="O10" s="18" t="str">
        <f>"140,0"</f>
        <v>140,0</v>
      </c>
      <c r="P10" s="19" t="str">
        <f>"94,0240"</f>
        <v>94,0240</v>
      </c>
      <c r="Q10" s="18" t="s">
        <v>60</v>
      </c>
    </row>
    <row r="11" spans="1:17" ht="12.75">
      <c r="A11" s="21" t="s">
        <v>1222</v>
      </c>
      <c r="B11" s="21" t="s">
        <v>1221</v>
      </c>
      <c r="C11" s="21" t="s">
        <v>1220</v>
      </c>
      <c r="D11" s="21" t="str">
        <f>"0,7101"</f>
        <v>0,7101</v>
      </c>
      <c r="E11" s="21" t="s">
        <v>29</v>
      </c>
      <c r="F11" s="21" t="s">
        <v>1219</v>
      </c>
      <c r="G11" s="22" t="s">
        <v>32</v>
      </c>
      <c r="H11" s="22" t="s">
        <v>36</v>
      </c>
      <c r="I11" s="22" t="s">
        <v>83</v>
      </c>
      <c r="J11" s="23"/>
      <c r="K11" s="23" t="s">
        <v>59</v>
      </c>
      <c r="L11" s="22" t="s">
        <v>59</v>
      </c>
      <c r="M11" s="23" t="s">
        <v>106</v>
      </c>
      <c r="N11" s="23"/>
      <c r="O11" s="21" t="str">
        <f>"115,0"</f>
        <v>115,0</v>
      </c>
      <c r="P11" s="22" t="str">
        <f>"87,2961"</f>
        <v>87,2961</v>
      </c>
      <c r="Q11" s="21" t="s">
        <v>60</v>
      </c>
    </row>
    <row r="13" spans="1:16" ht="15">
      <c r="A13" s="47" t="s">
        <v>173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7" ht="12.75">
      <c r="A14" s="15" t="s">
        <v>1218</v>
      </c>
      <c r="B14" s="15" t="s">
        <v>1217</v>
      </c>
      <c r="C14" s="15" t="s">
        <v>177</v>
      </c>
      <c r="D14" s="15" t="str">
        <f>"0,6209"</f>
        <v>0,6209</v>
      </c>
      <c r="E14" s="15" t="s">
        <v>29</v>
      </c>
      <c r="F14" s="15" t="s">
        <v>491</v>
      </c>
      <c r="G14" s="16" t="s">
        <v>33</v>
      </c>
      <c r="H14" s="17" t="s">
        <v>84</v>
      </c>
      <c r="I14" s="17" t="s">
        <v>84</v>
      </c>
      <c r="J14" s="17"/>
      <c r="K14" s="16" t="s">
        <v>98</v>
      </c>
      <c r="L14" s="16" t="s">
        <v>83</v>
      </c>
      <c r="M14" s="16" t="s">
        <v>84</v>
      </c>
      <c r="N14" s="17"/>
      <c r="O14" s="15" t="str">
        <f>"145,0"</f>
        <v>145,0</v>
      </c>
      <c r="P14" s="16" t="str">
        <f>"90,0305"</f>
        <v>90,0305</v>
      </c>
      <c r="Q14" s="15" t="s">
        <v>60</v>
      </c>
    </row>
    <row r="15" spans="1:17" ht="12.75">
      <c r="A15" s="21" t="s">
        <v>1216</v>
      </c>
      <c r="B15" s="21" t="s">
        <v>1215</v>
      </c>
      <c r="C15" s="21" t="s">
        <v>771</v>
      </c>
      <c r="D15" s="21" t="str">
        <f>"0,6219"</f>
        <v>0,6219</v>
      </c>
      <c r="E15" s="21" t="s">
        <v>347</v>
      </c>
      <c r="F15" s="21" t="s">
        <v>200</v>
      </c>
      <c r="G15" s="22" t="s">
        <v>33</v>
      </c>
      <c r="H15" s="22" t="s">
        <v>84</v>
      </c>
      <c r="I15" s="23" t="s">
        <v>1214</v>
      </c>
      <c r="J15" s="23"/>
      <c r="K15" s="22" t="s">
        <v>106</v>
      </c>
      <c r="L15" s="22" t="s">
        <v>32</v>
      </c>
      <c r="M15" s="23" t="s">
        <v>33</v>
      </c>
      <c r="N15" s="23"/>
      <c r="O15" s="21" t="str">
        <f>"135,0"</f>
        <v>135,0</v>
      </c>
      <c r="P15" s="22" t="str">
        <f>"83,9565"</f>
        <v>83,9565</v>
      </c>
      <c r="Q15" s="21" t="s">
        <v>60</v>
      </c>
    </row>
    <row r="17" spans="1:16" ht="15">
      <c r="A17" s="47" t="s">
        <v>184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7" ht="12.75">
      <c r="A18" s="11" t="s">
        <v>1213</v>
      </c>
      <c r="B18" s="11" t="s">
        <v>626</v>
      </c>
      <c r="C18" s="11" t="s">
        <v>188</v>
      </c>
      <c r="D18" s="11" t="str">
        <f>"0,6069"</f>
        <v>0,6069</v>
      </c>
      <c r="E18" s="11" t="s">
        <v>29</v>
      </c>
      <c r="F18" s="11" t="s">
        <v>200</v>
      </c>
      <c r="G18" s="13" t="s">
        <v>77</v>
      </c>
      <c r="H18" s="13" t="s">
        <v>77</v>
      </c>
      <c r="I18" s="12" t="s">
        <v>77</v>
      </c>
      <c r="J18" s="13"/>
      <c r="K18" s="12" t="s">
        <v>31</v>
      </c>
      <c r="L18" s="13" t="s">
        <v>83</v>
      </c>
      <c r="M18" s="13" t="s">
        <v>83</v>
      </c>
      <c r="N18" s="13"/>
      <c r="O18" s="11" t="str">
        <f>"150,0"</f>
        <v>150,0</v>
      </c>
      <c r="P18" s="12" t="str">
        <f>"91,0350"</f>
        <v>91,0350</v>
      </c>
      <c r="Q18" s="11" t="s">
        <v>60</v>
      </c>
    </row>
    <row r="20" spans="1:16" ht="15">
      <c r="A20" s="47" t="s">
        <v>354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7" ht="12.75">
      <c r="A21" s="11" t="s">
        <v>1212</v>
      </c>
      <c r="B21" s="11" t="s">
        <v>651</v>
      </c>
      <c r="C21" s="11" t="s">
        <v>652</v>
      </c>
      <c r="D21" s="11" t="str">
        <f>"0,5678"</f>
        <v>0,5678</v>
      </c>
      <c r="E21" s="11" t="s">
        <v>29</v>
      </c>
      <c r="F21" s="11" t="s">
        <v>200</v>
      </c>
      <c r="G21" s="12" t="s">
        <v>69</v>
      </c>
      <c r="H21" s="13" t="s">
        <v>44</v>
      </c>
      <c r="I21" s="13" t="s">
        <v>44</v>
      </c>
      <c r="J21" s="13"/>
      <c r="K21" s="12" t="s">
        <v>36</v>
      </c>
      <c r="L21" s="13" t="s">
        <v>56</v>
      </c>
      <c r="M21" s="12" t="s">
        <v>56</v>
      </c>
      <c r="N21" s="13"/>
      <c r="O21" s="11" t="str">
        <f>"180,0"</f>
        <v>180,0</v>
      </c>
      <c r="P21" s="12" t="str">
        <f>"102,2040"</f>
        <v>102,2040</v>
      </c>
      <c r="Q21" s="11" t="s">
        <v>60</v>
      </c>
    </row>
    <row r="23" ht="15">
      <c r="E23" s="9" t="s">
        <v>13</v>
      </c>
    </row>
    <row r="24" ht="15">
      <c r="E24" s="9" t="s">
        <v>14</v>
      </c>
    </row>
    <row r="25" ht="15">
      <c r="E25" s="9" t="s">
        <v>15</v>
      </c>
    </row>
    <row r="26" ht="15">
      <c r="E26" s="9" t="s">
        <v>16</v>
      </c>
    </row>
    <row r="27" ht="15">
      <c r="E27" s="9" t="s">
        <v>16</v>
      </c>
    </row>
    <row r="28" ht="15">
      <c r="E28" s="9" t="s">
        <v>17</v>
      </c>
    </row>
    <row r="29" ht="15">
      <c r="E29" s="9"/>
    </row>
    <row r="31" spans="1:2" ht="18">
      <c r="A31" s="10" t="s">
        <v>18</v>
      </c>
      <c r="B31" s="10"/>
    </row>
    <row r="32" spans="1:2" ht="15">
      <c r="A32" s="24" t="s">
        <v>258</v>
      </c>
      <c r="B32" s="24"/>
    </row>
    <row r="33" spans="1:5" s="3" customFormat="1" ht="14.25">
      <c r="A33" s="26"/>
      <c r="B33" s="27" t="s">
        <v>264</v>
      </c>
      <c r="C33" s="4"/>
      <c r="D33" s="4"/>
      <c r="E33" s="4"/>
    </row>
    <row r="34" spans="1:5" s="3" customFormat="1" ht="15">
      <c r="A34" s="28" t="s">
        <v>229</v>
      </c>
      <c r="B34" s="28" t="s">
        <v>230</v>
      </c>
      <c r="C34" s="28" t="s">
        <v>231</v>
      </c>
      <c r="D34" s="28" t="s">
        <v>232</v>
      </c>
      <c r="E34" s="28" t="s">
        <v>233</v>
      </c>
    </row>
    <row r="35" spans="1:5" s="3" customFormat="1" ht="12.75">
      <c r="A35" s="25" t="s">
        <v>1211</v>
      </c>
      <c r="B35" s="4" t="s">
        <v>242</v>
      </c>
      <c r="C35" s="4" t="s">
        <v>273</v>
      </c>
      <c r="D35" s="4" t="s">
        <v>99</v>
      </c>
      <c r="E35" s="29" t="s">
        <v>724</v>
      </c>
    </row>
    <row r="37" spans="1:5" s="3" customFormat="1" ht="14.25">
      <c r="A37" s="26"/>
      <c r="B37" s="27" t="s">
        <v>244</v>
      </c>
      <c r="C37" s="4"/>
      <c r="D37" s="4"/>
      <c r="E37" s="4"/>
    </row>
    <row r="38" spans="1:5" s="3" customFormat="1" ht="15">
      <c r="A38" s="28" t="s">
        <v>229</v>
      </c>
      <c r="B38" s="28" t="s">
        <v>230</v>
      </c>
      <c r="C38" s="28" t="s">
        <v>231</v>
      </c>
      <c r="D38" s="28" t="s">
        <v>232</v>
      </c>
      <c r="E38" s="28" t="s">
        <v>233</v>
      </c>
    </row>
    <row r="39" spans="1:5" s="3" customFormat="1" ht="12.75">
      <c r="A39" s="25" t="s">
        <v>1210</v>
      </c>
      <c r="B39" s="4" t="s">
        <v>244</v>
      </c>
      <c r="C39" s="4" t="s">
        <v>246</v>
      </c>
      <c r="D39" s="4" t="s">
        <v>100</v>
      </c>
      <c r="E39" s="29" t="s">
        <v>1209</v>
      </c>
    </row>
    <row r="40" spans="1:5" s="3" customFormat="1" ht="12.75">
      <c r="A40" s="25" t="s">
        <v>649</v>
      </c>
      <c r="B40" s="4" t="s">
        <v>244</v>
      </c>
      <c r="C40" s="4" t="s">
        <v>404</v>
      </c>
      <c r="D40" s="4" t="s">
        <v>150</v>
      </c>
      <c r="E40" s="29" t="s">
        <v>1208</v>
      </c>
    </row>
    <row r="41" spans="1:5" s="3" customFormat="1" ht="12.75">
      <c r="A41" s="25" t="s">
        <v>981</v>
      </c>
      <c r="B41" s="4" t="s">
        <v>244</v>
      </c>
      <c r="C41" s="4" t="s">
        <v>273</v>
      </c>
      <c r="D41" s="4" t="s">
        <v>100</v>
      </c>
      <c r="E41" s="29" t="s">
        <v>1207</v>
      </c>
    </row>
    <row r="42" spans="1:5" s="3" customFormat="1" ht="12.75">
      <c r="A42" s="25" t="s">
        <v>624</v>
      </c>
      <c r="B42" s="4" t="s">
        <v>244</v>
      </c>
      <c r="C42" s="4" t="s">
        <v>283</v>
      </c>
      <c r="D42" s="4" t="s">
        <v>165</v>
      </c>
      <c r="E42" s="29" t="s">
        <v>1206</v>
      </c>
    </row>
    <row r="43" spans="1:5" s="3" customFormat="1" ht="12.75">
      <c r="A43" s="25" t="s">
        <v>1205</v>
      </c>
      <c r="B43" s="4" t="s">
        <v>244</v>
      </c>
      <c r="C43" s="4" t="s">
        <v>276</v>
      </c>
      <c r="D43" s="4" t="s">
        <v>189</v>
      </c>
      <c r="E43" s="29" t="s">
        <v>1204</v>
      </c>
    </row>
    <row r="44" spans="1:5" s="3" customFormat="1" ht="12.75">
      <c r="A44" s="25" t="s">
        <v>1203</v>
      </c>
      <c r="B44" s="4" t="s">
        <v>244</v>
      </c>
      <c r="C44" s="4" t="s">
        <v>276</v>
      </c>
      <c r="D44" s="4" t="s">
        <v>99</v>
      </c>
      <c r="E44" s="29" t="s">
        <v>1202</v>
      </c>
    </row>
    <row r="46" spans="1:5" s="3" customFormat="1" ht="14.25">
      <c r="A46" s="26"/>
      <c r="B46" s="27" t="s">
        <v>255</v>
      </c>
      <c r="C46" s="4"/>
      <c r="D46" s="4"/>
      <c r="E46" s="4"/>
    </row>
    <row r="47" spans="1:5" s="3" customFormat="1" ht="15">
      <c r="A47" s="28" t="s">
        <v>229</v>
      </c>
      <c r="B47" s="28" t="s">
        <v>230</v>
      </c>
      <c r="C47" s="28" t="s">
        <v>231</v>
      </c>
      <c r="D47" s="28" t="s">
        <v>232</v>
      </c>
      <c r="E47" s="28" t="s">
        <v>233</v>
      </c>
    </row>
    <row r="48" spans="1:5" s="3" customFormat="1" ht="12.75">
      <c r="A48" s="25" t="s">
        <v>1201</v>
      </c>
      <c r="B48" s="4" t="s">
        <v>469</v>
      </c>
      <c r="C48" s="4" t="s">
        <v>273</v>
      </c>
      <c r="D48" s="4" t="s">
        <v>45</v>
      </c>
      <c r="E48" s="29" t="s">
        <v>1200</v>
      </c>
    </row>
  </sheetData>
  <sheetProtection/>
  <mergeCells count="17">
    <mergeCell ref="A17:P17"/>
    <mergeCell ref="A20:P20"/>
    <mergeCell ref="O3:O4"/>
    <mergeCell ref="P3:P4"/>
    <mergeCell ref="Q3:Q4"/>
    <mergeCell ref="A5:P5"/>
    <mergeCell ref="A8:P8"/>
    <mergeCell ref="A13:P13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0.375" style="4" bestFit="1" customWidth="1"/>
    <col min="14" max="16384" width="9.125" style="3" customWidth="1"/>
  </cols>
  <sheetData>
    <row r="1" spans="1:13" s="2" customFormat="1" ht="28.5" customHeight="1">
      <c r="A1" s="51" t="s">
        <v>1232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1197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8">
        <v>1</v>
      </c>
      <c r="H4" s="8">
        <v>2</v>
      </c>
      <c r="I4" s="8">
        <v>3</v>
      </c>
      <c r="J4" s="8" t="s">
        <v>8</v>
      </c>
      <c r="K4" s="45"/>
      <c r="L4" s="45"/>
      <c r="M4" s="35"/>
    </row>
    <row r="5" spans="1:12" ht="15">
      <c r="A5" s="49" t="s">
        <v>207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1231</v>
      </c>
      <c r="B6" s="11" t="s">
        <v>798</v>
      </c>
      <c r="C6" s="11" t="s">
        <v>799</v>
      </c>
      <c r="D6" s="11" t="str">
        <f>"0,5517"</f>
        <v>0,5517</v>
      </c>
      <c r="E6" s="11" t="s">
        <v>29</v>
      </c>
      <c r="F6" s="11" t="s">
        <v>200</v>
      </c>
      <c r="G6" s="12" t="s">
        <v>32</v>
      </c>
      <c r="H6" s="12" t="s">
        <v>36</v>
      </c>
      <c r="I6" s="13" t="s">
        <v>33</v>
      </c>
      <c r="J6" s="13"/>
      <c r="K6" s="11" t="str">
        <f>"65,0"</f>
        <v>65,0</v>
      </c>
      <c r="L6" s="12" t="str">
        <f>"35,8605"</f>
        <v>35,8605</v>
      </c>
      <c r="M6" s="11" t="s">
        <v>60</v>
      </c>
    </row>
    <row r="8" spans="1:12" ht="15">
      <c r="A8" s="47" t="s">
        <v>384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807</v>
      </c>
      <c r="B9" s="11" t="s">
        <v>808</v>
      </c>
      <c r="C9" s="11" t="s">
        <v>809</v>
      </c>
      <c r="D9" s="11" t="str">
        <f>"0,5328"</f>
        <v>0,5328</v>
      </c>
      <c r="E9" s="11" t="s">
        <v>29</v>
      </c>
      <c r="F9" s="11" t="s">
        <v>322</v>
      </c>
      <c r="G9" s="12" t="s">
        <v>32</v>
      </c>
      <c r="H9" s="12" t="s">
        <v>33</v>
      </c>
      <c r="I9" s="12" t="s">
        <v>56</v>
      </c>
      <c r="J9" s="13"/>
      <c r="K9" s="11" t="str">
        <f>"80,0"</f>
        <v>80,0</v>
      </c>
      <c r="L9" s="12" t="str">
        <f>"42,6240"</f>
        <v>42,6240</v>
      </c>
      <c r="M9" s="11" t="s">
        <v>323</v>
      </c>
    </row>
    <row r="11" ht="15">
      <c r="E11" s="9" t="s">
        <v>13</v>
      </c>
    </row>
    <row r="12" ht="15">
      <c r="E12" s="9" t="s">
        <v>14</v>
      </c>
    </row>
    <row r="13" ht="15">
      <c r="E13" s="9" t="s">
        <v>15</v>
      </c>
    </row>
    <row r="14" ht="15">
      <c r="E14" s="9" t="s">
        <v>16</v>
      </c>
    </row>
    <row r="15" ht="15">
      <c r="E15" s="9" t="s">
        <v>16</v>
      </c>
    </row>
    <row r="16" ht="15">
      <c r="E16" s="9" t="s">
        <v>17</v>
      </c>
    </row>
    <row r="17" spans="1:5" s="3" customFormat="1" ht="15">
      <c r="A17" s="4"/>
      <c r="B17" s="4"/>
      <c r="C17" s="4"/>
      <c r="D17" s="4"/>
      <c r="E17" s="9"/>
    </row>
    <row r="19" spans="1:5" s="3" customFormat="1" ht="18">
      <c r="A19" s="10" t="s">
        <v>18</v>
      </c>
      <c r="B19" s="10"/>
      <c r="C19" s="4"/>
      <c r="D19" s="4"/>
      <c r="E19" s="4"/>
    </row>
    <row r="20" spans="1:5" s="3" customFormat="1" ht="15">
      <c r="A20" s="24" t="s">
        <v>258</v>
      </c>
      <c r="B20" s="24"/>
      <c r="C20" s="4"/>
      <c r="D20" s="4"/>
      <c r="E20" s="4"/>
    </row>
    <row r="21" spans="1:5" s="3" customFormat="1" ht="14.25">
      <c r="A21" s="26"/>
      <c r="B21" s="27" t="s">
        <v>244</v>
      </c>
      <c r="C21" s="4"/>
      <c r="D21" s="4"/>
      <c r="E21" s="4"/>
    </row>
    <row r="22" spans="1:5" s="3" customFormat="1" ht="15">
      <c r="A22" s="28" t="s">
        <v>229</v>
      </c>
      <c r="B22" s="28" t="s">
        <v>230</v>
      </c>
      <c r="C22" s="28" t="s">
        <v>231</v>
      </c>
      <c r="D22" s="28" t="s">
        <v>232</v>
      </c>
      <c r="E22" s="28" t="s">
        <v>233</v>
      </c>
    </row>
    <row r="23" spans="1:5" s="3" customFormat="1" ht="12.75">
      <c r="A23" s="25" t="s">
        <v>806</v>
      </c>
      <c r="B23" s="4" t="s">
        <v>244</v>
      </c>
      <c r="C23" s="4" t="s">
        <v>391</v>
      </c>
      <c r="D23" s="4" t="s">
        <v>56</v>
      </c>
      <c r="E23" s="29" t="s">
        <v>1230</v>
      </c>
    </row>
    <row r="24" spans="1:5" s="3" customFormat="1" ht="12.75">
      <c r="A24" s="25" t="s">
        <v>796</v>
      </c>
      <c r="B24" s="4" t="s">
        <v>244</v>
      </c>
      <c r="C24" s="4" t="s">
        <v>265</v>
      </c>
      <c r="D24" s="4" t="s">
        <v>36</v>
      </c>
      <c r="E24" s="29" t="s">
        <v>1229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4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8.375" style="4" bestFit="1" customWidth="1"/>
    <col min="14" max="16384" width="9.125" style="3" customWidth="1"/>
  </cols>
  <sheetData>
    <row r="1" spans="1:13" s="2" customFormat="1" ht="28.5" customHeight="1">
      <c r="A1" s="51" t="s">
        <v>1278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1197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8">
        <v>1</v>
      </c>
      <c r="H4" s="8">
        <v>2</v>
      </c>
      <c r="I4" s="8">
        <v>3</v>
      </c>
      <c r="J4" s="8" t="s">
        <v>8</v>
      </c>
      <c r="K4" s="45"/>
      <c r="L4" s="45"/>
      <c r="M4" s="35"/>
    </row>
    <row r="5" spans="1:12" ht="15">
      <c r="A5" s="49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1277</v>
      </c>
      <c r="B6" s="11" t="s">
        <v>1276</v>
      </c>
      <c r="C6" s="11" t="s">
        <v>1275</v>
      </c>
      <c r="D6" s="11" t="str">
        <f>"0,9256"</f>
        <v>0,9256</v>
      </c>
      <c r="E6" s="11" t="s">
        <v>29</v>
      </c>
      <c r="F6" s="11" t="s">
        <v>491</v>
      </c>
      <c r="G6" s="12" t="s">
        <v>1251</v>
      </c>
      <c r="H6" s="13" t="s">
        <v>749</v>
      </c>
      <c r="I6" s="13" t="s">
        <v>749</v>
      </c>
      <c r="J6" s="13"/>
      <c r="K6" s="11" t="str">
        <f>"25,0"</f>
        <v>25,0</v>
      </c>
      <c r="L6" s="12" t="str">
        <f>"23,5565"</f>
        <v>23,5565</v>
      </c>
      <c r="M6" s="11" t="s">
        <v>60</v>
      </c>
    </row>
    <row r="8" spans="1:12" ht="15">
      <c r="A8" s="47" t="s">
        <v>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5" t="s">
        <v>1274</v>
      </c>
      <c r="B9" s="15" t="s">
        <v>1273</v>
      </c>
      <c r="C9" s="15" t="s">
        <v>135</v>
      </c>
      <c r="D9" s="15" t="str">
        <f>"0,7514"</f>
        <v>0,7514</v>
      </c>
      <c r="E9" s="15" t="s">
        <v>29</v>
      </c>
      <c r="F9" s="15" t="s">
        <v>95</v>
      </c>
      <c r="G9" s="16" t="s">
        <v>34</v>
      </c>
      <c r="H9" s="16" t="s">
        <v>35</v>
      </c>
      <c r="I9" s="17" t="s">
        <v>526</v>
      </c>
      <c r="J9" s="17"/>
      <c r="K9" s="15" t="str">
        <f>"40,0"</f>
        <v>40,0</v>
      </c>
      <c r="L9" s="16" t="str">
        <f>"35,4661"</f>
        <v>35,4661</v>
      </c>
      <c r="M9" s="15" t="s">
        <v>1272</v>
      </c>
    </row>
    <row r="10" spans="1:13" ht="12.75">
      <c r="A10" s="18" t="s">
        <v>1271</v>
      </c>
      <c r="B10" s="18" t="s">
        <v>1270</v>
      </c>
      <c r="C10" s="18" t="s">
        <v>1269</v>
      </c>
      <c r="D10" s="18" t="str">
        <f>"0,7387"</f>
        <v>0,7387</v>
      </c>
      <c r="E10" s="18" t="s">
        <v>29</v>
      </c>
      <c r="F10" s="18" t="s">
        <v>491</v>
      </c>
      <c r="G10" s="19" t="s">
        <v>35</v>
      </c>
      <c r="H10" s="20" t="s">
        <v>59</v>
      </c>
      <c r="I10" s="20" t="s">
        <v>59</v>
      </c>
      <c r="J10" s="20"/>
      <c r="K10" s="18" t="str">
        <f>"40,0"</f>
        <v>40,0</v>
      </c>
      <c r="L10" s="19" t="str">
        <f>"30,1390"</f>
        <v>30,1390</v>
      </c>
      <c r="M10" s="18" t="s">
        <v>1268</v>
      </c>
    </row>
    <row r="11" spans="1:13" ht="12.75">
      <c r="A11" s="21" t="s">
        <v>1267</v>
      </c>
      <c r="B11" s="21" t="s">
        <v>1266</v>
      </c>
      <c r="C11" s="21" t="s">
        <v>962</v>
      </c>
      <c r="D11" s="21" t="str">
        <f>"0,7317"</f>
        <v>0,7317</v>
      </c>
      <c r="E11" s="21" t="s">
        <v>29</v>
      </c>
      <c r="F11" s="21" t="s">
        <v>200</v>
      </c>
      <c r="G11" s="22" t="s">
        <v>106</v>
      </c>
      <c r="H11" s="22" t="s">
        <v>31</v>
      </c>
      <c r="I11" s="22" t="s">
        <v>70</v>
      </c>
      <c r="J11" s="23"/>
      <c r="K11" s="21" t="str">
        <f>"57,5"</f>
        <v>57,5</v>
      </c>
      <c r="L11" s="22" t="str">
        <f>"42,0728"</f>
        <v>42,0728</v>
      </c>
      <c r="M11" s="21" t="s">
        <v>60</v>
      </c>
    </row>
    <row r="13" spans="1:12" ht="15">
      <c r="A13" s="47" t="s">
        <v>145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12.75">
      <c r="A14" s="11" t="s">
        <v>1224</v>
      </c>
      <c r="B14" s="11" t="s">
        <v>1223</v>
      </c>
      <c r="C14" s="11" t="s">
        <v>149</v>
      </c>
      <c r="D14" s="11" t="str">
        <f>"0,6645"</f>
        <v>0,6645</v>
      </c>
      <c r="E14" s="11" t="s">
        <v>29</v>
      </c>
      <c r="F14" s="11" t="s">
        <v>55</v>
      </c>
      <c r="G14" s="12" t="s">
        <v>106</v>
      </c>
      <c r="H14" s="12" t="s">
        <v>32</v>
      </c>
      <c r="I14" s="13" t="s">
        <v>36</v>
      </c>
      <c r="J14" s="13"/>
      <c r="K14" s="11" t="str">
        <f>"60,0"</f>
        <v>60,0</v>
      </c>
      <c r="L14" s="12" t="str">
        <f>"39,8700"</f>
        <v>39,8700</v>
      </c>
      <c r="M14" s="11" t="s">
        <v>60</v>
      </c>
    </row>
    <row r="16" spans="1:12" ht="15">
      <c r="A16" s="47" t="s">
        <v>173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3" ht="12.75">
      <c r="A17" s="15" t="s">
        <v>1265</v>
      </c>
      <c r="B17" s="15" t="s">
        <v>1264</v>
      </c>
      <c r="C17" s="15" t="s">
        <v>1263</v>
      </c>
      <c r="D17" s="15" t="str">
        <f>"0,6338"</f>
        <v>0,6338</v>
      </c>
      <c r="E17" s="15" t="s">
        <v>29</v>
      </c>
      <c r="F17" s="15" t="s">
        <v>1262</v>
      </c>
      <c r="G17" s="16" t="s">
        <v>31</v>
      </c>
      <c r="H17" s="16" t="s">
        <v>32</v>
      </c>
      <c r="I17" s="16" t="s">
        <v>98</v>
      </c>
      <c r="J17" s="17"/>
      <c r="K17" s="15" t="str">
        <f>"62,5"</f>
        <v>62,5</v>
      </c>
      <c r="L17" s="16" t="str">
        <f>"39,6125"</f>
        <v>39,6125</v>
      </c>
      <c r="M17" s="15" t="s">
        <v>60</v>
      </c>
    </row>
    <row r="18" spans="1:13" ht="12.75">
      <c r="A18" s="18" t="s">
        <v>571</v>
      </c>
      <c r="B18" s="18" t="s">
        <v>572</v>
      </c>
      <c r="C18" s="18" t="s">
        <v>1261</v>
      </c>
      <c r="D18" s="18" t="str">
        <f>"0,6262"</f>
        <v>0,6262</v>
      </c>
      <c r="E18" s="18" t="s">
        <v>347</v>
      </c>
      <c r="F18" s="18" t="s">
        <v>200</v>
      </c>
      <c r="G18" s="19" t="s">
        <v>47</v>
      </c>
      <c r="H18" s="19" t="s">
        <v>32</v>
      </c>
      <c r="I18" s="19" t="s">
        <v>36</v>
      </c>
      <c r="J18" s="20"/>
      <c r="K18" s="18" t="str">
        <f>"65,0"</f>
        <v>65,0</v>
      </c>
      <c r="L18" s="19" t="str">
        <f>"40,7030"</f>
        <v>40,7030</v>
      </c>
      <c r="M18" s="18" t="s">
        <v>60</v>
      </c>
    </row>
    <row r="19" spans="1:13" ht="12.75">
      <c r="A19" s="21" t="s">
        <v>1260</v>
      </c>
      <c r="B19" s="21" t="s">
        <v>1259</v>
      </c>
      <c r="C19" s="21" t="s">
        <v>920</v>
      </c>
      <c r="D19" s="21" t="str">
        <f>"0,6193"</f>
        <v>0,6193</v>
      </c>
      <c r="E19" s="21" t="s">
        <v>29</v>
      </c>
      <c r="F19" s="21" t="s">
        <v>491</v>
      </c>
      <c r="G19" s="22" t="s">
        <v>47</v>
      </c>
      <c r="H19" s="22" t="s">
        <v>31</v>
      </c>
      <c r="I19" s="22" t="s">
        <v>98</v>
      </c>
      <c r="J19" s="23"/>
      <c r="K19" s="21" t="str">
        <f>"62,5"</f>
        <v>62,5</v>
      </c>
      <c r="L19" s="22" t="str">
        <f>"45,4024"</f>
        <v>45,4024</v>
      </c>
      <c r="M19" s="21" t="s">
        <v>60</v>
      </c>
    </row>
    <row r="21" spans="1:12" ht="15">
      <c r="A21" s="47" t="s">
        <v>184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5" t="s">
        <v>1258</v>
      </c>
      <c r="B22" s="15" t="s">
        <v>1257</v>
      </c>
      <c r="C22" s="15" t="s">
        <v>603</v>
      </c>
      <c r="D22" s="15" t="str">
        <f>"0,5901"</f>
        <v>0,5901</v>
      </c>
      <c r="E22" s="15" t="s">
        <v>29</v>
      </c>
      <c r="F22" s="15" t="s">
        <v>67</v>
      </c>
      <c r="G22" s="16" t="s">
        <v>106</v>
      </c>
      <c r="H22" s="16" t="s">
        <v>70</v>
      </c>
      <c r="I22" s="16" t="s">
        <v>98</v>
      </c>
      <c r="J22" s="17"/>
      <c r="K22" s="15" t="str">
        <f>"62,5"</f>
        <v>62,5</v>
      </c>
      <c r="L22" s="16" t="str">
        <f>"43,5199"</f>
        <v>43,5199</v>
      </c>
      <c r="M22" s="15" t="s">
        <v>1253</v>
      </c>
    </row>
    <row r="23" spans="1:13" ht="12.75">
      <c r="A23" s="18" t="s">
        <v>1256</v>
      </c>
      <c r="B23" s="18" t="s">
        <v>1255</v>
      </c>
      <c r="C23" s="18" t="s">
        <v>1254</v>
      </c>
      <c r="D23" s="18" t="str">
        <f>"0,6117"</f>
        <v>0,6117</v>
      </c>
      <c r="E23" s="18" t="s">
        <v>29</v>
      </c>
      <c r="F23" s="18" t="s">
        <v>67</v>
      </c>
      <c r="G23" s="19" t="s">
        <v>106</v>
      </c>
      <c r="H23" s="19" t="s">
        <v>31</v>
      </c>
      <c r="I23" s="20" t="s">
        <v>70</v>
      </c>
      <c r="J23" s="20"/>
      <c r="K23" s="18" t="str">
        <f>"55,0"</f>
        <v>55,0</v>
      </c>
      <c r="L23" s="19" t="str">
        <f>"34,9892"</f>
        <v>34,9892</v>
      </c>
      <c r="M23" s="18" t="s">
        <v>1253</v>
      </c>
    </row>
    <row r="24" spans="1:13" ht="12.75">
      <c r="A24" s="21" t="s">
        <v>642</v>
      </c>
      <c r="B24" s="21" t="s">
        <v>643</v>
      </c>
      <c r="C24" s="21" t="s">
        <v>1017</v>
      </c>
      <c r="D24" s="21" t="str">
        <f>"0,5926"</f>
        <v>0,5926</v>
      </c>
      <c r="E24" s="21" t="s">
        <v>29</v>
      </c>
      <c r="F24" s="21" t="s">
        <v>644</v>
      </c>
      <c r="G24" s="22" t="s">
        <v>35</v>
      </c>
      <c r="H24" s="22" t="s">
        <v>58</v>
      </c>
      <c r="I24" s="22" t="s">
        <v>59</v>
      </c>
      <c r="J24" s="23"/>
      <c r="K24" s="21" t="str">
        <f>"47,5"</f>
        <v>47,5</v>
      </c>
      <c r="L24" s="22" t="str">
        <f>"56,5785"</f>
        <v>56,5785</v>
      </c>
      <c r="M24" s="21" t="s">
        <v>60</v>
      </c>
    </row>
    <row r="26" ht="15">
      <c r="E26" s="9" t="s">
        <v>13</v>
      </c>
    </row>
    <row r="27" ht="15">
      <c r="E27" s="9" t="s">
        <v>14</v>
      </c>
    </row>
    <row r="28" ht="15">
      <c r="E28" s="9" t="s">
        <v>15</v>
      </c>
    </row>
    <row r="29" ht="15">
      <c r="E29" s="9" t="s">
        <v>16</v>
      </c>
    </row>
    <row r="30" ht="15">
      <c r="E30" s="9" t="s">
        <v>16</v>
      </c>
    </row>
    <row r="31" ht="15">
      <c r="E31" s="9" t="s">
        <v>17</v>
      </c>
    </row>
    <row r="32" ht="15">
      <c r="E32" s="9"/>
    </row>
    <row r="34" spans="1:5" s="3" customFormat="1" ht="18">
      <c r="A34" s="10" t="s">
        <v>18</v>
      </c>
      <c r="B34" s="10"/>
      <c r="C34" s="4"/>
      <c r="D34" s="4"/>
      <c r="E34" s="4"/>
    </row>
    <row r="35" spans="1:5" s="3" customFormat="1" ht="15">
      <c r="A35" s="24" t="s">
        <v>227</v>
      </c>
      <c r="B35" s="24"/>
      <c r="C35" s="4"/>
      <c r="D35" s="4"/>
      <c r="E35" s="4"/>
    </row>
    <row r="36" spans="1:5" s="3" customFormat="1" ht="14.25">
      <c r="A36" s="26"/>
      <c r="B36" s="27" t="s">
        <v>255</v>
      </c>
      <c r="C36" s="4"/>
      <c r="D36" s="4"/>
      <c r="E36" s="4"/>
    </row>
    <row r="37" spans="1:5" s="3" customFormat="1" ht="15">
      <c r="A37" s="28" t="s">
        <v>229</v>
      </c>
      <c r="B37" s="28" t="s">
        <v>230</v>
      </c>
      <c r="C37" s="28" t="s">
        <v>231</v>
      </c>
      <c r="D37" s="28" t="s">
        <v>232</v>
      </c>
      <c r="E37" s="28" t="s">
        <v>233</v>
      </c>
    </row>
    <row r="38" spans="1:5" s="3" customFormat="1" ht="12.75">
      <c r="A38" s="25" t="s">
        <v>1252</v>
      </c>
      <c r="B38" s="4" t="s">
        <v>256</v>
      </c>
      <c r="C38" s="4" t="s">
        <v>235</v>
      </c>
      <c r="D38" s="4" t="s">
        <v>1251</v>
      </c>
      <c r="E38" s="29" t="s">
        <v>1250</v>
      </c>
    </row>
    <row r="41" spans="1:5" s="3" customFormat="1" ht="15">
      <c r="A41" s="24" t="s">
        <v>258</v>
      </c>
      <c r="B41" s="24"/>
      <c r="C41" s="4"/>
      <c r="D41" s="4"/>
      <c r="E41" s="4"/>
    </row>
    <row r="42" spans="1:5" s="3" customFormat="1" ht="14.25">
      <c r="A42" s="26"/>
      <c r="B42" s="27" t="s">
        <v>259</v>
      </c>
      <c r="C42" s="4"/>
      <c r="D42" s="4"/>
      <c r="E42" s="4"/>
    </row>
    <row r="43" spans="1:5" s="3" customFormat="1" ht="15">
      <c r="A43" s="28" t="s">
        <v>229</v>
      </c>
      <c r="B43" s="28" t="s">
        <v>230</v>
      </c>
      <c r="C43" s="28" t="s">
        <v>231</v>
      </c>
      <c r="D43" s="28" t="s">
        <v>232</v>
      </c>
      <c r="E43" s="28" t="s">
        <v>233</v>
      </c>
    </row>
    <row r="44" spans="1:5" s="3" customFormat="1" ht="12.75">
      <c r="A44" s="25" t="s">
        <v>1249</v>
      </c>
      <c r="B44" s="4" t="s">
        <v>699</v>
      </c>
      <c r="C44" s="4" t="s">
        <v>283</v>
      </c>
      <c r="D44" s="4" t="s">
        <v>98</v>
      </c>
      <c r="E44" s="29" t="s">
        <v>1248</v>
      </c>
    </row>
    <row r="45" spans="1:5" s="3" customFormat="1" ht="12.75">
      <c r="A45" s="25" t="s">
        <v>1247</v>
      </c>
      <c r="B45" s="4" t="s">
        <v>699</v>
      </c>
      <c r="C45" s="4" t="s">
        <v>246</v>
      </c>
      <c r="D45" s="4" t="s">
        <v>35</v>
      </c>
      <c r="E45" s="29" t="s">
        <v>1246</v>
      </c>
    </row>
    <row r="46" spans="1:5" s="3" customFormat="1" ht="12.75">
      <c r="A46" s="25" t="s">
        <v>1245</v>
      </c>
      <c r="B46" s="4" t="s">
        <v>234</v>
      </c>
      <c r="C46" s="4" t="s">
        <v>283</v>
      </c>
      <c r="D46" s="4" t="s">
        <v>31</v>
      </c>
      <c r="E46" s="29" t="s">
        <v>1244</v>
      </c>
    </row>
    <row r="48" spans="1:5" s="3" customFormat="1" ht="14.25">
      <c r="A48" s="26"/>
      <c r="B48" s="27" t="s">
        <v>264</v>
      </c>
      <c r="C48" s="4"/>
      <c r="D48" s="4"/>
      <c r="E48" s="4"/>
    </row>
    <row r="49" spans="1:5" s="3" customFormat="1" ht="15">
      <c r="A49" s="28" t="s">
        <v>229</v>
      </c>
      <c r="B49" s="28" t="s">
        <v>230</v>
      </c>
      <c r="C49" s="28" t="s">
        <v>231</v>
      </c>
      <c r="D49" s="28" t="s">
        <v>232</v>
      </c>
      <c r="E49" s="28" t="s">
        <v>233</v>
      </c>
    </row>
    <row r="50" spans="1:5" s="3" customFormat="1" ht="12.75">
      <c r="A50" s="25" t="s">
        <v>1211</v>
      </c>
      <c r="B50" s="4" t="s">
        <v>242</v>
      </c>
      <c r="C50" s="4" t="s">
        <v>273</v>
      </c>
      <c r="D50" s="4" t="s">
        <v>32</v>
      </c>
      <c r="E50" s="29" t="s">
        <v>1243</v>
      </c>
    </row>
    <row r="51" spans="1:5" s="3" customFormat="1" ht="12.75">
      <c r="A51" s="25" t="s">
        <v>1242</v>
      </c>
      <c r="B51" s="4" t="s">
        <v>242</v>
      </c>
      <c r="C51" s="4" t="s">
        <v>276</v>
      </c>
      <c r="D51" s="4" t="s">
        <v>98</v>
      </c>
      <c r="E51" s="29" t="s">
        <v>1241</v>
      </c>
    </row>
    <row r="52" spans="1:5" s="3" customFormat="1" ht="12.75">
      <c r="A52" s="25" t="s">
        <v>1240</v>
      </c>
      <c r="B52" s="4" t="s">
        <v>242</v>
      </c>
      <c r="C52" s="4" t="s">
        <v>246</v>
      </c>
      <c r="D52" s="4" t="s">
        <v>35</v>
      </c>
      <c r="E52" s="29" t="s">
        <v>1239</v>
      </c>
    </row>
    <row r="54" spans="1:5" s="3" customFormat="1" ht="14.25">
      <c r="A54" s="26"/>
      <c r="B54" s="27" t="s">
        <v>244</v>
      </c>
      <c r="C54" s="4"/>
      <c r="D54" s="4"/>
      <c r="E54" s="4"/>
    </row>
    <row r="55" spans="1:5" s="3" customFormat="1" ht="15">
      <c r="A55" s="28" t="s">
        <v>229</v>
      </c>
      <c r="B55" s="28" t="s">
        <v>230</v>
      </c>
      <c r="C55" s="28" t="s">
        <v>231</v>
      </c>
      <c r="D55" s="28" t="s">
        <v>232</v>
      </c>
      <c r="E55" s="28" t="s">
        <v>233</v>
      </c>
    </row>
    <row r="56" spans="1:5" s="3" customFormat="1" ht="12.75">
      <c r="A56" s="25" t="s">
        <v>1238</v>
      </c>
      <c r="B56" s="4" t="s">
        <v>244</v>
      </c>
      <c r="C56" s="4" t="s">
        <v>246</v>
      </c>
      <c r="D56" s="4" t="s">
        <v>70</v>
      </c>
      <c r="E56" s="29" t="s">
        <v>1237</v>
      </c>
    </row>
    <row r="57" spans="1:5" s="3" customFormat="1" ht="12.75">
      <c r="A57" s="25" t="s">
        <v>570</v>
      </c>
      <c r="B57" s="4" t="s">
        <v>244</v>
      </c>
      <c r="C57" s="4" t="s">
        <v>276</v>
      </c>
      <c r="D57" s="4" t="s">
        <v>36</v>
      </c>
      <c r="E57" s="29" t="s">
        <v>1236</v>
      </c>
    </row>
    <row r="59" spans="1:5" s="3" customFormat="1" ht="14.25">
      <c r="A59" s="26"/>
      <c r="B59" s="27" t="s">
        <v>255</v>
      </c>
      <c r="C59" s="4"/>
      <c r="D59" s="4"/>
      <c r="E59" s="4"/>
    </row>
    <row r="60" spans="1:5" s="3" customFormat="1" ht="15">
      <c r="A60" s="28" t="s">
        <v>229</v>
      </c>
      <c r="B60" s="28" t="s">
        <v>230</v>
      </c>
      <c r="C60" s="28" t="s">
        <v>231</v>
      </c>
      <c r="D60" s="28" t="s">
        <v>232</v>
      </c>
      <c r="E60" s="28" t="s">
        <v>233</v>
      </c>
    </row>
    <row r="61" spans="1:5" s="3" customFormat="1" ht="12.75">
      <c r="A61" s="25" t="s">
        <v>641</v>
      </c>
      <c r="B61" s="4" t="s">
        <v>292</v>
      </c>
      <c r="C61" s="4" t="s">
        <v>283</v>
      </c>
      <c r="D61" s="4" t="s">
        <v>59</v>
      </c>
      <c r="E61" s="29" t="s">
        <v>1235</v>
      </c>
    </row>
    <row r="62" spans="1:5" s="3" customFormat="1" ht="12.75">
      <c r="A62" s="25" t="s">
        <v>1234</v>
      </c>
      <c r="B62" s="4" t="s">
        <v>301</v>
      </c>
      <c r="C62" s="4" t="s">
        <v>276</v>
      </c>
      <c r="D62" s="4" t="s">
        <v>98</v>
      </c>
      <c r="E62" s="29" t="s">
        <v>1233</v>
      </c>
    </row>
  </sheetData>
  <sheetProtection/>
  <mergeCells count="16">
    <mergeCell ref="A16:L16"/>
    <mergeCell ref="A21:L21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1280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1198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8">
        <v>1</v>
      </c>
      <c r="H4" s="8">
        <v>2</v>
      </c>
      <c r="I4" s="8">
        <v>3</v>
      </c>
      <c r="J4" s="8" t="s">
        <v>8</v>
      </c>
      <c r="K4" s="45"/>
      <c r="L4" s="45"/>
      <c r="M4" s="35"/>
    </row>
    <row r="5" spans="1:12" ht="15">
      <c r="A5" s="49" t="s">
        <v>145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1224</v>
      </c>
      <c r="B6" s="11" t="s">
        <v>1223</v>
      </c>
      <c r="C6" s="11" t="s">
        <v>149</v>
      </c>
      <c r="D6" s="11" t="str">
        <f>"0,6645"</f>
        <v>0,6645</v>
      </c>
      <c r="E6" s="11" t="s">
        <v>29</v>
      </c>
      <c r="F6" s="11" t="s">
        <v>55</v>
      </c>
      <c r="G6" s="12" t="s">
        <v>33</v>
      </c>
      <c r="H6" s="12" t="s">
        <v>84</v>
      </c>
      <c r="I6" s="13" t="s">
        <v>56</v>
      </c>
      <c r="J6" s="13"/>
      <c r="K6" s="11" t="str">
        <f>"75,0"</f>
        <v>75,0</v>
      </c>
      <c r="L6" s="12" t="str">
        <f>"49,8375"</f>
        <v>49,8375</v>
      </c>
      <c r="M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5" s="3" customFormat="1" ht="15">
      <c r="A17" s="24" t="s">
        <v>258</v>
      </c>
      <c r="B17" s="24"/>
      <c r="C17" s="4"/>
      <c r="D17" s="4"/>
      <c r="E17" s="4"/>
    </row>
    <row r="18" spans="1:5" s="3" customFormat="1" ht="14.25">
      <c r="A18" s="26"/>
      <c r="B18" s="27" t="s">
        <v>264</v>
      </c>
      <c r="C18" s="4"/>
      <c r="D18" s="4"/>
      <c r="E18" s="4"/>
    </row>
    <row r="19" spans="1:5" s="3" customFormat="1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s="3" customFormat="1" ht="12.75">
      <c r="A20" s="25" t="s">
        <v>1211</v>
      </c>
      <c r="B20" s="4" t="s">
        <v>242</v>
      </c>
      <c r="C20" s="4" t="s">
        <v>273</v>
      </c>
      <c r="D20" s="4" t="s">
        <v>84</v>
      </c>
      <c r="E20" s="29" t="s">
        <v>1279</v>
      </c>
    </row>
  </sheetData>
  <sheetProtection/>
  <mergeCells count="12">
    <mergeCell ref="F3:F4"/>
    <mergeCell ref="E3:E4"/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5.25390625" style="4" bestFit="1" customWidth="1"/>
    <col min="6" max="6" width="30.375" style="4" bestFit="1" customWidth="1"/>
    <col min="7" max="7" width="4.625" style="3" bestFit="1" customWidth="1"/>
    <col min="8" max="8" width="4.625" style="53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1306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1305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173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5" t="s">
        <v>1300</v>
      </c>
      <c r="B6" s="15" t="s">
        <v>1299</v>
      </c>
      <c r="C6" s="15" t="s">
        <v>1298</v>
      </c>
      <c r="D6" s="15" t="str">
        <f>"0,7810"</f>
        <v>0,7810</v>
      </c>
      <c r="E6" s="15" t="s">
        <v>66</v>
      </c>
      <c r="F6" s="15" t="s">
        <v>67</v>
      </c>
      <c r="G6" s="16" t="s">
        <v>56</v>
      </c>
      <c r="H6" s="56" t="s">
        <v>1297</v>
      </c>
      <c r="I6" s="15" t="str">
        <f>"3440,0"</f>
        <v>3440,0</v>
      </c>
      <c r="J6" s="16" t="str">
        <f>"2686,6401"</f>
        <v>2686,6401</v>
      </c>
      <c r="K6" s="15" t="s">
        <v>60</v>
      </c>
    </row>
    <row r="7" spans="1:11" ht="12.75">
      <c r="A7" s="21" t="s">
        <v>1296</v>
      </c>
      <c r="B7" s="21" t="s">
        <v>1295</v>
      </c>
      <c r="C7" s="21" t="s">
        <v>1294</v>
      </c>
      <c r="D7" s="21" t="str">
        <f>"0,8052"</f>
        <v>0,8052</v>
      </c>
      <c r="E7" s="21" t="s">
        <v>29</v>
      </c>
      <c r="F7" s="21" t="s">
        <v>780</v>
      </c>
      <c r="G7" s="22" t="s">
        <v>1225</v>
      </c>
      <c r="H7" s="55" t="s">
        <v>35</v>
      </c>
      <c r="I7" s="21" t="str">
        <f>"3100,0"</f>
        <v>3100,0</v>
      </c>
      <c r="J7" s="22" t="str">
        <f>"2496,1199"</f>
        <v>2496,1199</v>
      </c>
      <c r="K7" s="21" t="s">
        <v>60</v>
      </c>
    </row>
    <row r="9" spans="1:10" ht="15">
      <c r="A9" s="47" t="s">
        <v>354</v>
      </c>
      <c r="B9" s="48"/>
      <c r="C9" s="48"/>
      <c r="D9" s="48"/>
      <c r="E9" s="48"/>
      <c r="F9" s="48"/>
      <c r="G9" s="48"/>
      <c r="H9" s="48"/>
      <c r="I9" s="48"/>
      <c r="J9" s="48"/>
    </row>
    <row r="10" spans="1:11" ht="12.75">
      <c r="A10" s="11" t="s">
        <v>1293</v>
      </c>
      <c r="B10" s="11" t="s">
        <v>1292</v>
      </c>
      <c r="C10" s="11" t="s">
        <v>1291</v>
      </c>
      <c r="D10" s="11" t="str">
        <f>"0,7124"</f>
        <v>0,7124</v>
      </c>
      <c r="E10" s="11" t="s">
        <v>54</v>
      </c>
      <c r="F10" s="11" t="s">
        <v>55</v>
      </c>
      <c r="G10" s="12" t="s">
        <v>77</v>
      </c>
      <c r="H10" s="54" t="s">
        <v>34</v>
      </c>
      <c r="I10" s="11" t="str">
        <f>"3325,0"</f>
        <v>3325,0</v>
      </c>
      <c r="J10" s="12" t="str">
        <f>"2368,7301"</f>
        <v>2368,7301</v>
      </c>
      <c r="K10" s="11" t="s">
        <v>60</v>
      </c>
    </row>
    <row r="12" ht="15">
      <c r="E12" s="9" t="s">
        <v>13</v>
      </c>
    </row>
    <row r="13" ht="15">
      <c r="E13" s="9" t="s">
        <v>14</v>
      </c>
    </row>
    <row r="14" ht="15">
      <c r="E14" s="9" t="s">
        <v>15</v>
      </c>
    </row>
    <row r="15" ht="15">
      <c r="E15" s="9" t="s">
        <v>16</v>
      </c>
    </row>
    <row r="16" ht="15">
      <c r="E16" s="9" t="s">
        <v>16</v>
      </c>
    </row>
    <row r="17" spans="1:5" s="3" customFormat="1" ht="15">
      <c r="A17" s="4"/>
      <c r="B17" s="4"/>
      <c r="C17" s="4"/>
      <c r="D17" s="4"/>
      <c r="E17" s="9" t="s">
        <v>17</v>
      </c>
    </row>
    <row r="18" spans="1:5" s="3" customFormat="1" ht="15">
      <c r="A18" s="4"/>
      <c r="B18" s="4"/>
      <c r="C18" s="4"/>
      <c r="D18" s="4"/>
      <c r="E18" s="9"/>
    </row>
    <row r="20" spans="1:5" s="3" customFormat="1" ht="18">
      <c r="A20" s="10" t="s">
        <v>18</v>
      </c>
      <c r="B20" s="10"/>
      <c r="C20" s="4"/>
      <c r="D20" s="4"/>
      <c r="E20" s="4"/>
    </row>
    <row r="21" spans="1:5" s="3" customFormat="1" ht="15">
      <c r="A21" s="24" t="s">
        <v>258</v>
      </c>
      <c r="B21" s="24"/>
      <c r="C21" s="4"/>
      <c r="D21" s="4"/>
      <c r="E21" s="4"/>
    </row>
    <row r="22" spans="1:5" s="3" customFormat="1" ht="14.25">
      <c r="A22" s="26"/>
      <c r="B22" s="27" t="s">
        <v>244</v>
      </c>
      <c r="C22" s="4"/>
      <c r="D22" s="4"/>
      <c r="E22" s="4"/>
    </row>
    <row r="23" spans="1:5" s="3" customFormat="1" ht="15">
      <c r="A23" s="28" t="s">
        <v>229</v>
      </c>
      <c r="B23" s="28" t="s">
        <v>230</v>
      </c>
      <c r="C23" s="28" t="s">
        <v>231</v>
      </c>
      <c r="D23" s="28" t="s">
        <v>232</v>
      </c>
      <c r="E23" s="28" t="s">
        <v>1290</v>
      </c>
    </row>
    <row r="24" spans="1:5" s="3" customFormat="1" ht="12.75">
      <c r="A24" s="25" t="s">
        <v>1289</v>
      </c>
      <c r="B24" s="4" t="s">
        <v>244</v>
      </c>
      <c r="C24" s="4" t="s">
        <v>276</v>
      </c>
      <c r="D24" s="4" t="s">
        <v>1288</v>
      </c>
      <c r="E24" s="29" t="s">
        <v>1287</v>
      </c>
    </row>
    <row r="25" spans="1:5" s="3" customFormat="1" ht="12.75">
      <c r="A25" s="4" t="s">
        <v>1286</v>
      </c>
      <c r="B25" s="4" t="s">
        <v>244</v>
      </c>
      <c r="C25" s="4" t="s">
        <v>404</v>
      </c>
      <c r="D25" s="4" t="s">
        <v>1285</v>
      </c>
      <c r="E25" s="29" t="s">
        <v>1284</v>
      </c>
    </row>
    <row r="26" spans="1:5" s="3" customFormat="1" ht="12.75">
      <c r="A26" s="25" t="s">
        <v>1283</v>
      </c>
      <c r="B26" s="4" t="s">
        <v>244</v>
      </c>
      <c r="C26" s="4" t="s">
        <v>276</v>
      </c>
      <c r="D26" s="4" t="s">
        <v>1282</v>
      </c>
      <c r="E26" s="29" t="s">
        <v>1281</v>
      </c>
    </row>
  </sheetData>
  <sheetProtection/>
  <mergeCells count="13">
    <mergeCell ref="I3:I4"/>
    <mergeCell ref="J3:J4"/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8" width="5.625" style="53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1325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1305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38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1" t="s">
        <v>515</v>
      </c>
      <c r="B6" s="11" t="s">
        <v>516</v>
      </c>
      <c r="C6" s="11" t="s">
        <v>517</v>
      </c>
      <c r="D6" s="11" t="str">
        <f>"0,9074"</f>
        <v>0,9074</v>
      </c>
      <c r="E6" s="11" t="s">
        <v>29</v>
      </c>
      <c r="F6" s="11" t="s">
        <v>143</v>
      </c>
      <c r="G6" s="12" t="s">
        <v>114</v>
      </c>
      <c r="H6" s="54" t="s">
        <v>1324</v>
      </c>
      <c r="I6" s="11" t="str">
        <f>"1170,0"</f>
        <v>1170,0</v>
      </c>
      <c r="J6" s="12" t="str">
        <f>"1061,6580"</f>
        <v>1061,6580</v>
      </c>
      <c r="K6" s="11" t="s">
        <v>60</v>
      </c>
    </row>
    <row r="8" spans="1:10" ht="15">
      <c r="A8" s="47" t="s">
        <v>89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ht="12.75">
      <c r="A9" s="15" t="s">
        <v>1323</v>
      </c>
      <c r="B9" s="15" t="s">
        <v>1322</v>
      </c>
      <c r="C9" s="15" t="s">
        <v>1321</v>
      </c>
      <c r="D9" s="15" t="str">
        <f>"0,9009"</f>
        <v>0,9009</v>
      </c>
      <c r="E9" s="15" t="s">
        <v>29</v>
      </c>
      <c r="F9" s="15" t="s">
        <v>67</v>
      </c>
      <c r="G9" s="16" t="s">
        <v>121</v>
      </c>
      <c r="H9" s="59" t="s">
        <v>34</v>
      </c>
      <c r="I9" s="15" t="str">
        <f>"1137,5"</f>
        <v>1137,5</v>
      </c>
      <c r="J9" s="16" t="str">
        <f>"1024,7738"</f>
        <v>1024,7738</v>
      </c>
      <c r="K9" s="15" t="s">
        <v>60</v>
      </c>
    </row>
    <row r="10" spans="1:11" ht="12.75">
      <c r="A10" s="21" t="s">
        <v>1183</v>
      </c>
      <c r="B10" s="21" t="s">
        <v>527</v>
      </c>
      <c r="C10" s="21" t="s">
        <v>528</v>
      </c>
      <c r="D10" s="21" t="str">
        <f>"0,9059"</f>
        <v>0,9059</v>
      </c>
      <c r="E10" s="21" t="s">
        <v>29</v>
      </c>
      <c r="F10" s="21" t="s">
        <v>200</v>
      </c>
      <c r="G10" s="22" t="s">
        <v>121</v>
      </c>
      <c r="H10" s="58" t="s">
        <v>34</v>
      </c>
      <c r="I10" s="21" t="str">
        <f>"1137,5"</f>
        <v>1137,5</v>
      </c>
      <c r="J10" s="22" t="str">
        <f>"1030,4613"</f>
        <v>1030,4613</v>
      </c>
      <c r="K10" s="21" t="s">
        <v>60</v>
      </c>
    </row>
    <row r="12" spans="1:10" ht="15">
      <c r="A12" s="47" t="s">
        <v>24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 ht="12.75">
      <c r="A13" s="11" t="s">
        <v>1320</v>
      </c>
      <c r="B13" s="11" t="s">
        <v>1319</v>
      </c>
      <c r="C13" s="11" t="s">
        <v>1318</v>
      </c>
      <c r="D13" s="11" t="str">
        <f>"1,3402"</f>
        <v>1,3402</v>
      </c>
      <c r="E13" s="11" t="s">
        <v>29</v>
      </c>
      <c r="F13" s="11" t="s">
        <v>119</v>
      </c>
      <c r="G13" s="12" t="s">
        <v>1317</v>
      </c>
      <c r="H13" s="54" t="s">
        <v>165</v>
      </c>
      <c r="I13" s="11" t="str">
        <f>"3000,0"</f>
        <v>3000,0</v>
      </c>
      <c r="J13" s="12" t="str">
        <f>"4020,5998"</f>
        <v>4020,5998</v>
      </c>
      <c r="K13" s="11" t="s">
        <v>60</v>
      </c>
    </row>
    <row r="15" ht="15">
      <c r="E15" s="9" t="s">
        <v>13</v>
      </c>
    </row>
    <row r="16" ht="15">
      <c r="E16" s="9" t="s">
        <v>14</v>
      </c>
    </row>
    <row r="17" spans="1:5" s="3" customFormat="1" ht="15">
      <c r="A17" s="4"/>
      <c r="B17" s="4"/>
      <c r="C17" s="4"/>
      <c r="D17" s="4"/>
      <c r="E17" s="9" t="s">
        <v>15</v>
      </c>
    </row>
    <row r="18" spans="1:5" s="3" customFormat="1" ht="15">
      <c r="A18" s="4"/>
      <c r="B18" s="4"/>
      <c r="C18" s="4"/>
      <c r="D18" s="4"/>
      <c r="E18" s="9" t="s">
        <v>16</v>
      </c>
    </row>
    <row r="19" spans="1:5" s="3" customFormat="1" ht="15">
      <c r="A19" s="4"/>
      <c r="B19" s="4"/>
      <c r="C19" s="4"/>
      <c r="D19" s="4"/>
      <c r="E19" s="9" t="s">
        <v>16</v>
      </c>
    </row>
    <row r="20" spans="1:5" s="3" customFormat="1" ht="15">
      <c r="A20" s="4"/>
      <c r="B20" s="4"/>
      <c r="C20" s="4"/>
      <c r="D20" s="4"/>
      <c r="E20" s="9" t="s">
        <v>17</v>
      </c>
    </row>
    <row r="21" spans="1:5" s="3" customFormat="1" ht="15">
      <c r="A21" s="4"/>
      <c r="B21" s="4"/>
      <c r="C21" s="4"/>
      <c r="D21" s="4"/>
      <c r="E21" s="9"/>
    </row>
    <row r="23" spans="1:5" s="3" customFormat="1" ht="18">
      <c r="A23" s="10" t="s">
        <v>18</v>
      </c>
      <c r="B23" s="10"/>
      <c r="C23" s="4"/>
      <c r="D23" s="4"/>
      <c r="E23" s="4"/>
    </row>
    <row r="24" spans="1:5" s="3" customFormat="1" ht="15">
      <c r="A24" s="24" t="s">
        <v>227</v>
      </c>
      <c r="B24" s="24"/>
      <c r="C24" s="4"/>
      <c r="D24" s="4"/>
      <c r="E24" s="4"/>
    </row>
    <row r="25" spans="1:5" s="3" customFormat="1" ht="14.25">
      <c r="A25" s="26"/>
      <c r="B25" s="27" t="s">
        <v>228</v>
      </c>
      <c r="C25" s="4"/>
      <c r="D25" s="4"/>
      <c r="E25" s="4"/>
    </row>
    <row r="26" spans="1:5" s="3" customFormat="1" ht="15">
      <c r="A26" s="28" t="s">
        <v>229</v>
      </c>
      <c r="B26" s="28" t="s">
        <v>230</v>
      </c>
      <c r="C26" s="28" t="s">
        <v>231</v>
      </c>
      <c r="D26" s="28" t="s">
        <v>232</v>
      </c>
      <c r="E26" s="28" t="s">
        <v>1290</v>
      </c>
    </row>
    <row r="27" spans="1:5" s="3" customFormat="1" ht="12.75">
      <c r="A27" s="25" t="s">
        <v>514</v>
      </c>
      <c r="B27" s="4" t="s">
        <v>699</v>
      </c>
      <c r="C27" s="4" t="s">
        <v>235</v>
      </c>
      <c r="D27" s="4" t="s">
        <v>1316</v>
      </c>
      <c r="E27" s="29" t="s">
        <v>1315</v>
      </c>
    </row>
    <row r="28" spans="1:5" s="3" customFormat="1" ht="12.75">
      <c r="A28" s="25" t="s">
        <v>1314</v>
      </c>
      <c r="B28" s="4" t="s">
        <v>238</v>
      </c>
      <c r="C28" s="4" t="s">
        <v>246</v>
      </c>
      <c r="D28" s="4" t="s">
        <v>1311</v>
      </c>
      <c r="E28" s="29" t="s">
        <v>1313</v>
      </c>
    </row>
    <row r="30" spans="1:5" s="3" customFormat="1" ht="14.25">
      <c r="A30" s="26"/>
      <c r="B30" s="27" t="s">
        <v>244</v>
      </c>
      <c r="C30" s="4"/>
      <c r="D30" s="4"/>
      <c r="E30" s="4"/>
    </row>
    <row r="31" spans="1:5" s="3" customFormat="1" ht="15">
      <c r="A31" s="28" t="s">
        <v>229</v>
      </c>
      <c r="B31" s="28" t="s">
        <v>230</v>
      </c>
      <c r="C31" s="28" t="s">
        <v>231</v>
      </c>
      <c r="D31" s="28" t="s">
        <v>232</v>
      </c>
      <c r="E31" s="28" t="s">
        <v>1290</v>
      </c>
    </row>
    <row r="32" spans="1:5" s="3" customFormat="1" ht="12.75">
      <c r="A32" s="25" t="s">
        <v>1312</v>
      </c>
      <c r="B32" s="4" t="s">
        <v>244</v>
      </c>
      <c r="C32" s="4" t="s">
        <v>246</v>
      </c>
      <c r="D32" s="4" t="s">
        <v>1311</v>
      </c>
      <c r="E32" s="29" t="s">
        <v>1310</v>
      </c>
    </row>
    <row r="35" spans="1:5" s="3" customFormat="1" ht="15">
      <c r="A35" s="24" t="s">
        <v>258</v>
      </c>
      <c r="B35" s="24"/>
      <c r="C35" s="4"/>
      <c r="D35" s="4"/>
      <c r="E35" s="4"/>
    </row>
    <row r="36" spans="1:5" s="3" customFormat="1" ht="14.25">
      <c r="A36" s="26"/>
      <c r="B36" s="27" t="s">
        <v>259</v>
      </c>
      <c r="C36" s="4"/>
      <c r="D36" s="4"/>
      <c r="E36" s="4"/>
    </row>
    <row r="37" spans="1:5" s="3" customFormat="1" ht="15">
      <c r="A37" s="28" t="s">
        <v>229</v>
      </c>
      <c r="B37" s="28" t="s">
        <v>230</v>
      </c>
      <c r="C37" s="28" t="s">
        <v>231</v>
      </c>
      <c r="D37" s="28" t="s">
        <v>232</v>
      </c>
      <c r="E37" s="28" t="s">
        <v>1290</v>
      </c>
    </row>
    <row r="38" spans="1:5" s="3" customFormat="1" ht="12.75">
      <c r="A38" s="25" t="s">
        <v>1309</v>
      </c>
      <c r="B38" s="4" t="s">
        <v>262</v>
      </c>
      <c r="C38" s="4" t="s">
        <v>239</v>
      </c>
      <c r="D38" s="4" t="s">
        <v>1308</v>
      </c>
      <c r="E38" s="29" t="s">
        <v>1307</v>
      </c>
    </row>
  </sheetData>
  <sheetProtection/>
  <mergeCells count="14"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4">
      <selection activeCell="A12" sqref="A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5.25390625" style="4" bestFit="1" customWidth="1"/>
    <col min="6" max="6" width="38.25390625" style="4" bestFit="1" customWidth="1"/>
    <col min="7" max="7" width="4.625" style="3" bestFit="1" customWidth="1"/>
    <col min="8" max="8" width="4.625" style="53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1380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1305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1" t="s">
        <v>534</v>
      </c>
      <c r="B6" s="11" t="s">
        <v>535</v>
      </c>
      <c r="C6" s="11" t="s">
        <v>513</v>
      </c>
      <c r="D6" s="11" t="str">
        <f>"1,0019"</f>
        <v>1,0019</v>
      </c>
      <c r="E6" s="11" t="s">
        <v>29</v>
      </c>
      <c r="F6" s="11" t="s">
        <v>55</v>
      </c>
      <c r="G6" s="12" t="s">
        <v>749</v>
      </c>
      <c r="H6" s="54" t="s">
        <v>1379</v>
      </c>
      <c r="I6" s="11" t="str">
        <f>"1155,0"</f>
        <v>1155,0</v>
      </c>
      <c r="J6" s="12" t="str">
        <f>"1157,1945"</f>
        <v>1157,1945</v>
      </c>
      <c r="K6" s="11" t="s">
        <v>60</v>
      </c>
    </row>
    <row r="8" spans="1:10" ht="15">
      <c r="A8" s="47" t="s">
        <v>89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ht="12.75">
      <c r="A9" s="11" t="s">
        <v>479</v>
      </c>
      <c r="B9" s="11" t="s">
        <v>480</v>
      </c>
      <c r="C9" s="11" t="s">
        <v>481</v>
      </c>
      <c r="D9" s="11" t="str">
        <f>"0,8434"</f>
        <v>0,8434</v>
      </c>
      <c r="E9" s="11" t="s">
        <v>482</v>
      </c>
      <c r="F9" s="11" t="s">
        <v>212</v>
      </c>
      <c r="G9" s="12" t="s">
        <v>83</v>
      </c>
      <c r="H9" s="54" t="s">
        <v>35</v>
      </c>
      <c r="I9" s="11" t="str">
        <f>"2700,0"</f>
        <v>2700,0</v>
      </c>
      <c r="J9" s="12" t="str">
        <f>"2277,1800"</f>
        <v>2277,1800</v>
      </c>
      <c r="K9" s="11" t="s">
        <v>60</v>
      </c>
    </row>
    <row r="11" spans="1:10" ht="15">
      <c r="A11" s="47" t="s">
        <v>145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1" ht="12.75">
      <c r="A12" s="15" t="s">
        <v>1378</v>
      </c>
      <c r="B12" s="15" t="s">
        <v>561</v>
      </c>
      <c r="C12" s="15" t="s">
        <v>169</v>
      </c>
      <c r="D12" s="15" t="str">
        <f>"0,7912"</f>
        <v>0,7912</v>
      </c>
      <c r="E12" s="15" t="s">
        <v>533</v>
      </c>
      <c r="F12" s="15" t="s">
        <v>55</v>
      </c>
      <c r="G12" s="16" t="s">
        <v>84</v>
      </c>
      <c r="H12" s="59" t="s">
        <v>1377</v>
      </c>
      <c r="I12" s="15" t="str">
        <f>"2325,0"</f>
        <v>2325,0</v>
      </c>
      <c r="J12" s="16" t="str">
        <f>"1839,5400"</f>
        <v>1839,5400</v>
      </c>
      <c r="K12" s="15" t="s">
        <v>60</v>
      </c>
    </row>
    <row r="13" spans="1:11" ht="12.75">
      <c r="A13" s="18" t="s">
        <v>1376</v>
      </c>
      <c r="B13" s="18" t="s">
        <v>557</v>
      </c>
      <c r="C13" s="18" t="s">
        <v>558</v>
      </c>
      <c r="D13" s="18" t="str">
        <f>"0,8020"</f>
        <v>0,8020</v>
      </c>
      <c r="E13" s="18" t="s">
        <v>533</v>
      </c>
      <c r="F13" s="18" t="s">
        <v>55</v>
      </c>
      <c r="G13" s="19" t="s">
        <v>84</v>
      </c>
      <c r="H13" s="60" t="s">
        <v>1251</v>
      </c>
      <c r="I13" s="18" t="str">
        <f>"1875,0"</f>
        <v>1875,0</v>
      </c>
      <c r="J13" s="19" t="str">
        <f>"1503,7500"</f>
        <v>1503,7500</v>
      </c>
      <c r="K13" s="18" t="s">
        <v>60</v>
      </c>
    </row>
    <row r="14" spans="1:11" ht="12.75">
      <c r="A14" s="21" t="s">
        <v>568</v>
      </c>
      <c r="B14" s="21" t="s">
        <v>569</v>
      </c>
      <c r="C14" s="21" t="s">
        <v>169</v>
      </c>
      <c r="D14" s="21" t="str">
        <f>"0,7912"</f>
        <v>0,7912</v>
      </c>
      <c r="E14" s="21" t="s">
        <v>1178</v>
      </c>
      <c r="F14" s="21" t="s">
        <v>194</v>
      </c>
      <c r="G14" s="22" t="s">
        <v>84</v>
      </c>
      <c r="H14" s="58" t="s">
        <v>1375</v>
      </c>
      <c r="I14" s="21" t="str">
        <f>"2325,0"</f>
        <v>2325,0</v>
      </c>
      <c r="J14" s="22" t="str">
        <f>"1839,5400"</f>
        <v>1839,5400</v>
      </c>
      <c r="K14" s="21" t="s">
        <v>60</v>
      </c>
    </row>
    <row r="16" spans="1:10" ht="15">
      <c r="A16" s="47" t="s">
        <v>173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1" ht="12.75">
      <c r="A17" s="15" t="s">
        <v>1374</v>
      </c>
      <c r="B17" s="15" t="s">
        <v>1373</v>
      </c>
      <c r="C17" s="15" t="s">
        <v>1372</v>
      </c>
      <c r="D17" s="15" t="str">
        <f>"0,8062"</f>
        <v>0,8062</v>
      </c>
      <c r="E17" s="15" t="s">
        <v>29</v>
      </c>
      <c r="F17" s="15" t="s">
        <v>491</v>
      </c>
      <c r="G17" s="16" t="s">
        <v>1225</v>
      </c>
      <c r="H17" s="59" t="s">
        <v>114</v>
      </c>
      <c r="I17" s="15" t="str">
        <f>"2325,0"</f>
        <v>2325,0</v>
      </c>
      <c r="J17" s="16" t="str">
        <f>"1874,4151"</f>
        <v>1874,4151</v>
      </c>
      <c r="K17" s="15" t="s">
        <v>60</v>
      </c>
    </row>
    <row r="18" spans="1:11" ht="12.75">
      <c r="A18" s="18" t="s">
        <v>1371</v>
      </c>
      <c r="B18" s="18" t="s">
        <v>1370</v>
      </c>
      <c r="C18" s="18" t="s">
        <v>1369</v>
      </c>
      <c r="D18" s="18" t="str">
        <f>"0,8114"</f>
        <v>0,8114</v>
      </c>
      <c r="E18" s="18" t="s">
        <v>29</v>
      </c>
      <c r="F18" s="18" t="s">
        <v>67</v>
      </c>
      <c r="G18" s="19" t="s">
        <v>1225</v>
      </c>
      <c r="H18" s="60" t="s">
        <v>1366</v>
      </c>
      <c r="I18" s="18" t="str">
        <f>"2557,5"</f>
        <v>2557,5</v>
      </c>
      <c r="J18" s="19" t="str">
        <f>"2075,1555"</f>
        <v>2075,1555</v>
      </c>
      <c r="K18" s="18" t="s">
        <v>60</v>
      </c>
    </row>
    <row r="19" spans="1:11" ht="12.75">
      <c r="A19" s="18" t="s">
        <v>1368</v>
      </c>
      <c r="B19" s="18" t="s">
        <v>1367</v>
      </c>
      <c r="C19" s="18" t="s">
        <v>1294</v>
      </c>
      <c r="D19" s="18" t="str">
        <f>"0,8052"</f>
        <v>0,8052</v>
      </c>
      <c r="E19" s="18" t="s">
        <v>482</v>
      </c>
      <c r="F19" s="18" t="s">
        <v>212</v>
      </c>
      <c r="G19" s="19" t="s">
        <v>1225</v>
      </c>
      <c r="H19" s="60" t="s">
        <v>1366</v>
      </c>
      <c r="I19" s="18" t="str">
        <f>"2557,5"</f>
        <v>2557,5</v>
      </c>
      <c r="J19" s="19" t="str">
        <f>"2059,2990"</f>
        <v>2059,2990</v>
      </c>
      <c r="K19" s="18" t="s">
        <v>60</v>
      </c>
    </row>
    <row r="20" spans="1:11" ht="12.75">
      <c r="A20" s="21" t="s">
        <v>1365</v>
      </c>
      <c r="B20" s="21" t="s">
        <v>572</v>
      </c>
      <c r="C20" s="21" t="s">
        <v>1261</v>
      </c>
      <c r="D20" s="21" t="str">
        <f>"0,7685"</f>
        <v>0,7685</v>
      </c>
      <c r="E20" s="21" t="s">
        <v>347</v>
      </c>
      <c r="F20" s="21" t="s">
        <v>200</v>
      </c>
      <c r="G20" s="22" t="s">
        <v>1214</v>
      </c>
      <c r="H20" s="58" t="s">
        <v>114</v>
      </c>
      <c r="I20" s="21" t="str">
        <f>"2475,0"</f>
        <v>2475,0</v>
      </c>
      <c r="J20" s="22" t="str">
        <f>"1902,0374"</f>
        <v>1902,0374</v>
      </c>
      <c r="K20" s="21" t="s">
        <v>60</v>
      </c>
    </row>
    <row r="22" spans="1:10" ht="15">
      <c r="A22" s="47" t="s">
        <v>184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1" ht="12.75">
      <c r="A23" s="15" t="s">
        <v>1364</v>
      </c>
      <c r="B23" s="15" t="s">
        <v>1363</v>
      </c>
      <c r="C23" s="15" t="s">
        <v>1362</v>
      </c>
      <c r="D23" s="15" t="str">
        <f>"0,7602"</f>
        <v>0,7602</v>
      </c>
      <c r="E23" s="15" t="s">
        <v>66</v>
      </c>
      <c r="F23" s="15" t="s">
        <v>67</v>
      </c>
      <c r="G23" s="16" t="s">
        <v>57</v>
      </c>
      <c r="H23" s="59" t="s">
        <v>1361</v>
      </c>
      <c r="I23" s="15" t="str">
        <f>"3060,0"</f>
        <v>3060,0</v>
      </c>
      <c r="J23" s="16" t="str">
        <f>"2326,2121"</f>
        <v>2326,2121</v>
      </c>
      <c r="K23" s="15" t="s">
        <v>60</v>
      </c>
    </row>
    <row r="24" spans="1:11" ht="12.75">
      <c r="A24" s="18" t="s">
        <v>1360</v>
      </c>
      <c r="B24" s="18" t="s">
        <v>1359</v>
      </c>
      <c r="C24" s="18" t="s">
        <v>188</v>
      </c>
      <c r="D24" s="18" t="str">
        <f>"0,7557"</f>
        <v>0,7557</v>
      </c>
      <c r="E24" s="18" t="s">
        <v>29</v>
      </c>
      <c r="F24" s="18" t="s">
        <v>491</v>
      </c>
      <c r="G24" s="19" t="s">
        <v>57</v>
      </c>
      <c r="H24" s="60" t="s">
        <v>1358</v>
      </c>
      <c r="I24" s="18" t="str">
        <f>"2465,0"</f>
        <v>2465,0</v>
      </c>
      <c r="J24" s="19" t="str">
        <f>"1862,8005"</f>
        <v>1862,8005</v>
      </c>
      <c r="K24" s="18" t="s">
        <v>60</v>
      </c>
    </row>
    <row r="25" spans="1:11" ht="12.75">
      <c r="A25" s="21" t="s">
        <v>1357</v>
      </c>
      <c r="B25" s="21" t="s">
        <v>628</v>
      </c>
      <c r="C25" s="21" t="s">
        <v>629</v>
      </c>
      <c r="D25" s="21" t="str">
        <f>"0,7226"</f>
        <v>0,7226</v>
      </c>
      <c r="E25" s="21" t="s">
        <v>29</v>
      </c>
      <c r="F25" s="21" t="s">
        <v>95</v>
      </c>
      <c r="G25" s="22" t="s">
        <v>68</v>
      </c>
      <c r="H25" s="58" t="s">
        <v>1356</v>
      </c>
      <c r="I25" s="21" t="str">
        <f>"2520,0"</f>
        <v>2520,0</v>
      </c>
      <c r="J25" s="22" t="str">
        <f>"1820,9520"</f>
        <v>1820,9520</v>
      </c>
      <c r="K25" s="21" t="s">
        <v>60</v>
      </c>
    </row>
    <row r="27" spans="1:10" ht="15">
      <c r="A27" s="47" t="s">
        <v>354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1" ht="12.75">
      <c r="A28" s="11" t="s">
        <v>484</v>
      </c>
      <c r="B28" s="11" t="s">
        <v>485</v>
      </c>
      <c r="C28" s="11" t="s">
        <v>1355</v>
      </c>
      <c r="D28" s="11" t="str">
        <f>"0,7139"</f>
        <v>0,7139</v>
      </c>
      <c r="E28" s="11" t="s">
        <v>482</v>
      </c>
      <c r="F28" s="11" t="s">
        <v>212</v>
      </c>
      <c r="G28" s="12" t="s">
        <v>77</v>
      </c>
      <c r="H28" s="54" t="s">
        <v>1317</v>
      </c>
      <c r="I28" s="11" t="str">
        <f>"1900,0"</f>
        <v>1900,0</v>
      </c>
      <c r="J28" s="12" t="str">
        <f>"1356,4101"</f>
        <v>1356,4101</v>
      </c>
      <c r="K28" s="11" t="s">
        <v>60</v>
      </c>
    </row>
    <row r="30" ht="15">
      <c r="E30" s="9" t="s">
        <v>13</v>
      </c>
    </row>
    <row r="31" ht="15">
      <c r="E31" s="9" t="s">
        <v>14</v>
      </c>
    </row>
    <row r="32" ht="15">
      <c r="E32" s="9" t="s">
        <v>15</v>
      </c>
    </row>
    <row r="33" spans="1:5" s="3" customFormat="1" ht="15">
      <c r="A33" s="4"/>
      <c r="B33" s="4"/>
      <c r="C33" s="4"/>
      <c r="D33" s="4"/>
      <c r="E33" s="9" t="s">
        <v>16</v>
      </c>
    </row>
    <row r="34" spans="1:5" s="3" customFormat="1" ht="15">
      <c r="A34" s="4"/>
      <c r="B34" s="4"/>
      <c r="C34" s="4"/>
      <c r="D34" s="4"/>
      <c r="E34" s="9" t="s">
        <v>16</v>
      </c>
    </row>
    <row r="35" spans="1:5" s="3" customFormat="1" ht="15">
      <c r="A35" s="4"/>
      <c r="B35" s="4"/>
      <c r="C35" s="4"/>
      <c r="D35" s="4"/>
      <c r="E35" s="9" t="s">
        <v>17</v>
      </c>
    </row>
    <row r="36" spans="1:5" s="3" customFormat="1" ht="15">
      <c r="A36" s="4"/>
      <c r="B36" s="4"/>
      <c r="C36" s="4"/>
      <c r="D36" s="4"/>
      <c r="E36" s="9"/>
    </row>
    <row r="38" spans="1:5" s="3" customFormat="1" ht="18">
      <c r="A38" s="10" t="s">
        <v>18</v>
      </c>
      <c r="B38" s="10"/>
      <c r="C38" s="4"/>
      <c r="D38" s="4"/>
      <c r="E38" s="4"/>
    </row>
    <row r="39" spans="1:5" s="3" customFormat="1" ht="15">
      <c r="A39" s="24" t="s">
        <v>258</v>
      </c>
      <c r="B39" s="24"/>
      <c r="C39" s="4"/>
      <c r="D39" s="4"/>
      <c r="E39" s="4"/>
    </row>
    <row r="40" spans="1:5" s="3" customFormat="1" ht="14.25">
      <c r="A40" s="26"/>
      <c r="B40" s="27" t="s">
        <v>259</v>
      </c>
      <c r="C40" s="4"/>
      <c r="D40" s="4"/>
      <c r="E40" s="4"/>
    </row>
    <row r="41" spans="1:5" s="3" customFormat="1" ht="15">
      <c r="A41" s="28" t="s">
        <v>229</v>
      </c>
      <c r="B41" s="28" t="s">
        <v>230</v>
      </c>
      <c r="C41" s="28" t="s">
        <v>231</v>
      </c>
      <c r="D41" s="28" t="s">
        <v>232</v>
      </c>
      <c r="E41" s="28" t="s">
        <v>1290</v>
      </c>
    </row>
    <row r="42" spans="1:5" s="3" customFormat="1" ht="12.75">
      <c r="A42" s="25" t="s">
        <v>1354</v>
      </c>
      <c r="B42" s="4" t="s">
        <v>234</v>
      </c>
      <c r="C42" s="4" t="s">
        <v>276</v>
      </c>
      <c r="D42" s="4" t="s">
        <v>1327</v>
      </c>
      <c r="E42" s="29" t="s">
        <v>1353</v>
      </c>
    </row>
    <row r="44" spans="1:5" s="3" customFormat="1" ht="14.25">
      <c r="A44" s="26"/>
      <c r="B44" s="27" t="s">
        <v>244</v>
      </c>
      <c r="C44" s="4"/>
      <c r="D44" s="4"/>
      <c r="E44" s="4"/>
    </row>
    <row r="45" spans="1:5" s="3" customFormat="1" ht="15">
      <c r="A45" s="28" t="s">
        <v>229</v>
      </c>
      <c r="B45" s="28" t="s">
        <v>230</v>
      </c>
      <c r="C45" s="28" t="s">
        <v>231</v>
      </c>
      <c r="D45" s="28" t="s">
        <v>232</v>
      </c>
      <c r="E45" s="28" t="s">
        <v>1290</v>
      </c>
    </row>
    <row r="46" spans="1:5" s="3" customFormat="1" ht="12.75">
      <c r="A46" s="25" t="s">
        <v>1352</v>
      </c>
      <c r="B46" s="4" t="s">
        <v>244</v>
      </c>
      <c r="C46" s="4" t="s">
        <v>283</v>
      </c>
      <c r="D46" s="4" t="s">
        <v>1351</v>
      </c>
      <c r="E46" s="29" t="s">
        <v>1350</v>
      </c>
    </row>
    <row r="47" spans="1:5" s="3" customFormat="1" ht="12.75">
      <c r="A47" s="25" t="s">
        <v>478</v>
      </c>
      <c r="B47" s="4" t="s">
        <v>244</v>
      </c>
      <c r="C47" s="4" t="s">
        <v>246</v>
      </c>
      <c r="D47" s="4" t="s">
        <v>1349</v>
      </c>
      <c r="E47" s="29" t="s">
        <v>1348</v>
      </c>
    </row>
    <row r="48" spans="1:5" s="3" customFormat="1" ht="12.75">
      <c r="A48" s="25" t="s">
        <v>1347</v>
      </c>
      <c r="B48" s="4" t="s">
        <v>244</v>
      </c>
      <c r="C48" s="4" t="s">
        <v>276</v>
      </c>
      <c r="D48" s="4" t="s">
        <v>1344</v>
      </c>
      <c r="E48" s="29" t="s">
        <v>1346</v>
      </c>
    </row>
    <row r="49" spans="1:5" s="3" customFormat="1" ht="12.75">
      <c r="A49" s="25" t="s">
        <v>1345</v>
      </c>
      <c r="B49" s="4" t="s">
        <v>244</v>
      </c>
      <c r="C49" s="4" t="s">
        <v>276</v>
      </c>
      <c r="D49" s="4" t="s">
        <v>1344</v>
      </c>
      <c r="E49" s="29" t="s">
        <v>1343</v>
      </c>
    </row>
    <row r="50" spans="1:5" s="3" customFormat="1" ht="12.75">
      <c r="A50" s="25" t="s">
        <v>570</v>
      </c>
      <c r="B50" s="4" t="s">
        <v>244</v>
      </c>
      <c r="C50" s="4" t="s">
        <v>276</v>
      </c>
      <c r="D50" s="4" t="s">
        <v>1342</v>
      </c>
      <c r="E50" s="29" t="s">
        <v>1341</v>
      </c>
    </row>
    <row r="51" spans="1:5" s="3" customFormat="1" ht="12.75">
      <c r="A51" s="25" t="s">
        <v>1340</v>
      </c>
      <c r="B51" s="4" t="s">
        <v>244</v>
      </c>
      <c r="C51" s="4" t="s">
        <v>283</v>
      </c>
      <c r="D51" s="4" t="s">
        <v>1339</v>
      </c>
      <c r="E51" s="29" t="s">
        <v>1338</v>
      </c>
    </row>
    <row r="52" spans="1:5" s="3" customFormat="1" ht="12.75">
      <c r="A52" s="25" t="s">
        <v>559</v>
      </c>
      <c r="B52" s="4" t="s">
        <v>244</v>
      </c>
      <c r="C52" s="4" t="s">
        <v>273</v>
      </c>
      <c r="D52" s="4" t="s">
        <v>1327</v>
      </c>
      <c r="E52" s="29" t="s">
        <v>1326</v>
      </c>
    </row>
    <row r="53" spans="1:5" s="3" customFormat="1" ht="12.75">
      <c r="A53" s="25" t="s">
        <v>1337</v>
      </c>
      <c r="B53" s="4" t="s">
        <v>244</v>
      </c>
      <c r="C53" s="4" t="s">
        <v>283</v>
      </c>
      <c r="D53" s="4" t="s">
        <v>1336</v>
      </c>
      <c r="E53" s="29" t="s">
        <v>1335</v>
      </c>
    </row>
    <row r="54" spans="1:5" s="3" customFormat="1" ht="12.75">
      <c r="A54" s="25" t="s">
        <v>555</v>
      </c>
      <c r="B54" s="4" t="s">
        <v>244</v>
      </c>
      <c r="C54" s="4" t="s">
        <v>273</v>
      </c>
      <c r="D54" s="4" t="s">
        <v>1334</v>
      </c>
      <c r="E54" s="29" t="s">
        <v>1333</v>
      </c>
    </row>
    <row r="55" spans="1:5" s="3" customFormat="1" ht="12.75">
      <c r="A55" s="25" t="s">
        <v>483</v>
      </c>
      <c r="B55" s="4" t="s">
        <v>244</v>
      </c>
      <c r="C55" s="4" t="s">
        <v>404</v>
      </c>
      <c r="D55" s="4" t="s">
        <v>1332</v>
      </c>
      <c r="E55" s="29" t="s">
        <v>1331</v>
      </c>
    </row>
    <row r="56" spans="1:5" s="3" customFormat="1" ht="12.75">
      <c r="A56" s="25" t="s">
        <v>1330</v>
      </c>
      <c r="B56" s="4" t="s">
        <v>244</v>
      </c>
      <c r="C56" s="4" t="s">
        <v>239</v>
      </c>
      <c r="D56" s="4" t="s">
        <v>1329</v>
      </c>
      <c r="E56" s="29" t="s">
        <v>1328</v>
      </c>
    </row>
    <row r="58" spans="1:5" s="3" customFormat="1" ht="14.25">
      <c r="A58" s="26"/>
      <c r="B58" s="27" t="s">
        <v>255</v>
      </c>
      <c r="C58" s="4"/>
      <c r="D58" s="4"/>
      <c r="E58" s="4"/>
    </row>
    <row r="59" spans="1:5" s="3" customFormat="1" ht="15">
      <c r="A59" s="28" t="s">
        <v>229</v>
      </c>
      <c r="B59" s="28" t="s">
        <v>230</v>
      </c>
      <c r="C59" s="28" t="s">
        <v>231</v>
      </c>
      <c r="D59" s="28" t="s">
        <v>232</v>
      </c>
      <c r="E59" s="28" t="s">
        <v>1290</v>
      </c>
    </row>
    <row r="60" spans="1:5" s="3" customFormat="1" ht="12.75">
      <c r="A60" s="25" t="s">
        <v>567</v>
      </c>
      <c r="B60" s="4" t="s">
        <v>256</v>
      </c>
      <c r="C60" s="4" t="s">
        <v>273</v>
      </c>
      <c r="D60" s="4" t="s">
        <v>1327</v>
      </c>
      <c r="E60" s="29" t="s">
        <v>1326</v>
      </c>
    </row>
  </sheetData>
  <sheetProtection/>
  <mergeCells count="17">
    <mergeCell ref="E3:E4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A27:J27"/>
    <mergeCell ref="A5:J5"/>
    <mergeCell ref="A8:J8"/>
    <mergeCell ref="A11:J11"/>
    <mergeCell ref="A16:J16"/>
    <mergeCell ref="A22:J22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2.25390625" style="4" bestFit="1" customWidth="1"/>
    <col min="7" max="7" width="5.625" style="3" bestFit="1" customWidth="1"/>
    <col min="8" max="8" width="4.625" style="53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1391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1390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1389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1" t="s">
        <v>1388</v>
      </c>
      <c r="B6" s="11" t="s">
        <v>676</v>
      </c>
      <c r="C6" s="11" t="s">
        <v>367</v>
      </c>
      <c r="D6" s="11" t="str">
        <f>"1,0000"</f>
        <v>1,0000</v>
      </c>
      <c r="E6" s="11" t="s">
        <v>1387</v>
      </c>
      <c r="F6" s="11" t="s">
        <v>200</v>
      </c>
      <c r="G6" s="12" t="s">
        <v>69</v>
      </c>
      <c r="H6" s="61" t="s">
        <v>1386</v>
      </c>
      <c r="I6" s="11" t="str">
        <f>"1200,0"</f>
        <v>1200,0</v>
      </c>
      <c r="J6" s="12" t="str">
        <f>"12,1827"</f>
        <v>12,1827</v>
      </c>
      <c r="K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5" s="3" customFormat="1" ht="15">
      <c r="A17" s="24" t="s">
        <v>258</v>
      </c>
      <c r="B17" s="24"/>
      <c r="C17" s="4"/>
      <c r="D17" s="4"/>
      <c r="E17" s="4"/>
    </row>
    <row r="18" spans="1:5" s="3" customFormat="1" ht="14.25">
      <c r="A18" s="26"/>
      <c r="B18" s="27" t="s">
        <v>255</v>
      </c>
      <c r="C18" s="4"/>
      <c r="D18" s="4"/>
      <c r="E18" s="4"/>
    </row>
    <row r="19" spans="1:5" s="3" customFormat="1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1385</v>
      </c>
    </row>
    <row r="20" spans="1:5" s="3" customFormat="1" ht="12.75">
      <c r="A20" s="25" t="s">
        <v>1384</v>
      </c>
      <c r="B20" s="4" t="s">
        <v>256</v>
      </c>
      <c r="C20" s="4" t="s">
        <v>1383</v>
      </c>
      <c r="D20" s="4" t="s">
        <v>1382</v>
      </c>
      <c r="E20" s="29" t="s">
        <v>1381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7" width="5.625" style="3" bestFit="1" customWidth="1"/>
    <col min="8" max="9" width="2.125" style="3" bestFit="1" customWidth="1"/>
    <col min="10" max="10" width="4.875" style="3" bestFit="1" customWidth="1"/>
    <col min="11" max="11" width="7.875" style="4" bestFit="1" customWidth="1"/>
    <col min="12" max="12" width="6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1130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384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1131</v>
      </c>
      <c r="B6" s="11" t="s">
        <v>1132</v>
      </c>
      <c r="C6" s="11" t="s">
        <v>1133</v>
      </c>
      <c r="D6" s="11" t="str">
        <f>"0,5308"</f>
        <v>0,5308</v>
      </c>
      <c r="E6" s="11" t="s">
        <v>29</v>
      </c>
      <c r="F6" s="11" t="s">
        <v>322</v>
      </c>
      <c r="G6" s="13" t="s">
        <v>1134</v>
      </c>
      <c r="H6" s="13"/>
      <c r="I6" s="13"/>
      <c r="J6" s="13"/>
      <c r="K6" s="11" t="str">
        <f>"0.00"</f>
        <v>0.00</v>
      </c>
      <c r="L6" s="12" t="str">
        <f>"0,0000"</f>
        <v>0,0000</v>
      </c>
      <c r="M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5.25390625" style="4" bestFit="1" customWidth="1"/>
    <col min="6" max="6" width="32.375" style="4" bestFit="1" customWidth="1"/>
    <col min="7" max="7" width="4.625" style="3" bestFit="1" customWidth="1"/>
    <col min="8" max="8" width="5.625" style="53" bestFit="1" customWidth="1"/>
    <col min="9" max="9" width="7.875" style="4" bestFit="1" customWidth="1"/>
    <col min="10" max="10" width="7.625" style="3" bestFit="1" customWidth="1"/>
    <col min="11" max="11" width="9.25390625" style="4" bestFit="1" customWidth="1"/>
    <col min="12" max="16384" width="9.125" style="3" customWidth="1"/>
  </cols>
  <sheetData>
    <row r="1" spans="1:11" s="2" customFormat="1" ht="28.5" customHeight="1">
      <c r="A1" s="51" t="s">
        <v>1465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1390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1389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5" t="s">
        <v>1265</v>
      </c>
      <c r="B6" s="15" t="s">
        <v>1264</v>
      </c>
      <c r="C6" s="15" t="s">
        <v>1464</v>
      </c>
      <c r="D6" s="15" t="str">
        <f>"1,0000"</f>
        <v>1,0000</v>
      </c>
      <c r="E6" s="15" t="s">
        <v>29</v>
      </c>
      <c r="F6" s="15" t="s">
        <v>1262</v>
      </c>
      <c r="G6" s="16" t="s">
        <v>31</v>
      </c>
      <c r="H6" s="56" t="s">
        <v>36</v>
      </c>
      <c r="I6" s="15" t="str">
        <f>"3575,0"</f>
        <v>3575,0</v>
      </c>
      <c r="J6" s="16" t="str">
        <f>"44,7994"</f>
        <v>44,7994</v>
      </c>
      <c r="K6" s="15" t="s">
        <v>60</v>
      </c>
    </row>
    <row r="7" spans="1:11" ht="12.75">
      <c r="A7" s="18" t="s">
        <v>1463</v>
      </c>
      <c r="B7" s="18" t="s">
        <v>1462</v>
      </c>
      <c r="C7" s="18" t="s">
        <v>341</v>
      </c>
      <c r="D7" s="18" t="str">
        <f>"1,0000"</f>
        <v>1,0000</v>
      </c>
      <c r="E7" s="18" t="s">
        <v>66</v>
      </c>
      <c r="F7" s="18" t="s">
        <v>67</v>
      </c>
      <c r="G7" s="19" t="s">
        <v>31</v>
      </c>
      <c r="H7" s="62" t="s">
        <v>1461</v>
      </c>
      <c r="I7" s="18" t="str">
        <f>"4620,0"</f>
        <v>4620,0</v>
      </c>
      <c r="J7" s="19" t="str">
        <f>"51,3904"</f>
        <v>51,3904</v>
      </c>
      <c r="K7" s="18" t="s">
        <v>60</v>
      </c>
    </row>
    <row r="8" spans="1:11" ht="12.75">
      <c r="A8" s="18" t="s">
        <v>1460</v>
      </c>
      <c r="B8" s="18" t="s">
        <v>1367</v>
      </c>
      <c r="C8" s="18" t="s">
        <v>1294</v>
      </c>
      <c r="D8" s="18" t="str">
        <f>"1,0000"</f>
        <v>1,0000</v>
      </c>
      <c r="E8" s="18" t="s">
        <v>482</v>
      </c>
      <c r="F8" s="18" t="s">
        <v>212</v>
      </c>
      <c r="G8" s="19" t="s">
        <v>31</v>
      </c>
      <c r="H8" s="62" t="s">
        <v>1459</v>
      </c>
      <c r="I8" s="18" t="str">
        <f>"4455,0"</f>
        <v>4455,0</v>
      </c>
      <c r="J8" s="19" t="str">
        <f>"57,4838"</f>
        <v>57,4838</v>
      </c>
      <c r="K8" s="18" t="s">
        <v>60</v>
      </c>
    </row>
    <row r="9" spans="1:11" ht="12.75">
      <c r="A9" s="18" t="s">
        <v>1458</v>
      </c>
      <c r="B9" s="18" t="s">
        <v>688</v>
      </c>
      <c r="C9" s="18" t="s">
        <v>689</v>
      </c>
      <c r="D9" s="18" t="str">
        <f>"1,0000"</f>
        <v>1,0000</v>
      </c>
      <c r="E9" s="18" t="s">
        <v>29</v>
      </c>
      <c r="F9" s="18" t="s">
        <v>661</v>
      </c>
      <c r="G9" s="19" t="s">
        <v>31</v>
      </c>
      <c r="H9" s="62" t="s">
        <v>1457</v>
      </c>
      <c r="I9" s="18" t="str">
        <f>"4070,0"</f>
        <v>4070,0</v>
      </c>
      <c r="J9" s="19" t="str">
        <f>"38,0373"</f>
        <v>38,0373</v>
      </c>
      <c r="K9" s="18" t="s">
        <v>60</v>
      </c>
    </row>
    <row r="10" spans="1:11" ht="12.75">
      <c r="A10" s="18" t="s">
        <v>1456</v>
      </c>
      <c r="B10" s="18" t="s">
        <v>1455</v>
      </c>
      <c r="C10" s="18" t="s">
        <v>1454</v>
      </c>
      <c r="D10" s="18" t="str">
        <f>"1,0000"</f>
        <v>1,0000</v>
      </c>
      <c r="E10" s="18" t="s">
        <v>29</v>
      </c>
      <c r="F10" s="18" t="s">
        <v>119</v>
      </c>
      <c r="G10" s="19" t="s">
        <v>31</v>
      </c>
      <c r="H10" s="62" t="s">
        <v>1453</v>
      </c>
      <c r="I10" s="18" t="str">
        <f>"3410,0"</f>
        <v>3410,0</v>
      </c>
      <c r="J10" s="19" t="str">
        <f>"36,2765"</f>
        <v>36,2765</v>
      </c>
      <c r="K10" s="18" t="s">
        <v>60</v>
      </c>
    </row>
    <row r="11" spans="1:11" ht="12.75">
      <c r="A11" s="18" t="s">
        <v>1452</v>
      </c>
      <c r="B11" s="18" t="s">
        <v>480</v>
      </c>
      <c r="C11" s="18" t="s">
        <v>481</v>
      </c>
      <c r="D11" s="18" t="str">
        <f>"1,0000"</f>
        <v>1,0000</v>
      </c>
      <c r="E11" s="18" t="s">
        <v>482</v>
      </c>
      <c r="F11" s="18" t="s">
        <v>212</v>
      </c>
      <c r="G11" s="19" t="s">
        <v>31</v>
      </c>
      <c r="H11" s="62" t="s">
        <v>1451</v>
      </c>
      <c r="I11" s="18" t="str">
        <f>"2915,0"</f>
        <v>2915,0</v>
      </c>
      <c r="J11" s="19" t="str">
        <f>"43,9006"</f>
        <v>43,9006</v>
      </c>
      <c r="K11" s="18" t="s">
        <v>60</v>
      </c>
    </row>
    <row r="12" spans="1:11" ht="12.75">
      <c r="A12" s="18" t="s">
        <v>1450</v>
      </c>
      <c r="B12" s="18" t="s">
        <v>1449</v>
      </c>
      <c r="C12" s="18" t="s">
        <v>149</v>
      </c>
      <c r="D12" s="18" t="str">
        <f>"1,0000"</f>
        <v>1,0000</v>
      </c>
      <c r="E12" s="18" t="s">
        <v>66</v>
      </c>
      <c r="F12" s="18" t="s">
        <v>67</v>
      </c>
      <c r="G12" s="19" t="s">
        <v>31</v>
      </c>
      <c r="H12" s="62" t="s">
        <v>1448</v>
      </c>
      <c r="I12" s="18" t="str">
        <f>"2530,0"</f>
        <v>2530,0</v>
      </c>
      <c r="J12" s="19" t="str">
        <f>"33,7333"</f>
        <v>33,7333</v>
      </c>
      <c r="K12" s="18" t="s">
        <v>60</v>
      </c>
    </row>
    <row r="13" spans="1:11" ht="12.75">
      <c r="A13" s="18" t="s">
        <v>1447</v>
      </c>
      <c r="B13" s="18" t="s">
        <v>1446</v>
      </c>
      <c r="C13" s="18" t="s">
        <v>551</v>
      </c>
      <c r="D13" s="18" t="str">
        <f>"1,0000"</f>
        <v>1,0000</v>
      </c>
      <c r="E13" s="18" t="s">
        <v>29</v>
      </c>
      <c r="F13" s="18" t="s">
        <v>1262</v>
      </c>
      <c r="G13" s="19" t="s">
        <v>31</v>
      </c>
      <c r="H13" s="62" t="s">
        <v>58</v>
      </c>
      <c r="I13" s="18" t="str">
        <f>"2475,0"</f>
        <v>2475,0</v>
      </c>
      <c r="J13" s="19" t="str">
        <f>"33,7653"</f>
        <v>33,7653</v>
      </c>
      <c r="K13" s="18" t="s">
        <v>60</v>
      </c>
    </row>
    <row r="14" spans="1:11" ht="12.75">
      <c r="A14" s="18" t="s">
        <v>1445</v>
      </c>
      <c r="B14" s="18" t="s">
        <v>1444</v>
      </c>
      <c r="C14" s="18" t="s">
        <v>1443</v>
      </c>
      <c r="D14" s="18" t="str">
        <f>"1,0000"</f>
        <v>1,0000</v>
      </c>
      <c r="E14" s="18" t="s">
        <v>1178</v>
      </c>
      <c r="F14" s="18" t="s">
        <v>194</v>
      </c>
      <c r="G14" s="19" t="s">
        <v>31</v>
      </c>
      <c r="H14" s="62" t="s">
        <v>68</v>
      </c>
      <c r="I14" s="18" t="str">
        <f>"4950,0"</f>
        <v>4950,0</v>
      </c>
      <c r="J14" s="19" t="str">
        <f>"48,4107"</f>
        <v>48,4107</v>
      </c>
      <c r="K14" s="18" t="s">
        <v>60</v>
      </c>
    </row>
    <row r="15" spans="1:11" ht="12.75">
      <c r="A15" s="18" t="s">
        <v>1442</v>
      </c>
      <c r="B15" s="18" t="s">
        <v>1441</v>
      </c>
      <c r="C15" s="18" t="s">
        <v>920</v>
      </c>
      <c r="D15" s="18" t="str">
        <f>"1,0000"</f>
        <v>1,0000</v>
      </c>
      <c r="E15" s="18" t="s">
        <v>29</v>
      </c>
      <c r="F15" s="18" t="s">
        <v>67</v>
      </c>
      <c r="G15" s="19" t="s">
        <v>31</v>
      </c>
      <c r="H15" s="62" t="s">
        <v>1440</v>
      </c>
      <c r="I15" s="18" t="str">
        <f>"3740,0"</f>
        <v>3740,0</v>
      </c>
      <c r="J15" s="19" t="str">
        <f>"45,3333"</f>
        <v>45,3333</v>
      </c>
      <c r="K15" s="18" t="s">
        <v>60</v>
      </c>
    </row>
    <row r="16" spans="1:11" ht="12.75">
      <c r="A16" s="18" t="s">
        <v>1439</v>
      </c>
      <c r="B16" s="18" t="s">
        <v>1438</v>
      </c>
      <c r="C16" s="18" t="s">
        <v>1437</v>
      </c>
      <c r="D16" s="18" t="str">
        <f>"1,0000"</f>
        <v>1,0000</v>
      </c>
      <c r="E16" s="18" t="s">
        <v>1178</v>
      </c>
      <c r="F16" s="18" t="s">
        <v>194</v>
      </c>
      <c r="G16" s="19" t="s">
        <v>31</v>
      </c>
      <c r="H16" s="62" t="s">
        <v>1436</v>
      </c>
      <c r="I16" s="18" t="str">
        <f>"2805,0"</f>
        <v>2805,0</v>
      </c>
      <c r="J16" s="19" t="str">
        <f>"31,7667"</f>
        <v>31,7667</v>
      </c>
      <c r="K16" s="18" t="s">
        <v>60</v>
      </c>
    </row>
    <row r="17" spans="1:11" ht="12.75">
      <c r="A17" s="21" t="s">
        <v>1435</v>
      </c>
      <c r="B17" s="21" t="s">
        <v>1434</v>
      </c>
      <c r="C17" s="21" t="s">
        <v>1012</v>
      </c>
      <c r="D17" s="21" t="str">
        <f>"1,0000"</f>
        <v>1,0000</v>
      </c>
      <c r="E17" s="21" t="s">
        <v>29</v>
      </c>
      <c r="F17" s="21" t="s">
        <v>200</v>
      </c>
      <c r="G17" s="22" t="s">
        <v>31</v>
      </c>
      <c r="H17" s="55" t="s">
        <v>1433</v>
      </c>
      <c r="I17" s="21" t="str">
        <f>"5940,0"</f>
        <v>5940,0</v>
      </c>
      <c r="J17" s="22" t="str">
        <f>"72,7941"</f>
        <v>72,7941</v>
      </c>
      <c r="K17" s="21" t="s">
        <v>1432</v>
      </c>
    </row>
    <row r="19" ht="15">
      <c r="E19" s="9" t="s">
        <v>13</v>
      </c>
    </row>
    <row r="20" ht="15">
      <c r="E20" s="9" t="s">
        <v>14</v>
      </c>
    </row>
    <row r="21" ht="15">
      <c r="E21" s="9" t="s">
        <v>15</v>
      </c>
    </row>
    <row r="22" ht="15">
      <c r="E22" s="9" t="s">
        <v>16</v>
      </c>
    </row>
    <row r="23" ht="15">
      <c r="E23" s="9" t="s">
        <v>16</v>
      </c>
    </row>
    <row r="24" ht="15">
      <c r="E24" s="9" t="s">
        <v>17</v>
      </c>
    </row>
    <row r="25" ht="15">
      <c r="E25" s="9"/>
    </row>
    <row r="27" spans="1:2" ht="18">
      <c r="A27" s="10" t="s">
        <v>18</v>
      </c>
      <c r="B27" s="10"/>
    </row>
    <row r="28" spans="1:2" ht="15">
      <c r="A28" s="24" t="s">
        <v>258</v>
      </c>
      <c r="B28" s="24"/>
    </row>
    <row r="29" spans="1:2" ht="14.25">
      <c r="A29" s="26"/>
      <c r="B29" s="27" t="s">
        <v>264</v>
      </c>
    </row>
    <row r="30" spans="1:5" ht="15">
      <c r="A30" s="28" t="s">
        <v>229</v>
      </c>
      <c r="B30" s="28" t="s">
        <v>230</v>
      </c>
      <c r="C30" s="28" t="s">
        <v>231</v>
      </c>
      <c r="D30" s="28" t="s">
        <v>232</v>
      </c>
      <c r="E30" s="28" t="s">
        <v>1385</v>
      </c>
    </row>
    <row r="31" spans="1:5" ht="12.75">
      <c r="A31" s="25" t="s">
        <v>1242</v>
      </c>
      <c r="B31" s="4" t="s">
        <v>242</v>
      </c>
      <c r="C31" s="4" t="s">
        <v>1383</v>
      </c>
      <c r="D31" s="4" t="s">
        <v>1431</v>
      </c>
      <c r="E31" s="29" t="s">
        <v>1430</v>
      </c>
    </row>
    <row r="33" spans="1:5" s="3" customFormat="1" ht="14.25">
      <c r="A33" s="26"/>
      <c r="B33" s="27" t="s">
        <v>244</v>
      </c>
      <c r="C33" s="4"/>
      <c r="D33" s="4"/>
      <c r="E33" s="4"/>
    </row>
    <row r="34" spans="1:5" s="3" customFormat="1" ht="15">
      <c r="A34" s="28" t="s">
        <v>229</v>
      </c>
      <c r="B34" s="28" t="s">
        <v>230</v>
      </c>
      <c r="C34" s="28" t="s">
        <v>231</v>
      </c>
      <c r="D34" s="28" t="s">
        <v>232</v>
      </c>
      <c r="E34" s="28" t="s">
        <v>1385</v>
      </c>
    </row>
    <row r="35" spans="1:5" s="3" customFormat="1" ht="12.75">
      <c r="A35" s="25" t="s">
        <v>1345</v>
      </c>
      <c r="B35" s="4" t="s">
        <v>244</v>
      </c>
      <c r="C35" s="4" t="s">
        <v>1383</v>
      </c>
      <c r="D35" s="4" t="s">
        <v>1429</v>
      </c>
      <c r="E35" s="29" t="s">
        <v>1428</v>
      </c>
    </row>
    <row r="36" spans="1:5" s="3" customFormat="1" ht="12.75">
      <c r="A36" s="25" t="s">
        <v>1427</v>
      </c>
      <c r="B36" s="4" t="s">
        <v>244</v>
      </c>
      <c r="C36" s="4" t="s">
        <v>1383</v>
      </c>
      <c r="D36" s="4" t="s">
        <v>1426</v>
      </c>
      <c r="E36" s="29" t="s">
        <v>1425</v>
      </c>
    </row>
    <row r="37" spans="1:5" s="3" customFormat="1" ht="12.75">
      <c r="A37" s="25" t="s">
        <v>478</v>
      </c>
      <c r="B37" s="4" t="s">
        <v>244</v>
      </c>
      <c r="C37" s="4" t="s">
        <v>1383</v>
      </c>
      <c r="D37" s="4" t="s">
        <v>1424</v>
      </c>
      <c r="E37" s="29" t="s">
        <v>1423</v>
      </c>
    </row>
    <row r="38" spans="1:5" s="3" customFormat="1" ht="12.75">
      <c r="A38" s="25" t="s">
        <v>686</v>
      </c>
      <c r="B38" s="4" t="s">
        <v>244</v>
      </c>
      <c r="C38" s="4" t="s">
        <v>1383</v>
      </c>
      <c r="D38" s="4" t="s">
        <v>1422</v>
      </c>
      <c r="E38" s="29" t="s">
        <v>1421</v>
      </c>
    </row>
    <row r="39" spans="1:5" s="3" customFormat="1" ht="12.75">
      <c r="A39" s="25" t="s">
        <v>1420</v>
      </c>
      <c r="B39" s="4" t="s">
        <v>244</v>
      </c>
      <c r="C39" s="4" t="s">
        <v>1383</v>
      </c>
      <c r="D39" s="4" t="s">
        <v>1419</v>
      </c>
      <c r="E39" s="29" t="s">
        <v>1418</v>
      </c>
    </row>
    <row r="40" spans="1:5" s="3" customFormat="1" ht="12.75">
      <c r="A40" s="25" t="s">
        <v>1417</v>
      </c>
      <c r="B40" s="4" t="s">
        <v>244</v>
      </c>
      <c r="C40" s="4" t="s">
        <v>1383</v>
      </c>
      <c r="D40" s="4" t="s">
        <v>1342</v>
      </c>
      <c r="E40" s="29" t="s">
        <v>1416</v>
      </c>
    </row>
    <row r="41" spans="1:5" s="3" customFormat="1" ht="12.75">
      <c r="A41" s="25" t="s">
        <v>1415</v>
      </c>
      <c r="B41" s="4" t="s">
        <v>244</v>
      </c>
      <c r="C41" s="4" t="s">
        <v>1383</v>
      </c>
      <c r="D41" s="4" t="s">
        <v>1414</v>
      </c>
      <c r="E41" s="29" t="s">
        <v>1413</v>
      </c>
    </row>
    <row r="43" spans="1:5" s="3" customFormat="1" ht="14.25">
      <c r="A43" s="26"/>
      <c r="B43" s="27" t="s">
        <v>255</v>
      </c>
      <c r="C43" s="4"/>
      <c r="D43" s="4"/>
      <c r="E43" s="4"/>
    </row>
    <row r="44" spans="1:5" s="3" customFormat="1" ht="15">
      <c r="A44" s="28" t="s">
        <v>229</v>
      </c>
      <c r="B44" s="28" t="s">
        <v>230</v>
      </c>
      <c r="C44" s="28" t="s">
        <v>231</v>
      </c>
      <c r="D44" s="28" t="s">
        <v>232</v>
      </c>
      <c r="E44" s="28" t="s">
        <v>1385</v>
      </c>
    </row>
    <row r="45" spans="1:5" s="3" customFormat="1" ht="12.75">
      <c r="A45" s="25" t="s">
        <v>1412</v>
      </c>
      <c r="B45" s="4" t="s">
        <v>735</v>
      </c>
      <c r="C45" s="4" t="s">
        <v>1383</v>
      </c>
      <c r="D45" s="4" t="s">
        <v>1411</v>
      </c>
      <c r="E45" s="29" t="s">
        <v>1410</v>
      </c>
    </row>
    <row r="46" spans="1:5" s="3" customFormat="1" ht="12.75">
      <c r="A46" s="25" t="s">
        <v>1409</v>
      </c>
      <c r="B46" s="4" t="s">
        <v>256</v>
      </c>
      <c r="C46" s="4" t="s">
        <v>1383</v>
      </c>
      <c r="D46" s="4" t="s">
        <v>1408</v>
      </c>
      <c r="E46" s="29" t="s">
        <v>1407</v>
      </c>
    </row>
    <row r="47" spans="1:5" s="3" customFormat="1" ht="12.75">
      <c r="A47" s="25" t="s">
        <v>1406</v>
      </c>
      <c r="B47" s="4" t="s">
        <v>256</v>
      </c>
      <c r="C47" s="4" t="s">
        <v>1383</v>
      </c>
      <c r="D47" s="4" t="s">
        <v>1405</v>
      </c>
      <c r="E47" s="29" t="s">
        <v>1404</v>
      </c>
    </row>
    <row r="48" spans="1:5" s="3" customFormat="1" ht="12.75">
      <c r="A48" s="25" t="s">
        <v>1403</v>
      </c>
      <c r="B48" s="4" t="s">
        <v>469</v>
      </c>
      <c r="C48" s="4" t="s">
        <v>1383</v>
      </c>
      <c r="D48" s="4" t="s">
        <v>1402</v>
      </c>
      <c r="E48" s="29" t="s">
        <v>1401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125" style="4" bestFit="1" customWidth="1"/>
    <col min="7" max="7" width="4.625" style="3" bestFit="1" customWidth="1"/>
    <col min="8" max="8" width="4.625" style="53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1400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1390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1389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5" t="s">
        <v>1399</v>
      </c>
      <c r="B6" s="15" t="s">
        <v>659</v>
      </c>
      <c r="C6" s="15" t="s">
        <v>1398</v>
      </c>
      <c r="D6" s="15" t="str">
        <f>"1,0000"</f>
        <v>1,0000</v>
      </c>
      <c r="E6" s="15" t="s">
        <v>29</v>
      </c>
      <c r="F6" s="15" t="s">
        <v>661</v>
      </c>
      <c r="G6" s="16" t="s">
        <v>84</v>
      </c>
      <c r="H6" s="56" t="s">
        <v>58</v>
      </c>
      <c r="I6" s="15" t="str">
        <f>"3375,0"</f>
        <v>3375,0</v>
      </c>
      <c r="J6" s="16" t="str">
        <f>"34,7222"</f>
        <v>34,7222</v>
      </c>
      <c r="K6" s="15" t="s">
        <v>60</v>
      </c>
    </row>
    <row r="7" spans="1:11" ht="12.75">
      <c r="A7" s="21" t="s">
        <v>1360</v>
      </c>
      <c r="B7" s="21" t="s">
        <v>1359</v>
      </c>
      <c r="C7" s="21" t="s">
        <v>1397</v>
      </c>
      <c r="D7" s="21" t="str">
        <f>"1,0000"</f>
        <v>1,0000</v>
      </c>
      <c r="E7" s="21" t="s">
        <v>29</v>
      </c>
      <c r="F7" s="21" t="s">
        <v>491</v>
      </c>
      <c r="G7" s="22" t="s">
        <v>84</v>
      </c>
      <c r="H7" s="55" t="s">
        <v>1396</v>
      </c>
      <c r="I7" s="21" t="str">
        <f>"2400,0"</f>
        <v>2400,0</v>
      </c>
      <c r="J7" s="22" t="str">
        <f>"28,0046"</f>
        <v>28,0046</v>
      </c>
      <c r="K7" s="21" t="s">
        <v>60</v>
      </c>
    </row>
    <row r="9" ht="15">
      <c r="E9" s="9" t="s">
        <v>13</v>
      </c>
    </row>
    <row r="10" ht="15">
      <c r="E10" s="9" t="s">
        <v>14</v>
      </c>
    </row>
    <row r="11" ht="15">
      <c r="E11" s="9" t="s">
        <v>15</v>
      </c>
    </row>
    <row r="12" ht="15">
      <c r="E12" s="9" t="s">
        <v>16</v>
      </c>
    </row>
    <row r="13" ht="15">
      <c r="E13" s="9" t="s">
        <v>16</v>
      </c>
    </row>
    <row r="14" ht="15">
      <c r="E14" s="9" t="s">
        <v>17</v>
      </c>
    </row>
    <row r="15" ht="15">
      <c r="E15" s="9"/>
    </row>
    <row r="17" spans="1:5" s="3" customFormat="1" ht="18">
      <c r="A17" s="10" t="s">
        <v>18</v>
      </c>
      <c r="B17" s="10"/>
      <c r="C17" s="4"/>
      <c r="D17" s="4"/>
      <c r="E17" s="4"/>
    </row>
    <row r="18" spans="1:5" s="3" customFormat="1" ht="15">
      <c r="A18" s="24" t="s">
        <v>258</v>
      </c>
      <c r="B18" s="24"/>
      <c r="C18" s="4"/>
      <c r="D18" s="4"/>
      <c r="E18" s="4"/>
    </row>
    <row r="19" spans="1:5" s="3" customFormat="1" ht="14.25">
      <c r="A19" s="26"/>
      <c r="B19" s="27" t="s">
        <v>244</v>
      </c>
      <c r="C19" s="4"/>
      <c r="D19" s="4"/>
      <c r="E19" s="4"/>
    </row>
    <row r="20" spans="1:5" s="3" customFormat="1" ht="15">
      <c r="A20" s="28" t="s">
        <v>229</v>
      </c>
      <c r="B20" s="28" t="s">
        <v>230</v>
      </c>
      <c r="C20" s="28" t="s">
        <v>231</v>
      </c>
      <c r="D20" s="28" t="s">
        <v>232</v>
      </c>
      <c r="E20" s="28" t="s">
        <v>1385</v>
      </c>
    </row>
    <row r="21" spans="1:5" s="3" customFormat="1" ht="12.75">
      <c r="A21" s="25" t="s">
        <v>657</v>
      </c>
      <c r="B21" s="4" t="s">
        <v>244</v>
      </c>
      <c r="C21" s="4" t="s">
        <v>1383</v>
      </c>
      <c r="D21" s="4" t="s">
        <v>1395</v>
      </c>
      <c r="E21" s="29" t="s">
        <v>1394</v>
      </c>
    </row>
    <row r="22" spans="1:5" s="3" customFormat="1" ht="12.75">
      <c r="A22" s="25" t="s">
        <v>1340</v>
      </c>
      <c r="B22" s="4" t="s">
        <v>244</v>
      </c>
      <c r="C22" s="4" t="s">
        <v>1383</v>
      </c>
      <c r="D22" s="4" t="s">
        <v>1393</v>
      </c>
      <c r="E22" s="29" t="s">
        <v>1392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7.625" style="4" bestFit="1" customWidth="1"/>
    <col min="7" max="7" width="4.625" style="3" bestFit="1" customWidth="1"/>
    <col min="8" max="8" width="4.625" style="53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1472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10</v>
      </c>
      <c r="C3" s="44" t="s">
        <v>11</v>
      </c>
      <c r="D3" s="46" t="s">
        <v>1390</v>
      </c>
      <c r="E3" s="46" t="s">
        <v>7</v>
      </c>
      <c r="F3" s="46" t="s">
        <v>12</v>
      </c>
      <c r="G3" s="46" t="s">
        <v>1304</v>
      </c>
      <c r="H3" s="46"/>
      <c r="I3" s="46" t="s">
        <v>1303</v>
      </c>
      <c r="J3" s="46" t="s">
        <v>6</v>
      </c>
      <c r="K3" s="34" t="s">
        <v>5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8" t="s">
        <v>1302</v>
      </c>
      <c r="H4" s="57" t="s">
        <v>1301</v>
      </c>
      <c r="I4" s="45"/>
      <c r="J4" s="45"/>
      <c r="K4" s="35"/>
    </row>
    <row r="5" spans="1:10" ht="15">
      <c r="A5" s="49" t="s">
        <v>1389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1" t="s">
        <v>1471</v>
      </c>
      <c r="B6" s="11" t="s">
        <v>1470</v>
      </c>
      <c r="C6" s="11" t="s">
        <v>1469</v>
      </c>
      <c r="D6" s="11" t="str">
        <f>"1,0000"</f>
        <v>1,0000</v>
      </c>
      <c r="E6" s="11" t="s">
        <v>29</v>
      </c>
      <c r="F6" s="11" t="s">
        <v>113</v>
      </c>
      <c r="G6" s="12" t="s">
        <v>84</v>
      </c>
      <c r="H6" s="61" t="s">
        <v>1448</v>
      </c>
      <c r="I6" s="11" t="str">
        <f>"3450,0"</f>
        <v>3450,0</v>
      </c>
      <c r="J6" s="12" t="str">
        <f>"38,9610"</f>
        <v>38,9610</v>
      </c>
      <c r="K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5" s="3" customFormat="1" ht="15">
      <c r="A17" s="24" t="s">
        <v>258</v>
      </c>
      <c r="B17" s="24"/>
      <c r="C17" s="4"/>
      <c r="D17" s="4"/>
      <c r="E17" s="4"/>
    </row>
    <row r="18" spans="1:5" s="3" customFormat="1" ht="14.25">
      <c r="A18" s="26"/>
      <c r="B18" s="27" t="s">
        <v>244</v>
      </c>
      <c r="C18" s="4"/>
      <c r="D18" s="4"/>
      <c r="E18" s="4"/>
    </row>
    <row r="19" spans="1:5" s="3" customFormat="1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1385</v>
      </c>
    </row>
    <row r="20" spans="1:5" s="3" customFormat="1" ht="12.75">
      <c r="A20" s="25" t="s">
        <v>1468</v>
      </c>
      <c r="B20" s="4" t="s">
        <v>244</v>
      </c>
      <c r="C20" s="4" t="s">
        <v>1383</v>
      </c>
      <c r="D20" s="4" t="s">
        <v>1467</v>
      </c>
      <c r="E20" s="29" t="s">
        <v>1466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51" t="s">
        <v>1129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977</v>
      </c>
      <c r="B6" s="11" t="s">
        <v>978</v>
      </c>
      <c r="C6" s="11" t="s">
        <v>93</v>
      </c>
      <c r="D6" s="11" t="str">
        <f>"0,7258"</f>
        <v>0,7258</v>
      </c>
      <c r="E6" s="11" t="s">
        <v>464</v>
      </c>
      <c r="F6" s="11" t="s">
        <v>335</v>
      </c>
      <c r="G6" s="12" t="s">
        <v>165</v>
      </c>
      <c r="H6" s="12" t="s">
        <v>214</v>
      </c>
      <c r="I6" s="13"/>
      <c r="J6" s="13"/>
      <c r="K6" s="11" t="str">
        <f>"167,5"</f>
        <v>167,5</v>
      </c>
      <c r="L6" s="12" t="str">
        <f>"122,7872"</f>
        <v>122,7872</v>
      </c>
      <c r="M6" s="11" t="s">
        <v>465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2" ht="15">
      <c r="A17" s="24" t="s">
        <v>258</v>
      </c>
      <c r="B17" s="24"/>
    </row>
    <row r="18" spans="1:2" ht="14.25">
      <c r="A18" s="26"/>
      <c r="B18" s="27" t="s">
        <v>264</v>
      </c>
    </row>
    <row r="19" spans="1:5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ht="12.75">
      <c r="A20" s="25" t="s">
        <v>976</v>
      </c>
      <c r="B20" s="4" t="s">
        <v>242</v>
      </c>
      <c r="C20" s="4" t="s">
        <v>246</v>
      </c>
      <c r="D20" s="4" t="s">
        <v>214</v>
      </c>
      <c r="E20" s="29" t="s">
        <v>1059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5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1126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207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1127</v>
      </c>
      <c r="B6" s="11" t="s">
        <v>1100</v>
      </c>
      <c r="C6" s="11" t="s">
        <v>1101</v>
      </c>
      <c r="D6" s="11" t="str">
        <f>"0,5450"</f>
        <v>0,5450</v>
      </c>
      <c r="E6" s="11" t="s">
        <v>29</v>
      </c>
      <c r="F6" s="11" t="s">
        <v>1102</v>
      </c>
      <c r="G6" s="12" t="s">
        <v>155</v>
      </c>
      <c r="H6" s="12" t="s">
        <v>182</v>
      </c>
      <c r="I6" s="13" t="s">
        <v>215</v>
      </c>
      <c r="J6" s="13"/>
      <c r="K6" s="11" t="str">
        <f>"250,0"</f>
        <v>250,0</v>
      </c>
      <c r="L6" s="12" t="str">
        <f>"136,2500"</f>
        <v>136,2500</v>
      </c>
      <c r="M6" s="11" t="s">
        <v>60</v>
      </c>
    </row>
    <row r="8" ht="15">
      <c r="E8" s="9" t="s">
        <v>13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16</v>
      </c>
    </row>
    <row r="13" ht="15">
      <c r="E13" s="9" t="s">
        <v>17</v>
      </c>
    </row>
    <row r="14" ht="15">
      <c r="E14" s="9"/>
    </row>
    <row r="16" spans="1:2" ht="18">
      <c r="A16" s="10" t="s">
        <v>18</v>
      </c>
      <c r="B16" s="10"/>
    </row>
    <row r="17" spans="1:2" ht="15">
      <c r="A17" s="24" t="s">
        <v>258</v>
      </c>
      <c r="B17" s="24"/>
    </row>
    <row r="18" spans="1:2" ht="14.25">
      <c r="A18" s="26"/>
      <c r="B18" s="27" t="s">
        <v>244</v>
      </c>
    </row>
    <row r="19" spans="1:5" ht="15">
      <c r="A19" s="28" t="s">
        <v>229</v>
      </c>
      <c r="B19" s="28" t="s">
        <v>230</v>
      </c>
      <c r="C19" s="28" t="s">
        <v>231</v>
      </c>
      <c r="D19" s="28" t="s">
        <v>232</v>
      </c>
      <c r="E19" s="28" t="s">
        <v>233</v>
      </c>
    </row>
    <row r="20" spans="1:5" ht="12.75">
      <c r="A20" s="25" t="s">
        <v>1098</v>
      </c>
      <c r="B20" s="4" t="s">
        <v>244</v>
      </c>
      <c r="C20" s="4" t="s">
        <v>265</v>
      </c>
      <c r="D20" s="4" t="s">
        <v>182</v>
      </c>
      <c r="E20" s="29" t="s">
        <v>1128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1119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21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1" t="s">
        <v>1121</v>
      </c>
      <c r="B6" s="11" t="s">
        <v>1122</v>
      </c>
      <c r="C6" s="11" t="s">
        <v>65</v>
      </c>
      <c r="D6" s="11" t="str">
        <f>"0,8731"</f>
        <v>0,8731</v>
      </c>
      <c r="E6" s="11" t="s">
        <v>29</v>
      </c>
      <c r="F6" s="11" t="s">
        <v>491</v>
      </c>
      <c r="G6" s="12" t="s">
        <v>57</v>
      </c>
      <c r="H6" s="13" t="s">
        <v>44</v>
      </c>
      <c r="I6" s="13" t="s">
        <v>44</v>
      </c>
      <c r="J6" s="13"/>
      <c r="K6" s="11" t="str">
        <f>"85,0"</f>
        <v>85,0</v>
      </c>
      <c r="L6" s="12" t="str">
        <f>"74,2177"</f>
        <v>74,2177</v>
      </c>
      <c r="M6" s="11" t="s">
        <v>60</v>
      </c>
    </row>
    <row r="8" spans="1:12" ht="15">
      <c r="A8" s="47" t="s">
        <v>184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186</v>
      </c>
      <c r="B9" s="11" t="s">
        <v>187</v>
      </c>
      <c r="C9" s="11" t="s">
        <v>188</v>
      </c>
      <c r="D9" s="11" t="str">
        <f>"0,6069"</f>
        <v>0,6069</v>
      </c>
      <c r="E9" s="11" t="s">
        <v>29</v>
      </c>
      <c r="F9" s="11" t="s">
        <v>119</v>
      </c>
      <c r="G9" s="12" t="s">
        <v>48</v>
      </c>
      <c r="H9" s="12" t="s">
        <v>99</v>
      </c>
      <c r="I9" s="12" t="s">
        <v>189</v>
      </c>
      <c r="J9" s="13"/>
      <c r="K9" s="11" t="str">
        <f>"145,0"</f>
        <v>145,0</v>
      </c>
      <c r="L9" s="12" t="str">
        <f>"88,0005"</f>
        <v>88,0005</v>
      </c>
      <c r="M9" s="11" t="s">
        <v>60</v>
      </c>
    </row>
    <row r="11" spans="1:12" ht="15">
      <c r="A11" s="47" t="s">
        <v>207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1" t="s">
        <v>1123</v>
      </c>
      <c r="B12" s="11" t="s">
        <v>1047</v>
      </c>
      <c r="C12" s="11" t="s">
        <v>1048</v>
      </c>
      <c r="D12" s="11" t="str">
        <f>"0,5377"</f>
        <v>0,5377</v>
      </c>
      <c r="E12" s="11" t="s">
        <v>66</v>
      </c>
      <c r="F12" s="11" t="s">
        <v>67</v>
      </c>
      <c r="G12" s="13" t="s">
        <v>153</v>
      </c>
      <c r="H12" s="13" t="s">
        <v>213</v>
      </c>
      <c r="I12" s="13" t="s">
        <v>213</v>
      </c>
      <c r="J12" s="13"/>
      <c r="K12" s="11" t="str">
        <f>"0.00"</f>
        <v>0.00</v>
      </c>
      <c r="L12" s="12" t="str">
        <f>"0,0000"</f>
        <v>0,0000</v>
      </c>
      <c r="M12" s="11" t="s">
        <v>60</v>
      </c>
    </row>
    <row r="14" ht="15">
      <c r="E14" s="9" t="s">
        <v>13</v>
      </c>
    </row>
    <row r="15" ht="15">
      <c r="E15" s="9" t="s">
        <v>14</v>
      </c>
    </row>
    <row r="16" ht="15">
      <c r="E16" s="9" t="s">
        <v>15</v>
      </c>
    </row>
    <row r="17" ht="15">
      <c r="E17" s="9" t="s">
        <v>16</v>
      </c>
    </row>
    <row r="18" ht="15">
      <c r="E18" s="9" t="s">
        <v>16</v>
      </c>
    </row>
    <row r="19" ht="15">
      <c r="E19" s="9" t="s">
        <v>17</v>
      </c>
    </row>
    <row r="20" ht="15">
      <c r="E20" s="9"/>
    </row>
    <row r="22" spans="1:2" ht="18">
      <c r="A22" s="10" t="s">
        <v>18</v>
      </c>
      <c r="B22" s="10"/>
    </row>
    <row r="23" spans="1:2" ht="15">
      <c r="A23" s="24" t="s">
        <v>227</v>
      </c>
      <c r="B23" s="24"/>
    </row>
    <row r="24" spans="1:2" ht="14.25">
      <c r="A24" s="26"/>
      <c r="B24" s="27" t="s">
        <v>244</v>
      </c>
    </row>
    <row r="25" spans="1:5" ht="15">
      <c r="A25" s="28" t="s">
        <v>229</v>
      </c>
      <c r="B25" s="28" t="s">
        <v>230</v>
      </c>
      <c r="C25" s="28" t="s">
        <v>231</v>
      </c>
      <c r="D25" s="28" t="s">
        <v>232</v>
      </c>
      <c r="E25" s="28" t="s">
        <v>233</v>
      </c>
    </row>
    <row r="26" spans="1:5" ht="12.75">
      <c r="A26" s="25" t="s">
        <v>1120</v>
      </c>
      <c r="B26" s="4" t="s">
        <v>244</v>
      </c>
      <c r="C26" s="4" t="s">
        <v>235</v>
      </c>
      <c r="D26" s="4" t="s">
        <v>57</v>
      </c>
      <c r="E26" s="29" t="s">
        <v>1124</v>
      </c>
    </row>
    <row r="29" spans="1:2" ht="15">
      <c r="A29" s="24" t="s">
        <v>258</v>
      </c>
      <c r="B29" s="24"/>
    </row>
    <row r="30" spans="1:2" ht="14.25">
      <c r="A30" s="26"/>
      <c r="B30" s="27" t="s">
        <v>244</v>
      </c>
    </row>
    <row r="31" spans="1:5" ht="15">
      <c r="A31" s="28" t="s">
        <v>229</v>
      </c>
      <c r="B31" s="28" t="s">
        <v>230</v>
      </c>
      <c r="C31" s="28" t="s">
        <v>231</v>
      </c>
      <c r="D31" s="28" t="s">
        <v>232</v>
      </c>
      <c r="E31" s="28" t="s">
        <v>233</v>
      </c>
    </row>
    <row r="32" spans="1:5" ht="12.75">
      <c r="A32" s="25" t="s">
        <v>185</v>
      </c>
      <c r="B32" s="4" t="s">
        <v>244</v>
      </c>
      <c r="C32" s="4" t="s">
        <v>283</v>
      </c>
      <c r="D32" s="4" t="s">
        <v>189</v>
      </c>
      <c r="E32" s="29" t="s">
        <v>1125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875" style="4" bestFit="1" customWidth="1"/>
    <col min="14" max="16384" width="9.125" style="3" customWidth="1"/>
  </cols>
  <sheetData>
    <row r="1" spans="1:13" s="2" customFormat="1" ht="28.5" customHeight="1">
      <c r="A1" s="51" t="s">
        <v>1082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23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184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5" t="s">
        <v>1083</v>
      </c>
      <c r="B6" s="15" t="s">
        <v>334</v>
      </c>
      <c r="C6" s="15" t="s">
        <v>199</v>
      </c>
      <c r="D6" s="15" t="str">
        <f>"0,5943"</f>
        <v>0,5943</v>
      </c>
      <c r="E6" s="15" t="s">
        <v>29</v>
      </c>
      <c r="F6" s="15" t="s">
        <v>335</v>
      </c>
      <c r="G6" s="17" t="s">
        <v>183</v>
      </c>
      <c r="H6" s="16" t="s">
        <v>183</v>
      </c>
      <c r="I6" s="16" t="s">
        <v>337</v>
      </c>
      <c r="J6" s="17"/>
      <c r="K6" s="15" t="str">
        <f>"272,5"</f>
        <v>272,5</v>
      </c>
      <c r="L6" s="16" t="str">
        <f>"161,9467"</f>
        <v>161,9467</v>
      </c>
      <c r="M6" s="15" t="s">
        <v>60</v>
      </c>
    </row>
    <row r="7" spans="1:13" ht="12.75">
      <c r="A7" s="21" t="s">
        <v>1085</v>
      </c>
      <c r="B7" s="21" t="s">
        <v>1086</v>
      </c>
      <c r="C7" s="21" t="s">
        <v>341</v>
      </c>
      <c r="D7" s="21" t="str">
        <f>"0,5857"</f>
        <v>0,5857</v>
      </c>
      <c r="E7" s="21" t="s">
        <v>1087</v>
      </c>
      <c r="F7" s="21" t="s">
        <v>67</v>
      </c>
      <c r="G7" s="22" t="s">
        <v>213</v>
      </c>
      <c r="H7" s="22" t="s">
        <v>154</v>
      </c>
      <c r="I7" s="23" t="s">
        <v>155</v>
      </c>
      <c r="J7" s="23"/>
      <c r="K7" s="21" t="str">
        <f>"230,0"</f>
        <v>230,0</v>
      </c>
      <c r="L7" s="22" t="str">
        <f>"138,8870"</f>
        <v>138,8870</v>
      </c>
      <c r="M7" s="21" t="s">
        <v>764</v>
      </c>
    </row>
    <row r="9" spans="1:12" ht="15">
      <c r="A9" s="47" t="s">
        <v>354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15" t="s">
        <v>1088</v>
      </c>
      <c r="B10" s="15" t="s">
        <v>361</v>
      </c>
      <c r="C10" s="15" t="s">
        <v>362</v>
      </c>
      <c r="D10" s="15" t="str">
        <f>"0,5545"</f>
        <v>0,5545</v>
      </c>
      <c r="E10" s="15" t="s">
        <v>29</v>
      </c>
      <c r="F10" s="15" t="s">
        <v>43</v>
      </c>
      <c r="G10" s="16" t="s">
        <v>155</v>
      </c>
      <c r="H10" s="16" t="s">
        <v>183</v>
      </c>
      <c r="I10" s="16" t="s">
        <v>216</v>
      </c>
      <c r="J10" s="17"/>
      <c r="K10" s="15" t="str">
        <f>"270,0"</f>
        <v>270,0</v>
      </c>
      <c r="L10" s="16" t="str">
        <f>"149,7150"</f>
        <v>149,7150</v>
      </c>
      <c r="M10" s="15" t="s">
        <v>50</v>
      </c>
    </row>
    <row r="11" spans="1:13" ht="12.75">
      <c r="A11" s="18" t="s">
        <v>1090</v>
      </c>
      <c r="B11" s="18" t="s">
        <v>1091</v>
      </c>
      <c r="C11" s="18" t="s">
        <v>1092</v>
      </c>
      <c r="D11" s="18" t="str">
        <f>"0,5669"</f>
        <v>0,5669</v>
      </c>
      <c r="E11" s="18" t="s">
        <v>29</v>
      </c>
      <c r="F11" s="18" t="s">
        <v>322</v>
      </c>
      <c r="G11" s="19" t="s">
        <v>181</v>
      </c>
      <c r="H11" s="19" t="s">
        <v>314</v>
      </c>
      <c r="I11" s="19" t="s">
        <v>155</v>
      </c>
      <c r="J11" s="20"/>
      <c r="K11" s="18" t="str">
        <f>"240,0"</f>
        <v>240,0</v>
      </c>
      <c r="L11" s="19" t="str">
        <f>"136,0560"</f>
        <v>136,0560</v>
      </c>
      <c r="M11" s="18" t="s">
        <v>323</v>
      </c>
    </row>
    <row r="12" spans="1:13" ht="12.75">
      <c r="A12" s="21" t="s">
        <v>1094</v>
      </c>
      <c r="B12" s="21" t="s">
        <v>1095</v>
      </c>
      <c r="C12" s="21" t="s">
        <v>1096</v>
      </c>
      <c r="D12" s="21" t="str">
        <f>"0,5723"</f>
        <v>0,5723</v>
      </c>
      <c r="E12" s="21" t="s">
        <v>142</v>
      </c>
      <c r="F12" s="21" t="s">
        <v>143</v>
      </c>
      <c r="G12" s="23" t="s">
        <v>181</v>
      </c>
      <c r="H12" s="22" t="s">
        <v>213</v>
      </c>
      <c r="I12" s="22" t="s">
        <v>314</v>
      </c>
      <c r="J12" s="23"/>
      <c r="K12" s="21" t="str">
        <f>"225,0"</f>
        <v>225,0</v>
      </c>
      <c r="L12" s="22" t="str">
        <f>"128,7675"</f>
        <v>128,7675</v>
      </c>
      <c r="M12" s="21" t="s">
        <v>1097</v>
      </c>
    </row>
    <row r="14" spans="1:12" ht="15">
      <c r="A14" s="47" t="s">
        <v>207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5" t="s">
        <v>1099</v>
      </c>
      <c r="B15" s="15" t="s">
        <v>1100</v>
      </c>
      <c r="C15" s="15" t="s">
        <v>1101</v>
      </c>
      <c r="D15" s="15" t="str">
        <f>"0,5450"</f>
        <v>0,5450</v>
      </c>
      <c r="E15" s="15" t="s">
        <v>29</v>
      </c>
      <c r="F15" s="15" t="s">
        <v>1102</v>
      </c>
      <c r="G15" s="17" t="s">
        <v>183</v>
      </c>
      <c r="H15" s="17" t="s">
        <v>1103</v>
      </c>
      <c r="I15" s="17"/>
      <c r="J15" s="17"/>
      <c r="K15" s="15" t="str">
        <f>"0.00"</f>
        <v>0.00</v>
      </c>
      <c r="L15" s="16" t="str">
        <f>"0,0000"</f>
        <v>0,0000</v>
      </c>
      <c r="M15" s="15" t="s">
        <v>60</v>
      </c>
    </row>
    <row r="16" spans="1:13" ht="12.75">
      <c r="A16" s="14" t="s">
        <v>497</v>
      </c>
      <c r="B16" s="18" t="s">
        <v>381</v>
      </c>
      <c r="C16" s="18" t="s">
        <v>382</v>
      </c>
      <c r="D16" s="18" t="str">
        <f>"0,5413"</f>
        <v>0,5413</v>
      </c>
      <c r="E16" s="18" t="s">
        <v>29</v>
      </c>
      <c r="F16" s="14" t="s">
        <v>105</v>
      </c>
      <c r="G16" s="30" t="s">
        <v>1185</v>
      </c>
      <c r="H16" s="19" t="s">
        <v>1186</v>
      </c>
      <c r="I16" s="19" t="s">
        <v>1187</v>
      </c>
      <c r="J16" s="20"/>
      <c r="K16" s="18" t="s">
        <v>1191</v>
      </c>
      <c r="L16" s="19" t="s">
        <v>1190</v>
      </c>
      <c r="M16" s="18"/>
    </row>
    <row r="17" spans="1:13" ht="12.75">
      <c r="A17" s="21" t="s">
        <v>1105</v>
      </c>
      <c r="B17" s="21" t="s">
        <v>1106</v>
      </c>
      <c r="C17" s="21" t="s">
        <v>1107</v>
      </c>
      <c r="D17" s="21" t="str">
        <f>"0,5437"</f>
        <v>0,5437</v>
      </c>
      <c r="E17" s="21" t="s">
        <v>347</v>
      </c>
      <c r="F17" s="21" t="s">
        <v>200</v>
      </c>
      <c r="G17" s="22" t="s">
        <v>315</v>
      </c>
      <c r="H17" s="22" t="s">
        <v>363</v>
      </c>
      <c r="I17" s="23" t="s">
        <v>182</v>
      </c>
      <c r="J17" s="23"/>
      <c r="K17" s="21" t="str">
        <f>"245,0"</f>
        <v>245,0</v>
      </c>
      <c r="L17" s="22" t="str">
        <f>"160,3806"</f>
        <v>160,3806</v>
      </c>
      <c r="M17" s="21" t="s">
        <v>60</v>
      </c>
    </row>
    <row r="19" spans="1:12" ht="15">
      <c r="A19" s="52" t="s">
        <v>384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ht="12.75">
      <c r="A20" s="11" t="s">
        <v>1109</v>
      </c>
      <c r="B20" s="11" t="s">
        <v>1110</v>
      </c>
      <c r="C20" s="11" t="s">
        <v>1111</v>
      </c>
      <c r="D20" s="11" t="str">
        <f>"0,5243"</f>
        <v>0,5243</v>
      </c>
      <c r="E20" s="11" t="s">
        <v>29</v>
      </c>
      <c r="F20" s="11" t="s">
        <v>322</v>
      </c>
      <c r="G20" s="12" t="s">
        <v>155</v>
      </c>
      <c r="H20" s="12" t="s">
        <v>215</v>
      </c>
      <c r="I20" s="12" t="s">
        <v>447</v>
      </c>
      <c r="J20" s="13"/>
      <c r="K20" s="11" t="str">
        <f>"262,5"</f>
        <v>262,5</v>
      </c>
      <c r="L20" s="12" t="str">
        <f>"140,3813"</f>
        <v>140,3813</v>
      </c>
      <c r="M20" s="11" t="s">
        <v>323</v>
      </c>
    </row>
    <row r="22" ht="15">
      <c r="E22" s="9" t="s">
        <v>13</v>
      </c>
    </row>
    <row r="23" ht="15">
      <c r="E23" s="9" t="s">
        <v>14</v>
      </c>
    </row>
    <row r="24" ht="15">
      <c r="E24" s="9" t="s">
        <v>15</v>
      </c>
    </row>
    <row r="25" ht="15">
      <c r="E25" s="9" t="s">
        <v>16</v>
      </c>
    </row>
    <row r="26" ht="15">
      <c r="E26" s="9" t="s">
        <v>16</v>
      </c>
    </row>
    <row r="27" ht="15">
      <c r="E27" s="9" t="s">
        <v>17</v>
      </c>
    </row>
    <row r="28" ht="15">
      <c r="E28" s="9"/>
    </row>
    <row r="30" spans="1:2" ht="18">
      <c r="A30" s="10" t="s">
        <v>18</v>
      </c>
      <c r="B30" s="10"/>
    </row>
    <row r="31" spans="1:2" ht="15">
      <c r="A31" s="24" t="s">
        <v>258</v>
      </c>
      <c r="B31" s="24"/>
    </row>
    <row r="32" spans="1:2" ht="14.25">
      <c r="A32" s="26"/>
      <c r="B32" s="27" t="s">
        <v>264</v>
      </c>
    </row>
    <row r="33" spans="1:5" ht="15">
      <c r="A33" s="28" t="s">
        <v>229</v>
      </c>
      <c r="B33" s="28" t="s">
        <v>230</v>
      </c>
      <c r="C33" s="28" t="s">
        <v>231</v>
      </c>
      <c r="D33" s="28" t="s">
        <v>232</v>
      </c>
      <c r="E33" s="28" t="s">
        <v>233</v>
      </c>
    </row>
    <row r="34" spans="1:5" ht="12.75">
      <c r="A34" s="25" t="s">
        <v>1108</v>
      </c>
      <c r="B34" s="4" t="s">
        <v>242</v>
      </c>
      <c r="C34" s="4" t="s">
        <v>391</v>
      </c>
      <c r="D34" s="4" t="s">
        <v>447</v>
      </c>
      <c r="E34" s="29" t="s">
        <v>1112</v>
      </c>
    </row>
    <row r="36" spans="1:2" ht="14.25">
      <c r="A36" s="26"/>
      <c r="B36" s="27" t="s">
        <v>244</v>
      </c>
    </row>
    <row r="37" spans="1:5" ht="15">
      <c r="A37" s="28" t="s">
        <v>229</v>
      </c>
      <c r="B37" s="28" t="s">
        <v>230</v>
      </c>
      <c r="C37" s="28" t="s">
        <v>231</v>
      </c>
      <c r="D37" s="28" t="s">
        <v>232</v>
      </c>
      <c r="E37" s="28" t="s">
        <v>233</v>
      </c>
    </row>
    <row r="38" spans="1:5" ht="12.75">
      <c r="A38" s="25" t="s">
        <v>332</v>
      </c>
      <c r="B38" s="4" t="s">
        <v>244</v>
      </c>
      <c r="C38" s="4" t="s">
        <v>283</v>
      </c>
      <c r="D38" s="4" t="s">
        <v>337</v>
      </c>
      <c r="E38" s="29" t="s">
        <v>1113</v>
      </c>
    </row>
    <row r="39" spans="1:5" ht="12.75">
      <c r="A39" s="25" t="s">
        <v>359</v>
      </c>
      <c r="B39" s="4" t="s">
        <v>244</v>
      </c>
      <c r="C39" s="4" t="s">
        <v>404</v>
      </c>
      <c r="D39" s="4" t="s">
        <v>216</v>
      </c>
      <c r="E39" s="29" t="s">
        <v>1114</v>
      </c>
    </row>
    <row r="40" spans="1:5" ht="12.75">
      <c r="A40" s="25" t="s">
        <v>1089</v>
      </c>
      <c r="B40" s="4" t="s">
        <v>244</v>
      </c>
      <c r="C40" s="4" t="s">
        <v>404</v>
      </c>
      <c r="D40" s="4" t="s">
        <v>155</v>
      </c>
      <c r="E40" s="29" t="s">
        <v>1115</v>
      </c>
    </row>
    <row r="41" spans="1:5" ht="12.75">
      <c r="A41" s="25" t="s">
        <v>1093</v>
      </c>
      <c r="B41" s="4" t="s">
        <v>244</v>
      </c>
      <c r="C41" s="4" t="s">
        <v>404</v>
      </c>
      <c r="D41" s="4" t="s">
        <v>314</v>
      </c>
      <c r="E41" s="29" t="s">
        <v>1116</v>
      </c>
    </row>
    <row r="43" spans="1:2" ht="14.25">
      <c r="A43" s="26"/>
      <c r="B43" s="27" t="s">
        <v>255</v>
      </c>
    </row>
    <row r="44" spans="1:5" ht="15">
      <c r="A44" s="28" t="s">
        <v>229</v>
      </c>
      <c r="B44" s="28" t="s">
        <v>230</v>
      </c>
      <c r="C44" s="28" t="s">
        <v>231</v>
      </c>
      <c r="D44" s="28" t="s">
        <v>232</v>
      </c>
      <c r="E44" s="28" t="s">
        <v>233</v>
      </c>
    </row>
    <row r="45" spans="1:5" ht="12.75">
      <c r="A45" s="25" t="s">
        <v>1104</v>
      </c>
      <c r="B45" s="4" t="s">
        <v>301</v>
      </c>
      <c r="C45" s="4" t="s">
        <v>265</v>
      </c>
      <c r="D45" s="4" t="s">
        <v>363</v>
      </c>
      <c r="E45" s="29" t="s">
        <v>1117</v>
      </c>
    </row>
    <row r="46" spans="1:5" ht="12.75">
      <c r="A46" s="25" t="s">
        <v>1084</v>
      </c>
      <c r="B46" s="4" t="s">
        <v>256</v>
      </c>
      <c r="C46" s="4" t="s">
        <v>283</v>
      </c>
      <c r="D46" s="4" t="s">
        <v>154</v>
      </c>
      <c r="E46" s="29" t="s">
        <v>1118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9:L19"/>
    <mergeCell ref="K3:K4"/>
    <mergeCell ref="L3:L4"/>
    <mergeCell ref="M3:M4"/>
    <mergeCell ref="A5:L5"/>
    <mergeCell ref="A9:L9"/>
    <mergeCell ref="A14:L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0">
      <selection activeCell="A22" sqref="A2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1" t="s">
        <v>936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23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5" t="s">
        <v>938</v>
      </c>
      <c r="B6" s="15" t="s">
        <v>939</v>
      </c>
      <c r="C6" s="15" t="s">
        <v>940</v>
      </c>
      <c r="D6" s="15" t="str">
        <f>"0,9848"</f>
        <v>0,9848</v>
      </c>
      <c r="E6" s="15" t="s">
        <v>29</v>
      </c>
      <c r="F6" s="15" t="s">
        <v>67</v>
      </c>
      <c r="G6" s="16" t="s">
        <v>96</v>
      </c>
      <c r="H6" s="16" t="s">
        <v>566</v>
      </c>
      <c r="I6" s="17"/>
      <c r="J6" s="17"/>
      <c r="K6" s="15" t="str">
        <f>"112,5"</f>
        <v>112,5</v>
      </c>
      <c r="L6" s="16" t="str">
        <f>"112,7842"</f>
        <v>112,7842</v>
      </c>
      <c r="M6" s="15" t="s">
        <v>941</v>
      </c>
    </row>
    <row r="7" spans="1:13" ht="12.75">
      <c r="A7" s="21" t="s">
        <v>511</v>
      </c>
      <c r="B7" s="21" t="s">
        <v>942</v>
      </c>
      <c r="C7" s="21" t="s">
        <v>513</v>
      </c>
      <c r="D7" s="21" t="str">
        <f>"0,9708"</f>
        <v>0,9708</v>
      </c>
      <c r="E7" s="21" t="s">
        <v>29</v>
      </c>
      <c r="F7" s="21" t="s">
        <v>212</v>
      </c>
      <c r="G7" s="22" t="s">
        <v>69</v>
      </c>
      <c r="H7" s="22" t="s">
        <v>71</v>
      </c>
      <c r="I7" s="23" t="s">
        <v>97</v>
      </c>
      <c r="J7" s="23"/>
      <c r="K7" s="21" t="str">
        <f>"110,0"</f>
        <v>110,0</v>
      </c>
      <c r="L7" s="22" t="str">
        <f>"116,6185"</f>
        <v>116,6185</v>
      </c>
      <c r="M7" s="21" t="s">
        <v>60</v>
      </c>
    </row>
    <row r="9" spans="1:12" ht="15">
      <c r="A9" s="47" t="s">
        <v>123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15" t="s">
        <v>944</v>
      </c>
      <c r="B10" s="15" t="s">
        <v>945</v>
      </c>
      <c r="C10" s="15" t="s">
        <v>946</v>
      </c>
      <c r="D10" s="15" t="str">
        <f>"0,9201"</f>
        <v>0,9201</v>
      </c>
      <c r="E10" s="15" t="s">
        <v>29</v>
      </c>
      <c r="F10" s="15" t="s">
        <v>780</v>
      </c>
      <c r="G10" s="16" t="s">
        <v>57</v>
      </c>
      <c r="H10" s="16" t="s">
        <v>77</v>
      </c>
      <c r="I10" s="16" t="s">
        <v>96</v>
      </c>
      <c r="J10" s="17"/>
      <c r="K10" s="15" t="str">
        <f>"107,5"</f>
        <v>107,5</v>
      </c>
      <c r="L10" s="16" t="str">
        <f>"106,8236"</f>
        <v>106,8236</v>
      </c>
      <c r="M10" s="15" t="s">
        <v>60</v>
      </c>
    </row>
    <row r="11" spans="1:13" ht="12.75">
      <c r="A11" s="21" t="s">
        <v>948</v>
      </c>
      <c r="B11" s="21" t="s">
        <v>949</v>
      </c>
      <c r="C11" s="21" t="s">
        <v>950</v>
      </c>
      <c r="D11" s="21" t="str">
        <f>"0,9284"</f>
        <v>0,9284</v>
      </c>
      <c r="E11" s="21" t="s">
        <v>29</v>
      </c>
      <c r="F11" s="21" t="s">
        <v>67</v>
      </c>
      <c r="G11" s="22" t="s">
        <v>45</v>
      </c>
      <c r="H11" s="23" t="s">
        <v>107</v>
      </c>
      <c r="I11" s="22" t="s">
        <v>107</v>
      </c>
      <c r="J11" s="23"/>
      <c r="K11" s="21" t="str">
        <f>"125,0"</f>
        <v>125,0</v>
      </c>
      <c r="L11" s="22" t="str">
        <f>"116,0500"</f>
        <v>116,0500</v>
      </c>
      <c r="M11" s="21" t="s">
        <v>60</v>
      </c>
    </row>
    <row r="13" spans="1:12" ht="15">
      <c r="A13" s="47" t="s">
        <v>38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12.75">
      <c r="A14" s="15" t="s">
        <v>952</v>
      </c>
      <c r="B14" s="15" t="s">
        <v>953</v>
      </c>
      <c r="C14" s="15" t="s">
        <v>954</v>
      </c>
      <c r="D14" s="15" t="str">
        <f>"0,8870"</f>
        <v>0,8870</v>
      </c>
      <c r="E14" s="15" t="s">
        <v>1178</v>
      </c>
      <c r="F14" s="15" t="s">
        <v>194</v>
      </c>
      <c r="G14" s="16" t="s">
        <v>46</v>
      </c>
      <c r="H14" s="16" t="s">
        <v>107</v>
      </c>
      <c r="I14" s="16" t="s">
        <v>48</v>
      </c>
      <c r="J14" s="17"/>
      <c r="K14" s="15" t="str">
        <f>"130,0"</f>
        <v>130,0</v>
      </c>
      <c r="L14" s="16" t="str">
        <f>"122,2217"</f>
        <v>122,2217</v>
      </c>
      <c r="M14" s="15" t="s">
        <v>60</v>
      </c>
    </row>
    <row r="15" spans="1:13" ht="12.75">
      <c r="A15" s="21" t="s">
        <v>974</v>
      </c>
      <c r="B15" s="21" t="s">
        <v>975</v>
      </c>
      <c r="C15" s="21" t="s">
        <v>42</v>
      </c>
      <c r="D15" s="21" t="str">
        <f>"0,8128"</f>
        <v>0,8128</v>
      </c>
      <c r="E15" s="21" t="s">
        <v>29</v>
      </c>
      <c r="F15" s="21" t="s">
        <v>200</v>
      </c>
      <c r="G15" s="22" t="s">
        <v>68</v>
      </c>
      <c r="H15" s="22" t="s">
        <v>77</v>
      </c>
      <c r="I15" s="23"/>
      <c r="J15" s="23"/>
      <c r="K15" s="21" t="str">
        <f>"95,0"</f>
        <v>95,0</v>
      </c>
      <c r="L15" s="22" t="str">
        <f>"92,9681"</f>
        <v>92,9681</v>
      </c>
      <c r="M15" s="21" t="s">
        <v>673</v>
      </c>
    </row>
    <row r="16" spans="1:13" ht="12.75">
      <c r="A16" s="21" t="s">
        <v>955</v>
      </c>
      <c r="B16" s="21" t="s">
        <v>76</v>
      </c>
      <c r="C16" s="21" t="s">
        <v>65</v>
      </c>
      <c r="D16" s="21" t="str">
        <f>"0,8731"</f>
        <v>0,8731</v>
      </c>
      <c r="E16" s="21" t="s">
        <v>29</v>
      </c>
      <c r="F16" s="21" t="s">
        <v>43</v>
      </c>
      <c r="G16" s="23" t="s">
        <v>71</v>
      </c>
      <c r="H16" s="23"/>
      <c r="I16" s="23"/>
      <c r="J16" s="23"/>
      <c r="K16" s="21" t="str">
        <f>"0.00"</f>
        <v>0.00</v>
      </c>
      <c r="L16" s="22" t="str">
        <f>"0,0000"</f>
        <v>0,0000</v>
      </c>
      <c r="M16" s="21" t="s">
        <v>60</v>
      </c>
    </row>
    <row r="18" spans="1:12" ht="15">
      <c r="A18" s="47" t="s">
        <v>89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5" t="s">
        <v>957</v>
      </c>
      <c r="B19" s="15" t="s">
        <v>958</v>
      </c>
      <c r="C19" s="15" t="s">
        <v>959</v>
      </c>
      <c r="D19" s="15" t="str">
        <f>"0,8090"</f>
        <v>0,8090</v>
      </c>
      <c r="E19" s="15" t="s">
        <v>29</v>
      </c>
      <c r="F19" s="15" t="s">
        <v>67</v>
      </c>
      <c r="G19" s="16" t="s">
        <v>48</v>
      </c>
      <c r="H19" s="16" t="s">
        <v>137</v>
      </c>
      <c r="I19" s="16" t="s">
        <v>100</v>
      </c>
      <c r="J19" s="17"/>
      <c r="K19" s="15" t="str">
        <f>"140,0"</f>
        <v>140,0</v>
      </c>
      <c r="L19" s="16" t="str">
        <f>"113,2530"</f>
        <v>113,2530</v>
      </c>
      <c r="M19" s="15" t="s">
        <v>960</v>
      </c>
    </row>
    <row r="20" spans="1:13" ht="12.75">
      <c r="A20" s="18" t="s">
        <v>1189</v>
      </c>
      <c r="B20" s="18" t="s">
        <v>103</v>
      </c>
      <c r="C20" s="18" t="s">
        <v>104</v>
      </c>
      <c r="D20" s="18" t="str">
        <f>"0,8219"</f>
        <v>0,8219</v>
      </c>
      <c r="E20" s="18" t="s">
        <v>29</v>
      </c>
      <c r="F20" s="18" t="s">
        <v>105</v>
      </c>
      <c r="G20" s="19" t="s">
        <v>1179</v>
      </c>
      <c r="H20" s="19" t="s">
        <v>391</v>
      </c>
      <c r="I20" s="19" t="s">
        <v>1180</v>
      </c>
      <c r="J20" s="20"/>
      <c r="K20" s="18" t="s">
        <v>48</v>
      </c>
      <c r="L20" s="31" t="s">
        <v>1188</v>
      </c>
      <c r="M20" s="18" t="s">
        <v>108</v>
      </c>
    </row>
    <row r="21" spans="1:13" ht="12.75">
      <c r="A21" s="21" t="s">
        <v>961</v>
      </c>
      <c r="B21" s="21" t="s">
        <v>531</v>
      </c>
      <c r="C21" s="21" t="s">
        <v>962</v>
      </c>
      <c r="D21" s="21" t="str">
        <f>"0,7852"</f>
        <v>0,7852</v>
      </c>
      <c r="E21" s="21" t="s">
        <v>533</v>
      </c>
      <c r="F21" s="21" t="s">
        <v>55</v>
      </c>
      <c r="G21" s="23" t="s">
        <v>71</v>
      </c>
      <c r="H21" s="23" t="s">
        <v>71</v>
      </c>
      <c r="I21" s="23"/>
      <c r="J21" s="23"/>
      <c r="K21" s="21" t="str">
        <f>"0.00"</f>
        <v>0.00</v>
      </c>
      <c r="L21" s="22" t="str">
        <f>"0,0000"</f>
        <v>0,0000</v>
      </c>
      <c r="M21" s="21" t="s">
        <v>60</v>
      </c>
    </row>
    <row r="23" spans="1:12" ht="15">
      <c r="A23" s="47" t="s">
        <v>38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 ht="12.75">
      <c r="A24" s="15" t="s">
        <v>964</v>
      </c>
      <c r="B24" s="15" t="s">
        <v>965</v>
      </c>
      <c r="C24" s="15" t="s">
        <v>82</v>
      </c>
      <c r="D24" s="15" t="str">
        <f>"0,8228"</f>
        <v>0,8228</v>
      </c>
      <c r="E24" s="15" t="s">
        <v>29</v>
      </c>
      <c r="F24" s="15" t="s">
        <v>119</v>
      </c>
      <c r="G24" s="16" t="s">
        <v>57</v>
      </c>
      <c r="H24" s="16" t="s">
        <v>144</v>
      </c>
      <c r="I24" s="17" t="s">
        <v>539</v>
      </c>
      <c r="J24" s="17"/>
      <c r="K24" s="15" t="str">
        <f>"92,5"</f>
        <v>92,5</v>
      </c>
      <c r="L24" s="16" t="str">
        <f>"93,6141"</f>
        <v>93,6141</v>
      </c>
      <c r="M24" s="15" t="s">
        <v>966</v>
      </c>
    </row>
    <row r="25" spans="1:13" ht="12.75">
      <c r="A25" s="18" t="s">
        <v>968</v>
      </c>
      <c r="B25" s="18" t="s">
        <v>969</v>
      </c>
      <c r="C25" s="18" t="s">
        <v>42</v>
      </c>
      <c r="D25" s="18" t="str">
        <f>"0,8128"</f>
        <v>0,8128</v>
      </c>
      <c r="E25" s="18" t="s">
        <v>29</v>
      </c>
      <c r="F25" s="18" t="s">
        <v>780</v>
      </c>
      <c r="G25" s="19" t="s">
        <v>128</v>
      </c>
      <c r="H25" s="19" t="s">
        <v>160</v>
      </c>
      <c r="I25" s="19" t="s">
        <v>150</v>
      </c>
      <c r="J25" s="20"/>
      <c r="K25" s="18" t="str">
        <f>"180,0"</f>
        <v>180,0</v>
      </c>
      <c r="L25" s="19" t="str">
        <f>"155,0822"</f>
        <v>155,0822</v>
      </c>
      <c r="M25" s="18" t="s">
        <v>60</v>
      </c>
    </row>
    <row r="26" spans="1:13" ht="12.75">
      <c r="A26" s="21" t="s">
        <v>971</v>
      </c>
      <c r="B26" s="21" t="s">
        <v>972</v>
      </c>
      <c r="C26" s="21" t="s">
        <v>42</v>
      </c>
      <c r="D26" s="21" t="str">
        <f>"0,8128"</f>
        <v>0,8128</v>
      </c>
      <c r="E26" s="21" t="s">
        <v>29</v>
      </c>
      <c r="F26" s="21" t="s">
        <v>212</v>
      </c>
      <c r="G26" s="22" t="s">
        <v>128</v>
      </c>
      <c r="H26" s="22" t="s">
        <v>129</v>
      </c>
      <c r="I26" s="22" t="s">
        <v>160</v>
      </c>
      <c r="J26" s="23"/>
      <c r="K26" s="21" t="str">
        <f>"175,0"</f>
        <v>175,0</v>
      </c>
      <c r="L26" s="22" t="str">
        <f>"142,2400"</f>
        <v>142,2400</v>
      </c>
      <c r="M26" s="21" t="s">
        <v>60</v>
      </c>
    </row>
    <row r="28" spans="1:12" ht="15">
      <c r="A28" s="47" t="s">
        <v>89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ht="12.75">
      <c r="A29" s="11" t="s">
        <v>977</v>
      </c>
      <c r="B29" s="11" t="s">
        <v>978</v>
      </c>
      <c r="C29" s="11" t="s">
        <v>93</v>
      </c>
      <c r="D29" s="11" t="str">
        <f>"0,7258"</f>
        <v>0,7258</v>
      </c>
      <c r="E29" s="11" t="s">
        <v>464</v>
      </c>
      <c r="F29" s="11" t="s">
        <v>335</v>
      </c>
      <c r="G29" s="12" t="s">
        <v>165</v>
      </c>
      <c r="H29" s="12" t="s">
        <v>214</v>
      </c>
      <c r="I29" s="13"/>
      <c r="J29" s="13"/>
      <c r="K29" s="11" t="str">
        <f>"167,5"</f>
        <v>167,5</v>
      </c>
      <c r="L29" s="12" t="str">
        <f>"122,7872"</f>
        <v>122,7872</v>
      </c>
      <c r="M29" s="11" t="s">
        <v>465</v>
      </c>
    </row>
    <row r="31" spans="1:12" ht="15">
      <c r="A31" s="47" t="s">
        <v>145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ht="12.75">
      <c r="A32" s="15" t="s">
        <v>979</v>
      </c>
      <c r="B32" s="15" t="s">
        <v>980</v>
      </c>
      <c r="C32" s="15" t="s">
        <v>149</v>
      </c>
      <c r="D32" s="15" t="str">
        <f>"0,6645"</f>
        <v>0,6645</v>
      </c>
      <c r="E32" s="15" t="s">
        <v>29</v>
      </c>
      <c r="F32" s="15" t="s">
        <v>212</v>
      </c>
      <c r="G32" s="17" t="s">
        <v>128</v>
      </c>
      <c r="H32" s="17" t="s">
        <v>128</v>
      </c>
      <c r="I32" s="17" t="s">
        <v>800</v>
      </c>
      <c r="J32" s="17"/>
      <c r="K32" s="15" t="str">
        <f>"0.00"</f>
        <v>0.00</v>
      </c>
      <c r="L32" s="16" t="str">
        <f>"0,0000"</f>
        <v>0,0000</v>
      </c>
      <c r="M32" s="15" t="s">
        <v>60</v>
      </c>
    </row>
    <row r="33" spans="1:13" ht="12.75">
      <c r="A33" s="18" t="s">
        <v>982</v>
      </c>
      <c r="B33" s="18" t="s">
        <v>983</v>
      </c>
      <c r="C33" s="18" t="s">
        <v>984</v>
      </c>
      <c r="D33" s="18" t="str">
        <f>"0,6716"</f>
        <v>0,6716</v>
      </c>
      <c r="E33" s="18" t="s">
        <v>66</v>
      </c>
      <c r="F33" s="18" t="s">
        <v>67</v>
      </c>
      <c r="G33" s="19" t="s">
        <v>314</v>
      </c>
      <c r="H33" s="19" t="s">
        <v>315</v>
      </c>
      <c r="I33" s="19" t="s">
        <v>155</v>
      </c>
      <c r="J33" s="20"/>
      <c r="K33" s="18" t="str">
        <f>"240,0"</f>
        <v>240,0</v>
      </c>
      <c r="L33" s="19" t="str">
        <f>"161,1840"</f>
        <v>161,1840</v>
      </c>
      <c r="M33" s="18" t="s">
        <v>60</v>
      </c>
    </row>
    <row r="34" spans="1:13" ht="12.75">
      <c r="A34" s="18" t="s">
        <v>986</v>
      </c>
      <c r="B34" s="18" t="s">
        <v>987</v>
      </c>
      <c r="C34" s="18" t="s">
        <v>988</v>
      </c>
      <c r="D34" s="18" t="str">
        <f>"0,6820"</f>
        <v>0,6820</v>
      </c>
      <c r="E34" s="18" t="s">
        <v>29</v>
      </c>
      <c r="F34" s="18" t="s">
        <v>200</v>
      </c>
      <c r="G34" s="19" t="s">
        <v>150</v>
      </c>
      <c r="H34" s="20" t="s">
        <v>179</v>
      </c>
      <c r="I34" s="19" t="s">
        <v>179</v>
      </c>
      <c r="J34" s="20"/>
      <c r="K34" s="18" t="str">
        <f>"190,0"</f>
        <v>190,0</v>
      </c>
      <c r="L34" s="19" t="str">
        <f>"129,5800"</f>
        <v>129,5800</v>
      </c>
      <c r="M34" s="18" t="s">
        <v>60</v>
      </c>
    </row>
    <row r="35" spans="1:13" ht="12.75">
      <c r="A35" s="18" t="s">
        <v>989</v>
      </c>
      <c r="B35" s="18" t="s">
        <v>561</v>
      </c>
      <c r="C35" s="18" t="s">
        <v>169</v>
      </c>
      <c r="D35" s="18" t="str">
        <f>"0,6673"</f>
        <v>0,6673</v>
      </c>
      <c r="E35" s="18" t="s">
        <v>533</v>
      </c>
      <c r="F35" s="18" t="s">
        <v>55</v>
      </c>
      <c r="G35" s="20" t="s">
        <v>150</v>
      </c>
      <c r="H35" s="20" t="s">
        <v>150</v>
      </c>
      <c r="I35" s="20" t="s">
        <v>150</v>
      </c>
      <c r="J35" s="20"/>
      <c r="K35" s="18" t="str">
        <f>"0.00"</f>
        <v>0.00</v>
      </c>
      <c r="L35" s="19" t="str">
        <f>"0,0000"</f>
        <v>0,0000</v>
      </c>
      <c r="M35" s="18" t="s">
        <v>60</v>
      </c>
    </row>
    <row r="36" spans="1:13" ht="12.75">
      <c r="A36" s="18" t="s">
        <v>991</v>
      </c>
      <c r="B36" s="18" t="s">
        <v>992</v>
      </c>
      <c r="C36" s="18" t="s">
        <v>993</v>
      </c>
      <c r="D36" s="18" t="str">
        <f>"0,6760"</f>
        <v>0,6760</v>
      </c>
      <c r="E36" s="18" t="s">
        <v>29</v>
      </c>
      <c r="F36" s="18" t="s">
        <v>113</v>
      </c>
      <c r="G36" s="19" t="s">
        <v>160</v>
      </c>
      <c r="H36" s="19" t="s">
        <v>151</v>
      </c>
      <c r="I36" s="20" t="s">
        <v>179</v>
      </c>
      <c r="J36" s="20"/>
      <c r="K36" s="18" t="str">
        <f>"185,0"</f>
        <v>185,0</v>
      </c>
      <c r="L36" s="19" t="str">
        <f>"136,5655"</f>
        <v>136,5655</v>
      </c>
      <c r="M36" s="18" t="s">
        <v>60</v>
      </c>
    </row>
    <row r="37" spans="1:13" ht="12.75">
      <c r="A37" s="21" t="s">
        <v>995</v>
      </c>
      <c r="B37" s="21" t="s">
        <v>996</v>
      </c>
      <c r="C37" s="21" t="s">
        <v>864</v>
      </c>
      <c r="D37" s="21" t="str">
        <f>"0,6652"</f>
        <v>0,6652</v>
      </c>
      <c r="E37" s="21" t="s">
        <v>142</v>
      </c>
      <c r="F37" s="21" t="s">
        <v>143</v>
      </c>
      <c r="G37" s="22" t="s">
        <v>150</v>
      </c>
      <c r="H37" s="22" t="s">
        <v>179</v>
      </c>
      <c r="I37" s="22" t="s">
        <v>180</v>
      </c>
      <c r="J37" s="23"/>
      <c r="K37" s="21" t="str">
        <f>"200,0"</f>
        <v>200,0</v>
      </c>
      <c r="L37" s="22" t="str">
        <f>"274,3285"</f>
        <v>274,3285</v>
      </c>
      <c r="M37" s="21" t="s">
        <v>60</v>
      </c>
    </row>
    <row r="39" spans="1:12" ht="15">
      <c r="A39" s="47" t="s">
        <v>173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15" t="s">
        <v>175</v>
      </c>
      <c r="B40" s="15" t="s">
        <v>176</v>
      </c>
      <c r="C40" s="15" t="s">
        <v>177</v>
      </c>
      <c r="D40" s="15" t="str">
        <f>"0,6209"</f>
        <v>0,6209</v>
      </c>
      <c r="E40" s="15" t="s">
        <v>54</v>
      </c>
      <c r="F40" s="15" t="s">
        <v>178</v>
      </c>
      <c r="G40" s="16" t="s">
        <v>155</v>
      </c>
      <c r="H40" s="16" t="s">
        <v>182</v>
      </c>
      <c r="I40" s="17" t="s">
        <v>183</v>
      </c>
      <c r="J40" s="17"/>
      <c r="K40" s="15" t="str">
        <f>"250,0"</f>
        <v>250,0</v>
      </c>
      <c r="L40" s="16" t="str">
        <f>"155,2250"</f>
        <v>155,2250</v>
      </c>
      <c r="M40" s="15" t="s">
        <v>60</v>
      </c>
    </row>
    <row r="41" spans="1:13" ht="12.75">
      <c r="A41" s="18" t="s">
        <v>574</v>
      </c>
      <c r="B41" s="18" t="s">
        <v>575</v>
      </c>
      <c r="C41" s="18" t="s">
        <v>576</v>
      </c>
      <c r="D41" s="18" t="str">
        <f>"0,6284"</f>
        <v>0,6284</v>
      </c>
      <c r="E41" s="18" t="s">
        <v>29</v>
      </c>
      <c r="F41" s="18" t="s">
        <v>55</v>
      </c>
      <c r="G41" s="19" t="s">
        <v>150</v>
      </c>
      <c r="H41" s="19" t="s">
        <v>180</v>
      </c>
      <c r="I41" s="19" t="s">
        <v>213</v>
      </c>
      <c r="J41" s="20"/>
      <c r="K41" s="18" t="str">
        <f>"220,0"</f>
        <v>220,0</v>
      </c>
      <c r="L41" s="19" t="str">
        <f>"138,2480"</f>
        <v>138,2480</v>
      </c>
      <c r="M41" s="18" t="s">
        <v>60</v>
      </c>
    </row>
    <row r="42" spans="1:13" ht="12.75">
      <c r="A42" s="18" t="s">
        <v>579</v>
      </c>
      <c r="B42" s="18" t="s">
        <v>580</v>
      </c>
      <c r="C42" s="18" t="s">
        <v>177</v>
      </c>
      <c r="D42" s="18" t="str">
        <f>"0,6209"</f>
        <v>0,6209</v>
      </c>
      <c r="E42" s="18" t="s">
        <v>29</v>
      </c>
      <c r="F42" s="18" t="s">
        <v>67</v>
      </c>
      <c r="G42" s="19" t="s">
        <v>213</v>
      </c>
      <c r="H42" s="20" t="s">
        <v>315</v>
      </c>
      <c r="I42" s="20" t="s">
        <v>315</v>
      </c>
      <c r="J42" s="20"/>
      <c r="K42" s="18" t="str">
        <f>"220,0"</f>
        <v>220,0</v>
      </c>
      <c r="L42" s="19" t="str">
        <f>"136,5980"</f>
        <v>136,5980</v>
      </c>
      <c r="M42" s="18" t="s">
        <v>60</v>
      </c>
    </row>
    <row r="43" spans="1:13" ht="12.75">
      <c r="A43" s="18" t="s">
        <v>998</v>
      </c>
      <c r="B43" s="18" t="s">
        <v>999</v>
      </c>
      <c r="C43" s="18" t="s">
        <v>1000</v>
      </c>
      <c r="D43" s="18" t="str">
        <f>"0,6214"</f>
        <v>0,6214</v>
      </c>
      <c r="E43" s="18" t="s">
        <v>347</v>
      </c>
      <c r="F43" s="18" t="s">
        <v>200</v>
      </c>
      <c r="G43" s="20" t="s">
        <v>785</v>
      </c>
      <c r="H43" s="19" t="s">
        <v>222</v>
      </c>
      <c r="I43" s="19" t="s">
        <v>873</v>
      </c>
      <c r="J43" s="20"/>
      <c r="K43" s="18" t="str">
        <f>"217,5"</f>
        <v>217,5</v>
      </c>
      <c r="L43" s="19" t="str">
        <f>"135,1545"</f>
        <v>135,1545</v>
      </c>
      <c r="M43" s="18" t="s">
        <v>60</v>
      </c>
    </row>
    <row r="44" spans="1:13" ht="12.75">
      <c r="A44" s="18" t="s">
        <v>1002</v>
      </c>
      <c r="B44" s="18" t="s">
        <v>1003</v>
      </c>
      <c r="C44" s="18" t="s">
        <v>576</v>
      </c>
      <c r="D44" s="18" t="str">
        <f>"0,6284"</f>
        <v>0,6284</v>
      </c>
      <c r="E44" s="18" t="s">
        <v>142</v>
      </c>
      <c r="F44" s="18" t="s">
        <v>143</v>
      </c>
      <c r="G44" s="19" t="s">
        <v>179</v>
      </c>
      <c r="H44" s="19" t="s">
        <v>180</v>
      </c>
      <c r="I44" s="19" t="s">
        <v>222</v>
      </c>
      <c r="J44" s="20"/>
      <c r="K44" s="18" t="str">
        <f>"205,0"</f>
        <v>205,0</v>
      </c>
      <c r="L44" s="19" t="str">
        <f>"140,6736"</f>
        <v>140,6736</v>
      </c>
      <c r="M44" s="18" t="s">
        <v>60</v>
      </c>
    </row>
    <row r="45" spans="1:13" ht="12.75">
      <c r="A45" s="18" t="s">
        <v>1005</v>
      </c>
      <c r="B45" s="18" t="s">
        <v>1006</v>
      </c>
      <c r="C45" s="18" t="s">
        <v>1007</v>
      </c>
      <c r="D45" s="18" t="str">
        <f>"0,6312"</f>
        <v>0,6312</v>
      </c>
      <c r="E45" s="18" t="s">
        <v>66</v>
      </c>
      <c r="F45" s="18" t="s">
        <v>1008</v>
      </c>
      <c r="G45" s="19" t="s">
        <v>100</v>
      </c>
      <c r="H45" s="19" t="s">
        <v>189</v>
      </c>
      <c r="I45" s="19" t="s">
        <v>165</v>
      </c>
      <c r="J45" s="20"/>
      <c r="K45" s="18" t="str">
        <f>"150,0"</f>
        <v>150,0</v>
      </c>
      <c r="L45" s="19" t="str">
        <f>"186,5196"</f>
        <v>186,5196</v>
      </c>
      <c r="M45" s="18" t="s">
        <v>60</v>
      </c>
    </row>
    <row r="46" spans="1:13" ht="12.75">
      <c r="A46" s="21" t="s">
        <v>1010</v>
      </c>
      <c r="B46" s="21" t="s">
        <v>1011</v>
      </c>
      <c r="C46" s="21" t="s">
        <v>1012</v>
      </c>
      <c r="D46" s="21" t="str">
        <f>"0,6241"</f>
        <v>0,6241</v>
      </c>
      <c r="E46" s="21" t="s">
        <v>1013</v>
      </c>
      <c r="F46" s="21" t="s">
        <v>113</v>
      </c>
      <c r="G46" s="22" t="s">
        <v>128</v>
      </c>
      <c r="H46" s="23" t="s">
        <v>214</v>
      </c>
      <c r="I46" s="23"/>
      <c r="J46" s="23"/>
      <c r="K46" s="21" t="str">
        <f>"160,0"</f>
        <v>160,0</v>
      </c>
      <c r="L46" s="22" t="str">
        <f>"208,0001"</f>
        <v>208,0001</v>
      </c>
      <c r="M46" s="21" t="s">
        <v>60</v>
      </c>
    </row>
    <row r="48" spans="1:12" ht="15">
      <c r="A48" s="47" t="s">
        <v>184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3" ht="12.75">
      <c r="A49" s="15" t="s">
        <v>1015</v>
      </c>
      <c r="B49" s="15" t="s">
        <v>1016</v>
      </c>
      <c r="C49" s="15" t="s">
        <v>1017</v>
      </c>
      <c r="D49" s="15" t="str">
        <f>"0,5926"</f>
        <v>0,5926</v>
      </c>
      <c r="E49" s="15" t="s">
        <v>29</v>
      </c>
      <c r="F49" s="15" t="s">
        <v>1018</v>
      </c>
      <c r="G49" s="16" t="s">
        <v>155</v>
      </c>
      <c r="H49" s="16" t="s">
        <v>329</v>
      </c>
      <c r="I49" s="17" t="s">
        <v>216</v>
      </c>
      <c r="J49" s="17"/>
      <c r="K49" s="15" t="str">
        <f>"257,5"</f>
        <v>257,5</v>
      </c>
      <c r="L49" s="16" t="str">
        <f>"154,1204"</f>
        <v>154,1204</v>
      </c>
      <c r="M49" s="15" t="s">
        <v>60</v>
      </c>
    </row>
    <row r="50" spans="1:13" ht="12.75">
      <c r="A50" s="18" t="s">
        <v>1020</v>
      </c>
      <c r="B50" s="18" t="s">
        <v>1021</v>
      </c>
      <c r="C50" s="18" t="s">
        <v>629</v>
      </c>
      <c r="D50" s="18" t="str">
        <f>"0,5897"</f>
        <v>0,5897</v>
      </c>
      <c r="E50" s="18" t="s">
        <v>533</v>
      </c>
      <c r="F50" s="18" t="s">
        <v>55</v>
      </c>
      <c r="G50" s="19" t="s">
        <v>216</v>
      </c>
      <c r="H50" s="20" t="s">
        <v>251</v>
      </c>
      <c r="I50" s="20"/>
      <c r="J50" s="20"/>
      <c r="K50" s="18" t="str">
        <f>"270,0"</f>
        <v>270,0</v>
      </c>
      <c r="L50" s="19" t="str">
        <f>"159,2190"</f>
        <v>159,2190</v>
      </c>
      <c r="M50" s="18" t="s">
        <v>60</v>
      </c>
    </row>
    <row r="51" spans="1:13" ht="12.75">
      <c r="A51" s="18" t="s">
        <v>1023</v>
      </c>
      <c r="B51" s="18" t="s">
        <v>1024</v>
      </c>
      <c r="C51" s="18" t="s">
        <v>1025</v>
      </c>
      <c r="D51" s="18" t="str">
        <f>"0,5952"</f>
        <v>0,5952</v>
      </c>
      <c r="E51" s="18" t="s">
        <v>29</v>
      </c>
      <c r="F51" s="18" t="s">
        <v>113</v>
      </c>
      <c r="G51" s="19" t="s">
        <v>155</v>
      </c>
      <c r="H51" s="19" t="s">
        <v>215</v>
      </c>
      <c r="I51" s="19" t="s">
        <v>183</v>
      </c>
      <c r="J51" s="20"/>
      <c r="K51" s="18" t="str">
        <f>"260,0"</f>
        <v>260,0</v>
      </c>
      <c r="L51" s="19" t="str">
        <f>"154,7520"</f>
        <v>154,7520</v>
      </c>
      <c r="M51" s="18" t="s">
        <v>60</v>
      </c>
    </row>
    <row r="52" spans="1:13" ht="12.75">
      <c r="A52" s="18" t="s">
        <v>1027</v>
      </c>
      <c r="B52" s="18" t="s">
        <v>1028</v>
      </c>
      <c r="C52" s="18" t="s">
        <v>188</v>
      </c>
      <c r="D52" s="18" t="str">
        <f>"0,6069"</f>
        <v>0,6069</v>
      </c>
      <c r="E52" s="18" t="s">
        <v>347</v>
      </c>
      <c r="F52" s="18" t="s">
        <v>200</v>
      </c>
      <c r="G52" s="19" t="s">
        <v>329</v>
      </c>
      <c r="H52" s="20" t="s">
        <v>1029</v>
      </c>
      <c r="I52" s="20" t="s">
        <v>1030</v>
      </c>
      <c r="J52" s="20"/>
      <c r="K52" s="18" t="str">
        <f>"257,5"</f>
        <v>257,5</v>
      </c>
      <c r="L52" s="19" t="str">
        <f>"156,2767"</f>
        <v>156,2767</v>
      </c>
      <c r="M52" s="18" t="s">
        <v>60</v>
      </c>
    </row>
    <row r="53" spans="1:13" ht="12.75">
      <c r="A53" s="21" t="s">
        <v>197</v>
      </c>
      <c r="B53" s="21" t="s">
        <v>198</v>
      </c>
      <c r="C53" s="21" t="s">
        <v>199</v>
      </c>
      <c r="D53" s="21" t="str">
        <f>"0,5943"</f>
        <v>0,5943</v>
      </c>
      <c r="E53" s="21" t="s">
        <v>29</v>
      </c>
      <c r="F53" s="21" t="s">
        <v>200</v>
      </c>
      <c r="G53" s="22" t="s">
        <v>129</v>
      </c>
      <c r="H53" s="22" t="s">
        <v>201</v>
      </c>
      <c r="I53" s="23" t="s">
        <v>202</v>
      </c>
      <c r="J53" s="23"/>
      <c r="K53" s="21" t="str">
        <f>"187,5"</f>
        <v>187,5</v>
      </c>
      <c r="L53" s="22" t="str">
        <f>"142,7434"</f>
        <v>142,7434</v>
      </c>
      <c r="M53" s="21" t="s">
        <v>673</v>
      </c>
    </row>
    <row r="55" spans="1:12" ht="15">
      <c r="A55" s="47" t="s">
        <v>354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3" ht="12.75">
      <c r="A56" s="15" t="s">
        <v>1032</v>
      </c>
      <c r="B56" s="15" t="s">
        <v>1033</v>
      </c>
      <c r="C56" s="15" t="s">
        <v>652</v>
      </c>
      <c r="D56" s="15" t="str">
        <f>"0,5678"</f>
        <v>0,5678</v>
      </c>
      <c r="E56" s="15" t="s">
        <v>29</v>
      </c>
      <c r="F56" s="15" t="s">
        <v>67</v>
      </c>
      <c r="G56" s="16" t="s">
        <v>314</v>
      </c>
      <c r="H56" s="17" t="s">
        <v>315</v>
      </c>
      <c r="I56" s="16" t="s">
        <v>315</v>
      </c>
      <c r="J56" s="17"/>
      <c r="K56" s="15" t="str">
        <f>"235,0"</f>
        <v>235,0</v>
      </c>
      <c r="L56" s="16" t="str">
        <f>"133,4330"</f>
        <v>133,4330</v>
      </c>
      <c r="M56" s="15" t="s">
        <v>60</v>
      </c>
    </row>
    <row r="57" spans="1:13" ht="12.75">
      <c r="A57" s="18" t="s">
        <v>1035</v>
      </c>
      <c r="B57" s="18" t="s">
        <v>1036</v>
      </c>
      <c r="C57" s="18" t="s">
        <v>1037</v>
      </c>
      <c r="D57" s="18" t="str">
        <f>"0,5555"</f>
        <v>0,5555</v>
      </c>
      <c r="E57" s="18" t="s">
        <v>309</v>
      </c>
      <c r="F57" s="18" t="s">
        <v>67</v>
      </c>
      <c r="G57" s="19" t="s">
        <v>222</v>
      </c>
      <c r="H57" s="19" t="s">
        <v>880</v>
      </c>
      <c r="I57" s="19" t="s">
        <v>873</v>
      </c>
      <c r="J57" s="20"/>
      <c r="K57" s="18" t="str">
        <f>"217,5"</f>
        <v>217,5</v>
      </c>
      <c r="L57" s="19" t="str">
        <f>"120,8212"</f>
        <v>120,8212</v>
      </c>
      <c r="M57" s="18" t="s">
        <v>454</v>
      </c>
    </row>
    <row r="58" spans="1:13" ht="12.75">
      <c r="A58" s="18" t="s">
        <v>1039</v>
      </c>
      <c r="B58" s="18" t="s">
        <v>1040</v>
      </c>
      <c r="C58" s="18" t="s">
        <v>1041</v>
      </c>
      <c r="D58" s="18" t="str">
        <f>"0,5663"</f>
        <v>0,5663</v>
      </c>
      <c r="E58" s="18" t="s">
        <v>29</v>
      </c>
      <c r="F58" s="18" t="s">
        <v>119</v>
      </c>
      <c r="G58" s="19" t="s">
        <v>181</v>
      </c>
      <c r="H58" s="20" t="s">
        <v>213</v>
      </c>
      <c r="I58" s="20" t="s">
        <v>314</v>
      </c>
      <c r="J58" s="20"/>
      <c r="K58" s="18" t="str">
        <f>"210,0"</f>
        <v>210,0</v>
      </c>
      <c r="L58" s="19" t="str">
        <f>"118,9230"</f>
        <v>118,9230</v>
      </c>
      <c r="M58" s="18" t="s">
        <v>60</v>
      </c>
    </row>
    <row r="59" spans="1:13" ht="12.75">
      <c r="A59" s="21" t="s">
        <v>1043</v>
      </c>
      <c r="B59" s="21" t="s">
        <v>1044</v>
      </c>
      <c r="C59" s="21" t="s">
        <v>648</v>
      </c>
      <c r="D59" s="21" t="str">
        <f>"0,5550"</f>
        <v>0,5550</v>
      </c>
      <c r="E59" s="21" t="s">
        <v>29</v>
      </c>
      <c r="F59" s="21" t="s">
        <v>113</v>
      </c>
      <c r="G59" s="23" t="s">
        <v>180</v>
      </c>
      <c r="H59" s="22" t="s">
        <v>180</v>
      </c>
      <c r="I59" s="22" t="s">
        <v>181</v>
      </c>
      <c r="J59" s="23"/>
      <c r="K59" s="21" t="str">
        <f>"210,0"</f>
        <v>210,0</v>
      </c>
      <c r="L59" s="22" t="str">
        <f>"117,5990"</f>
        <v>117,5990</v>
      </c>
      <c r="M59" s="21" t="s">
        <v>60</v>
      </c>
    </row>
    <row r="61" spans="1:12" ht="15">
      <c r="A61" s="47" t="s">
        <v>207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3" ht="12.75">
      <c r="A62" s="11" t="s">
        <v>1046</v>
      </c>
      <c r="B62" s="11" t="s">
        <v>1047</v>
      </c>
      <c r="C62" s="11" t="s">
        <v>1048</v>
      </c>
      <c r="D62" s="11" t="str">
        <f>"0,5377"</f>
        <v>0,5377</v>
      </c>
      <c r="E62" s="11" t="s">
        <v>66</v>
      </c>
      <c r="F62" s="11" t="s">
        <v>67</v>
      </c>
      <c r="G62" s="12" t="s">
        <v>180</v>
      </c>
      <c r="H62" s="12" t="s">
        <v>213</v>
      </c>
      <c r="I62" s="13" t="s">
        <v>336</v>
      </c>
      <c r="J62" s="13"/>
      <c r="K62" s="11" t="str">
        <f>"220,0"</f>
        <v>220,0</v>
      </c>
      <c r="L62" s="12" t="str">
        <f>"118,2940"</f>
        <v>118,2940</v>
      </c>
      <c r="M62" s="11" t="s">
        <v>60</v>
      </c>
    </row>
    <row r="64" ht="15">
      <c r="E64" s="9" t="s">
        <v>13</v>
      </c>
    </row>
    <row r="65" ht="15">
      <c r="E65" s="9" t="s">
        <v>14</v>
      </c>
    </row>
    <row r="66" ht="15">
      <c r="E66" s="9" t="s">
        <v>15</v>
      </c>
    </row>
    <row r="67" ht="15">
      <c r="E67" s="9" t="s">
        <v>16</v>
      </c>
    </row>
    <row r="68" ht="15">
      <c r="E68" s="9" t="s">
        <v>16</v>
      </c>
    </row>
    <row r="69" ht="15">
      <c r="E69" s="9" t="s">
        <v>17</v>
      </c>
    </row>
    <row r="70" ht="15">
      <c r="E70" s="9"/>
    </row>
    <row r="72" spans="1:2" ht="18">
      <c r="A72" s="10" t="s">
        <v>18</v>
      </c>
      <c r="B72" s="10"/>
    </row>
    <row r="73" spans="1:2" ht="15">
      <c r="A73" s="24" t="s">
        <v>227</v>
      </c>
      <c r="B73" s="24"/>
    </row>
    <row r="74" spans="1:2" ht="14.25">
      <c r="A74" s="26"/>
      <c r="B74" s="27" t="s">
        <v>228</v>
      </c>
    </row>
    <row r="75" spans="1:5" ht="15">
      <c r="A75" s="28" t="s">
        <v>229</v>
      </c>
      <c r="B75" s="28" t="s">
        <v>230</v>
      </c>
      <c r="C75" s="28" t="s">
        <v>231</v>
      </c>
      <c r="D75" s="28" t="s">
        <v>232</v>
      </c>
      <c r="E75" s="28" t="s">
        <v>233</v>
      </c>
    </row>
    <row r="76" spans="1:5" ht="12.75">
      <c r="A76" s="25" t="s">
        <v>951</v>
      </c>
      <c r="B76" s="4" t="s">
        <v>234</v>
      </c>
      <c r="C76" s="4" t="s">
        <v>235</v>
      </c>
      <c r="D76" s="4" t="s">
        <v>48</v>
      </c>
      <c r="E76" s="29" t="s">
        <v>1049</v>
      </c>
    </row>
    <row r="77" spans="1:5" ht="12.75">
      <c r="A77" s="25" t="s">
        <v>943</v>
      </c>
      <c r="B77" s="4" t="s">
        <v>238</v>
      </c>
      <c r="C77" s="4" t="s">
        <v>270</v>
      </c>
      <c r="D77" s="4" t="s">
        <v>96</v>
      </c>
      <c r="E77" s="29" t="s">
        <v>1050</v>
      </c>
    </row>
    <row r="79" spans="1:2" ht="14.25">
      <c r="A79" s="26"/>
      <c r="B79" s="27" t="s">
        <v>244</v>
      </c>
    </row>
    <row r="80" spans="1:5" ht="15">
      <c r="A80" s="28" t="s">
        <v>229</v>
      </c>
      <c r="B80" s="28" t="s">
        <v>230</v>
      </c>
      <c r="C80" s="28" t="s">
        <v>231</v>
      </c>
      <c r="D80" s="28" t="s">
        <v>232</v>
      </c>
      <c r="E80" s="28" t="s">
        <v>233</v>
      </c>
    </row>
    <row r="81" spans="1:5" ht="12.75">
      <c r="A81" s="25" t="s">
        <v>947</v>
      </c>
      <c r="B81" s="4" t="s">
        <v>244</v>
      </c>
      <c r="C81" s="4" t="s">
        <v>270</v>
      </c>
      <c r="D81" s="4" t="s">
        <v>107</v>
      </c>
      <c r="E81" s="29" t="s">
        <v>1051</v>
      </c>
    </row>
    <row r="82" spans="1:5" ht="12.75">
      <c r="A82" s="25" t="s">
        <v>956</v>
      </c>
      <c r="B82" s="4" t="s">
        <v>244</v>
      </c>
      <c r="C82" s="4" t="s">
        <v>246</v>
      </c>
      <c r="D82" s="4" t="s">
        <v>100</v>
      </c>
      <c r="E82" s="29" t="s">
        <v>1052</v>
      </c>
    </row>
    <row r="84" spans="1:2" ht="14.25">
      <c r="A84" s="26"/>
      <c r="B84" s="27" t="s">
        <v>255</v>
      </c>
    </row>
    <row r="85" spans="1:5" ht="15">
      <c r="A85" s="28" t="s">
        <v>229</v>
      </c>
      <c r="B85" s="28" t="s">
        <v>230</v>
      </c>
      <c r="C85" s="28" t="s">
        <v>231</v>
      </c>
      <c r="D85" s="28" t="s">
        <v>232</v>
      </c>
      <c r="E85" s="28" t="s">
        <v>233</v>
      </c>
    </row>
    <row r="86" spans="1:5" ht="12.75">
      <c r="A86" s="25" t="s">
        <v>510</v>
      </c>
      <c r="B86" s="4" t="s">
        <v>469</v>
      </c>
      <c r="C86" s="4" t="s">
        <v>239</v>
      </c>
      <c r="D86" s="4" t="s">
        <v>71</v>
      </c>
      <c r="E86" s="29" t="s">
        <v>1053</v>
      </c>
    </row>
    <row r="87" spans="1:5" ht="12.75">
      <c r="A87" s="25" t="s">
        <v>937</v>
      </c>
      <c r="B87" s="4" t="s">
        <v>256</v>
      </c>
      <c r="C87" s="4" t="s">
        <v>239</v>
      </c>
      <c r="D87" s="4" t="s">
        <v>566</v>
      </c>
      <c r="E87" s="29" t="s">
        <v>1054</v>
      </c>
    </row>
    <row r="90" spans="1:2" ht="15">
      <c r="A90" s="24" t="s">
        <v>258</v>
      </c>
      <c r="B90" s="24"/>
    </row>
    <row r="91" spans="1:2" ht="14.25">
      <c r="A91" s="26"/>
      <c r="B91" s="27" t="s">
        <v>259</v>
      </c>
    </row>
    <row r="92" spans="1:5" ht="15">
      <c r="A92" s="28" t="s">
        <v>229</v>
      </c>
      <c r="B92" s="28" t="s">
        <v>230</v>
      </c>
      <c r="C92" s="28" t="s">
        <v>231</v>
      </c>
      <c r="D92" s="28" t="s">
        <v>232</v>
      </c>
      <c r="E92" s="28" t="s">
        <v>233</v>
      </c>
    </row>
    <row r="93" spans="1:5" ht="12.75">
      <c r="A93" s="25" t="s">
        <v>967</v>
      </c>
      <c r="B93" s="4" t="s">
        <v>234</v>
      </c>
      <c r="C93" s="4" t="s">
        <v>235</v>
      </c>
      <c r="D93" s="4" t="s">
        <v>150</v>
      </c>
      <c r="E93" s="29" t="s">
        <v>1055</v>
      </c>
    </row>
    <row r="94" spans="1:5" ht="12.75">
      <c r="A94" s="25" t="s">
        <v>963</v>
      </c>
      <c r="B94" s="4" t="s">
        <v>262</v>
      </c>
      <c r="C94" s="4" t="s">
        <v>235</v>
      </c>
      <c r="D94" s="4" t="s">
        <v>144</v>
      </c>
      <c r="E94" s="29" t="s">
        <v>1056</v>
      </c>
    </row>
    <row r="96" spans="1:2" ht="14.25">
      <c r="A96" s="26"/>
      <c r="B96" s="27" t="s">
        <v>264</v>
      </c>
    </row>
    <row r="97" spans="1:5" ht="15">
      <c r="A97" s="28" t="s">
        <v>229</v>
      </c>
      <c r="B97" s="28" t="s">
        <v>230</v>
      </c>
      <c r="C97" s="28" t="s">
        <v>231</v>
      </c>
      <c r="D97" s="28" t="s">
        <v>232</v>
      </c>
      <c r="E97" s="28" t="s">
        <v>233</v>
      </c>
    </row>
    <row r="98" spans="1:5" ht="12.75">
      <c r="A98" s="25" t="s">
        <v>1014</v>
      </c>
      <c r="B98" s="4" t="s">
        <v>242</v>
      </c>
      <c r="C98" s="4" t="s">
        <v>283</v>
      </c>
      <c r="D98" s="4" t="s">
        <v>329</v>
      </c>
      <c r="E98" s="29" t="s">
        <v>1057</v>
      </c>
    </row>
    <row r="99" spans="1:5" ht="12.75">
      <c r="A99" s="25" t="s">
        <v>1031</v>
      </c>
      <c r="B99" s="4" t="s">
        <v>242</v>
      </c>
      <c r="C99" s="4" t="s">
        <v>404</v>
      </c>
      <c r="D99" s="4" t="s">
        <v>315</v>
      </c>
      <c r="E99" s="29" t="s">
        <v>1058</v>
      </c>
    </row>
    <row r="100" spans="1:5" ht="12.75">
      <c r="A100" s="25" t="s">
        <v>976</v>
      </c>
      <c r="B100" s="4" t="s">
        <v>242</v>
      </c>
      <c r="C100" s="4" t="s">
        <v>246</v>
      </c>
      <c r="D100" s="4" t="s">
        <v>214</v>
      </c>
      <c r="E100" s="29" t="s">
        <v>1059</v>
      </c>
    </row>
    <row r="102" spans="1:2" ht="14.25">
      <c r="A102" s="26"/>
      <c r="B102" s="27" t="s">
        <v>244</v>
      </c>
    </row>
    <row r="103" spans="1:5" ht="15">
      <c r="A103" s="28" t="s">
        <v>229</v>
      </c>
      <c r="B103" s="28" t="s">
        <v>230</v>
      </c>
      <c r="C103" s="28" t="s">
        <v>231</v>
      </c>
      <c r="D103" s="28" t="s">
        <v>232</v>
      </c>
      <c r="E103" s="28" t="s">
        <v>233</v>
      </c>
    </row>
    <row r="104" spans="1:5" ht="12.75">
      <c r="A104" s="25" t="s">
        <v>981</v>
      </c>
      <c r="B104" s="4" t="s">
        <v>244</v>
      </c>
      <c r="C104" s="4" t="s">
        <v>273</v>
      </c>
      <c r="D104" s="4" t="s">
        <v>155</v>
      </c>
      <c r="E104" s="29" t="s">
        <v>1060</v>
      </c>
    </row>
    <row r="105" spans="1:5" ht="12.75">
      <c r="A105" s="25" t="s">
        <v>1019</v>
      </c>
      <c r="B105" s="4" t="s">
        <v>244</v>
      </c>
      <c r="C105" s="4" t="s">
        <v>283</v>
      </c>
      <c r="D105" s="4" t="s">
        <v>216</v>
      </c>
      <c r="E105" s="29" t="s">
        <v>1061</v>
      </c>
    </row>
    <row r="106" spans="1:5" ht="12.75">
      <c r="A106" s="25" t="s">
        <v>1026</v>
      </c>
      <c r="B106" s="4" t="s">
        <v>244</v>
      </c>
      <c r="C106" s="4" t="s">
        <v>283</v>
      </c>
      <c r="D106" s="4" t="s">
        <v>329</v>
      </c>
      <c r="E106" s="29" t="s">
        <v>1062</v>
      </c>
    </row>
    <row r="107" spans="1:5" ht="12.75">
      <c r="A107" s="25" t="s">
        <v>174</v>
      </c>
      <c r="B107" s="4" t="s">
        <v>244</v>
      </c>
      <c r="C107" s="4" t="s">
        <v>276</v>
      </c>
      <c r="D107" s="4" t="s">
        <v>182</v>
      </c>
      <c r="E107" s="29" t="s">
        <v>1063</v>
      </c>
    </row>
    <row r="108" spans="1:5" ht="12.75">
      <c r="A108" s="25" t="s">
        <v>1022</v>
      </c>
      <c r="B108" s="4" t="s">
        <v>244</v>
      </c>
      <c r="C108" s="4" t="s">
        <v>283</v>
      </c>
      <c r="D108" s="4" t="s">
        <v>183</v>
      </c>
      <c r="E108" s="29" t="s">
        <v>1064</v>
      </c>
    </row>
    <row r="109" spans="1:5" ht="12.75">
      <c r="A109" s="25" t="s">
        <v>970</v>
      </c>
      <c r="B109" s="4" t="s">
        <v>244</v>
      </c>
      <c r="C109" s="4" t="s">
        <v>235</v>
      </c>
      <c r="D109" s="4" t="s">
        <v>160</v>
      </c>
      <c r="E109" s="29" t="s">
        <v>1065</v>
      </c>
    </row>
    <row r="110" spans="1:5" ht="12.75">
      <c r="A110" s="25" t="s">
        <v>573</v>
      </c>
      <c r="B110" s="4" t="s">
        <v>244</v>
      </c>
      <c r="C110" s="4" t="s">
        <v>276</v>
      </c>
      <c r="D110" s="4" t="s">
        <v>213</v>
      </c>
      <c r="E110" s="29" t="s">
        <v>1066</v>
      </c>
    </row>
    <row r="111" spans="1:5" ht="12.75">
      <c r="A111" s="25" t="s">
        <v>578</v>
      </c>
      <c r="B111" s="4" t="s">
        <v>244</v>
      </c>
      <c r="C111" s="4" t="s">
        <v>276</v>
      </c>
      <c r="D111" s="4" t="s">
        <v>213</v>
      </c>
      <c r="E111" s="29" t="s">
        <v>1067</v>
      </c>
    </row>
    <row r="112" spans="1:5" ht="12.75">
      <c r="A112" s="25" t="s">
        <v>997</v>
      </c>
      <c r="B112" s="4" t="s">
        <v>244</v>
      </c>
      <c r="C112" s="4" t="s">
        <v>276</v>
      </c>
      <c r="D112" s="4" t="s">
        <v>873</v>
      </c>
      <c r="E112" s="29" t="s">
        <v>1068</v>
      </c>
    </row>
    <row r="113" spans="1:5" ht="12.75">
      <c r="A113" s="25" t="s">
        <v>985</v>
      </c>
      <c r="B113" s="4" t="s">
        <v>244</v>
      </c>
      <c r="C113" s="4" t="s">
        <v>273</v>
      </c>
      <c r="D113" s="4" t="s">
        <v>179</v>
      </c>
      <c r="E113" s="29" t="s">
        <v>1069</v>
      </c>
    </row>
    <row r="114" spans="1:5" ht="12.75">
      <c r="A114" s="25" t="s">
        <v>1034</v>
      </c>
      <c r="B114" s="4" t="s">
        <v>244</v>
      </c>
      <c r="C114" s="4" t="s">
        <v>404</v>
      </c>
      <c r="D114" s="4" t="s">
        <v>873</v>
      </c>
      <c r="E114" s="29" t="s">
        <v>1070</v>
      </c>
    </row>
    <row r="115" spans="1:5" ht="12.75">
      <c r="A115" s="25" t="s">
        <v>1038</v>
      </c>
      <c r="B115" s="4" t="s">
        <v>244</v>
      </c>
      <c r="C115" s="4" t="s">
        <v>404</v>
      </c>
      <c r="D115" s="4" t="s">
        <v>181</v>
      </c>
      <c r="E115" s="29" t="s">
        <v>1071</v>
      </c>
    </row>
    <row r="116" spans="1:5" ht="12.75">
      <c r="A116" s="25" t="s">
        <v>1045</v>
      </c>
      <c r="B116" s="4" t="s">
        <v>244</v>
      </c>
      <c r="C116" s="4" t="s">
        <v>265</v>
      </c>
      <c r="D116" s="4" t="s">
        <v>213</v>
      </c>
      <c r="E116" s="29" t="s">
        <v>1072</v>
      </c>
    </row>
    <row r="118" spans="1:2" ht="14.25">
      <c r="A118" s="26"/>
      <c r="B118" s="27" t="s">
        <v>255</v>
      </c>
    </row>
    <row r="119" spans="1:5" ht="15">
      <c r="A119" s="28" t="s">
        <v>229</v>
      </c>
      <c r="B119" s="28" t="s">
        <v>230</v>
      </c>
      <c r="C119" s="28" t="s">
        <v>231</v>
      </c>
      <c r="D119" s="28" t="s">
        <v>232</v>
      </c>
      <c r="E119" s="28" t="s">
        <v>233</v>
      </c>
    </row>
    <row r="120" spans="1:5" ht="12.75">
      <c r="A120" s="25" t="s">
        <v>994</v>
      </c>
      <c r="B120" s="4" t="s">
        <v>1073</v>
      </c>
      <c r="C120" s="4" t="s">
        <v>273</v>
      </c>
      <c r="D120" s="4" t="s">
        <v>180</v>
      </c>
      <c r="E120" s="29" t="s">
        <v>1074</v>
      </c>
    </row>
    <row r="121" spans="1:5" ht="12.75">
      <c r="A121" s="25" t="s">
        <v>1009</v>
      </c>
      <c r="B121" s="4" t="s">
        <v>295</v>
      </c>
      <c r="C121" s="4" t="s">
        <v>276</v>
      </c>
      <c r="D121" s="4" t="s">
        <v>128</v>
      </c>
      <c r="E121" s="29" t="s">
        <v>1075</v>
      </c>
    </row>
    <row r="122" spans="1:5" ht="12.75">
      <c r="A122" s="25" t="s">
        <v>1004</v>
      </c>
      <c r="B122" s="4" t="s">
        <v>292</v>
      </c>
      <c r="C122" s="4" t="s">
        <v>276</v>
      </c>
      <c r="D122" s="4" t="s">
        <v>165</v>
      </c>
      <c r="E122" s="29" t="s">
        <v>1076</v>
      </c>
    </row>
    <row r="123" spans="1:5" ht="12.75">
      <c r="A123" s="25" t="s">
        <v>196</v>
      </c>
      <c r="B123" s="4" t="s">
        <v>301</v>
      </c>
      <c r="C123" s="4" t="s">
        <v>283</v>
      </c>
      <c r="D123" s="4" t="s">
        <v>201</v>
      </c>
      <c r="E123" s="29" t="s">
        <v>1077</v>
      </c>
    </row>
    <row r="124" spans="1:5" ht="12.75">
      <c r="A124" s="25" t="s">
        <v>1001</v>
      </c>
      <c r="B124" s="4" t="s">
        <v>469</v>
      </c>
      <c r="C124" s="4" t="s">
        <v>276</v>
      </c>
      <c r="D124" s="4" t="s">
        <v>222</v>
      </c>
      <c r="E124" s="29" t="s">
        <v>1078</v>
      </c>
    </row>
    <row r="125" spans="1:5" ht="12.75">
      <c r="A125" s="25" t="s">
        <v>990</v>
      </c>
      <c r="B125" s="4" t="s">
        <v>469</v>
      </c>
      <c r="C125" s="4" t="s">
        <v>273</v>
      </c>
      <c r="D125" s="4" t="s">
        <v>151</v>
      </c>
      <c r="E125" s="29" t="s">
        <v>1079</v>
      </c>
    </row>
    <row r="126" spans="1:5" ht="12.75">
      <c r="A126" s="25" t="s">
        <v>1042</v>
      </c>
      <c r="B126" s="4" t="s">
        <v>256</v>
      </c>
      <c r="C126" s="4" t="s">
        <v>404</v>
      </c>
      <c r="D126" s="4" t="s">
        <v>181</v>
      </c>
      <c r="E126" s="29" t="s">
        <v>1080</v>
      </c>
    </row>
    <row r="127" spans="1:5" ht="12.75">
      <c r="A127" s="25" t="s">
        <v>973</v>
      </c>
      <c r="B127" s="4" t="s">
        <v>301</v>
      </c>
      <c r="C127" s="4" t="s">
        <v>235</v>
      </c>
      <c r="D127" s="4" t="s">
        <v>77</v>
      </c>
      <c r="E127" s="29" t="s">
        <v>1081</v>
      </c>
    </row>
  </sheetData>
  <sheetProtection/>
  <mergeCells count="22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55:L55"/>
    <mergeCell ref="A61:L61"/>
    <mergeCell ref="A18:L18"/>
    <mergeCell ref="A23:L23"/>
    <mergeCell ref="A28:L28"/>
    <mergeCell ref="A31:L31"/>
    <mergeCell ref="A39:L39"/>
    <mergeCell ref="A48:L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625" style="4" bestFit="1" customWidth="1"/>
    <col min="14" max="16384" width="9.125" style="3" customWidth="1"/>
  </cols>
  <sheetData>
    <row r="1" spans="1:13" s="2" customFormat="1" ht="28.5" customHeight="1">
      <c r="A1" s="51" t="s">
        <v>911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10</v>
      </c>
      <c r="C3" s="44" t="s">
        <v>11</v>
      </c>
      <c r="D3" s="46" t="s">
        <v>20</v>
      </c>
      <c r="E3" s="46" t="s">
        <v>7</v>
      </c>
      <c r="F3" s="46" t="s">
        <v>12</v>
      </c>
      <c r="G3" s="46" t="s">
        <v>22</v>
      </c>
      <c r="H3" s="46"/>
      <c r="I3" s="46"/>
      <c r="J3" s="46"/>
      <c r="K3" s="46" t="s">
        <v>495</v>
      </c>
      <c r="L3" s="46" t="s">
        <v>6</v>
      </c>
      <c r="M3" s="34" t="s">
        <v>5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7">
        <v>1</v>
      </c>
      <c r="H4" s="7">
        <v>2</v>
      </c>
      <c r="I4" s="7">
        <v>3</v>
      </c>
      <c r="J4" s="7" t="s">
        <v>8</v>
      </c>
      <c r="K4" s="45"/>
      <c r="L4" s="45"/>
      <c r="M4" s="35"/>
    </row>
    <row r="5" spans="1:12" ht="15">
      <c r="A5" s="49" t="s">
        <v>145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5" t="s">
        <v>913</v>
      </c>
      <c r="B6" s="15" t="s">
        <v>914</v>
      </c>
      <c r="C6" s="15" t="s">
        <v>169</v>
      </c>
      <c r="D6" s="15" t="str">
        <f>"0,6673"</f>
        <v>0,6673</v>
      </c>
      <c r="E6" s="15" t="s">
        <v>29</v>
      </c>
      <c r="F6" s="15" t="s">
        <v>113</v>
      </c>
      <c r="G6" s="16" t="s">
        <v>179</v>
      </c>
      <c r="H6" s="17" t="s">
        <v>180</v>
      </c>
      <c r="I6" s="16" t="s">
        <v>180</v>
      </c>
      <c r="J6" s="17"/>
      <c r="K6" s="15" t="str">
        <f>"200,0"</f>
        <v>200,0</v>
      </c>
      <c r="L6" s="16" t="str">
        <f>"134,7946"</f>
        <v>134,7946</v>
      </c>
      <c r="M6" s="15" t="s">
        <v>60</v>
      </c>
    </row>
    <row r="7" spans="1:13" ht="12.75">
      <c r="A7" s="21" t="s">
        <v>916</v>
      </c>
      <c r="B7" s="21" t="s">
        <v>917</v>
      </c>
      <c r="C7" s="21" t="s">
        <v>864</v>
      </c>
      <c r="D7" s="21" t="str">
        <f>"0,6652"</f>
        <v>0,6652</v>
      </c>
      <c r="E7" s="21" t="s">
        <v>66</v>
      </c>
      <c r="F7" s="21" t="s">
        <v>95</v>
      </c>
      <c r="G7" s="22" t="s">
        <v>213</v>
      </c>
      <c r="H7" s="22" t="s">
        <v>155</v>
      </c>
      <c r="I7" s="23" t="s">
        <v>182</v>
      </c>
      <c r="J7" s="23"/>
      <c r="K7" s="21" t="str">
        <f>"240,0"</f>
        <v>240,0</v>
      </c>
      <c r="L7" s="22" t="str">
        <f>"159,6480"</f>
        <v>159,6480</v>
      </c>
      <c r="M7" s="21" t="s">
        <v>60</v>
      </c>
    </row>
    <row r="9" spans="1:12" ht="15">
      <c r="A9" s="47" t="s">
        <v>173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11" t="s">
        <v>918</v>
      </c>
      <c r="B10" s="11" t="s">
        <v>919</v>
      </c>
      <c r="C10" s="11" t="s">
        <v>920</v>
      </c>
      <c r="D10" s="11" t="str">
        <f>"0,6193"</f>
        <v>0,6193</v>
      </c>
      <c r="E10" s="11" t="s">
        <v>464</v>
      </c>
      <c r="F10" s="11" t="s">
        <v>335</v>
      </c>
      <c r="G10" s="13" t="s">
        <v>337</v>
      </c>
      <c r="H10" s="13" t="s">
        <v>337</v>
      </c>
      <c r="I10" s="13" t="s">
        <v>337</v>
      </c>
      <c r="J10" s="13"/>
      <c r="K10" s="11" t="str">
        <f>"0.00"</f>
        <v>0.00</v>
      </c>
      <c r="L10" s="12" t="str">
        <f>"0,0000"</f>
        <v>0,0000</v>
      </c>
      <c r="M10" s="11" t="s">
        <v>60</v>
      </c>
    </row>
    <row r="12" spans="1:12" ht="15">
      <c r="A12" s="47" t="s">
        <v>184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2.75">
      <c r="A13" s="11" t="s">
        <v>922</v>
      </c>
      <c r="B13" s="11" t="s">
        <v>923</v>
      </c>
      <c r="C13" s="11" t="s">
        <v>188</v>
      </c>
      <c r="D13" s="11" t="str">
        <f>"0,6069"</f>
        <v>0,6069</v>
      </c>
      <c r="E13" s="11" t="s">
        <v>66</v>
      </c>
      <c r="F13" s="11" t="s">
        <v>67</v>
      </c>
      <c r="G13" s="12" t="s">
        <v>221</v>
      </c>
      <c r="H13" s="12" t="s">
        <v>180</v>
      </c>
      <c r="I13" s="12" t="s">
        <v>222</v>
      </c>
      <c r="J13" s="13"/>
      <c r="K13" s="11" t="str">
        <f>"205,0"</f>
        <v>205,0</v>
      </c>
      <c r="L13" s="12" t="str">
        <f>"124,4145"</f>
        <v>124,4145</v>
      </c>
      <c r="M13" s="11" t="s">
        <v>73</v>
      </c>
    </row>
    <row r="15" spans="1:12" ht="15">
      <c r="A15" s="47" t="s">
        <v>354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 ht="12.75">
      <c r="A16" s="15" t="s">
        <v>782</v>
      </c>
      <c r="B16" s="15" t="s">
        <v>783</v>
      </c>
      <c r="C16" s="15" t="s">
        <v>358</v>
      </c>
      <c r="D16" s="15" t="str">
        <f>"0,5540"</f>
        <v>0,5540</v>
      </c>
      <c r="E16" s="15" t="s">
        <v>66</v>
      </c>
      <c r="F16" s="15" t="s">
        <v>212</v>
      </c>
      <c r="G16" s="16" t="s">
        <v>383</v>
      </c>
      <c r="H16" s="16" t="s">
        <v>924</v>
      </c>
      <c r="I16" s="16" t="s">
        <v>925</v>
      </c>
      <c r="J16" s="17"/>
      <c r="K16" s="15" t="str">
        <f>"330,0"</f>
        <v>330,0</v>
      </c>
      <c r="L16" s="16" t="str">
        <f>"182,8200"</f>
        <v>182,8200</v>
      </c>
      <c r="M16" s="15" t="s">
        <v>60</v>
      </c>
    </row>
    <row r="17" spans="1:13" ht="12.75">
      <c r="A17" s="21" t="s">
        <v>926</v>
      </c>
      <c r="B17" s="21" t="s">
        <v>449</v>
      </c>
      <c r="C17" s="21" t="s">
        <v>358</v>
      </c>
      <c r="D17" s="21" t="str">
        <f>"0,5540"</f>
        <v>0,5540</v>
      </c>
      <c r="E17" s="21" t="s">
        <v>66</v>
      </c>
      <c r="F17" s="21" t="s">
        <v>67</v>
      </c>
      <c r="G17" s="22" t="s">
        <v>180</v>
      </c>
      <c r="H17" s="22" t="s">
        <v>181</v>
      </c>
      <c r="I17" s="22" t="s">
        <v>153</v>
      </c>
      <c r="J17" s="23"/>
      <c r="K17" s="21" t="str">
        <f>"215,0"</f>
        <v>215,0</v>
      </c>
      <c r="L17" s="22" t="str">
        <f>"119,1100"</f>
        <v>119,1100</v>
      </c>
      <c r="M17" s="21" t="s">
        <v>73</v>
      </c>
    </row>
    <row r="19" spans="1:12" ht="15">
      <c r="A19" s="47" t="s">
        <v>207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3" ht="12.75">
      <c r="A20" s="11" t="s">
        <v>928</v>
      </c>
      <c r="B20" s="11" t="s">
        <v>929</v>
      </c>
      <c r="C20" s="11" t="s">
        <v>689</v>
      </c>
      <c r="D20" s="11" t="str">
        <f>"0,5405"</f>
        <v>0,5405</v>
      </c>
      <c r="E20" s="11" t="s">
        <v>29</v>
      </c>
      <c r="F20" s="11" t="s">
        <v>67</v>
      </c>
      <c r="G20" s="12" t="s">
        <v>216</v>
      </c>
      <c r="H20" s="12" t="s">
        <v>377</v>
      </c>
      <c r="I20" s="12" t="s">
        <v>378</v>
      </c>
      <c r="J20" s="13"/>
      <c r="K20" s="11" t="str">
        <f>"290,0"</f>
        <v>290,0</v>
      </c>
      <c r="L20" s="12" t="str">
        <f>"157,2152"</f>
        <v>157,2152</v>
      </c>
      <c r="M20" s="11" t="s">
        <v>60</v>
      </c>
    </row>
    <row r="22" ht="15">
      <c r="E22" s="9" t="s">
        <v>13</v>
      </c>
    </row>
    <row r="23" ht="15">
      <c r="E23" s="9" t="s">
        <v>14</v>
      </c>
    </row>
    <row r="24" ht="15">
      <c r="E24" s="9" t="s">
        <v>15</v>
      </c>
    </row>
    <row r="25" ht="15">
      <c r="E25" s="9" t="s">
        <v>16</v>
      </c>
    </row>
    <row r="26" ht="15">
      <c r="E26" s="9" t="s">
        <v>16</v>
      </c>
    </row>
    <row r="27" ht="15">
      <c r="E27" s="9" t="s">
        <v>17</v>
      </c>
    </row>
    <row r="28" ht="15">
      <c r="E28" s="9"/>
    </row>
    <row r="30" spans="1:2" ht="18">
      <c r="A30" s="10" t="s">
        <v>18</v>
      </c>
      <c r="B30" s="10"/>
    </row>
    <row r="31" spans="1:2" ht="15">
      <c r="A31" s="24" t="s">
        <v>258</v>
      </c>
      <c r="B31" s="24"/>
    </row>
    <row r="32" spans="1:2" ht="14.25">
      <c r="A32" s="26"/>
      <c r="B32" s="27" t="s">
        <v>264</v>
      </c>
    </row>
    <row r="33" spans="1:5" ht="15">
      <c r="A33" s="28" t="s">
        <v>229</v>
      </c>
      <c r="B33" s="28" t="s">
        <v>230</v>
      </c>
      <c r="C33" s="28" t="s">
        <v>231</v>
      </c>
      <c r="D33" s="28" t="s">
        <v>232</v>
      </c>
      <c r="E33" s="28" t="s">
        <v>233</v>
      </c>
    </row>
    <row r="34" spans="1:5" ht="12.75">
      <c r="A34" s="25" t="s">
        <v>912</v>
      </c>
      <c r="B34" s="4" t="s">
        <v>242</v>
      </c>
      <c r="C34" s="4" t="s">
        <v>273</v>
      </c>
      <c r="D34" s="4" t="s">
        <v>180</v>
      </c>
      <c r="E34" s="29" t="s">
        <v>930</v>
      </c>
    </row>
    <row r="36" spans="1:2" ht="14.25">
      <c r="A36" s="26"/>
      <c r="B36" s="27" t="s">
        <v>244</v>
      </c>
    </row>
    <row r="37" spans="1:5" ht="15">
      <c r="A37" s="28" t="s">
        <v>229</v>
      </c>
      <c r="B37" s="28" t="s">
        <v>230</v>
      </c>
      <c r="C37" s="28" t="s">
        <v>231</v>
      </c>
      <c r="D37" s="28" t="s">
        <v>232</v>
      </c>
      <c r="E37" s="28" t="s">
        <v>233</v>
      </c>
    </row>
    <row r="38" spans="1:5" ht="12.75">
      <c r="A38" s="25" t="s">
        <v>781</v>
      </c>
      <c r="B38" s="4" t="s">
        <v>244</v>
      </c>
      <c r="C38" s="4" t="s">
        <v>404</v>
      </c>
      <c r="D38" s="4" t="s">
        <v>925</v>
      </c>
      <c r="E38" s="29" t="s">
        <v>931</v>
      </c>
    </row>
    <row r="39" spans="1:5" ht="12.75">
      <c r="A39" s="25" t="s">
        <v>915</v>
      </c>
      <c r="B39" s="4" t="s">
        <v>244</v>
      </c>
      <c r="C39" s="4" t="s">
        <v>273</v>
      </c>
      <c r="D39" s="4" t="s">
        <v>155</v>
      </c>
      <c r="E39" s="29" t="s">
        <v>932</v>
      </c>
    </row>
    <row r="40" spans="1:5" ht="12.75">
      <c r="A40" s="25" t="s">
        <v>921</v>
      </c>
      <c r="B40" s="4" t="s">
        <v>244</v>
      </c>
      <c r="C40" s="4" t="s">
        <v>283</v>
      </c>
      <c r="D40" s="4" t="s">
        <v>222</v>
      </c>
      <c r="E40" s="29" t="s">
        <v>933</v>
      </c>
    </row>
    <row r="41" spans="1:5" ht="12.75">
      <c r="A41" s="25" t="s">
        <v>448</v>
      </c>
      <c r="B41" s="4" t="s">
        <v>244</v>
      </c>
      <c r="C41" s="4" t="s">
        <v>404</v>
      </c>
      <c r="D41" s="4" t="s">
        <v>153</v>
      </c>
      <c r="E41" s="29" t="s">
        <v>934</v>
      </c>
    </row>
    <row r="43" spans="1:2" ht="14.25">
      <c r="A43" s="26"/>
      <c r="B43" s="27" t="s">
        <v>255</v>
      </c>
    </row>
    <row r="44" spans="1:5" ht="15">
      <c r="A44" s="28" t="s">
        <v>229</v>
      </c>
      <c r="B44" s="28" t="s">
        <v>230</v>
      </c>
      <c r="C44" s="28" t="s">
        <v>231</v>
      </c>
      <c r="D44" s="28" t="s">
        <v>232</v>
      </c>
      <c r="E44" s="28" t="s">
        <v>233</v>
      </c>
    </row>
    <row r="45" spans="1:5" ht="12.75">
      <c r="A45" s="25" t="s">
        <v>927</v>
      </c>
      <c r="B45" s="4" t="s">
        <v>256</v>
      </c>
      <c r="C45" s="4" t="s">
        <v>265</v>
      </c>
      <c r="D45" s="4" t="s">
        <v>378</v>
      </c>
      <c r="E45" s="29" t="s">
        <v>935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K3:K4"/>
    <mergeCell ref="L3:L4"/>
    <mergeCell ref="M3:M4"/>
    <mergeCell ref="A5:L5"/>
    <mergeCell ref="A9:L9"/>
    <mergeCell ref="A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2019-04-03T15:57:48Z</dcterms:modified>
  <cp:category/>
  <cp:version/>
  <cp:contentType/>
  <cp:contentStatus/>
</cp:coreProperties>
</file>