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21" activeTab="24"/>
  </bookViews>
  <sheets>
    <sheet name="Лист56" sheetId="1" r:id="rId1"/>
    <sheet name="Проф. народный жим 1_2 вес" sheetId="2" r:id="rId2"/>
    <sheet name="Проф. народный жим 1 вес" sheetId="3" r:id="rId3"/>
    <sheet name="Люб. народный жим 1_2 вес" sheetId="4" r:id="rId4"/>
    <sheet name="Люб. народный жим 1 вес" sheetId="5" r:id="rId5"/>
    <sheet name="Русская тяга проф. 200 кг." sheetId="6" r:id="rId6"/>
    <sheet name="Русская тяга проф. 150 кг." sheetId="7" r:id="rId7"/>
    <sheet name="Русская тяга проф. 100 кг." sheetId="8" r:id="rId8"/>
    <sheet name="Русская тяга люб. 100 кг." sheetId="9" r:id="rId9"/>
    <sheet name="Русская тяга люб. 75 кг." sheetId="10" r:id="rId10"/>
    <sheet name="РЖ любители 100 кг." sheetId="11" r:id="rId11"/>
    <sheet name="РЖ любители 75 кг." sheetId="12" r:id="rId12"/>
    <sheet name="РЖ любители 55 кг." sheetId="13" r:id="rId13"/>
    <sheet name="РЖ любители 35 кг." sheetId="14" r:id="rId14"/>
    <sheet name="РЖ Проф 100 кг." sheetId="15" r:id="rId15"/>
    <sheet name="РЖ Проф 55 кг." sheetId="16" r:id="rId16"/>
    <sheet name="Двоеборье люб" sheetId="17" r:id="rId17"/>
    <sheet name="ПРО присед б.э." sheetId="18" r:id="rId18"/>
    <sheet name="Люб. присед б.э." sheetId="19" r:id="rId19"/>
    <sheet name="ПРО тяга б.э." sheetId="20" r:id="rId20"/>
    <sheet name="Люб. тяга б.э." sheetId="21" r:id="rId21"/>
    <sheet name="ПРО жим софт мн.петельная" sheetId="22" r:id="rId22"/>
    <sheet name="Люб. жим жим софт мн.петельная" sheetId="23" r:id="rId23"/>
    <sheet name="ПРО жим б.э." sheetId="24" r:id="rId24"/>
    <sheet name="Люб. жим б.э." sheetId="25" r:id="rId25"/>
    <sheet name="ПРО жим 1.слой" sheetId="26" r:id="rId26"/>
    <sheet name="ПРО Военный жим" sheetId="27" r:id="rId27"/>
    <sheet name="Люб. Военный жим" sheetId="28" r:id="rId28"/>
    <sheet name="ПРО ПЛ. мн.петельная софт" sheetId="29" r:id="rId29"/>
    <sheet name="ПРО ПЛ. б.э." sheetId="30" r:id="rId30"/>
    <sheet name="Люб. ПЛ. б.э." sheetId="31" r:id="rId31"/>
    <sheet name="ПРО ПЛ. 1.петельная софт" sheetId="32" r:id="rId32"/>
    <sheet name="Пауэрспорт Профессионалы" sheetId="33" r:id="rId33"/>
    <sheet name="Пауэрспорт Любители" sheetId="34" r:id="rId34"/>
    <sheet name="Бицепс Профессионалы" sheetId="35" r:id="rId35"/>
    <sheet name="Бицепс Любители" sheetId="36" r:id="rId36"/>
    <sheet name="Жим стоя Профессионалы" sheetId="37" r:id="rId37"/>
  </sheets>
  <definedNames/>
  <calcPr fullCalcOnLoad="1" refMode="R1C1"/>
</workbook>
</file>

<file path=xl/sharedStrings.xml><?xml version="1.0" encoding="utf-8"?>
<sst xmlns="http://schemas.openxmlformats.org/spreadsheetml/2006/main" count="5070" uniqueCount="1346">
  <si>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</si>
  <si>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</si>
  <si>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</si>
  <si>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</si>
  <si>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</si>
  <si>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</si>
  <si>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</si>
  <si>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</si>
  <si>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</si>
  <si>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Коэф</t>
  </si>
  <si>
    <t>Возрастная группа
Дата рождения/Возраст</t>
  </si>
  <si>
    <t>Собственный 
Вес</t>
  </si>
  <si>
    <t>Город/Область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</si>
  <si>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</si>
  <si>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</si>
  <si>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</si>
  <si>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</si>
  <si>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</si>
  <si>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</si>
  <si>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>Результат</t>
  </si>
  <si>
    <t>Кубок сибири по силовым видам спорта "Живая Сталь-4" Пауэрспорт
Одиночный жим штанги стоя Профессионалы
Кемерово/Кемеровская область 19 - 20 октября 2019 г.</t>
  </si>
  <si>
    <t>Shv/Mel</t>
  </si>
  <si>
    <t>Жим стоя</t>
  </si>
  <si>
    <t>ВЕСОВАЯ КАТЕГОРИЯ   75</t>
  </si>
  <si>
    <t>Зак Павел</t>
  </si>
  <si>
    <t>1. Зак Павел</t>
  </si>
  <si>
    <t>Открытая (27.05.1967)/52</t>
  </si>
  <si>
    <t>74,00</t>
  </si>
  <si>
    <t xml:space="preserve">лично </t>
  </si>
  <si>
    <t xml:space="preserve">Кемерово/Кемеровская область </t>
  </si>
  <si>
    <t>85,0</t>
  </si>
  <si>
    <t>95,0</t>
  </si>
  <si>
    <t>102,5</t>
  </si>
  <si>
    <t xml:space="preserve">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</si>
  <si>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</si>
  <si>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</si>
  <si>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</si>
  <si>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</si>
  <si>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</si>
  <si>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</si>
  <si>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</si>
  <si>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75</t>
  </si>
  <si>
    <t>68,8390</t>
  </si>
  <si>
    <t>Кубок сибири по силовым видам спорта "Живая Сталь-4" Пауэрспорт
Одиночный подъём штанги на бицепс Любители
Кемерово/Кемеровская область 19 - 20 октября 2019 г.</t>
  </si>
  <si>
    <t>Подъем на бицепс</t>
  </si>
  <si>
    <t>ВЕСОВАЯ КАТЕГОРИЯ   60</t>
  </si>
  <si>
    <t>Мухарьямова Марьям</t>
  </si>
  <si>
    <t>1. Мухарьямова Марьям</t>
  </si>
  <si>
    <t>Открытая (22.03.1989)/30</t>
  </si>
  <si>
    <t>55,00</t>
  </si>
  <si>
    <t xml:space="preserve">Томск/Томская область </t>
  </si>
  <si>
    <t>25,0</t>
  </si>
  <si>
    <t>27,5</t>
  </si>
  <si>
    <t>30,0</t>
  </si>
  <si>
    <t xml:space="preserve">Кефер И. </t>
  </si>
  <si>
    <t>ВЕСОВАЯ КАТЕГОРИЯ   67.5</t>
  </si>
  <si>
    <t>Жеребцов Данила</t>
  </si>
  <si>
    <t>1. Жеребцов Данила</t>
  </si>
  <si>
    <t>Юноши 16 - 17 (27.05.2002)/17</t>
  </si>
  <si>
    <t>65,10</t>
  </si>
  <si>
    <t xml:space="preserve">Ачинск/Красноярский край </t>
  </si>
  <si>
    <t>45,0</t>
  </si>
  <si>
    <t>47,5</t>
  </si>
  <si>
    <t xml:space="preserve">Чернов В.Т. </t>
  </si>
  <si>
    <t>Труханов Игорь</t>
  </si>
  <si>
    <t>1. Труханов Игорь</t>
  </si>
  <si>
    <t>Юниоры 20 - 23 (29.11.1998)/20</t>
  </si>
  <si>
    <t>75,00</t>
  </si>
  <si>
    <t xml:space="preserve">Olimp Fitnes Team </t>
  </si>
  <si>
    <t xml:space="preserve">Осинники/Кемеровская область </t>
  </si>
  <si>
    <t>50,0</t>
  </si>
  <si>
    <t>52,5</t>
  </si>
  <si>
    <t xml:space="preserve">Медведев Е. </t>
  </si>
  <si>
    <t>Шелепов Иван</t>
  </si>
  <si>
    <t>1. Шелепов Иван</t>
  </si>
  <si>
    <t>Открытая (24.09.1995)/24</t>
  </si>
  <si>
    <t>57,5</t>
  </si>
  <si>
    <t>62,5</t>
  </si>
  <si>
    <t>Медведев Егор</t>
  </si>
  <si>
    <t>2. Медведев Егор</t>
  </si>
  <si>
    <t>Открытая (23.08.1990)/29</t>
  </si>
  <si>
    <t>65,0</t>
  </si>
  <si>
    <t>Дудкин Антон</t>
  </si>
  <si>
    <t>1. Дудкин Антон</t>
  </si>
  <si>
    <t>Мастера 40 - 44 (19.07.1979)/40</t>
  </si>
  <si>
    <t>73,90</t>
  </si>
  <si>
    <t xml:space="preserve">КироваСпорт </t>
  </si>
  <si>
    <t xml:space="preserve">Новокузнецк/Кемеровская область </t>
  </si>
  <si>
    <t>ВЕСОВАЯ КАТЕГОРИЯ   82.5</t>
  </si>
  <si>
    <t>Слайковский Данила</t>
  </si>
  <si>
    <t>1. Слайковский Данила</t>
  </si>
  <si>
    <t>Юноши 16 - 17 (14.12.2002)/16</t>
  </si>
  <si>
    <t>81,10</t>
  </si>
  <si>
    <t>55,0</t>
  </si>
  <si>
    <t>60,0</t>
  </si>
  <si>
    <t>Баталов Евгений</t>
  </si>
  <si>
    <t>1. Баталов Евгений</t>
  </si>
  <si>
    <t>Открытая (18.07.1993)/26</t>
  </si>
  <si>
    <t>82,10</t>
  </si>
  <si>
    <t xml:space="preserve">Киселёвск/Кемеровская область </t>
  </si>
  <si>
    <t>67,5</t>
  </si>
  <si>
    <t>70,0</t>
  </si>
  <si>
    <t>Шамсутдинов Тимур</t>
  </si>
  <si>
    <t>2. Шамсутдинов Тимур</t>
  </si>
  <si>
    <t>Открытая (20.05.1983)/36</t>
  </si>
  <si>
    <t>79,60</t>
  </si>
  <si>
    <t xml:space="preserve">Здоровье Нации </t>
  </si>
  <si>
    <t>Митичкин Константин</t>
  </si>
  <si>
    <t>3. Митичкин Константин</t>
  </si>
  <si>
    <t>Открытая (19.04.1985)/34</t>
  </si>
  <si>
    <t>82,00</t>
  </si>
  <si>
    <t>42,5</t>
  </si>
  <si>
    <t>Самойлов Евгений</t>
  </si>
  <si>
    <t>4. Самойлов Евгений</t>
  </si>
  <si>
    <t>Открытая (13.07.1989)/30</t>
  </si>
  <si>
    <t>81,20</t>
  </si>
  <si>
    <t xml:space="preserve">СК Атлет </t>
  </si>
  <si>
    <t>40,0</t>
  </si>
  <si>
    <t>ВЕСОВАЯ КАТЕГОРИЯ   100</t>
  </si>
  <si>
    <t>Воробьев Алексей</t>
  </si>
  <si>
    <t>1. Воробьев Алексей</t>
  </si>
  <si>
    <t>Мастера 40 - 44 (18.04.1975)/44</t>
  </si>
  <si>
    <t>97,60</t>
  </si>
  <si>
    <t>ВЕСОВАЯ КАТЕГОРИЯ   110</t>
  </si>
  <si>
    <t>Карташев Олег</t>
  </si>
  <si>
    <t>1. Карташев Олег</t>
  </si>
  <si>
    <t>Открытая (15.04.1994)/25</t>
  </si>
  <si>
    <t>108,00</t>
  </si>
  <si>
    <t>Гриньков Сергей</t>
  </si>
  <si>
    <t>1. Гриньков Сергей</t>
  </si>
  <si>
    <t>Мастера 60 - 64 (03.05.1957)/62</t>
  </si>
  <si>
    <t>106,70</t>
  </si>
  <si>
    <t>72,5</t>
  </si>
  <si>
    <t xml:space="preserve">Женщины </t>
  </si>
  <si>
    <t>60</t>
  </si>
  <si>
    <t>25,4540</t>
  </si>
  <si>
    <t xml:space="preserve">Юноши </t>
  </si>
  <si>
    <t xml:space="preserve">Юноши 16 - 17 </t>
  </si>
  <si>
    <t>82.5</t>
  </si>
  <si>
    <t>42,4970</t>
  </si>
  <si>
    <t>67.5</t>
  </si>
  <si>
    <t>38,4904</t>
  </si>
  <si>
    <t xml:space="preserve">Юниоры </t>
  </si>
  <si>
    <t xml:space="preserve">Юниоры 20 - 23 </t>
  </si>
  <si>
    <t>34,2217</t>
  </si>
  <si>
    <t>43,4980</t>
  </si>
  <si>
    <t>41,2880</t>
  </si>
  <si>
    <t>38,2087</t>
  </si>
  <si>
    <t>110</t>
  </si>
  <si>
    <t>33,6937</t>
  </si>
  <si>
    <t>32,6498</t>
  </si>
  <si>
    <t>29,7445</t>
  </si>
  <si>
    <t xml:space="preserve">Мастера </t>
  </si>
  <si>
    <t xml:space="preserve">Мастера 60 - 64 </t>
  </si>
  <si>
    <t>68,8355</t>
  </si>
  <si>
    <t xml:space="preserve">Мастера 40 - 44 </t>
  </si>
  <si>
    <t>100</t>
  </si>
  <si>
    <t>36,0979</t>
  </si>
  <si>
    <t>35,2957</t>
  </si>
  <si>
    <t xml:space="preserve">Командное первенство </t>
  </si>
  <si>
    <t xml:space="preserve">Команда </t>
  </si>
  <si>
    <t xml:space="preserve">Очки </t>
  </si>
  <si>
    <t xml:space="preserve">Участники </t>
  </si>
  <si>
    <t xml:space="preserve">33(12+9+12) </t>
  </si>
  <si>
    <t xml:space="preserve">Шелепов Иван, Медведев Егор, Труханов Игорь </t>
  </si>
  <si>
    <t xml:space="preserve">24(12+12) </t>
  </si>
  <si>
    <t xml:space="preserve">Дудкин Антон, Воробьев Алексей </t>
  </si>
  <si>
    <t xml:space="preserve">21(12+9) </t>
  </si>
  <si>
    <t xml:space="preserve">Карташев Олег, Шамсутдинов Тимур </t>
  </si>
  <si>
    <t xml:space="preserve">7(7) </t>
  </si>
  <si>
    <t xml:space="preserve">Самойлов Евгений </t>
  </si>
  <si>
    <t>Кубок сибири по силовым видам спорта "Живая Сталь-4" Пауэрспорт
Одиночный подъём штанги на бицепс Профессионалы
Кемерово/Кемеровская область 19 - 20 октября 2019 г.</t>
  </si>
  <si>
    <t>40,2960</t>
  </si>
  <si>
    <t>Кубок сибири по силовым видам спорта "Живая Сталь-4" Пауэрспорт
Пауэрспорт Любители
Кемерово/Кемеровская область 19 - 20 октября 2019 г.</t>
  </si>
  <si>
    <t>Веселова Екатерина</t>
  </si>
  <si>
    <t>1. Веселова Екатерина</t>
  </si>
  <si>
    <t>Девушки 16 - 17 (21.11.2002)/16</t>
  </si>
  <si>
    <t>58,90</t>
  </si>
  <si>
    <t xml:space="preserve">Железное Братство </t>
  </si>
  <si>
    <t>35,0</t>
  </si>
  <si>
    <t>32,5</t>
  </si>
  <si>
    <t xml:space="preserve">Хлыбов В </t>
  </si>
  <si>
    <t>Глушков Артем</t>
  </si>
  <si>
    <t>1. Глушков Артем</t>
  </si>
  <si>
    <t>Открытая (18.08.1990)/29</t>
  </si>
  <si>
    <t>67,40</t>
  </si>
  <si>
    <t>Разумов Рустам</t>
  </si>
  <si>
    <t>2. Разумов Рустам</t>
  </si>
  <si>
    <t>Открытая (13.12.1990)/28</t>
  </si>
  <si>
    <t>66,00</t>
  </si>
  <si>
    <t>Бармашов Константин</t>
  </si>
  <si>
    <t>1. Бармашов Константин</t>
  </si>
  <si>
    <t>Открытая (01.02.1991)/28</t>
  </si>
  <si>
    <t>75,50</t>
  </si>
  <si>
    <t xml:space="preserve">Горно-Алтайск/Алтайский край </t>
  </si>
  <si>
    <t>82,5</t>
  </si>
  <si>
    <t>90,0</t>
  </si>
  <si>
    <t>Худышкин Роман</t>
  </si>
  <si>
    <t>2. Худышкин Роман</t>
  </si>
  <si>
    <t>Открытая (06.12.1994)/24</t>
  </si>
  <si>
    <t>82,20</t>
  </si>
  <si>
    <t>75,0</t>
  </si>
  <si>
    <t>77,5</t>
  </si>
  <si>
    <t>100,0</t>
  </si>
  <si>
    <t xml:space="preserve">Девушки </t>
  </si>
  <si>
    <t>61,7545</t>
  </si>
  <si>
    <t>154,5</t>
  </si>
  <si>
    <t>102,1245</t>
  </si>
  <si>
    <t>145,0</t>
  </si>
  <si>
    <t>90,0305</t>
  </si>
  <si>
    <t>120,0</t>
  </si>
  <si>
    <t>87,2160</t>
  </si>
  <si>
    <t>147,5</t>
  </si>
  <si>
    <t>79,5172</t>
  </si>
  <si>
    <t>75,9320</t>
  </si>
  <si>
    <t xml:space="preserve">Карташев Олег, Худышкин Роман </t>
  </si>
  <si>
    <t xml:space="preserve">12(12) </t>
  </si>
  <si>
    <t xml:space="preserve">Веселова Екатерина </t>
  </si>
  <si>
    <t>Кубок сибири по силовым видам спорта "Живая Сталь-4" Пауэрспорт
Пауэрспорт Профессионалы
Кемерово/Кемеровская область 19 - 20 октября 2019 г.</t>
  </si>
  <si>
    <t>ВЕСОВАЯ КАТЕГОРИЯ   90</t>
  </si>
  <si>
    <t>Ивания Илья</t>
  </si>
  <si>
    <t>1. Ивания Илья</t>
  </si>
  <si>
    <t>Открытая (25.09.1989)/30</t>
  </si>
  <si>
    <t>88,70</t>
  </si>
  <si>
    <t>105,0</t>
  </si>
  <si>
    <t>110,0</t>
  </si>
  <si>
    <t>112,5</t>
  </si>
  <si>
    <t>80,0</t>
  </si>
  <si>
    <t>Егоров Евгений</t>
  </si>
  <si>
    <t>1. Егоров Евгений</t>
  </si>
  <si>
    <t>Юниоры 20 - 23 (15.08.1996)/23</t>
  </si>
  <si>
    <t>91,60</t>
  </si>
  <si>
    <t>115,0</t>
  </si>
  <si>
    <t>Зеленко Игорь</t>
  </si>
  <si>
    <t>1. Зеленко Игорь</t>
  </si>
  <si>
    <t>Мастера 45 - 49 (03.06.1972)/47</t>
  </si>
  <si>
    <t>99,00</t>
  </si>
  <si>
    <t>192,5</t>
  </si>
  <si>
    <t>111,5152</t>
  </si>
  <si>
    <t>90</t>
  </si>
  <si>
    <t>187,5</t>
  </si>
  <si>
    <t>110,7187</t>
  </si>
  <si>
    <t>162,5</t>
  </si>
  <si>
    <t>109,1350</t>
  </si>
  <si>
    <t xml:space="preserve">Мастера 45 - 49 </t>
  </si>
  <si>
    <t>170,0</t>
  </si>
  <si>
    <t>103,3087</t>
  </si>
  <si>
    <t xml:space="preserve">Зеленко Игорь </t>
  </si>
  <si>
    <t>Приседание</t>
  </si>
  <si>
    <t>Жим лёжа</t>
  </si>
  <si>
    <t>Становая тяга</t>
  </si>
  <si>
    <t>Гаврилова Ксения</t>
  </si>
  <si>
    <t>1. Гаврилова Ксения</t>
  </si>
  <si>
    <t>Девушки 18 - 19 (09.09.2000)/19</t>
  </si>
  <si>
    <t>67,50</t>
  </si>
  <si>
    <t>130,0</t>
  </si>
  <si>
    <t>137,5</t>
  </si>
  <si>
    <t>142,5</t>
  </si>
  <si>
    <t>127,5</t>
  </si>
  <si>
    <t xml:space="preserve">Хоронжак И </t>
  </si>
  <si>
    <t>ВЕСОВАЯ КАТЕГОРИЯ   140</t>
  </si>
  <si>
    <t>Голубев Евгений</t>
  </si>
  <si>
    <t>1. Голубев Евгений</t>
  </si>
  <si>
    <t>Открытая (29.03.1969)/50</t>
  </si>
  <si>
    <t>135,00</t>
  </si>
  <si>
    <t xml:space="preserve">Красноярск/Красноярский край </t>
  </si>
  <si>
    <t>200,0</t>
  </si>
  <si>
    <t>220,0</t>
  </si>
  <si>
    <t>230,0</t>
  </si>
  <si>
    <t>150,0</t>
  </si>
  <si>
    <t>160,0</t>
  </si>
  <si>
    <t>175,0</t>
  </si>
  <si>
    <t>210,0</t>
  </si>
  <si>
    <t>245,0</t>
  </si>
  <si>
    <t xml:space="preserve">Верхотуров А. </t>
  </si>
  <si>
    <t>Мастера 50 - 54 (29.03.1969)/50</t>
  </si>
  <si>
    <t xml:space="preserve">Юноши 18 - 19 </t>
  </si>
  <si>
    <t>407,5</t>
  </si>
  <si>
    <t>330,0343</t>
  </si>
  <si>
    <t>140</t>
  </si>
  <si>
    <t>605,0</t>
  </si>
  <si>
    <t>307,9450</t>
  </si>
  <si>
    <t xml:space="preserve">Мастера 50 - 54 </t>
  </si>
  <si>
    <t>361,2195</t>
  </si>
  <si>
    <t>Кубок Сибири по силовым видам спорта
Любители пауэрлифтинг без экипировки
Кемерово/Кемеровская область 19 - 20 октября 2019 г.</t>
  </si>
  <si>
    <t>Курнавкина Виолетта</t>
  </si>
  <si>
    <t>1. Курнавкина Виолетта</t>
  </si>
  <si>
    <t>Девушки 14-15 (18.11.2004)/14</t>
  </si>
  <si>
    <t>60,00</t>
  </si>
  <si>
    <t>Шумилова Екатерина</t>
  </si>
  <si>
    <t>1. Шумилова Екатерина</t>
  </si>
  <si>
    <t>Девушки 16 - 17 (08.09.2002)/17</t>
  </si>
  <si>
    <t>Минакова Валентина</t>
  </si>
  <si>
    <t>1. Минакова Валентина</t>
  </si>
  <si>
    <t>Открытая (01.11.1987)/31</t>
  </si>
  <si>
    <t>67,30</t>
  </si>
  <si>
    <t xml:space="preserve">Полысаево/Кемеровская область </t>
  </si>
  <si>
    <t>122,5</t>
  </si>
  <si>
    <t>125,0</t>
  </si>
  <si>
    <t>135,0</t>
  </si>
  <si>
    <t>Томилова Дарья</t>
  </si>
  <si>
    <t>2. Томилова Дарья</t>
  </si>
  <si>
    <t>Открытая (07.10.1999)/20</t>
  </si>
  <si>
    <t>62,50</t>
  </si>
  <si>
    <t>140,0</t>
  </si>
  <si>
    <t xml:space="preserve">Водопьянов М. </t>
  </si>
  <si>
    <t>ВЕСОВАЯ КАТЕГОРИЯ   90+</t>
  </si>
  <si>
    <t>Симонова Татьяна</t>
  </si>
  <si>
    <t>1. Симонова Татьяна</t>
  </si>
  <si>
    <t>Юниорки 20 - 23 (04.08.1999)/20</t>
  </si>
  <si>
    <t>116,00</t>
  </si>
  <si>
    <t>155,0</t>
  </si>
  <si>
    <t xml:space="preserve">Ефременко В.Н, </t>
  </si>
  <si>
    <t>ВЕСОВАЯ КАТЕГОРИЯ   56</t>
  </si>
  <si>
    <t>Тусалимов Андрей</t>
  </si>
  <si>
    <t>1. Тусалимов Андрей</t>
  </si>
  <si>
    <t>Открытая (10.05.1992)/27</t>
  </si>
  <si>
    <t>56,00</t>
  </si>
  <si>
    <t xml:space="preserve">Ефременко В </t>
  </si>
  <si>
    <t>Гауз Виктор</t>
  </si>
  <si>
    <t>1. Гауз Виктор</t>
  </si>
  <si>
    <t>Юноши 16 - 17 (19.08.2002)/17</t>
  </si>
  <si>
    <t>63,60</t>
  </si>
  <si>
    <t>Коньшин Александр</t>
  </si>
  <si>
    <t>1. Коньшин Александр</t>
  </si>
  <si>
    <t>Юноши 16 - 17 (10.04.2003)/16</t>
  </si>
  <si>
    <t>69,90</t>
  </si>
  <si>
    <t xml:space="preserve">Сотник </t>
  </si>
  <si>
    <t>-. Медведев Егор</t>
  </si>
  <si>
    <t>180,0</t>
  </si>
  <si>
    <t>190,0</t>
  </si>
  <si>
    <t>Фишер Евгений</t>
  </si>
  <si>
    <t>1. Фишер Евгений</t>
  </si>
  <si>
    <t>Юноши 14-15 (04.03.2004)/15</t>
  </si>
  <si>
    <t>79,50</t>
  </si>
  <si>
    <t>Казбеев Олег</t>
  </si>
  <si>
    <t>1. Казбеев Олег</t>
  </si>
  <si>
    <t>Юниоры 20 - 23 (15.06.1996)/23</t>
  </si>
  <si>
    <t>82,30</t>
  </si>
  <si>
    <t>Кохась Петр</t>
  </si>
  <si>
    <t>1. Кохась Петр</t>
  </si>
  <si>
    <t>Открытая (18.04.1990)/29</t>
  </si>
  <si>
    <t>81,40</t>
  </si>
  <si>
    <t>195,0</t>
  </si>
  <si>
    <t>205,0</t>
  </si>
  <si>
    <t>212,5</t>
  </si>
  <si>
    <t>225,0</t>
  </si>
  <si>
    <t>Сулимов Андрей</t>
  </si>
  <si>
    <t>2. Сулимов Андрей</t>
  </si>
  <si>
    <t>Открытая (04.12.1992)/26</t>
  </si>
  <si>
    <t>77,30</t>
  </si>
  <si>
    <t>165,0</t>
  </si>
  <si>
    <t>172,5</t>
  </si>
  <si>
    <t>185,0</t>
  </si>
  <si>
    <t>Журавлев Андрей</t>
  </si>
  <si>
    <t>1. Журавлев Андрей</t>
  </si>
  <si>
    <t>Открытая (06.10.1993)/26</t>
  </si>
  <si>
    <t>89,20</t>
  </si>
  <si>
    <t>132,5</t>
  </si>
  <si>
    <t>Сысолов Денис</t>
  </si>
  <si>
    <t>1. Сысолов Денис</t>
  </si>
  <si>
    <t>Юноши 16 - 17 (10.06.2002)/17</t>
  </si>
  <si>
    <t>99,50</t>
  </si>
  <si>
    <t xml:space="preserve">Юноши 14-15 </t>
  </si>
  <si>
    <t>232,9595</t>
  </si>
  <si>
    <t>190,6033</t>
  </si>
  <si>
    <t xml:space="preserve">Юниорки </t>
  </si>
  <si>
    <t>90+</t>
  </si>
  <si>
    <t>362,5</t>
  </si>
  <si>
    <t>209,6314</t>
  </si>
  <si>
    <t>312,5</t>
  </si>
  <si>
    <t>259,9531</t>
  </si>
  <si>
    <t>330,0</t>
  </si>
  <si>
    <t>257,7960</t>
  </si>
  <si>
    <t>315,0</t>
  </si>
  <si>
    <t>260,9674</t>
  </si>
  <si>
    <t>345,0</t>
  </si>
  <si>
    <t>258,8342</t>
  </si>
  <si>
    <t>415,0</t>
  </si>
  <si>
    <t>248,8855</t>
  </si>
  <si>
    <t>305,0</t>
  </si>
  <si>
    <t>242,6336</t>
  </si>
  <si>
    <t>445,0</t>
  </si>
  <si>
    <t>276,0335</t>
  </si>
  <si>
    <t>56</t>
  </si>
  <si>
    <t>425,0</t>
  </si>
  <si>
    <t>371,7900</t>
  </si>
  <si>
    <t>577,5</t>
  </si>
  <si>
    <t>360,9953</t>
  </si>
  <si>
    <t>532,5</t>
  </si>
  <si>
    <t>313,3763</t>
  </si>
  <si>
    <t>460,0</t>
  </si>
  <si>
    <t>298,6320</t>
  </si>
  <si>
    <t>495,0</t>
  </si>
  <si>
    <t>266,8545</t>
  </si>
  <si>
    <t xml:space="preserve">Фишер Евгений, Сулимов Андрей, Коньшин Александр </t>
  </si>
  <si>
    <t xml:space="preserve">Тусалимов Андрей, Симонова Татьяна </t>
  </si>
  <si>
    <t xml:space="preserve">Гауз Виктор </t>
  </si>
  <si>
    <t xml:space="preserve">Карташев Олег </t>
  </si>
  <si>
    <t>Кубок Сибири по силовым видам спорта
ПРО пауэрлифтинг без экипировки
Кемерово/Кемеровская область 19 - 20 октября 2019 г.</t>
  </si>
  <si>
    <t>Зиганшина Елена</t>
  </si>
  <si>
    <t>1. Зиганшина Елена</t>
  </si>
  <si>
    <t>Открытая (14.05.1981)/38</t>
  </si>
  <si>
    <t xml:space="preserve">Междуреченск/Кемеровская область </t>
  </si>
  <si>
    <t xml:space="preserve">Панников Д </t>
  </si>
  <si>
    <t>ВЕСОВАЯ КАТЕГОРИЯ   52</t>
  </si>
  <si>
    <t>Рымзин Владимир</t>
  </si>
  <si>
    <t>1. Рымзин Владимир</t>
  </si>
  <si>
    <t>Юноши 0-13 (23.01.2006)/13</t>
  </si>
  <si>
    <t>47,90</t>
  </si>
  <si>
    <t xml:space="preserve">Веселые ребята </t>
  </si>
  <si>
    <t>37,5</t>
  </si>
  <si>
    <t xml:space="preserve">Черняков Т </t>
  </si>
  <si>
    <t>Раевский Кирилл</t>
  </si>
  <si>
    <t>1. Раевский Кирилл</t>
  </si>
  <si>
    <t>Юноши 14-15 (22.07.2005)/14</t>
  </si>
  <si>
    <t>38,00</t>
  </si>
  <si>
    <t>Емельянов Николай</t>
  </si>
  <si>
    <t>1. Емельянов Николай</t>
  </si>
  <si>
    <t>Мастера 55 - 59 (30.12.1963)/55</t>
  </si>
  <si>
    <t>66,30</t>
  </si>
  <si>
    <t xml:space="preserve">Ленинск-Кузнецкий/Кемеровская область </t>
  </si>
  <si>
    <t>Каспаров Руслан</t>
  </si>
  <si>
    <t>1. Каспаров Руслан</t>
  </si>
  <si>
    <t>Юноши 16 - 17 (17.12.2002)/16</t>
  </si>
  <si>
    <t>73,00</t>
  </si>
  <si>
    <t>87,5</t>
  </si>
  <si>
    <t>Чекин Ярослав</t>
  </si>
  <si>
    <t>1. Чекин Ярослав</t>
  </si>
  <si>
    <t>Юноши 16 - 17 (01.08.2002)/17</t>
  </si>
  <si>
    <t>81,00</t>
  </si>
  <si>
    <t xml:space="preserve">Анжеро-Судженск/Кемеровская область </t>
  </si>
  <si>
    <t>Черепанов Дмитрий</t>
  </si>
  <si>
    <t>1. Черепанов Дмитрий</t>
  </si>
  <si>
    <t>Открытая (11.07.1983)/36</t>
  </si>
  <si>
    <t>88,00</t>
  </si>
  <si>
    <t>255,0</t>
  </si>
  <si>
    <t>270,0</t>
  </si>
  <si>
    <t>Курилов Евгений</t>
  </si>
  <si>
    <t>2. Курилов Евгений</t>
  </si>
  <si>
    <t>Открытая (07.05.1981)/38</t>
  </si>
  <si>
    <t>89,40</t>
  </si>
  <si>
    <t>152,5</t>
  </si>
  <si>
    <t>157,5</t>
  </si>
  <si>
    <t>215,0</t>
  </si>
  <si>
    <t>232,5</t>
  </si>
  <si>
    <t>Долгов Кирилл</t>
  </si>
  <si>
    <t>3. Долгов Кирилл</t>
  </si>
  <si>
    <t>Открытая (08.07.1987)/32</t>
  </si>
  <si>
    <t>88,60</t>
  </si>
  <si>
    <t>Востриков Денис</t>
  </si>
  <si>
    <t>1. Востриков Денис</t>
  </si>
  <si>
    <t>Юниоры 20 - 23 (13.12.1997)/21</t>
  </si>
  <si>
    <t>98,10</t>
  </si>
  <si>
    <t xml:space="preserve">Барнаул/Алтайский край </t>
  </si>
  <si>
    <t>240,0</t>
  </si>
  <si>
    <t>252,5</t>
  </si>
  <si>
    <t>Иванов Максим</t>
  </si>
  <si>
    <t>1. Иванов Максим</t>
  </si>
  <si>
    <t>Открытая (16.06.1989)/30</t>
  </si>
  <si>
    <t>96,90</t>
  </si>
  <si>
    <t>250,0</t>
  </si>
  <si>
    <t>167,5</t>
  </si>
  <si>
    <t>260,0</t>
  </si>
  <si>
    <t>280,0</t>
  </si>
  <si>
    <t>290,0</t>
  </si>
  <si>
    <t>Поткин Артем</t>
  </si>
  <si>
    <t>2. Поткин Артем</t>
  </si>
  <si>
    <t>Открытая (21.04.1994)/25</t>
  </si>
  <si>
    <t>99,70</t>
  </si>
  <si>
    <t>235,0</t>
  </si>
  <si>
    <t>Южаков Иван</t>
  </si>
  <si>
    <t>1. Южаков Иван</t>
  </si>
  <si>
    <t>Открытая (09.06.1995)/24</t>
  </si>
  <si>
    <t>110,00</t>
  </si>
  <si>
    <t>275,0</t>
  </si>
  <si>
    <t>Батышев Вячеслав</t>
  </si>
  <si>
    <t>2. Батышев Вячеслав</t>
  </si>
  <si>
    <t>Открытая (29.04.1989)/30</t>
  </si>
  <si>
    <t>102,00</t>
  </si>
  <si>
    <t>227,5</t>
  </si>
  <si>
    <t>182,5</t>
  </si>
  <si>
    <t>262,5</t>
  </si>
  <si>
    <t xml:space="preserve">Зевякин И </t>
  </si>
  <si>
    <t>ВЕСОВАЯ КАТЕГОРИЯ   125</t>
  </si>
  <si>
    <t>Пахомов Павел</t>
  </si>
  <si>
    <t>1. Пахомов Павел</t>
  </si>
  <si>
    <t>Открытая (02.04.1986)/33</t>
  </si>
  <si>
    <t>122,10</t>
  </si>
  <si>
    <t>257,5</t>
  </si>
  <si>
    <t>352,5</t>
  </si>
  <si>
    <t>254,4874</t>
  </si>
  <si>
    <t>382,5</t>
  </si>
  <si>
    <t>293,4376</t>
  </si>
  <si>
    <t>405,0</t>
  </si>
  <si>
    <t>274,3810</t>
  </si>
  <si>
    <t>52</t>
  </si>
  <si>
    <t>266,5342</t>
  </si>
  <si>
    <t xml:space="preserve">Юноши 0-13 </t>
  </si>
  <si>
    <t>235,6090</t>
  </si>
  <si>
    <t>344,8972</t>
  </si>
  <si>
    <t>660,0</t>
  </si>
  <si>
    <t>391,7100</t>
  </si>
  <si>
    <t>677,5</t>
  </si>
  <si>
    <t>380,8905</t>
  </si>
  <si>
    <t>665,0</t>
  </si>
  <si>
    <t>365,4175</t>
  </si>
  <si>
    <t>657,5</t>
  </si>
  <si>
    <t>364,7810</t>
  </si>
  <si>
    <t>672,5</t>
  </si>
  <si>
    <t>360,7962</t>
  </si>
  <si>
    <t>585,0</t>
  </si>
  <si>
    <t>343,8045</t>
  </si>
  <si>
    <t>125</t>
  </si>
  <si>
    <t>635,0</t>
  </si>
  <si>
    <t>333,2480</t>
  </si>
  <si>
    <t>470,0</t>
  </si>
  <si>
    <t>277,7700</t>
  </si>
  <si>
    <t xml:space="preserve">Мастера 55 - 59 </t>
  </si>
  <si>
    <t>350,0</t>
  </si>
  <si>
    <t>356,3091</t>
  </si>
  <si>
    <t>580,0</t>
  </si>
  <si>
    <t>352,4649</t>
  </si>
  <si>
    <t xml:space="preserve">41(8+12+9+12) </t>
  </si>
  <si>
    <t xml:space="preserve">Долгов Кирилл, Зеленко Игорь, Курилов Евгений, Черепанов Дмитрий </t>
  </si>
  <si>
    <t xml:space="preserve">33(12+12+9) </t>
  </si>
  <si>
    <t xml:space="preserve">Чекин Ярослав, Рымзин Владимир, Батышев Вячеслав </t>
  </si>
  <si>
    <t>Стяжкин Никита</t>
  </si>
  <si>
    <t>1. Стяжкин Никита</t>
  </si>
  <si>
    <t>Юниоры 20 - 23 (17.06.1999)/20</t>
  </si>
  <si>
    <t>95,50</t>
  </si>
  <si>
    <t>247,5</t>
  </si>
  <si>
    <t>Бачин Артем</t>
  </si>
  <si>
    <t>1. Бачин Артем</t>
  </si>
  <si>
    <t>Открытая (19.10.1983)/36</t>
  </si>
  <si>
    <t>116,30</t>
  </si>
  <si>
    <t>265,0</t>
  </si>
  <si>
    <t>ВЕСОВАЯ КАТЕГОРИЯ   140+</t>
  </si>
  <si>
    <t>Самойлик Александр</t>
  </si>
  <si>
    <t>1. Самойлик Александр</t>
  </si>
  <si>
    <t>Мастера 40 - 44 (20.06.1975)/44</t>
  </si>
  <si>
    <t>145,50</t>
  </si>
  <si>
    <t>767,5</t>
  </si>
  <si>
    <t>447,6743</t>
  </si>
  <si>
    <t>780,0</t>
  </si>
  <si>
    <t>413,5560</t>
  </si>
  <si>
    <t>140+</t>
  </si>
  <si>
    <t>700,0</t>
  </si>
  <si>
    <t>359,0458</t>
  </si>
  <si>
    <t xml:space="preserve">Самойлик Александр </t>
  </si>
  <si>
    <t xml:space="preserve">Бачин Артем </t>
  </si>
  <si>
    <t>Кубок Сибири по силовым видам спорта
Любители военный жим
Кемерово/Кемеровская область 19 - 20 октября 2019 г.</t>
  </si>
  <si>
    <t>Максимов Константин</t>
  </si>
  <si>
    <t>1. Максимов Константин</t>
  </si>
  <si>
    <t>Открытая (17.06.1982)/37</t>
  </si>
  <si>
    <t>66,80</t>
  </si>
  <si>
    <t xml:space="preserve">Вайнс </t>
  </si>
  <si>
    <t>92,5</t>
  </si>
  <si>
    <t>97,5</t>
  </si>
  <si>
    <t>Белянко Геннадий</t>
  </si>
  <si>
    <t>1. Белянко Геннадий</t>
  </si>
  <si>
    <t>Мастера 65 - 69 (24.05.1951)/68</t>
  </si>
  <si>
    <t>89,90</t>
  </si>
  <si>
    <t>Швецов Евгений</t>
  </si>
  <si>
    <t>1. Швецов Евгений</t>
  </si>
  <si>
    <t>Открытая (05.02.1992)/27</t>
  </si>
  <si>
    <t>117,00</t>
  </si>
  <si>
    <t>90,0320</t>
  </si>
  <si>
    <t>67,7747</t>
  </si>
  <si>
    <t xml:space="preserve">Мастера 65 - 69 </t>
  </si>
  <si>
    <t>118,8971</t>
  </si>
  <si>
    <t xml:space="preserve">Максимов Константин </t>
  </si>
  <si>
    <t>Кубок Сибири по силовым видам спорта
ПРО военный жим
Кемерово/Кемеровская область 19 - 20 октября 2019 г.</t>
  </si>
  <si>
    <t>Решетников Евгений</t>
  </si>
  <si>
    <t>1. Решетников Евгений</t>
  </si>
  <si>
    <t>Мастера 40 - 44 (23.02.1978)/41</t>
  </si>
  <si>
    <t>85,20</t>
  </si>
  <si>
    <t>91,1577</t>
  </si>
  <si>
    <t>Кубок Сибири по силовым видам спорта
ПРО жим лежа в однослойной экипировке
Кемерово/Кемеровская область 19 - 20 октября 2019 г.</t>
  </si>
  <si>
    <t>Павельев Егор</t>
  </si>
  <si>
    <t>1. Павельев Егор</t>
  </si>
  <si>
    <t>Открытая (09.09.1991)/28</t>
  </si>
  <si>
    <t>89,00</t>
  </si>
  <si>
    <t>207,5</t>
  </si>
  <si>
    <t>237,5</t>
  </si>
  <si>
    <t>Трушин Николай</t>
  </si>
  <si>
    <t>2. Трушин Николай</t>
  </si>
  <si>
    <t>Открытая (12.11.1985)/33</t>
  </si>
  <si>
    <t>86,20</t>
  </si>
  <si>
    <t>Черданцев Антон</t>
  </si>
  <si>
    <t>1. Черданцев Антон</t>
  </si>
  <si>
    <t>Открытая (28.12.1982)/36</t>
  </si>
  <si>
    <t>96,00</t>
  </si>
  <si>
    <t>122,2797</t>
  </si>
  <si>
    <t>108,2340</t>
  </si>
  <si>
    <t>90,3680</t>
  </si>
  <si>
    <t>Кубок Сибири по силовым видам спорта
Любители жим лежа без экипировки
Кемерово/Кемеровская область 19 - 20 октября 2019 г.</t>
  </si>
  <si>
    <t>ВЕСОВАЯ КАТЕГОРИЯ   48</t>
  </si>
  <si>
    <t>Черныш Вита</t>
  </si>
  <si>
    <t>1. Черныш Вита</t>
  </si>
  <si>
    <t>Открытая (29.06.1987)/32</t>
  </si>
  <si>
    <t>48,00</t>
  </si>
  <si>
    <t>Андронова Алена</t>
  </si>
  <si>
    <t>1. Андронова Алена</t>
  </si>
  <si>
    <t>Открытая (08.04.1986)/33</t>
  </si>
  <si>
    <t>58,70</t>
  </si>
  <si>
    <t>Завгородская Елизавета</t>
  </si>
  <si>
    <t>2. Завгородская Елизавета</t>
  </si>
  <si>
    <t>Открытая (14.05.1994)/25</t>
  </si>
  <si>
    <t>Сульянова Марина</t>
  </si>
  <si>
    <t>3. Сульянова Марина</t>
  </si>
  <si>
    <t>Открытая (14.01.1988)/31</t>
  </si>
  <si>
    <t xml:space="preserve">Кочубей Р </t>
  </si>
  <si>
    <t>Соколова Оксана</t>
  </si>
  <si>
    <t>4. Соколова Оксана</t>
  </si>
  <si>
    <t>Открытая (21.06.1985)/34</t>
  </si>
  <si>
    <t>Бакланова Анастасия</t>
  </si>
  <si>
    <t>1. Бакланова Анастасия</t>
  </si>
  <si>
    <t>Девушки 16 - 17 (19.07.2002)/17</t>
  </si>
  <si>
    <t>64,00</t>
  </si>
  <si>
    <t>Ряднова Юлия</t>
  </si>
  <si>
    <t>1. Ряднова Юлия</t>
  </si>
  <si>
    <t>Юниорки 20 - 23 (19.10.1999)/20</t>
  </si>
  <si>
    <t>65,50</t>
  </si>
  <si>
    <t>Ворфоломеева Екатерина</t>
  </si>
  <si>
    <t>2. Ворфоломеева Екатерина</t>
  </si>
  <si>
    <t>Юниорки 20 - 23 (16.09.1998)/21</t>
  </si>
  <si>
    <t xml:space="preserve">Шлейфер В.Г. </t>
  </si>
  <si>
    <t>Соколова Мария</t>
  </si>
  <si>
    <t>1. Соколова Мария</t>
  </si>
  <si>
    <t>Девушки 18 - 19 (18.09.2000)/19</t>
  </si>
  <si>
    <t>71,80</t>
  </si>
  <si>
    <t>Русакова Полина</t>
  </si>
  <si>
    <t>1. Русакова Полина</t>
  </si>
  <si>
    <t>Девушки 18 - 19 (20.07.2000)/19</t>
  </si>
  <si>
    <t>76,20</t>
  </si>
  <si>
    <t xml:space="preserve">Русакова </t>
  </si>
  <si>
    <t>Открытая (30.01.1995)/24</t>
  </si>
  <si>
    <t>90,00</t>
  </si>
  <si>
    <t>Найман Артем</t>
  </si>
  <si>
    <t>1. Найман Артем</t>
  </si>
  <si>
    <t>Юноши 0-13 (06.03.2009)/10</t>
  </si>
  <si>
    <t>34,00</t>
  </si>
  <si>
    <t>Фролов Савва</t>
  </si>
  <si>
    <t>2. Фролов Савва</t>
  </si>
  <si>
    <t>Юноши 0-13 (18.12.2010)/8</t>
  </si>
  <si>
    <t>20,0</t>
  </si>
  <si>
    <t>22,5</t>
  </si>
  <si>
    <t>Волошин Владимир</t>
  </si>
  <si>
    <t>-. Волошин Владимир</t>
  </si>
  <si>
    <t>Открытая (04.09.1988)/31</t>
  </si>
  <si>
    <t>25,00</t>
  </si>
  <si>
    <t>Заболотный Владислав</t>
  </si>
  <si>
    <t>1. Заболотный Владислав</t>
  </si>
  <si>
    <t>Юноши 0-13 (05.05.2006)/13</t>
  </si>
  <si>
    <t>Ковалев Захар</t>
  </si>
  <si>
    <t>2. Ковалев Захар</t>
  </si>
  <si>
    <t>Юноши 0-13 (01.12.2008)/10</t>
  </si>
  <si>
    <t>54,60</t>
  </si>
  <si>
    <t>Андреев Максим</t>
  </si>
  <si>
    <t>1. Андреев Максим</t>
  </si>
  <si>
    <t>Юноши 14-15 (16.01.2004)/15</t>
  </si>
  <si>
    <t>55,40</t>
  </si>
  <si>
    <t>Ливенцов Артем</t>
  </si>
  <si>
    <t>1. Ливенцов Артем</t>
  </si>
  <si>
    <t>Юноши 0-13 (11.05.2006)/13</t>
  </si>
  <si>
    <t>63,00</t>
  </si>
  <si>
    <t>Филимоничев Сергей</t>
  </si>
  <si>
    <t>2. Филимоничев Сергей</t>
  </si>
  <si>
    <t>Юноши 0-13 (01.08.2009)/10</t>
  </si>
  <si>
    <t>Внуков Данил</t>
  </si>
  <si>
    <t>1. Внуков Данил</t>
  </si>
  <si>
    <t>Юноши 14-15 (11.07.2004)/15</t>
  </si>
  <si>
    <t>70,70</t>
  </si>
  <si>
    <t xml:space="preserve">Промышленная/Кемеровская область </t>
  </si>
  <si>
    <t>Галюков Вадим</t>
  </si>
  <si>
    <t>2. Галюков Вадим</t>
  </si>
  <si>
    <t>Юниоры 20 - 23 (10.04.1998)/21</t>
  </si>
  <si>
    <t>70,00</t>
  </si>
  <si>
    <t>Карпов Михаил</t>
  </si>
  <si>
    <t>1. Карпов Михаил</t>
  </si>
  <si>
    <t>Открытая (06.04.1992)/27</t>
  </si>
  <si>
    <t>73,60</t>
  </si>
  <si>
    <t>Ильиченко Владимир</t>
  </si>
  <si>
    <t>1. Ильиченко Владимир</t>
  </si>
  <si>
    <t>Мастера 60 - 64 (05.02.1957)/62</t>
  </si>
  <si>
    <t>107,5</t>
  </si>
  <si>
    <t>Ярыгин Александр</t>
  </si>
  <si>
    <t>1. Ярыгин Александр</t>
  </si>
  <si>
    <t>Мастера 65 - 69 (30.07.1951)/68</t>
  </si>
  <si>
    <t>Макеев Вадим</t>
  </si>
  <si>
    <t>1. Макеев Вадим</t>
  </si>
  <si>
    <t>Открытая (10.12.1993)/25</t>
  </si>
  <si>
    <t>Жатиков Владимир</t>
  </si>
  <si>
    <t>3. Жатиков Владимир</t>
  </si>
  <si>
    <t>Открытая (18.05.1991)/28</t>
  </si>
  <si>
    <t>80,90</t>
  </si>
  <si>
    <t xml:space="preserve">Прокопьевск/Кемеровская область </t>
  </si>
  <si>
    <t>Самаркин Василий</t>
  </si>
  <si>
    <t>4. Самаркин Василий</t>
  </si>
  <si>
    <t>Открытая (19.06.1988)/31</t>
  </si>
  <si>
    <t>82,50</t>
  </si>
  <si>
    <t>5. Волошин Владимир</t>
  </si>
  <si>
    <t>80,10</t>
  </si>
  <si>
    <t>Лямкин Артем</t>
  </si>
  <si>
    <t>6. Лямкин Артем</t>
  </si>
  <si>
    <t>Открытая (26.11.1991)/27</t>
  </si>
  <si>
    <t>79,00</t>
  </si>
  <si>
    <t>Дектярев Михаил</t>
  </si>
  <si>
    <t>7. Дектярев Михаил</t>
  </si>
  <si>
    <t>Открытая (19.10.1993)/26</t>
  </si>
  <si>
    <t>81,50</t>
  </si>
  <si>
    <t>-. Мальцев Сергей</t>
  </si>
  <si>
    <t>Открытая (10.07.1991)/28</t>
  </si>
  <si>
    <t>77,80</t>
  </si>
  <si>
    <t>117,5</t>
  </si>
  <si>
    <t>Пеленев Илья</t>
  </si>
  <si>
    <t>1. Пеленев Илья</t>
  </si>
  <si>
    <t>Юноши 16 - 17 (02.06.2002)/17</t>
  </si>
  <si>
    <t>Осипенко Святослав</t>
  </si>
  <si>
    <t>1. Осипенко Святослав</t>
  </si>
  <si>
    <t>Юниоры 20 - 23 (05.05.1998)/21</t>
  </si>
  <si>
    <t>87,60</t>
  </si>
  <si>
    <t>Романович Денис</t>
  </si>
  <si>
    <t>1. Романович Денис</t>
  </si>
  <si>
    <t>Открытая (15.06.1988)/31</t>
  </si>
  <si>
    <t xml:space="preserve">Яшкино/Кемеровская область </t>
  </si>
  <si>
    <t>Бирюлин Александр</t>
  </si>
  <si>
    <t>2. Бирюлин Александр</t>
  </si>
  <si>
    <t>Открытая (10.11.1993)/25</t>
  </si>
  <si>
    <t>Открытая (21.11.1985)/33</t>
  </si>
  <si>
    <t>88,90</t>
  </si>
  <si>
    <t>Туманов Никита</t>
  </si>
  <si>
    <t>4. Туманов Никита</t>
  </si>
  <si>
    <t>Открытая (10.07.1984)/35</t>
  </si>
  <si>
    <t>Сухоненко Сергей</t>
  </si>
  <si>
    <t>5. Сухоненко Сергей</t>
  </si>
  <si>
    <t>Открытая (27.09.1985)/34</t>
  </si>
  <si>
    <t>89,50</t>
  </si>
  <si>
    <t>Зайцев Алексей</t>
  </si>
  <si>
    <t>1. Зайцев Алексей</t>
  </si>
  <si>
    <t>Мастера 40 - 44 (30.05.1978)/41</t>
  </si>
  <si>
    <t>Битук Андрей</t>
  </si>
  <si>
    <t>1. Битук Андрей</t>
  </si>
  <si>
    <t>Мастера 45 - 49 (28.02.1974)/45</t>
  </si>
  <si>
    <t>86,80</t>
  </si>
  <si>
    <t>Шлейфер Виктор</t>
  </si>
  <si>
    <t>1. Шлейфер Виктор</t>
  </si>
  <si>
    <t>Мастера 70 - 74 (23.07.1948)/71</t>
  </si>
  <si>
    <t>86,50</t>
  </si>
  <si>
    <t>Григорьев Петр</t>
  </si>
  <si>
    <t>1. Григорьев Петр</t>
  </si>
  <si>
    <t>Открытая (22.11.1984)/34</t>
  </si>
  <si>
    <t>100,00</t>
  </si>
  <si>
    <t>Белкин Александр</t>
  </si>
  <si>
    <t>2. Белкин Александр</t>
  </si>
  <si>
    <t>Открытая (21.06.1981)/38</t>
  </si>
  <si>
    <t>Заволокин Роман</t>
  </si>
  <si>
    <t>3. Заволокин Роман</t>
  </si>
  <si>
    <t>Открытая (23.03.1991)/28</t>
  </si>
  <si>
    <t>97,90</t>
  </si>
  <si>
    <t>Попов Максим</t>
  </si>
  <si>
    <t>4. Попов Максим</t>
  </si>
  <si>
    <t>Открытая (06.08.1983)/36</t>
  </si>
  <si>
    <t>95,00</t>
  </si>
  <si>
    <t>Шишкин Евгений</t>
  </si>
  <si>
    <t>1. Шишкин Евгений</t>
  </si>
  <si>
    <t>Мастера 40 - 44 (17.04.1976)/43</t>
  </si>
  <si>
    <t>2. Воробьев Алексей</t>
  </si>
  <si>
    <t>Попов Родион</t>
  </si>
  <si>
    <t>1. Попов Родион</t>
  </si>
  <si>
    <t>Открытая (23.06.1995)/24</t>
  </si>
  <si>
    <t>Черников Лев</t>
  </si>
  <si>
    <t>2. Черников Лев</t>
  </si>
  <si>
    <t>Открытая (24.09.1989)/30</t>
  </si>
  <si>
    <t>105,60</t>
  </si>
  <si>
    <t>177,5</t>
  </si>
  <si>
    <t>Козлов Николай</t>
  </si>
  <si>
    <t>3. Козлов Николай</t>
  </si>
  <si>
    <t>Открытая (01.05.1990)/29</t>
  </si>
  <si>
    <t>Култаев Роман</t>
  </si>
  <si>
    <t>1. Култаев Роман</t>
  </si>
  <si>
    <t>Мастера 45 - 49 (28.06.1972)/47</t>
  </si>
  <si>
    <t>107,90</t>
  </si>
  <si>
    <t>Волков Иван</t>
  </si>
  <si>
    <t>1. Волков Иван</t>
  </si>
  <si>
    <t>Открытая (12.03.1988)/31</t>
  </si>
  <si>
    <t>2. Швецов Евгений</t>
  </si>
  <si>
    <t>59,4390</t>
  </si>
  <si>
    <t>46,4818</t>
  </si>
  <si>
    <t>44,5380</t>
  </si>
  <si>
    <t>57,6439</t>
  </si>
  <si>
    <t>52,4632</t>
  </si>
  <si>
    <t>64,6877</t>
  </si>
  <si>
    <t>61,3830</t>
  </si>
  <si>
    <t>48</t>
  </si>
  <si>
    <t>49,1364</t>
  </si>
  <si>
    <t>48,2295</t>
  </si>
  <si>
    <t>46,2800</t>
  </si>
  <si>
    <t>39,3480</t>
  </si>
  <si>
    <t>38,7405</t>
  </si>
  <si>
    <t>89,1356</t>
  </si>
  <si>
    <t>81,4527</t>
  </si>
  <si>
    <t>78,3490</t>
  </si>
  <si>
    <t>74,0426</t>
  </si>
  <si>
    <t>71,4344</t>
  </si>
  <si>
    <t>44,4224</t>
  </si>
  <si>
    <t>38,4178</t>
  </si>
  <si>
    <t>38,0857</t>
  </si>
  <si>
    <t>36,3456</t>
  </si>
  <si>
    <t>33,2026</t>
  </si>
  <si>
    <t>31,2457</t>
  </si>
  <si>
    <t>84,9946</t>
  </si>
  <si>
    <t>70,1546</t>
  </si>
  <si>
    <t>57,3730</t>
  </si>
  <si>
    <t>111,2070</t>
  </si>
  <si>
    <t>103,7767</t>
  </si>
  <si>
    <t>100,7950</t>
  </si>
  <si>
    <t>100,3680</t>
  </si>
  <si>
    <t>99,0427</t>
  </si>
  <si>
    <t>96,6520</t>
  </si>
  <si>
    <t>95,2800</t>
  </si>
  <si>
    <t>94,4300</t>
  </si>
  <si>
    <t>94,1800</t>
  </si>
  <si>
    <t>94,1600</t>
  </si>
  <si>
    <t>91,7800</t>
  </si>
  <si>
    <t>90,2992</t>
  </si>
  <si>
    <t>87,9060</t>
  </si>
  <si>
    <t>86,7070</t>
  </si>
  <si>
    <t>86,7020</t>
  </si>
  <si>
    <t>85,5065</t>
  </si>
  <si>
    <t>82,3900</t>
  </si>
  <si>
    <t>82,2120</t>
  </si>
  <si>
    <t>79,8500</t>
  </si>
  <si>
    <t>76,5135</t>
  </si>
  <si>
    <t>73,8140</t>
  </si>
  <si>
    <t>73,4125</t>
  </si>
  <si>
    <t>128,1488</t>
  </si>
  <si>
    <t>126,7057</t>
  </si>
  <si>
    <t xml:space="preserve">Мастера 70 - 74 </t>
  </si>
  <si>
    <t>105,5700</t>
  </si>
  <si>
    <t>103,0411</t>
  </si>
  <si>
    <t>91,0336</t>
  </si>
  <si>
    <t>88,0584</t>
  </si>
  <si>
    <t>86,2583</t>
  </si>
  <si>
    <t>77,8601</t>
  </si>
  <si>
    <t>67,2300</t>
  </si>
  <si>
    <t xml:space="preserve">75(9+12+9+12+12+9+12) </t>
  </si>
  <si>
    <t xml:space="preserve">Фролов Савва, Найман Артем, Ковалев Захар, Ливенцов Артем, Труханов Игорь, Филимоничев Сергей, Заболотный Владислав </t>
  </si>
  <si>
    <t xml:space="preserve">57(12+12+12+12+9) </t>
  </si>
  <si>
    <t xml:space="preserve">Пеленев Илья, Шлейфер Виктор, Андреев Максим, Ильиченко Владимир, Ворфоломеева Екатерина </t>
  </si>
  <si>
    <t xml:space="preserve">37(12+12+4+9) </t>
  </si>
  <si>
    <t xml:space="preserve">Дудкин Антон, Ряднова Юлия, Дектярев Михаил, Воробьев Алексей </t>
  </si>
  <si>
    <t xml:space="preserve">24(6+9+9) </t>
  </si>
  <si>
    <t xml:space="preserve">Сухоненко Сергей, Шамсутдинов Тимур, Бирюлин Александр </t>
  </si>
  <si>
    <t xml:space="preserve">Волков Иван, Черныш Вита </t>
  </si>
  <si>
    <t xml:space="preserve">Бакланова Анастасия </t>
  </si>
  <si>
    <t>Кубок Сибири по силовым видам спорта
ПРО жим лежа без экипировки
Кемерово/Кемеровская область 19 - 20 октября 2019 г.</t>
  </si>
  <si>
    <t>Веремей Владимир</t>
  </si>
  <si>
    <t>1. Веремей Владимир</t>
  </si>
  <si>
    <t>Юноши 0-13 (19.10.2005)/14</t>
  </si>
  <si>
    <t>49,90</t>
  </si>
  <si>
    <t xml:space="preserve">Самойлов В. </t>
  </si>
  <si>
    <t>Соболев Дмитрий</t>
  </si>
  <si>
    <t>2. Соболев Дмитрий</t>
  </si>
  <si>
    <t>Юноши 0-13 (17.06.2008)/11</t>
  </si>
  <si>
    <t>36,70</t>
  </si>
  <si>
    <t>Червинский Григорий</t>
  </si>
  <si>
    <t>3. Червинский Григорий</t>
  </si>
  <si>
    <t>Юноши 0-13 (31.05.2012)/7</t>
  </si>
  <si>
    <t>38,50</t>
  </si>
  <si>
    <t xml:space="preserve">Ефременко В.Н. </t>
  </si>
  <si>
    <t>Серёдкин Максим</t>
  </si>
  <si>
    <t>1. Серёдкин Максим</t>
  </si>
  <si>
    <t>Юноши 14-15 (17.06.2004)/15</t>
  </si>
  <si>
    <t>52,00</t>
  </si>
  <si>
    <t>Кашин Вадим</t>
  </si>
  <si>
    <t>1. Кашин Вадим</t>
  </si>
  <si>
    <t>Юноши 14-15 (24.02.2005)/14</t>
  </si>
  <si>
    <t>66,60</t>
  </si>
  <si>
    <t>Логинов Александр</t>
  </si>
  <si>
    <t>1. Логинов Александр</t>
  </si>
  <si>
    <t>Открытая (10.06.1986)/33</t>
  </si>
  <si>
    <t>80,70</t>
  </si>
  <si>
    <t>Жаров Егор</t>
  </si>
  <si>
    <t>1. Жаров Егор</t>
  </si>
  <si>
    <t>Открытая (07.06.1987)/32</t>
  </si>
  <si>
    <t>Шабин Павел</t>
  </si>
  <si>
    <t>2. Шабин Павел</t>
  </si>
  <si>
    <t>Открытая (04.05.1984)/35</t>
  </si>
  <si>
    <t>Водопьянов Максим</t>
  </si>
  <si>
    <t>1. Водопьянов Максим</t>
  </si>
  <si>
    <t>Открытая (17.05.1994)/25</t>
  </si>
  <si>
    <t>Матюнин Анатолий</t>
  </si>
  <si>
    <t>2. Матюнин Анатолий</t>
  </si>
  <si>
    <t>Открытая (23.07.1986)/33</t>
  </si>
  <si>
    <t>Кислянский Алексей</t>
  </si>
  <si>
    <t>1. Кислянский Алексей</t>
  </si>
  <si>
    <t>Мастера 40 - 44 (20.07.1976)/43</t>
  </si>
  <si>
    <t>91,30</t>
  </si>
  <si>
    <t>Ахметзянов Александр</t>
  </si>
  <si>
    <t>2. Ахметзянов Александр</t>
  </si>
  <si>
    <t>Мастера 40 - 44 (21.03.1979)/40</t>
  </si>
  <si>
    <t>98,30</t>
  </si>
  <si>
    <t>Самойлов Владимир</t>
  </si>
  <si>
    <t>1. Самойлов Владимир</t>
  </si>
  <si>
    <t>Открытая (09.05.1991)/28</t>
  </si>
  <si>
    <t>101,50</t>
  </si>
  <si>
    <t>Мажитов Имиль</t>
  </si>
  <si>
    <t>2. Мажитов Имиль</t>
  </si>
  <si>
    <t>Открытая (06.06.1993)/26</t>
  </si>
  <si>
    <t>105,00</t>
  </si>
  <si>
    <t>Денисов Иван</t>
  </si>
  <si>
    <t>3. Денисов Иван</t>
  </si>
  <si>
    <t>Открытая (27.10.1984)/34</t>
  </si>
  <si>
    <t>67,7761</t>
  </si>
  <si>
    <t>55,2947</t>
  </si>
  <si>
    <t>50,5246</t>
  </si>
  <si>
    <t>40,3840</t>
  </si>
  <si>
    <t>32,3072</t>
  </si>
  <si>
    <t>118,3790</t>
  </si>
  <si>
    <t>114,9550</t>
  </si>
  <si>
    <t>113,2200</t>
  </si>
  <si>
    <t>108,7400</t>
  </si>
  <si>
    <t>105,7770</t>
  </si>
  <si>
    <t>94,9600</t>
  </si>
  <si>
    <t>88,6400</t>
  </si>
  <si>
    <t>75,4880</t>
  </si>
  <si>
    <t>94,5356</t>
  </si>
  <si>
    <t>94,1962</t>
  </si>
  <si>
    <t>72,5790</t>
  </si>
  <si>
    <t xml:space="preserve">44(12+12+12+8) </t>
  </si>
  <si>
    <t xml:space="preserve">Жаров Егор, Серёдкин Максим, Самойлов Владимир, Червинский Григорий </t>
  </si>
  <si>
    <t xml:space="preserve">17(8+9) </t>
  </si>
  <si>
    <t xml:space="preserve">Денисов Иван, Соболев Дмитрий </t>
  </si>
  <si>
    <t>Кубок Сибири по силовым видам спорта
Любители жим лежа в Софт экипировка многопетельная
Кемерово/Кемеровская область 19 - 20 октября 2019 г.</t>
  </si>
  <si>
    <t>Ищечкин Михаил</t>
  </si>
  <si>
    <t>1. Ищечкин Михаил</t>
  </si>
  <si>
    <t>Мастера 55 - 59 (22.01.1962)/57</t>
  </si>
  <si>
    <t>107,80</t>
  </si>
  <si>
    <t>Молчан Николай</t>
  </si>
  <si>
    <t>1. Молчан Николай</t>
  </si>
  <si>
    <t>Открытая (24.01.1984)/35</t>
  </si>
  <si>
    <t>119,30</t>
  </si>
  <si>
    <t>131,9000</t>
  </si>
  <si>
    <t>163,6236</t>
  </si>
  <si>
    <t>Кубок Сибири по силовым видам спорта
ПРО жим лежа в Софт экипировка многопетельная
Кемерово/Кемеровская область 19 - 20 октября 2019 г.</t>
  </si>
  <si>
    <t>Кудрявцев Сергей</t>
  </si>
  <si>
    <t>1. Кудрявцев Сергей</t>
  </si>
  <si>
    <t>Открытая (09.02.1999)/20</t>
  </si>
  <si>
    <t>65,90</t>
  </si>
  <si>
    <t xml:space="preserve">Топки/Кемеровская область </t>
  </si>
  <si>
    <t xml:space="preserve">Кудрявцев А. </t>
  </si>
  <si>
    <t>Николовский Павел</t>
  </si>
  <si>
    <t>1. Николовский Павел</t>
  </si>
  <si>
    <t>Открытая (08.05.1978)/41</t>
  </si>
  <si>
    <t>Верхотуров Алексей</t>
  </si>
  <si>
    <t>1. Верхотуров Алексей</t>
  </si>
  <si>
    <t>Открытая (30.03.1983)/36</t>
  </si>
  <si>
    <t>87,90</t>
  </si>
  <si>
    <t>Курилкин Кирилл</t>
  </si>
  <si>
    <t>2. Курилкин Кирилл</t>
  </si>
  <si>
    <t>Открытая (29.07.1987)/32</t>
  </si>
  <si>
    <t>89,60</t>
  </si>
  <si>
    <t xml:space="preserve">Белово/Кемеровская область </t>
  </si>
  <si>
    <t>Яковлев Александр</t>
  </si>
  <si>
    <t>1. Яковлев Александр</t>
  </si>
  <si>
    <t>Открытая (21.06.1983)/36</t>
  </si>
  <si>
    <t>92,20</t>
  </si>
  <si>
    <t>277,5</t>
  </si>
  <si>
    <t>320,0</t>
  </si>
  <si>
    <t>340,0</t>
  </si>
  <si>
    <t>360,0</t>
  </si>
  <si>
    <t>Терёхин Андрей</t>
  </si>
  <si>
    <t>1. Терёхин Андрей</t>
  </si>
  <si>
    <t>Открытая (22.10.1973)/45</t>
  </si>
  <si>
    <t>128,60</t>
  </si>
  <si>
    <t>198,2160</t>
  </si>
  <si>
    <t>166,1250</t>
  </si>
  <si>
    <t>160,3530</t>
  </si>
  <si>
    <t>160,1730</t>
  </si>
  <si>
    <t>140,9420</t>
  </si>
  <si>
    <t>134,9870</t>
  </si>
  <si>
    <t>134,3368</t>
  </si>
  <si>
    <t>123,1014</t>
  </si>
  <si>
    <t xml:space="preserve">Терёхин Андрей, Самойлов Владимир </t>
  </si>
  <si>
    <t>Кубок Сибири по силовым видам спорта
Любители становая тяга без экипировки
Кемерово/Кемеровская область 19 - 20 октября 2019 г.</t>
  </si>
  <si>
    <t>ВЕСОВАЯ КАТЕГОРИЯ   44</t>
  </si>
  <si>
    <t>Коледенко Мария</t>
  </si>
  <si>
    <t>1. Коледенко Мария</t>
  </si>
  <si>
    <t>Юниорки 20 - 23 (12.07.1997)/22</t>
  </si>
  <si>
    <t>44,00</t>
  </si>
  <si>
    <t xml:space="preserve">Аниченко М.С, </t>
  </si>
  <si>
    <t>Герасименко Алена</t>
  </si>
  <si>
    <t>1. Герасименко Алена</t>
  </si>
  <si>
    <t>Открытая (01.08.1986)/33</t>
  </si>
  <si>
    <t>55,20</t>
  </si>
  <si>
    <t xml:space="preserve">Успех </t>
  </si>
  <si>
    <t xml:space="preserve">Ганьшин Е </t>
  </si>
  <si>
    <t>Дьячкова Мария</t>
  </si>
  <si>
    <t>1. Дьячкова Мария</t>
  </si>
  <si>
    <t>Открытая (28.03.1994)/25</t>
  </si>
  <si>
    <t>58,20</t>
  </si>
  <si>
    <t>Фролова Раиса</t>
  </si>
  <si>
    <t>1. Фролова Раиса</t>
  </si>
  <si>
    <t>Открытая (10.07.1989)/30</t>
  </si>
  <si>
    <t>73,80</t>
  </si>
  <si>
    <t>2. Гауз Виктор</t>
  </si>
  <si>
    <t>1. Разумов Рустам</t>
  </si>
  <si>
    <t>Матяж Александр</t>
  </si>
  <si>
    <t>1. Матяж Александр</t>
  </si>
  <si>
    <t>Открытая (07.03.1989)/30</t>
  </si>
  <si>
    <t>72,50</t>
  </si>
  <si>
    <t>Томилин Александр</t>
  </si>
  <si>
    <t>3. Томилин Александр</t>
  </si>
  <si>
    <t>Открытая (21.10.1990)/28</t>
  </si>
  <si>
    <t>70,80</t>
  </si>
  <si>
    <t xml:space="preserve">Стяжкин Н.С. </t>
  </si>
  <si>
    <t>Комаров Егор</t>
  </si>
  <si>
    <t>1. Комаров Егор</t>
  </si>
  <si>
    <t>Юноши 16 - 17 (16.02.2003)/16</t>
  </si>
  <si>
    <t>75,90</t>
  </si>
  <si>
    <t>217,5</t>
  </si>
  <si>
    <t>2. Жатиков Владимир</t>
  </si>
  <si>
    <t>3. Макеев Вадим</t>
  </si>
  <si>
    <t>4. Митичкин Константин</t>
  </si>
  <si>
    <t>Чернышев Роман</t>
  </si>
  <si>
    <t>5. Чернышев Роман</t>
  </si>
  <si>
    <t>Открытая (14.06.1985)/34</t>
  </si>
  <si>
    <t>-. Самойлов Евгений</t>
  </si>
  <si>
    <t>Каменев Владимир</t>
  </si>
  <si>
    <t>1. Каменев Владимир</t>
  </si>
  <si>
    <t>Мастера 65 - 69 (23.06.1952)/67</t>
  </si>
  <si>
    <t>80,00</t>
  </si>
  <si>
    <t>Сенчуков Владимир</t>
  </si>
  <si>
    <t>1. Сенчуков Владимир</t>
  </si>
  <si>
    <t>Открытая (15.12.1981)/37</t>
  </si>
  <si>
    <t>86,00</t>
  </si>
  <si>
    <t xml:space="preserve">Губарев И. </t>
  </si>
  <si>
    <t>1. Козлов Николай</t>
  </si>
  <si>
    <t>Шабаев Амин</t>
  </si>
  <si>
    <t>2. Шабаев Амин</t>
  </si>
  <si>
    <t>Открытая (09.10.1986)/33</t>
  </si>
  <si>
    <t>109,00</t>
  </si>
  <si>
    <t>242,5</t>
  </si>
  <si>
    <t>Савельев Виктор</t>
  </si>
  <si>
    <t>3. Савельев Виктор</t>
  </si>
  <si>
    <t>Открытая (09.03.1993)/26</t>
  </si>
  <si>
    <t>103,30</t>
  </si>
  <si>
    <t>Лимаков Сергей</t>
  </si>
  <si>
    <t>4. Лимаков Сергей</t>
  </si>
  <si>
    <t>Открытая (04.04.1986)/33</t>
  </si>
  <si>
    <t>103,70</t>
  </si>
  <si>
    <t>44</t>
  </si>
  <si>
    <t>100,7990</t>
  </si>
  <si>
    <t>101,5135</t>
  </si>
  <si>
    <t>97,1465</t>
  </si>
  <si>
    <t>93,1324</t>
  </si>
  <si>
    <t>117,4970</t>
  </si>
  <si>
    <t>111,8432</t>
  </si>
  <si>
    <t>89,2655</t>
  </si>
  <si>
    <t>153,7965</t>
  </si>
  <si>
    <t>150,6960</t>
  </si>
  <si>
    <t>150,5520</t>
  </si>
  <si>
    <t>145,5570</t>
  </si>
  <si>
    <t>143,3880</t>
  </si>
  <si>
    <t>132,9000</t>
  </si>
  <si>
    <t>130,3922</t>
  </si>
  <si>
    <t>129,6400</t>
  </si>
  <si>
    <t>125,3520</t>
  </si>
  <si>
    <t>123,4510</t>
  </si>
  <si>
    <t>120,3180</t>
  </si>
  <si>
    <t>111,9420</t>
  </si>
  <si>
    <t>106,4895</t>
  </si>
  <si>
    <t>102,3495</t>
  </si>
  <si>
    <t>190,8193</t>
  </si>
  <si>
    <t xml:space="preserve">21(9+12) </t>
  </si>
  <si>
    <t xml:space="preserve">Шабаев Амин, Каменев Владимир </t>
  </si>
  <si>
    <t xml:space="preserve">20(12+8) </t>
  </si>
  <si>
    <t xml:space="preserve">Комаров Егор, Савельев Виктор </t>
  </si>
  <si>
    <t xml:space="preserve">18(9+9) </t>
  </si>
  <si>
    <t xml:space="preserve">Гауз Виктор, Медведев Егор </t>
  </si>
  <si>
    <t xml:space="preserve">Герасименко Алена </t>
  </si>
  <si>
    <t>Кубок Сибири по силовым видам спорта
ПРО становая тяга без экипировки
Кемерово/Кемеровская область 19 - 20 октября 2019 г.</t>
  </si>
  <si>
    <t>Радченко Ольга</t>
  </si>
  <si>
    <t>1. Радченко Ольга</t>
  </si>
  <si>
    <t>Мастера 40 - 44 (31.07.1978)/41</t>
  </si>
  <si>
    <t>Андренков Станислав</t>
  </si>
  <si>
    <t>1. Андренков Станислав</t>
  </si>
  <si>
    <t>Открытая (08.07.1992)/27</t>
  </si>
  <si>
    <t>Черняков Тимофей</t>
  </si>
  <si>
    <t>1. Черняков Тимофей</t>
  </si>
  <si>
    <t>Открытая (16.12.1993)/25</t>
  </si>
  <si>
    <t>272,5</t>
  </si>
  <si>
    <t>Соболев Евгений</t>
  </si>
  <si>
    <t>2. Соболев Евгений</t>
  </si>
  <si>
    <t>Открытая (24.06.1983)/36</t>
  </si>
  <si>
    <t>92,50</t>
  </si>
  <si>
    <t>3. Черданцев Антон</t>
  </si>
  <si>
    <t>Кочубей Роман</t>
  </si>
  <si>
    <t>2. Кочубей Роман</t>
  </si>
  <si>
    <t>Открытая (17.02.1994)/25</t>
  </si>
  <si>
    <t>107,00</t>
  </si>
  <si>
    <t>-. Козленко Леонид</t>
  </si>
  <si>
    <t>Открытая (10.02.1998)/21</t>
  </si>
  <si>
    <t>114,00</t>
  </si>
  <si>
    <t>121,4493</t>
  </si>
  <si>
    <t>125,3345</t>
  </si>
  <si>
    <t>161,0475</t>
  </si>
  <si>
    <t>157,4160</t>
  </si>
  <si>
    <t>153,8355</t>
  </si>
  <si>
    <t>147,5375</t>
  </si>
  <si>
    <t>144,0250</t>
  </si>
  <si>
    <t>135,1250</t>
  </si>
  <si>
    <t>124,2560</t>
  </si>
  <si>
    <t xml:space="preserve">Чекин Ярослав, Соболев Евгений, Черняков Тимофей </t>
  </si>
  <si>
    <t>Кубок Сибири по силовым видам спорта
Любители присед без экипировки
Кемерово/Кемеровская область 19 - 20 октября 2019 г.</t>
  </si>
  <si>
    <t>79,4835</t>
  </si>
  <si>
    <t>Кубок Сибири по силовым видам спорта
ПРО присед без экипировки
Кемерово/Кемеровская область 19 - 20 октября 2019 г.</t>
  </si>
  <si>
    <t>113,0220</t>
  </si>
  <si>
    <t>Кубок Сибири по силовым видам спорта
Силовое двоеборье любители
Кемерово/Кемеровская область 19 - 20 октября 2019 г.</t>
  </si>
  <si>
    <t>69,60</t>
  </si>
  <si>
    <t>1. Медведев Егор</t>
  </si>
  <si>
    <t>2. Шелепов Иван</t>
  </si>
  <si>
    <t>1. Жатиков Владимир</t>
  </si>
  <si>
    <t>118,00</t>
  </si>
  <si>
    <t>176,3073</t>
  </si>
  <si>
    <t>159,6916</t>
  </si>
  <si>
    <t>145,0564</t>
  </si>
  <si>
    <t>380,0</t>
  </si>
  <si>
    <t>238,6020</t>
  </si>
  <si>
    <t>420,0</t>
  </si>
  <si>
    <t>222,0960</t>
  </si>
  <si>
    <t>212,6400</t>
  </si>
  <si>
    <t>198,0060</t>
  </si>
  <si>
    <t>192,7050</t>
  </si>
  <si>
    <t xml:space="preserve">45(12+12+9+12) </t>
  </si>
  <si>
    <t xml:space="preserve">Комаров Егор, Фишер Евгений, Сулимов Андрей, Коньшин Александр </t>
  </si>
  <si>
    <t xml:space="preserve">Шелепов Иван, Медведев Егор </t>
  </si>
  <si>
    <t xml:space="preserve">Волков Иван </t>
  </si>
  <si>
    <t>Вес</t>
  </si>
  <si>
    <t>Повторы</t>
  </si>
  <si>
    <t>Тоннаж</t>
  </si>
  <si>
    <t>Кубок Сибири Жтвая Сталь-4 - РЖиРТ
Русский жим профессионалы 55 кг.
Кемерово/Кемеровская область 19 - 20 октября 2019 г.</t>
  </si>
  <si>
    <t>Атлетизм</t>
  </si>
  <si>
    <t>Русский жим</t>
  </si>
  <si>
    <t>ВЕСОВАЯ КАТЕГОРИЯ   All</t>
  </si>
  <si>
    <t>Ганьшин Евгений</t>
  </si>
  <si>
    <t>1. Ганьшин Евгений</t>
  </si>
  <si>
    <t>Открытая (14.04.1982)/37</t>
  </si>
  <si>
    <t>97,50</t>
  </si>
  <si>
    <t>67,0</t>
  </si>
  <si>
    <t>Герасименко Вадим</t>
  </si>
  <si>
    <t>2. Герасименко Вадим</t>
  </si>
  <si>
    <t>Открытая (16.03.1990)/29</t>
  </si>
  <si>
    <t>79,20</t>
  </si>
  <si>
    <t>41,0</t>
  </si>
  <si>
    <t xml:space="preserve">Атлетизм </t>
  </si>
  <si>
    <t>All</t>
  </si>
  <si>
    <t>3685,0</t>
  </si>
  <si>
    <t>37,7948</t>
  </si>
  <si>
    <t>2255,0</t>
  </si>
  <si>
    <t>28,4722</t>
  </si>
  <si>
    <t xml:space="preserve">Ганьшин Евгений, Герасименко Вадим </t>
  </si>
  <si>
    <t>Кубок Сибири Жтвая Сталь-4 - РЖиРТ
Русский жим профессионалы 100 кг.
Кемерово/Кемеровская область 19 - 20 октября 2019 г.</t>
  </si>
  <si>
    <t xml:space="preserve">Железное Братство Спарта </t>
  </si>
  <si>
    <t>26,0</t>
  </si>
  <si>
    <t>2600,0</t>
  </si>
  <si>
    <t>34,6666</t>
  </si>
  <si>
    <t>2500,0</t>
  </si>
  <si>
    <t>28,4090</t>
  </si>
  <si>
    <t xml:space="preserve">Николовский Павел </t>
  </si>
  <si>
    <t>Кубок Сибири Жтвая Сталь-4 - РЖиРТ
Русский жим любители 35 кг.
Кемерово/Кемеровская область 19 - 20 октября 2019 г.</t>
  </si>
  <si>
    <t>46,0</t>
  </si>
  <si>
    <t>31,0</t>
  </si>
  <si>
    <t>1610,0</t>
  </si>
  <si>
    <t>27,4275</t>
  </si>
  <si>
    <t>1085,0</t>
  </si>
  <si>
    <t>18,4838</t>
  </si>
  <si>
    <t>Кубок Сибири Жтвая Сталь-4 - РЖиРТ
Русский жим любители 55 кг.
Кемерово/Кемеровская область 19 - 20 октября 2019 г.</t>
  </si>
  <si>
    <t>Масталиев Тимур</t>
  </si>
  <si>
    <t>1. Масталиев Тимур</t>
  </si>
  <si>
    <t>Юниоры 20 - 23 (22.07.1996)/23</t>
  </si>
  <si>
    <t>61,50</t>
  </si>
  <si>
    <t>42,0</t>
  </si>
  <si>
    <t>Князев Алексей</t>
  </si>
  <si>
    <t>1. Князев Алексей</t>
  </si>
  <si>
    <t>Открытая (12.04.1987)/32</t>
  </si>
  <si>
    <t>74,30</t>
  </si>
  <si>
    <t>58,0</t>
  </si>
  <si>
    <t>Устинов Константин</t>
  </si>
  <si>
    <t>1. Устинов Константин</t>
  </si>
  <si>
    <t>Мастера 40 - 44 (20.12.1978)/40</t>
  </si>
  <si>
    <t>Дягилев Денис</t>
  </si>
  <si>
    <t>1. Дягилев Денис</t>
  </si>
  <si>
    <t>Мастера 45 - 49 (29.05.1974)/45</t>
  </si>
  <si>
    <t>99,20</t>
  </si>
  <si>
    <t xml:space="preserve">Новосибирск/Новосибирская область </t>
  </si>
  <si>
    <t xml:space="preserve">Шовейников А. </t>
  </si>
  <si>
    <t>34,0</t>
  </si>
  <si>
    <t>2310,0</t>
  </si>
  <si>
    <t>37,5609</t>
  </si>
  <si>
    <t>3190,0</t>
  </si>
  <si>
    <t>42,9340</t>
  </si>
  <si>
    <t>4125,0</t>
  </si>
  <si>
    <t>41,6666</t>
  </si>
  <si>
    <t>37,1471</t>
  </si>
  <si>
    <t>1870,0</t>
  </si>
  <si>
    <t>24,9333</t>
  </si>
  <si>
    <t xml:space="preserve">Масталиев Тимур </t>
  </si>
  <si>
    <t xml:space="preserve">Князев Алексей </t>
  </si>
  <si>
    <t xml:space="preserve">Устинов Константин </t>
  </si>
  <si>
    <t>Кубок Сибири Жтвая Сталь-4 - РЖиРТ
Русский жим любители 75 кг.
Кемерово/Кемеровская область 19 - 20 октября 2019 г.</t>
  </si>
  <si>
    <t>Михайлов Никита</t>
  </si>
  <si>
    <t>1. Михайлов Никита</t>
  </si>
  <si>
    <t>Мастера 45 - 49 (11.04.1974)/45</t>
  </si>
  <si>
    <t>97,80</t>
  </si>
  <si>
    <t xml:space="preserve">Горно-Алтайск/Алтай </t>
  </si>
  <si>
    <t>47,0</t>
  </si>
  <si>
    <t>3525,0</t>
  </si>
  <si>
    <t>36,0429</t>
  </si>
  <si>
    <t>Кубок Сибири Жтвая Сталь-4 - РЖиРТ
Русский жим любители 100 кг.
Кемерово/Кемеровская область 19 - 20 октября 2019 г.</t>
  </si>
  <si>
    <t>1. Туманов Никита</t>
  </si>
  <si>
    <t>21,0</t>
  </si>
  <si>
    <t>11,0</t>
  </si>
  <si>
    <t>2100,0</t>
  </si>
  <si>
    <t>23,5426</t>
  </si>
  <si>
    <t>1100,0</t>
  </si>
  <si>
    <t>11,2704</t>
  </si>
  <si>
    <t xml:space="preserve">Воробьев Алексей </t>
  </si>
  <si>
    <t>Кубок Сибири Жтвая Сталь-4 - РЖиРТ
Русская станова тяга любители 75 кг.
Кемерово/Кемеровская область 19 - 20 октября 2019 г.</t>
  </si>
  <si>
    <t>Русская становая</t>
  </si>
  <si>
    <t>Бойченко Наталья</t>
  </si>
  <si>
    <t>1. Бойченко Наталья</t>
  </si>
  <si>
    <t>Открытая (01.04.1985)/34</t>
  </si>
  <si>
    <t>46,60</t>
  </si>
  <si>
    <t xml:space="preserve">Сергиенко Д </t>
  </si>
  <si>
    <t>2250,0</t>
  </si>
  <si>
    <t>48,2832</t>
  </si>
  <si>
    <t>Кубок Сибири Жтвая Сталь-4 - РЖиРТ
Русская станова тяга любители 100 кг.
Кемерово/Кемеровская область 19 - 20 октября 2019 г.</t>
  </si>
  <si>
    <t>Пугосей Наталья</t>
  </si>
  <si>
    <t>1. Пугосей Наталья</t>
  </si>
  <si>
    <t>Открытая (03.12.1986)/32</t>
  </si>
  <si>
    <t>59,50</t>
  </si>
  <si>
    <t xml:space="preserve">Овечкин А. </t>
  </si>
  <si>
    <t>Чернов Владислав</t>
  </si>
  <si>
    <t>1. Чернов Владислав</t>
  </si>
  <si>
    <t>Юниоры 20 - 23 (07.09.1997)/22</t>
  </si>
  <si>
    <t>74,50</t>
  </si>
  <si>
    <t>Чернов Андрей</t>
  </si>
  <si>
    <t>2. Чернов Андрей</t>
  </si>
  <si>
    <t>Юниоры 20 - 23 (27.10.1995)/23</t>
  </si>
  <si>
    <t>74,10</t>
  </si>
  <si>
    <t>54,0</t>
  </si>
  <si>
    <t>1. Самойлов Евгений</t>
  </si>
  <si>
    <t>42,0168</t>
  </si>
  <si>
    <t>6500,0</t>
  </si>
  <si>
    <t>87,2483</t>
  </si>
  <si>
    <t>5400,0</t>
  </si>
  <si>
    <t>72,8744</t>
  </si>
  <si>
    <t>4600,0</t>
  </si>
  <si>
    <t>56,6502</t>
  </si>
  <si>
    <t xml:space="preserve">Чернов Андрей, Чернов Владислав </t>
  </si>
  <si>
    <t>Кубок Сибири Жтвая Сталь-4 - РЖиРТ
Русская станова тяга профессионалы 100 кг.
Кемерово/Кемеровская область 19 - 20 октября 2019 г.</t>
  </si>
  <si>
    <t>66,20</t>
  </si>
  <si>
    <t>3500,0</t>
  </si>
  <si>
    <t>52,8700</t>
  </si>
  <si>
    <t>Кубок Сибири Жтвая Сталь-4 - РЖиРТ
Русская станова тяга профессионалы 150 кг.
Кемерово/Кемеровская область 19 - 20 октября 2019 г.</t>
  </si>
  <si>
    <t>Хоронжак Иван</t>
  </si>
  <si>
    <t>1. Хоронжак Иван</t>
  </si>
  <si>
    <t>Открытая (25.04.1982)/37</t>
  </si>
  <si>
    <t>96,30</t>
  </si>
  <si>
    <t>37,0</t>
  </si>
  <si>
    <t>Аржанников Михаил</t>
  </si>
  <si>
    <t>2. Аржанников Михаил</t>
  </si>
  <si>
    <t>Открытая (15.04.1993)/26</t>
  </si>
  <si>
    <t>32,0</t>
  </si>
  <si>
    <t xml:space="preserve">Малашкин В </t>
  </si>
  <si>
    <t>5550,0</t>
  </si>
  <si>
    <t>57,6323</t>
  </si>
  <si>
    <t>4800,0</t>
  </si>
  <si>
    <t>53,9932</t>
  </si>
  <si>
    <t xml:space="preserve">Хоронжак Иван </t>
  </si>
  <si>
    <t>Кубок Сибири Жтвая Сталь-4 - РЖиРТ
Русская станова тяга профессионалы 200 кг.
Кемерово/Кемеровская область 19 - 20 октября 2019 г.</t>
  </si>
  <si>
    <t>Овечкин Андрей</t>
  </si>
  <si>
    <t>1. Овечкин Андрей</t>
  </si>
  <si>
    <t>Открытая (12.10.1983)/36</t>
  </si>
  <si>
    <t>4000,0</t>
  </si>
  <si>
    <t>44,9438</t>
  </si>
  <si>
    <t>Кубок Сибири Живая Сталь-4 - НЖ
Любители народный жим (1 вес)
Кемерово/Кемеровская область 19 - 20 октября 2019 г.</t>
  </si>
  <si>
    <t>НАП Н.Ж.</t>
  </si>
  <si>
    <t>Народный жим</t>
  </si>
  <si>
    <t>1. Шамсутдинов Тимур</t>
  </si>
  <si>
    <t>33,0</t>
  </si>
  <si>
    <t>Донсков Андрей</t>
  </si>
  <si>
    <t>2. Донсков Андрей</t>
  </si>
  <si>
    <t>Открытая (25.10.1988)/30</t>
  </si>
  <si>
    <t>81,60</t>
  </si>
  <si>
    <t>29,0</t>
  </si>
  <si>
    <t xml:space="preserve">Огородников В. </t>
  </si>
  <si>
    <t>1. Бирюлин Александр</t>
  </si>
  <si>
    <t>24,0</t>
  </si>
  <si>
    <t>2. Сухоненко Сергей</t>
  </si>
  <si>
    <t>18,0</t>
  </si>
  <si>
    <t xml:space="preserve">НАП Н.Ж. </t>
  </si>
  <si>
    <t>2640,0</t>
  </si>
  <si>
    <t>2069,4961</t>
  </si>
  <si>
    <t>2392,5</t>
  </si>
  <si>
    <t>1829,5447</t>
  </si>
  <si>
    <t>2160,0</t>
  </si>
  <si>
    <t>1555,4160</t>
  </si>
  <si>
    <t>1620,0</t>
  </si>
  <si>
    <t>1162,6740</t>
  </si>
  <si>
    <t xml:space="preserve">33(9+12+12) </t>
  </si>
  <si>
    <t xml:space="preserve">9(9) </t>
  </si>
  <si>
    <t xml:space="preserve">Донсков Андрей </t>
  </si>
  <si>
    <t>Кубок Сибири Живая Сталь-4 - НЖ
Любители народный жим (1/2 вес)
Кемерово/Кемеровская область 19 - 20 октября 2019 г.</t>
  </si>
  <si>
    <t>51,0</t>
  </si>
  <si>
    <t>Князев Никита</t>
  </si>
  <si>
    <t>1. Князев Никита</t>
  </si>
  <si>
    <t>Юноши 0-13 (24.08.2012)/7</t>
  </si>
  <si>
    <t>10,0</t>
  </si>
  <si>
    <t>49,0</t>
  </si>
  <si>
    <t xml:space="preserve">Князев А. </t>
  </si>
  <si>
    <t>1657,5</t>
  </si>
  <si>
    <t>1495,5623</t>
  </si>
  <si>
    <t>490,0</t>
  </si>
  <si>
    <t>1019,2000</t>
  </si>
  <si>
    <t xml:space="preserve">Князев Никита </t>
  </si>
  <si>
    <t>Кубок Сибири Живая Сталь-4 - НЖ
Профессионалы народный жим (1 вес)
Кемерово/Кемеровская область 19 - 20 октября 2019 г.</t>
  </si>
  <si>
    <t>Кудряшов Алексей</t>
  </si>
  <si>
    <t>1. Кудряшов Алексей</t>
  </si>
  <si>
    <t>Открытая (20.11.1983)/35</t>
  </si>
  <si>
    <t>85,00</t>
  </si>
  <si>
    <t>2635,0</t>
  </si>
  <si>
    <t>1991,2695</t>
  </si>
  <si>
    <t>2145,0</t>
  </si>
  <si>
    <t>1654,4385</t>
  </si>
  <si>
    <t>Кубок Сибири Живая Сталь-4 - НЖ
Профессионалы народный жим (1/2 вес)
Кемерово/Кемеровская область 19 - 20 октября 2019 г.</t>
  </si>
  <si>
    <t>1150,0</t>
  </si>
  <si>
    <t>1198,4149</t>
  </si>
  <si>
    <t>Кубок Сибири по силовым видам спорта
ПРО пауэрлифтинг в  софт экипировке стандарт
Кемерово/Кемеровская область 19 - 20 октября 2019 г.</t>
  </si>
  <si>
    <t>Кубок Сибири по силовым видам спорта
ПРО пауэрлифтинг в  софт экипировке УЛЬТРА
Кемерово/Кемеровская область 19 - 20 октября 2019 г.</t>
  </si>
  <si>
    <t>1. Русакова Мария</t>
  </si>
  <si>
    <t>3. Чигридов Сергей</t>
  </si>
  <si>
    <t>Чигридов Сергей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</si>
</sst>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 indent="1"/>
    </xf>
    <xf numFmtId="49" fontId="2" fillId="0" borderId="11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25.875" style="4" bestFit="1" customWidth="1"/>
    <col min="2" max="2" width="27.875" style="4" customWidth="1"/>
    <col min="3" max="3" width="10.00390625" style="4" customWidth="1"/>
    <col min="4" max="4" width="6.625" style="5" bestFit="1" customWidth="1"/>
    <col min="5" max="5" width="23.75390625" style="4" bestFit="1" customWidth="1"/>
    <col min="6" max="6" width="21.125" style="4" bestFit="1" customWidth="1"/>
    <col min="7" max="7" width="5.625" style="3" bestFit="1" customWidth="1"/>
    <col min="8" max="8" width="7.00390625" style="3" customWidth="1"/>
    <col min="9" max="9" width="6.25390625" style="3" bestFit="1" customWidth="1"/>
    <col min="10" max="10" width="5.625" style="3" bestFit="1" customWidth="1"/>
    <col min="11" max="13" width="7.00390625" style="3" bestFit="1" customWidth="1"/>
    <col min="14" max="14" width="5.625" style="3" bestFit="1" customWidth="1"/>
    <col min="15" max="16" width="7.00390625" style="3" bestFit="1" customWidth="1"/>
    <col min="17" max="17" width="6.25390625" style="3" bestFit="1" customWidth="1"/>
    <col min="18" max="18" width="5.625" style="3" bestFit="1" customWidth="1"/>
    <col min="19" max="19" width="7.875" style="5" bestFit="1" customWidth="1"/>
    <col min="20" max="20" width="8.625" style="6" bestFit="1" customWidth="1"/>
    <col min="21" max="21" width="23.00390625" style="4" bestFit="1" customWidth="1"/>
    <col min="22" max="16384" width="9.125" style="3" customWidth="1"/>
  </cols>
  <sheetData>
    <row r="1" spans="1:21" s="2" customFormat="1" ht="15" customHeigh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6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0</v>
      </c>
      <c r="B3" s="48" t="s">
        <v>10</v>
      </c>
      <c r="C3" s="48" t="s">
        <v>11</v>
      </c>
      <c r="D3" s="36" t="s">
        <v>9</v>
      </c>
      <c r="E3" s="50" t="s">
        <v>7</v>
      </c>
      <c r="F3" s="50" t="s">
        <v>12</v>
      </c>
      <c r="G3" s="50" t="s">
        <v>1</v>
      </c>
      <c r="H3" s="50"/>
      <c r="I3" s="50"/>
      <c r="J3" s="50"/>
      <c r="K3" s="50" t="s">
        <v>2</v>
      </c>
      <c r="L3" s="50"/>
      <c r="M3" s="50"/>
      <c r="N3" s="50"/>
      <c r="O3" s="50" t="s">
        <v>3</v>
      </c>
      <c r="P3" s="50"/>
      <c r="Q3" s="50"/>
      <c r="R3" s="50"/>
      <c r="S3" s="36" t="s">
        <v>4</v>
      </c>
      <c r="T3" s="36" t="s">
        <v>6</v>
      </c>
      <c r="U3" s="38" t="s">
        <v>5</v>
      </c>
    </row>
    <row r="4" spans="1:21" s="1" customFormat="1" ht="21" customHeight="1" thickBot="1">
      <c r="A4" s="47"/>
      <c r="B4" s="49"/>
      <c r="C4" s="49"/>
      <c r="D4" s="37"/>
      <c r="E4" s="49"/>
      <c r="F4" s="49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37"/>
      <c r="T4" s="37"/>
      <c r="U4" s="39"/>
    </row>
  </sheetData>
  <sheetProtection/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22.75390625" style="4" bestFit="1" customWidth="1"/>
    <col min="6" max="6" width="29.875" style="4" bestFit="1" customWidth="1"/>
    <col min="7" max="7" width="9.875" style="3" customWidth="1"/>
    <col min="8" max="8" width="10.875" style="29" customWidth="1"/>
    <col min="9" max="9" width="7.875" style="4" bestFit="1" customWidth="1"/>
    <col min="10" max="10" width="7.625" style="3" bestFit="1" customWidth="1"/>
    <col min="11" max="11" width="12.25390625" style="4" bestFit="1" customWidth="1"/>
    <col min="12" max="16384" width="9.125" style="3" customWidth="1"/>
  </cols>
  <sheetData>
    <row r="1" spans="1:11" s="2" customFormat="1" ht="28.5" customHeight="1">
      <c r="A1" s="53" t="s">
        <v>1230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10</v>
      </c>
      <c r="C3" s="48" t="s">
        <v>11</v>
      </c>
      <c r="D3" s="50" t="s">
        <v>1144</v>
      </c>
      <c r="E3" s="50" t="s">
        <v>7</v>
      </c>
      <c r="F3" s="50" t="s">
        <v>12</v>
      </c>
      <c r="G3" s="50" t="s">
        <v>1231</v>
      </c>
      <c r="H3" s="50"/>
      <c r="I3" s="50" t="s">
        <v>1142</v>
      </c>
      <c r="J3" s="50" t="s">
        <v>6</v>
      </c>
      <c r="K3" s="38" t="s">
        <v>5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7" t="s">
        <v>1140</v>
      </c>
      <c r="H4" s="28" t="s">
        <v>1141</v>
      </c>
      <c r="I4" s="49"/>
      <c r="J4" s="49"/>
      <c r="K4" s="39"/>
    </row>
    <row r="5" spans="1:10" ht="15">
      <c r="A5" s="51" t="s">
        <v>1146</v>
      </c>
      <c r="B5" s="52"/>
      <c r="C5" s="52"/>
      <c r="D5" s="52"/>
      <c r="E5" s="52"/>
      <c r="F5" s="52"/>
      <c r="G5" s="52"/>
      <c r="H5" s="52"/>
      <c r="I5" s="52"/>
      <c r="J5" s="52"/>
    </row>
    <row r="6" spans="1:11" ht="12.75">
      <c r="A6" s="10" t="s">
        <v>1233</v>
      </c>
      <c r="B6" s="10" t="s">
        <v>1234</v>
      </c>
      <c r="C6" s="10" t="s">
        <v>1235</v>
      </c>
      <c r="D6" s="10" t="str">
        <f>"1,0000"</f>
        <v>1,0000</v>
      </c>
      <c r="E6" s="10" t="s">
        <v>28</v>
      </c>
      <c r="F6" s="10" t="s">
        <v>29</v>
      </c>
      <c r="G6" s="12" t="s">
        <v>201</v>
      </c>
      <c r="H6" s="33" t="s">
        <v>53</v>
      </c>
      <c r="I6" s="10" t="str">
        <f>"2250,0"</f>
        <v>2250,0</v>
      </c>
      <c r="J6" s="12" t="str">
        <f>"48,2832"</f>
        <v>48,2832</v>
      </c>
      <c r="K6" s="10" t="s">
        <v>1236</v>
      </c>
    </row>
    <row r="8" ht="15">
      <c r="E8" s="8" t="s">
        <v>13</v>
      </c>
    </row>
    <row r="9" ht="15">
      <c r="E9" s="8" t="s">
        <v>14</v>
      </c>
    </row>
    <row r="10" ht="15">
      <c r="E10" s="8" t="s">
        <v>15</v>
      </c>
    </row>
    <row r="11" ht="15">
      <c r="E11" s="8" t="s">
        <v>16</v>
      </c>
    </row>
    <row r="12" ht="15">
      <c r="E12" s="8" t="s">
        <v>16</v>
      </c>
    </row>
    <row r="13" ht="15">
      <c r="E13" s="8" t="s">
        <v>17</v>
      </c>
    </row>
    <row r="14" ht="15">
      <c r="E14" s="8"/>
    </row>
    <row r="16" spans="1:2" ht="18">
      <c r="A16" s="9" t="s">
        <v>18</v>
      </c>
      <c r="B16" s="9"/>
    </row>
    <row r="17" spans="1:2" ht="15">
      <c r="A17" s="13" t="s">
        <v>133</v>
      </c>
      <c r="B17" s="13"/>
    </row>
    <row r="18" spans="1:2" ht="14.25">
      <c r="A18" s="15"/>
      <c r="B18" s="16" t="s">
        <v>35</v>
      </c>
    </row>
    <row r="19" spans="1:5" ht="15">
      <c r="A19" s="17" t="s">
        <v>36</v>
      </c>
      <c r="B19" s="17" t="s">
        <v>37</v>
      </c>
      <c r="C19" s="17" t="s">
        <v>38</v>
      </c>
      <c r="D19" s="17" t="s">
        <v>39</v>
      </c>
      <c r="E19" s="17" t="s">
        <v>1157</v>
      </c>
    </row>
    <row r="20" spans="1:5" ht="12.75">
      <c r="A20" s="14" t="s">
        <v>1232</v>
      </c>
      <c r="B20" s="4" t="s">
        <v>35</v>
      </c>
      <c r="C20" s="4" t="s">
        <v>1158</v>
      </c>
      <c r="D20" s="4" t="s">
        <v>1237</v>
      </c>
      <c r="E20" s="18" t="s">
        <v>1238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27.625" style="4" customWidth="1"/>
    <col min="2" max="2" width="28.625" style="4" bestFit="1" customWidth="1"/>
    <col min="3" max="3" width="17.875" style="4" bestFit="1" customWidth="1"/>
    <col min="4" max="4" width="10.625" style="4" bestFit="1" customWidth="1"/>
    <col min="5" max="5" width="22.75390625" style="4" bestFit="1" customWidth="1"/>
    <col min="6" max="6" width="38.25390625" style="4" bestFit="1" customWidth="1"/>
    <col min="7" max="7" width="8.00390625" style="3" customWidth="1"/>
    <col min="8" max="8" width="10.125" style="29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3" t="s">
        <v>1221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10</v>
      </c>
      <c r="C3" s="48" t="s">
        <v>11</v>
      </c>
      <c r="D3" s="50" t="s">
        <v>1144</v>
      </c>
      <c r="E3" s="50" t="s">
        <v>7</v>
      </c>
      <c r="F3" s="50" t="s">
        <v>12</v>
      </c>
      <c r="G3" s="50" t="s">
        <v>1145</v>
      </c>
      <c r="H3" s="50"/>
      <c r="I3" s="50" t="s">
        <v>1142</v>
      </c>
      <c r="J3" s="50" t="s">
        <v>6</v>
      </c>
      <c r="K3" s="38" t="s">
        <v>5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7" t="s">
        <v>1140</v>
      </c>
      <c r="H4" s="28" t="s">
        <v>1141</v>
      </c>
      <c r="I4" s="49"/>
      <c r="J4" s="49"/>
      <c r="K4" s="39"/>
    </row>
    <row r="5" spans="1:10" ht="15">
      <c r="A5" s="51" t="s">
        <v>1146</v>
      </c>
      <c r="B5" s="52"/>
      <c r="C5" s="52"/>
      <c r="D5" s="52"/>
      <c r="E5" s="52"/>
      <c r="F5" s="52"/>
      <c r="G5" s="52"/>
      <c r="H5" s="52"/>
      <c r="I5" s="52"/>
      <c r="J5" s="52"/>
    </row>
    <row r="6" spans="1:11" ht="12.75">
      <c r="A6" s="19" t="s">
        <v>1222</v>
      </c>
      <c r="B6" s="19" t="s">
        <v>734</v>
      </c>
      <c r="C6" s="19" t="s">
        <v>357</v>
      </c>
      <c r="D6" s="19" t="str">
        <f>"1,0000"</f>
        <v>1,0000</v>
      </c>
      <c r="E6" s="19" t="s">
        <v>28</v>
      </c>
      <c r="F6" s="19" t="s">
        <v>421</v>
      </c>
      <c r="G6" s="21" t="s">
        <v>203</v>
      </c>
      <c r="H6" s="30" t="s">
        <v>1223</v>
      </c>
      <c r="I6" s="19" t="str">
        <f>"2100,0"</f>
        <v>2100,0</v>
      </c>
      <c r="J6" s="21" t="str">
        <f>"23,5426"</f>
        <v>23,5426</v>
      </c>
      <c r="K6" s="19" t="s">
        <v>33</v>
      </c>
    </row>
    <row r="7" spans="1:11" ht="12.75">
      <c r="A7" s="25" t="s">
        <v>120</v>
      </c>
      <c r="B7" s="25" t="s">
        <v>121</v>
      </c>
      <c r="C7" s="25" t="s">
        <v>122</v>
      </c>
      <c r="D7" s="25" t="str">
        <f>"1,0000"</f>
        <v>1,0000</v>
      </c>
      <c r="E7" s="25" t="s">
        <v>86</v>
      </c>
      <c r="F7" s="25" t="s">
        <v>87</v>
      </c>
      <c r="G7" s="27" t="s">
        <v>203</v>
      </c>
      <c r="H7" s="31" t="s">
        <v>1224</v>
      </c>
      <c r="I7" s="25" t="str">
        <f>"1100,0"</f>
        <v>1100,0</v>
      </c>
      <c r="J7" s="27" t="str">
        <f>"11,2704"</f>
        <v>11,2704</v>
      </c>
      <c r="K7" s="25" t="s">
        <v>33</v>
      </c>
    </row>
    <row r="9" ht="15">
      <c r="E9" s="8" t="s">
        <v>13</v>
      </c>
    </row>
    <row r="10" ht="15">
      <c r="E10" s="8" t="s">
        <v>14</v>
      </c>
    </row>
    <row r="11" ht="15">
      <c r="E11" s="8" t="s">
        <v>15</v>
      </c>
    </row>
    <row r="12" ht="15">
      <c r="E12" s="8" t="s">
        <v>16</v>
      </c>
    </row>
    <row r="13" ht="15">
      <c r="E13" s="8" t="s">
        <v>16</v>
      </c>
    </row>
    <row r="14" ht="15">
      <c r="E14" s="8" t="s">
        <v>17</v>
      </c>
    </row>
    <row r="15" ht="15">
      <c r="E15" s="8"/>
    </row>
    <row r="17" spans="1:2" ht="18">
      <c r="A17" s="9" t="s">
        <v>18</v>
      </c>
      <c r="B17" s="9"/>
    </row>
    <row r="18" spans="1:2" ht="15">
      <c r="A18" s="13" t="s">
        <v>34</v>
      </c>
      <c r="B18" s="13"/>
    </row>
    <row r="19" spans="1:2" ht="14.25">
      <c r="A19" s="15"/>
      <c r="B19" s="16" t="s">
        <v>35</v>
      </c>
    </row>
    <row r="20" spans="1:5" ht="15">
      <c r="A20" s="17" t="s">
        <v>36</v>
      </c>
      <c r="B20" s="17" t="s">
        <v>37</v>
      </c>
      <c r="C20" s="17" t="s">
        <v>38</v>
      </c>
      <c r="D20" s="17" t="s">
        <v>39</v>
      </c>
      <c r="E20" s="17" t="s">
        <v>1157</v>
      </c>
    </row>
    <row r="21" spans="1:5" ht="12.75">
      <c r="A21" s="14" t="s">
        <v>732</v>
      </c>
      <c r="B21" s="4" t="s">
        <v>35</v>
      </c>
      <c r="C21" s="4" t="s">
        <v>1158</v>
      </c>
      <c r="D21" s="4" t="s">
        <v>1225</v>
      </c>
      <c r="E21" s="18" t="s">
        <v>1226</v>
      </c>
    </row>
    <row r="23" spans="1:2" ht="14.25">
      <c r="A23" s="15"/>
      <c r="B23" s="16" t="s">
        <v>152</v>
      </c>
    </row>
    <row r="24" spans="1:5" ht="15">
      <c r="A24" s="17" t="s">
        <v>36</v>
      </c>
      <c r="B24" s="17" t="s">
        <v>37</v>
      </c>
      <c r="C24" s="17" t="s">
        <v>38</v>
      </c>
      <c r="D24" s="17" t="s">
        <v>39</v>
      </c>
      <c r="E24" s="17" t="s">
        <v>1157</v>
      </c>
    </row>
    <row r="25" spans="1:5" ht="12.75">
      <c r="A25" s="14" t="s">
        <v>119</v>
      </c>
      <c r="B25" s="4" t="s">
        <v>155</v>
      </c>
      <c r="C25" s="4" t="s">
        <v>1158</v>
      </c>
      <c r="D25" s="4" t="s">
        <v>1227</v>
      </c>
      <c r="E25" s="18" t="s">
        <v>1228</v>
      </c>
    </row>
    <row r="30" spans="1:2" ht="18">
      <c r="A30" s="9" t="s">
        <v>159</v>
      </c>
      <c r="B30" s="9"/>
    </row>
    <row r="31" spans="1:3" ht="15">
      <c r="A31" s="17" t="s">
        <v>160</v>
      </c>
      <c r="B31" s="17" t="s">
        <v>161</v>
      </c>
      <c r="C31" s="17" t="s">
        <v>162</v>
      </c>
    </row>
    <row r="32" spans="1:3" ht="12.75">
      <c r="A32" s="4" t="s">
        <v>86</v>
      </c>
      <c r="B32" s="4" t="s">
        <v>216</v>
      </c>
      <c r="C32" s="4" t="s">
        <v>1229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19.875" style="4" bestFit="1" customWidth="1"/>
    <col min="7" max="7" width="10.25390625" style="3" customWidth="1"/>
    <col min="8" max="8" width="10.125" style="29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3" t="s">
        <v>1212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10</v>
      </c>
      <c r="C3" s="48" t="s">
        <v>11</v>
      </c>
      <c r="D3" s="50" t="s">
        <v>1144</v>
      </c>
      <c r="E3" s="50" t="s">
        <v>7</v>
      </c>
      <c r="F3" s="50" t="s">
        <v>12</v>
      </c>
      <c r="G3" s="50" t="s">
        <v>1145</v>
      </c>
      <c r="H3" s="50"/>
      <c r="I3" s="50" t="s">
        <v>1142</v>
      </c>
      <c r="J3" s="50" t="s">
        <v>6</v>
      </c>
      <c r="K3" s="38" t="s">
        <v>5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7" t="s">
        <v>1140</v>
      </c>
      <c r="H4" s="28" t="s">
        <v>1141</v>
      </c>
      <c r="I4" s="49"/>
      <c r="J4" s="49"/>
      <c r="K4" s="39"/>
    </row>
    <row r="5" spans="1:10" ht="15">
      <c r="A5" s="51" t="s">
        <v>1146</v>
      </c>
      <c r="B5" s="52"/>
      <c r="C5" s="52"/>
      <c r="D5" s="52"/>
      <c r="E5" s="52"/>
      <c r="F5" s="52"/>
      <c r="G5" s="52"/>
      <c r="H5" s="52"/>
      <c r="I5" s="52"/>
      <c r="J5" s="52"/>
    </row>
    <row r="6" spans="1:11" ht="12.75">
      <c r="A6" s="10" t="s">
        <v>1214</v>
      </c>
      <c r="B6" s="10" t="s">
        <v>1215</v>
      </c>
      <c r="C6" s="10" t="s">
        <v>1216</v>
      </c>
      <c r="D6" s="10" t="str">
        <f>"1,0000"</f>
        <v>1,0000</v>
      </c>
      <c r="E6" s="10" t="s">
        <v>28</v>
      </c>
      <c r="F6" s="10" t="s">
        <v>1217</v>
      </c>
      <c r="G6" s="12" t="s">
        <v>201</v>
      </c>
      <c r="H6" s="33" t="s">
        <v>1218</v>
      </c>
      <c r="I6" s="10" t="str">
        <f>"3525,0"</f>
        <v>3525,0</v>
      </c>
      <c r="J6" s="12" t="str">
        <f>"36,0429"</f>
        <v>36,0429</v>
      </c>
      <c r="K6" s="10" t="s">
        <v>33</v>
      </c>
    </row>
    <row r="8" ht="15">
      <c r="E8" s="8" t="s">
        <v>13</v>
      </c>
    </row>
    <row r="9" ht="15">
      <c r="E9" s="8" t="s">
        <v>14</v>
      </c>
    </row>
    <row r="10" ht="15">
      <c r="E10" s="8" t="s">
        <v>15</v>
      </c>
    </row>
    <row r="11" ht="15">
      <c r="E11" s="8" t="s">
        <v>16</v>
      </c>
    </row>
    <row r="12" ht="15">
      <c r="E12" s="8" t="s">
        <v>16</v>
      </c>
    </row>
    <row r="13" ht="15">
      <c r="E13" s="8" t="s">
        <v>17</v>
      </c>
    </row>
    <row r="14" ht="15">
      <c r="E14" s="8"/>
    </row>
    <row r="16" spans="1:2" ht="18">
      <c r="A16" s="9" t="s">
        <v>18</v>
      </c>
      <c r="B16" s="9"/>
    </row>
    <row r="17" spans="1:2" ht="15">
      <c r="A17" s="13" t="s">
        <v>34</v>
      </c>
      <c r="B17" s="13"/>
    </row>
    <row r="18" spans="1:2" ht="14.25">
      <c r="A18" s="15"/>
      <c r="B18" s="16" t="s">
        <v>152</v>
      </c>
    </row>
    <row r="19" spans="1:5" ht="15">
      <c r="A19" s="17" t="s">
        <v>36</v>
      </c>
      <c r="B19" s="17" t="s">
        <v>37</v>
      </c>
      <c r="C19" s="17" t="s">
        <v>38</v>
      </c>
      <c r="D19" s="17" t="s">
        <v>39</v>
      </c>
      <c r="E19" s="17" t="s">
        <v>1157</v>
      </c>
    </row>
    <row r="20" spans="1:5" ht="12.75">
      <c r="A20" s="14" t="s">
        <v>1213</v>
      </c>
      <c r="B20" s="4" t="s">
        <v>244</v>
      </c>
      <c r="C20" s="4" t="s">
        <v>1158</v>
      </c>
      <c r="D20" s="4" t="s">
        <v>1219</v>
      </c>
      <c r="E20" s="18" t="s">
        <v>1220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7">
      <selection activeCell="A1" sqref="A1:U2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5.125" style="4" customWidth="1"/>
    <col min="4" max="4" width="10.625" style="4" bestFit="1" customWidth="1"/>
    <col min="5" max="5" width="22.75390625" style="4" bestFit="1" customWidth="1"/>
    <col min="6" max="6" width="34.625" style="4" bestFit="1" customWidth="1"/>
    <col min="7" max="7" width="8.125" style="3" customWidth="1"/>
    <col min="8" max="8" width="9.375" style="29" customWidth="1"/>
    <col min="9" max="9" width="7.875" style="4" bestFit="1" customWidth="1"/>
    <col min="10" max="10" width="7.625" style="3" bestFit="1" customWidth="1"/>
    <col min="11" max="11" width="14.625" style="4" bestFit="1" customWidth="1"/>
    <col min="12" max="16384" width="9.125" style="3" customWidth="1"/>
  </cols>
  <sheetData>
    <row r="1" spans="1:11" s="2" customFormat="1" ht="28.5" customHeight="1">
      <c r="A1" s="53" t="s">
        <v>1179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10</v>
      </c>
      <c r="C3" s="48" t="s">
        <v>11</v>
      </c>
      <c r="D3" s="50" t="s">
        <v>1144</v>
      </c>
      <c r="E3" s="50" t="s">
        <v>7</v>
      </c>
      <c r="F3" s="50" t="s">
        <v>12</v>
      </c>
      <c r="G3" s="50" t="s">
        <v>1145</v>
      </c>
      <c r="H3" s="50"/>
      <c r="I3" s="50" t="s">
        <v>1142</v>
      </c>
      <c r="J3" s="50" t="s">
        <v>6</v>
      </c>
      <c r="K3" s="38" t="s">
        <v>5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7" t="s">
        <v>1140</v>
      </c>
      <c r="H4" s="28" t="s">
        <v>1141</v>
      </c>
      <c r="I4" s="49"/>
      <c r="J4" s="49"/>
      <c r="K4" s="39"/>
    </row>
    <row r="5" spans="1:10" ht="15">
      <c r="A5" s="51" t="s">
        <v>1146</v>
      </c>
      <c r="B5" s="52"/>
      <c r="C5" s="52"/>
      <c r="D5" s="52"/>
      <c r="E5" s="52"/>
      <c r="F5" s="52"/>
      <c r="G5" s="52"/>
      <c r="H5" s="52"/>
      <c r="I5" s="52"/>
      <c r="J5" s="52"/>
    </row>
    <row r="6" spans="1:11" ht="12.75">
      <c r="A6" s="19" t="s">
        <v>1181</v>
      </c>
      <c r="B6" s="19" t="s">
        <v>1182</v>
      </c>
      <c r="C6" s="19" t="s">
        <v>1183</v>
      </c>
      <c r="D6" s="19" t="str">
        <f>"1,0000"</f>
        <v>1,0000</v>
      </c>
      <c r="E6" s="19" t="s">
        <v>116</v>
      </c>
      <c r="F6" s="19" t="s">
        <v>69</v>
      </c>
      <c r="G6" s="21" t="s">
        <v>93</v>
      </c>
      <c r="H6" s="30" t="s">
        <v>1184</v>
      </c>
      <c r="I6" s="19" t="str">
        <f>"2310,0"</f>
        <v>2310,0</v>
      </c>
      <c r="J6" s="21" t="str">
        <f>"37,5609"</f>
        <v>37,5609</v>
      </c>
      <c r="K6" s="19" t="s">
        <v>627</v>
      </c>
    </row>
    <row r="7" spans="1:11" ht="12.75">
      <c r="A7" s="22" t="s">
        <v>1186</v>
      </c>
      <c r="B7" s="22" t="s">
        <v>1187</v>
      </c>
      <c r="C7" s="22" t="s">
        <v>1188</v>
      </c>
      <c r="D7" s="22" t="str">
        <f>"1,0000"</f>
        <v>1,0000</v>
      </c>
      <c r="E7" s="22" t="s">
        <v>178</v>
      </c>
      <c r="F7" s="22" t="s">
        <v>29</v>
      </c>
      <c r="G7" s="24" t="s">
        <v>93</v>
      </c>
      <c r="H7" s="32" t="s">
        <v>1189</v>
      </c>
      <c r="I7" s="22" t="str">
        <f>"3190,0"</f>
        <v>3190,0</v>
      </c>
      <c r="J7" s="24" t="str">
        <f>"42,9340"</f>
        <v>42,9340</v>
      </c>
      <c r="K7" s="22" t="s">
        <v>33</v>
      </c>
    </row>
    <row r="8" spans="1:11" ht="12.75">
      <c r="A8" s="22" t="s">
        <v>1191</v>
      </c>
      <c r="B8" s="22" t="s">
        <v>1192</v>
      </c>
      <c r="C8" s="22" t="s">
        <v>236</v>
      </c>
      <c r="D8" s="22" t="str">
        <f>"1,0000"</f>
        <v>1,0000</v>
      </c>
      <c r="E8" s="22" t="s">
        <v>997</v>
      </c>
      <c r="F8" s="22" t="s">
        <v>964</v>
      </c>
      <c r="G8" s="24" t="s">
        <v>93</v>
      </c>
      <c r="H8" s="32" t="s">
        <v>201</v>
      </c>
      <c r="I8" s="22" t="str">
        <f>"4125,0"</f>
        <v>4125,0</v>
      </c>
      <c r="J8" s="24" t="str">
        <f>"41,6666"</f>
        <v>41,6666</v>
      </c>
      <c r="K8" s="22" t="s">
        <v>33</v>
      </c>
    </row>
    <row r="9" spans="1:11" ht="12.75">
      <c r="A9" s="22" t="s">
        <v>1194</v>
      </c>
      <c r="B9" s="22" t="s">
        <v>1195</v>
      </c>
      <c r="C9" s="22" t="s">
        <v>1196</v>
      </c>
      <c r="D9" s="22" t="str">
        <f>"1,0000"</f>
        <v>1,0000</v>
      </c>
      <c r="E9" s="22" t="s">
        <v>28</v>
      </c>
      <c r="F9" s="22" t="s">
        <v>1197</v>
      </c>
      <c r="G9" s="24" t="s">
        <v>93</v>
      </c>
      <c r="H9" s="32" t="s">
        <v>1151</v>
      </c>
      <c r="I9" s="22" t="str">
        <f>"3685,0"</f>
        <v>3685,0</v>
      </c>
      <c r="J9" s="24" t="str">
        <f>"37,1471"</f>
        <v>37,1471</v>
      </c>
      <c r="K9" s="22" t="s">
        <v>1198</v>
      </c>
    </row>
    <row r="10" spans="1:11" ht="12.75">
      <c r="A10" s="25" t="s">
        <v>688</v>
      </c>
      <c r="B10" s="25" t="s">
        <v>689</v>
      </c>
      <c r="C10" s="25" t="s">
        <v>67</v>
      </c>
      <c r="D10" s="25" t="str">
        <f>"1,0000"</f>
        <v>1,0000</v>
      </c>
      <c r="E10" s="25" t="s">
        <v>28</v>
      </c>
      <c r="F10" s="25" t="s">
        <v>50</v>
      </c>
      <c r="G10" s="27" t="s">
        <v>93</v>
      </c>
      <c r="H10" s="31" t="s">
        <v>1199</v>
      </c>
      <c r="I10" s="25" t="str">
        <f>"1870,0"</f>
        <v>1870,0</v>
      </c>
      <c r="J10" s="27" t="str">
        <f>"24,9333"</f>
        <v>24,9333</v>
      </c>
      <c r="K10" s="25" t="s">
        <v>33</v>
      </c>
    </row>
    <row r="12" ht="15">
      <c r="E12" s="8" t="s">
        <v>13</v>
      </c>
    </row>
    <row r="13" ht="15">
      <c r="E13" s="8" t="s">
        <v>14</v>
      </c>
    </row>
    <row r="14" ht="15">
      <c r="E14" s="8" t="s">
        <v>15</v>
      </c>
    </row>
    <row r="15" ht="15">
      <c r="E15" s="8" t="s">
        <v>16</v>
      </c>
    </row>
    <row r="16" ht="15">
      <c r="E16" s="8" t="s">
        <v>16</v>
      </c>
    </row>
    <row r="17" ht="15">
      <c r="E17" s="8" t="s">
        <v>17</v>
      </c>
    </row>
    <row r="18" ht="15">
      <c r="E18" s="8"/>
    </row>
    <row r="20" spans="1:2" ht="18">
      <c r="A20" s="9" t="s">
        <v>18</v>
      </c>
      <c r="B20" s="9"/>
    </row>
    <row r="21" spans="1:2" ht="15">
      <c r="A21" s="13" t="s">
        <v>34</v>
      </c>
      <c r="B21" s="13"/>
    </row>
    <row r="22" spans="1:2" ht="14.25">
      <c r="A22" s="15"/>
      <c r="B22" s="16" t="s">
        <v>142</v>
      </c>
    </row>
    <row r="23" spans="1:5" ht="15">
      <c r="A23" s="17" t="s">
        <v>36</v>
      </c>
      <c r="B23" s="17" t="s">
        <v>37</v>
      </c>
      <c r="C23" s="17" t="s">
        <v>38</v>
      </c>
      <c r="D23" s="17" t="s">
        <v>39</v>
      </c>
      <c r="E23" s="17" t="s">
        <v>1157</v>
      </c>
    </row>
    <row r="24" spans="1:5" ht="12.75">
      <c r="A24" s="14" t="s">
        <v>1180</v>
      </c>
      <c r="B24" s="4" t="s">
        <v>143</v>
      </c>
      <c r="C24" s="4" t="s">
        <v>1158</v>
      </c>
      <c r="D24" s="4" t="s">
        <v>1200</v>
      </c>
      <c r="E24" s="18" t="s">
        <v>1201</v>
      </c>
    </row>
    <row r="26" spans="1:2" ht="14.25">
      <c r="A26" s="15"/>
      <c r="B26" s="16" t="s">
        <v>35</v>
      </c>
    </row>
    <row r="27" spans="1:5" ht="15">
      <c r="A27" s="17" t="s">
        <v>36</v>
      </c>
      <c r="B27" s="17" t="s">
        <v>37</v>
      </c>
      <c r="C27" s="17" t="s">
        <v>38</v>
      </c>
      <c r="D27" s="17" t="s">
        <v>39</v>
      </c>
      <c r="E27" s="17" t="s">
        <v>1157</v>
      </c>
    </row>
    <row r="28" spans="1:5" ht="12.75">
      <c r="A28" s="14" t="s">
        <v>1185</v>
      </c>
      <c r="B28" s="4" t="s">
        <v>35</v>
      </c>
      <c r="C28" s="4" t="s">
        <v>1158</v>
      </c>
      <c r="D28" s="4" t="s">
        <v>1202</v>
      </c>
      <c r="E28" s="18" t="s">
        <v>1203</v>
      </c>
    </row>
    <row r="30" spans="1:2" ht="14.25">
      <c r="A30" s="15"/>
      <c r="B30" s="16" t="s">
        <v>152</v>
      </c>
    </row>
    <row r="31" spans="1:5" ht="15">
      <c r="A31" s="17" t="s">
        <v>36</v>
      </c>
      <c r="B31" s="17" t="s">
        <v>37</v>
      </c>
      <c r="C31" s="17" t="s">
        <v>38</v>
      </c>
      <c r="D31" s="17" t="s">
        <v>39</v>
      </c>
      <c r="E31" s="17" t="s">
        <v>1157</v>
      </c>
    </row>
    <row r="32" spans="1:5" ht="12.75">
      <c r="A32" s="14" t="s">
        <v>1190</v>
      </c>
      <c r="B32" s="4" t="s">
        <v>155</v>
      </c>
      <c r="C32" s="4" t="s">
        <v>1158</v>
      </c>
      <c r="D32" s="4" t="s">
        <v>1204</v>
      </c>
      <c r="E32" s="18" t="s">
        <v>1205</v>
      </c>
    </row>
    <row r="33" spans="1:5" ht="12.75">
      <c r="A33" s="14" t="s">
        <v>1193</v>
      </c>
      <c r="B33" s="4" t="s">
        <v>244</v>
      </c>
      <c r="C33" s="4" t="s">
        <v>1158</v>
      </c>
      <c r="D33" s="4" t="s">
        <v>1159</v>
      </c>
      <c r="E33" s="18" t="s">
        <v>1206</v>
      </c>
    </row>
    <row r="34" spans="1:5" ht="12.75">
      <c r="A34" s="14" t="s">
        <v>687</v>
      </c>
      <c r="B34" s="4" t="s">
        <v>569</v>
      </c>
      <c r="C34" s="4" t="s">
        <v>1158</v>
      </c>
      <c r="D34" s="4" t="s">
        <v>1207</v>
      </c>
      <c r="E34" s="18" t="s">
        <v>1208</v>
      </c>
    </row>
    <row r="39" spans="1:2" ht="18">
      <c r="A39" s="9" t="s">
        <v>159</v>
      </c>
      <c r="B39" s="9"/>
    </row>
    <row r="40" spans="1:3" ht="15">
      <c r="A40" s="17" t="s">
        <v>160</v>
      </c>
      <c r="B40" s="17" t="s">
        <v>161</v>
      </c>
      <c r="C40" s="17" t="s">
        <v>162</v>
      </c>
    </row>
    <row r="41" spans="1:3" ht="12.75">
      <c r="A41" s="4" t="s">
        <v>116</v>
      </c>
      <c r="B41" s="4" t="s">
        <v>216</v>
      </c>
      <c r="C41" s="4" t="s">
        <v>1209</v>
      </c>
    </row>
    <row r="42" spans="1:3" ht="12.75">
      <c r="A42" s="4" t="s">
        <v>178</v>
      </c>
      <c r="B42" s="4" t="s">
        <v>216</v>
      </c>
      <c r="C42" s="4" t="s">
        <v>1210</v>
      </c>
    </row>
    <row r="43" spans="1:3" ht="12.75">
      <c r="A43" s="4" t="s">
        <v>997</v>
      </c>
      <c r="B43" s="4" t="s">
        <v>216</v>
      </c>
      <c r="C43" s="4" t="s">
        <v>1211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22.75390625" style="4" bestFit="1" customWidth="1"/>
    <col min="6" max="6" width="29.875" style="4" bestFit="1" customWidth="1"/>
    <col min="7" max="7" width="7.375" style="3" customWidth="1"/>
    <col min="8" max="8" width="9.125" style="29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3" t="s">
        <v>1172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10</v>
      </c>
      <c r="C3" s="48" t="s">
        <v>11</v>
      </c>
      <c r="D3" s="50" t="s">
        <v>1144</v>
      </c>
      <c r="E3" s="50" t="s">
        <v>7</v>
      </c>
      <c r="F3" s="50" t="s">
        <v>12</v>
      </c>
      <c r="G3" s="50" t="s">
        <v>1145</v>
      </c>
      <c r="H3" s="50"/>
      <c r="I3" s="50" t="s">
        <v>1142</v>
      </c>
      <c r="J3" s="50" t="s">
        <v>6</v>
      </c>
      <c r="K3" s="38" t="s">
        <v>5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7" t="s">
        <v>1140</v>
      </c>
      <c r="H4" s="28" t="s">
        <v>1141</v>
      </c>
      <c r="I4" s="49"/>
      <c r="J4" s="49"/>
      <c r="K4" s="39"/>
    </row>
    <row r="5" spans="1:10" ht="15">
      <c r="A5" s="51" t="s">
        <v>1146</v>
      </c>
      <c r="B5" s="52"/>
      <c r="C5" s="52"/>
      <c r="D5" s="52"/>
      <c r="E5" s="52"/>
      <c r="F5" s="52"/>
      <c r="G5" s="52"/>
      <c r="H5" s="52"/>
      <c r="I5" s="52"/>
      <c r="J5" s="52"/>
    </row>
    <row r="6" spans="1:11" ht="12.75">
      <c r="A6" s="19" t="s">
        <v>603</v>
      </c>
      <c r="B6" s="19" t="s">
        <v>604</v>
      </c>
      <c r="C6" s="19" t="s">
        <v>605</v>
      </c>
      <c r="D6" s="19" t="str">
        <f>"1,0000"</f>
        <v>1,0000</v>
      </c>
      <c r="E6" s="19" t="s">
        <v>28</v>
      </c>
      <c r="F6" s="19" t="s">
        <v>29</v>
      </c>
      <c r="G6" s="21" t="s">
        <v>179</v>
      </c>
      <c r="H6" s="30" t="s">
        <v>1173</v>
      </c>
      <c r="I6" s="19" t="str">
        <f>"1610,0"</f>
        <v>1610,0</v>
      </c>
      <c r="J6" s="21" t="str">
        <f>"27,4275"</f>
        <v>27,4275</v>
      </c>
      <c r="K6" s="19" t="s">
        <v>33</v>
      </c>
    </row>
    <row r="7" spans="1:11" ht="12.75">
      <c r="A7" s="25" t="s">
        <v>607</v>
      </c>
      <c r="B7" s="25" t="s">
        <v>608</v>
      </c>
      <c r="C7" s="25" t="s">
        <v>605</v>
      </c>
      <c r="D7" s="25" t="str">
        <f>"1,0000"</f>
        <v>1,0000</v>
      </c>
      <c r="E7" s="25" t="s">
        <v>28</v>
      </c>
      <c r="F7" s="25" t="s">
        <v>50</v>
      </c>
      <c r="G7" s="27" t="s">
        <v>179</v>
      </c>
      <c r="H7" s="31" t="s">
        <v>1174</v>
      </c>
      <c r="I7" s="25" t="str">
        <f>"1085,0"</f>
        <v>1085,0</v>
      </c>
      <c r="J7" s="27" t="str">
        <f>"18,4838"</f>
        <v>18,4838</v>
      </c>
      <c r="K7" s="25" t="s">
        <v>33</v>
      </c>
    </row>
    <row r="9" ht="15">
      <c r="E9" s="8" t="s">
        <v>13</v>
      </c>
    </row>
    <row r="10" ht="15">
      <c r="E10" s="8" t="s">
        <v>14</v>
      </c>
    </row>
    <row r="11" ht="15">
      <c r="E11" s="8" t="s">
        <v>15</v>
      </c>
    </row>
    <row r="12" ht="15">
      <c r="E12" s="8" t="s">
        <v>16</v>
      </c>
    </row>
    <row r="13" ht="15">
      <c r="E13" s="8" t="s">
        <v>16</v>
      </c>
    </row>
    <row r="14" ht="15">
      <c r="E14" s="8" t="s">
        <v>17</v>
      </c>
    </row>
    <row r="15" ht="15">
      <c r="E15" s="8"/>
    </row>
    <row r="17" spans="1:2" ht="18">
      <c r="A17" s="9" t="s">
        <v>18</v>
      </c>
      <c r="B17" s="9"/>
    </row>
    <row r="18" spans="1:2" ht="15">
      <c r="A18" s="13" t="s">
        <v>133</v>
      </c>
      <c r="B18" s="13"/>
    </row>
    <row r="19" spans="1:2" ht="14.25">
      <c r="A19" s="15"/>
      <c r="B19" s="16" t="s">
        <v>35</v>
      </c>
    </row>
    <row r="20" spans="1:5" ht="15">
      <c r="A20" s="17" t="s">
        <v>36</v>
      </c>
      <c r="B20" s="17" t="s">
        <v>37</v>
      </c>
      <c r="C20" s="17" t="s">
        <v>38</v>
      </c>
      <c r="D20" s="17" t="s">
        <v>39</v>
      </c>
      <c r="E20" s="17" t="s">
        <v>1157</v>
      </c>
    </row>
    <row r="21" spans="1:5" ht="12.75">
      <c r="A21" s="14" t="s">
        <v>602</v>
      </c>
      <c r="B21" s="4" t="s">
        <v>35</v>
      </c>
      <c r="C21" s="4" t="s">
        <v>1158</v>
      </c>
      <c r="D21" s="4" t="s">
        <v>1175</v>
      </c>
      <c r="E21" s="18" t="s">
        <v>1176</v>
      </c>
    </row>
    <row r="22" spans="1:5" ht="12.75">
      <c r="A22" s="14" t="s">
        <v>606</v>
      </c>
      <c r="B22" s="4" t="s">
        <v>35</v>
      </c>
      <c r="C22" s="4" t="s">
        <v>1158</v>
      </c>
      <c r="D22" s="4" t="s">
        <v>1177</v>
      </c>
      <c r="E22" s="18" t="s">
        <v>1178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6.125" style="4" customWidth="1"/>
    <col min="4" max="4" width="10.625" style="4" bestFit="1" customWidth="1"/>
    <col min="5" max="5" width="25.25390625" style="4" bestFit="1" customWidth="1"/>
    <col min="6" max="6" width="38.25390625" style="4" bestFit="1" customWidth="1"/>
    <col min="7" max="7" width="8.00390625" style="3" customWidth="1"/>
    <col min="8" max="8" width="8.125" style="29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3" t="s">
        <v>1164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10</v>
      </c>
      <c r="C3" s="48" t="s">
        <v>11</v>
      </c>
      <c r="D3" s="50" t="s">
        <v>1144</v>
      </c>
      <c r="E3" s="50" t="s">
        <v>7</v>
      </c>
      <c r="F3" s="50" t="s">
        <v>12</v>
      </c>
      <c r="G3" s="50" t="s">
        <v>1145</v>
      </c>
      <c r="H3" s="50"/>
      <c r="I3" s="50" t="s">
        <v>1142</v>
      </c>
      <c r="J3" s="50" t="s">
        <v>6</v>
      </c>
      <c r="K3" s="38" t="s">
        <v>5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7" t="s">
        <v>1140</v>
      </c>
      <c r="H4" s="28" t="s">
        <v>1141</v>
      </c>
      <c r="I4" s="49"/>
      <c r="J4" s="49"/>
      <c r="K4" s="39"/>
    </row>
    <row r="5" spans="1:10" ht="15">
      <c r="A5" s="51" t="s">
        <v>1146</v>
      </c>
      <c r="B5" s="52"/>
      <c r="C5" s="52"/>
      <c r="D5" s="52"/>
      <c r="E5" s="52"/>
      <c r="F5" s="52"/>
      <c r="G5" s="52"/>
      <c r="H5" s="52"/>
      <c r="I5" s="52"/>
      <c r="J5" s="52"/>
    </row>
    <row r="6" spans="1:11" ht="12.75">
      <c r="A6" s="19" t="s">
        <v>954</v>
      </c>
      <c r="B6" s="19" t="s">
        <v>955</v>
      </c>
      <c r="C6" s="19" t="s">
        <v>67</v>
      </c>
      <c r="D6" s="19" t="str">
        <f>"1,0000"</f>
        <v>1,0000</v>
      </c>
      <c r="E6" s="19" t="s">
        <v>1165</v>
      </c>
      <c r="F6" s="19" t="s">
        <v>421</v>
      </c>
      <c r="G6" s="21" t="s">
        <v>203</v>
      </c>
      <c r="H6" s="30" t="s">
        <v>1166</v>
      </c>
      <c r="I6" s="19" t="str">
        <f>"2600,0"</f>
        <v>2600,0</v>
      </c>
      <c r="J6" s="21" t="str">
        <f>"34,6666"</f>
        <v>34,6666</v>
      </c>
      <c r="K6" s="19" t="s">
        <v>33</v>
      </c>
    </row>
    <row r="7" spans="1:11" ht="12.75">
      <c r="A7" s="25" t="s">
        <v>888</v>
      </c>
      <c r="B7" s="25" t="s">
        <v>889</v>
      </c>
      <c r="C7" s="25" t="s">
        <v>435</v>
      </c>
      <c r="D7" s="25" t="str">
        <f>"1,0000"</f>
        <v>1,0000</v>
      </c>
      <c r="E7" s="25" t="s">
        <v>28</v>
      </c>
      <c r="F7" s="25" t="s">
        <v>87</v>
      </c>
      <c r="G7" s="27" t="s">
        <v>203</v>
      </c>
      <c r="H7" s="31" t="s">
        <v>51</v>
      </c>
      <c r="I7" s="25" t="str">
        <f>"2500,0"</f>
        <v>2500,0</v>
      </c>
      <c r="J7" s="27" t="str">
        <f>"28,4090"</f>
        <v>28,4090</v>
      </c>
      <c r="K7" s="25" t="s">
        <v>33</v>
      </c>
    </row>
    <row r="9" ht="15">
      <c r="E9" s="8" t="s">
        <v>13</v>
      </c>
    </row>
    <row r="10" ht="15">
      <c r="E10" s="8" t="s">
        <v>14</v>
      </c>
    </row>
    <row r="11" ht="15">
      <c r="E11" s="8" t="s">
        <v>15</v>
      </c>
    </row>
    <row r="12" ht="15">
      <c r="E12" s="8" t="s">
        <v>16</v>
      </c>
    </row>
    <row r="13" ht="15">
      <c r="E13" s="8" t="s">
        <v>16</v>
      </c>
    </row>
    <row r="14" ht="15">
      <c r="E14" s="8" t="s">
        <v>17</v>
      </c>
    </row>
    <row r="15" ht="15">
      <c r="E15" s="8"/>
    </row>
    <row r="17" spans="1:2" ht="18">
      <c r="A17" s="9" t="s">
        <v>18</v>
      </c>
      <c r="B17" s="9"/>
    </row>
    <row r="18" spans="1:2" ht="15">
      <c r="A18" s="13" t="s">
        <v>34</v>
      </c>
      <c r="B18" s="13"/>
    </row>
    <row r="19" spans="1:2" ht="14.25">
      <c r="A19" s="15"/>
      <c r="B19" s="16" t="s">
        <v>35</v>
      </c>
    </row>
    <row r="20" spans="1:5" ht="15">
      <c r="A20" s="17" t="s">
        <v>36</v>
      </c>
      <c r="B20" s="17" t="s">
        <v>37</v>
      </c>
      <c r="C20" s="17" t="s">
        <v>38</v>
      </c>
      <c r="D20" s="17" t="s">
        <v>39</v>
      </c>
      <c r="E20" s="17" t="s">
        <v>1157</v>
      </c>
    </row>
    <row r="21" spans="1:5" ht="12.75">
      <c r="A21" s="14" t="s">
        <v>953</v>
      </c>
      <c r="B21" s="4" t="s">
        <v>35</v>
      </c>
      <c r="C21" s="4" t="s">
        <v>1158</v>
      </c>
      <c r="D21" s="4" t="s">
        <v>1167</v>
      </c>
      <c r="E21" s="18" t="s">
        <v>1168</v>
      </c>
    </row>
    <row r="22" spans="1:5" ht="12.75">
      <c r="A22" s="14" t="s">
        <v>887</v>
      </c>
      <c r="B22" s="4" t="s">
        <v>35</v>
      </c>
      <c r="C22" s="4" t="s">
        <v>1158</v>
      </c>
      <c r="D22" s="4" t="s">
        <v>1169</v>
      </c>
      <c r="E22" s="18" t="s">
        <v>1170</v>
      </c>
    </row>
    <row r="27" spans="1:2" ht="18">
      <c r="A27" s="9" t="s">
        <v>159</v>
      </c>
      <c r="B27" s="9"/>
    </row>
    <row r="28" spans="1:3" ht="15">
      <c r="A28" s="17" t="s">
        <v>160</v>
      </c>
      <c r="B28" s="17" t="s">
        <v>161</v>
      </c>
      <c r="C28" s="17" t="s">
        <v>162</v>
      </c>
    </row>
    <row r="29" spans="1:3" ht="12.75">
      <c r="A29" s="4" t="s">
        <v>1165</v>
      </c>
      <c r="B29" s="4" t="s">
        <v>216</v>
      </c>
      <c r="C29" s="4" t="s">
        <v>1171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25.375" style="4" customWidth="1"/>
    <col min="4" max="4" width="10.625" style="4" bestFit="1" customWidth="1"/>
    <col min="5" max="5" width="17.875" style="4" customWidth="1"/>
    <col min="6" max="6" width="27.625" style="4" bestFit="1" customWidth="1"/>
    <col min="7" max="7" width="9.625" style="3" customWidth="1"/>
    <col min="8" max="8" width="10.875" style="29" customWidth="1"/>
    <col min="9" max="9" width="7.875" style="4" bestFit="1" customWidth="1"/>
    <col min="10" max="10" width="7.625" style="3" bestFit="1" customWidth="1"/>
    <col min="11" max="11" width="11.00390625" style="4" bestFit="1" customWidth="1"/>
    <col min="12" max="16384" width="9.125" style="3" customWidth="1"/>
  </cols>
  <sheetData>
    <row r="1" spans="1:11" s="2" customFormat="1" ht="28.5" customHeight="1">
      <c r="A1" s="53" t="s">
        <v>1143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10</v>
      </c>
      <c r="C3" s="48" t="s">
        <v>11</v>
      </c>
      <c r="D3" s="50" t="s">
        <v>1144</v>
      </c>
      <c r="E3" s="50" t="s">
        <v>7</v>
      </c>
      <c r="F3" s="50" t="s">
        <v>12</v>
      </c>
      <c r="G3" s="50" t="s">
        <v>1145</v>
      </c>
      <c r="H3" s="50"/>
      <c r="I3" s="50" t="s">
        <v>1142</v>
      </c>
      <c r="J3" s="50" t="s">
        <v>6</v>
      </c>
      <c r="K3" s="38" t="s">
        <v>5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7" t="s">
        <v>1140</v>
      </c>
      <c r="H4" s="28" t="s">
        <v>1141</v>
      </c>
      <c r="I4" s="49"/>
      <c r="J4" s="49"/>
      <c r="K4" s="39"/>
    </row>
    <row r="5" spans="1:10" ht="15">
      <c r="A5" s="51" t="s">
        <v>1146</v>
      </c>
      <c r="B5" s="52"/>
      <c r="C5" s="52"/>
      <c r="D5" s="52"/>
      <c r="E5" s="52"/>
      <c r="F5" s="52"/>
      <c r="G5" s="52"/>
      <c r="H5" s="52"/>
      <c r="I5" s="52"/>
      <c r="J5" s="52"/>
    </row>
    <row r="6" spans="1:11" ht="12.75">
      <c r="A6" s="19" t="s">
        <v>1148</v>
      </c>
      <c r="B6" s="19" t="s">
        <v>1149</v>
      </c>
      <c r="C6" s="19" t="s">
        <v>1150</v>
      </c>
      <c r="D6" s="19" t="str">
        <f>"1,0000"</f>
        <v>1,0000</v>
      </c>
      <c r="E6" s="19" t="s">
        <v>997</v>
      </c>
      <c r="F6" s="19" t="s">
        <v>964</v>
      </c>
      <c r="G6" s="21" t="s">
        <v>93</v>
      </c>
      <c r="H6" s="30" t="s">
        <v>1151</v>
      </c>
      <c r="I6" s="19" t="str">
        <f>"3685,0"</f>
        <v>3685,0</v>
      </c>
      <c r="J6" s="21" t="str">
        <f>"37,7948"</f>
        <v>37,7948</v>
      </c>
      <c r="K6" s="19" t="s">
        <v>33</v>
      </c>
    </row>
    <row r="7" spans="1:11" ht="12.75">
      <c r="A7" s="25" t="s">
        <v>1153</v>
      </c>
      <c r="B7" s="25" t="s">
        <v>1154</v>
      </c>
      <c r="C7" s="25" t="s">
        <v>1155</v>
      </c>
      <c r="D7" s="25" t="str">
        <f>"1,0000"</f>
        <v>1,0000</v>
      </c>
      <c r="E7" s="25" t="s">
        <v>997</v>
      </c>
      <c r="F7" s="25" t="s">
        <v>964</v>
      </c>
      <c r="G7" s="27" t="s">
        <v>93</v>
      </c>
      <c r="H7" s="31" t="s">
        <v>1156</v>
      </c>
      <c r="I7" s="25" t="str">
        <f>"2255,0"</f>
        <v>2255,0</v>
      </c>
      <c r="J7" s="27" t="str">
        <f>"28,4722"</f>
        <v>28,4722</v>
      </c>
      <c r="K7" s="25" t="s">
        <v>998</v>
      </c>
    </row>
    <row r="9" ht="15">
      <c r="E9" s="8" t="s">
        <v>13</v>
      </c>
    </row>
    <row r="10" ht="15">
      <c r="E10" s="8" t="s">
        <v>14</v>
      </c>
    </row>
    <row r="11" ht="15">
      <c r="E11" s="8" t="s">
        <v>15</v>
      </c>
    </row>
    <row r="12" ht="15">
      <c r="E12" s="8" t="s">
        <v>16</v>
      </c>
    </row>
    <row r="13" ht="15">
      <c r="E13" s="8" t="s">
        <v>16</v>
      </c>
    </row>
    <row r="14" ht="15">
      <c r="E14" s="8" t="s">
        <v>17</v>
      </c>
    </row>
    <row r="15" ht="15">
      <c r="E15" s="8"/>
    </row>
    <row r="17" spans="1:2" ht="18">
      <c r="A17" s="9" t="s">
        <v>18</v>
      </c>
      <c r="B17" s="9"/>
    </row>
    <row r="18" spans="1:2" ht="15">
      <c r="A18" s="13" t="s">
        <v>34</v>
      </c>
      <c r="B18" s="13"/>
    </row>
    <row r="19" spans="1:2" ht="14.25">
      <c r="A19" s="15"/>
      <c r="B19" s="16" t="s">
        <v>35</v>
      </c>
    </row>
    <row r="20" spans="1:5" ht="15">
      <c r="A20" s="17" t="s">
        <v>36</v>
      </c>
      <c r="B20" s="17" t="s">
        <v>37</v>
      </c>
      <c r="C20" s="17" t="s">
        <v>38</v>
      </c>
      <c r="D20" s="17" t="s">
        <v>39</v>
      </c>
      <c r="E20" s="17" t="s">
        <v>1157</v>
      </c>
    </row>
    <row r="21" spans="1:5" ht="12.75">
      <c r="A21" s="14" t="s">
        <v>1147</v>
      </c>
      <c r="B21" s="4" t="s">
        <v>35</v>
      </c>
      <c r="C21" s="4" t="s">
        <v>1158</v>
      </c>
      <c r="D21" s="4" t="s">
        <v>1159</v>
      </c>
      <c r="E21" s="18" t="s">
        <v>1160</v>
      </c>
    </row>
    <row r="22" spans="1:5" ht="12.75">
      <c r="A22" s="14" t="s">
        <v>1152</v>
      </c>
      <c r="B22" s="4" t="s">
        <v>35</v>
      </c>
      <c r="C22" s="4" t="s">
        <v>1158</v>
      </c>
      <c r="D22" s="4" t="s">
        <v>1161</v>
      </c>
      <c r="E22" s="18" t="s">
        <v>1162</v>
      </c>
    </row>
    <row r="27" spans="1:2" ht="18">
      <c r="A27" s="9" t="s">
        <v>159</v>
      </c>
      <c r="B27" s="9"/>
    </row>
    <row r="28" spans="1:3" ht="15">
      <c r="A28" s="17" t="s">
        <v>160</v>
      </c>
      <c r="B28" s="17" t="s">
        <v>161</v>
      </c>
      <c r="C28" s="17" t="s">
        <v>162</v>
      </c>
    </row>
    <row r="29" spans="1:3" ht="12.75">
      <c r="A29" s="4" t="s">
        <v>997</v>
      </c>
      <c r="B29" s="4" t="s">
        <v>167</v>
      </c>
      <c r="C29" s="4" t="s">
        <v>1163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2.875" style="4" customWidth="1"/>
    <col min="2" max="2" width="27.75390625" style="4" bestFit="1" customWidth="1"/>
    <col min="3" max="3" width="17.625" style="4" customWidth="1"/>
    <col min="4" max="4" width="9.25390625" style="4" bestFit="1" customWidth="1"/>
    <col min="5" max="5" width="19.875" style="4" customWidth="1"/>
    <col min="6" max="6" width="32.37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5" width="7.875" style="4" bestFit="1" customWidth="1"/>
    <col min="16" max="16" width="8.625" style="3" bestFit="1" customWidth="1"/>
    <col min="17" max="17" width="12.875" style="4" bestFit="1" customWidth="1"/>
    <col min="18" max="16384" width="9.125" style="3" customWidth="1"/>
  </cols>
  <sheetData>
    <row r="1" spans="1:17" s="2" customFormat="1" ht="28.5" customHeight="1">
      <c r="A1" s="53" t="s">
        <v>1120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s="1" customFormat="1" ht="12.75" customHeight="1">
      <c r="A3" s="46" t="s">
        <v>0</v>
      </c>
      <c r="B3" s="48" t="s">
        <v>10</v>
      </c>
      <c r="C3" s="48" t="s">
        <v>11</v>
      </c>
      <c r="D3" s="50" t="s">
        <v>21</v>
      </c>
      <c r="E3" s="50" t="s">
        <v>7</v>
      </c>
      <c r="F3" s="50" t="s">
        <v>12</v>
      </c>
      <c r="G3" s="50" t="s">
        <v>249</v>
      </c>
      <c r="H3" s="50"/>
      <c r="I3" s="50"/>
      <c r="J3" s="50"/>
      <c r="K3" s="50" t="s">
        <v>250</v>
      </c>
      <c r="L3" s="50"/>
      <c r="M3" s="50"/>
      <c r="N3" s="50"/>
      <c r="O3" s="50" t="s">
        <v>4</v>
      </c>
      <c r="P3" s="50" t="s">
        <v>6</v>
      </c>
      <c r="Q3" s="38" t="s">
        <v>5</v>
      </c>
    </row>
    <row r="4" spans="1:17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49"/>
      <c r="P4" s="49"/>
      <c r="Q4" s="39"/>
    </row>
    <row r="5" spans="1:16" ht="15">
      <c r="A5" s="51" t="s">
        <v>23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7" ht="12.75">
      <c r="A6" s="19" t="s">
        <v>324</v>
      </c>
      <c r="B6" s="19" t="s">
        <v>325</v>
      </c>
      <c r="C6" s="19" t="s">
        <v>1121</v>
      </c>
      <c r="D6" s="19" t="str">
        <f>"0,7066"</f>
        <v>0,7066</v>
      </c>
      <c r="E6" s="19" t="s">
        <v>327</v>
      </c>
      <c r="F6" s="19" t="s">
        <v>69</v>
      </c>
      <c r="G6" s="21" t="s">
        <v>94</v>
      </c>
      <c r="H6" s="21" t="s">
        <v>81</v>
      </c>
      <c r="I6" s="21" t="s">
        <v>101</v>
      </c>
      <c r="J6" s="20"/>
      <c r="K6" s="21" t="s">
        <v>225</v>
      </c>
      <c r="L6" s="21" t="s">
        <v>210</v>
      </c>
      <c r="M6" s="21" t="s">
        <v>255</v>
      </c>
      <c r="N6" s="20"/>
      <c r="O6" s="19" t="str">
        <f>"200,0"</f>
        <v>200,0</v>
      </c>
      <c r="P6" s="21" t="str">
        <f>"159,6916"</f>
        <v>159,6916</v>
      </c>
      <c r="Q6" s="19" t="s">
        <v>33</v>
      </c>
    </row>
    <row r="7" spans="1:17" ht="12.75">
      <c r="A7" s="22" t="s">
        <v>1122</v>
      </c>
      <c r="B7" s="22" t="s">
        <v>80</v>
      </c>
      <c r="C7" s="22" t="s">
        <v>67</v>
      </c>
      <c r="D7" s="22" t="str">
        <f>"0,6645"</f>
        <v>0,6645</v>
      </c>
      <c r="E7" s="22" t="s">
        <v>68</v>
      </c>
      <c r="F7" s="22" t="s">
        <v>69</v>
      </c>
      <c r="G7" s="24" t="s">
        <v>232</v>
      </c>
      <c r="H7" s="24" t="s">
        <v>210</v>
      </c>
      <c r="I7" s="23" t="s">
        <v>255</v>
      </c>
      <c r="J7" s="23"/>
      <c r="K7" s="24" t="s">
        <v>329</v>
      </c>
      <c r="L7" s="24" t="s">
        <v>266</v>
      </c>
      <c r="M7" s="23" t="s">
        <v>272</v>
      </c>
      <c r="N7" s="23"/>
      <c r="O7" s="22" t="str">
        <f>"320,0"</f>
        <v>320,0</v>
      </c>
      <c r="P7" s="24" t="str">
        <f>"212,6400"</f>
        <v>212,6400</v>
      </c>
      <c r="Q7" s="22" t="s">
        <v>33</v>
      </c>
    </row>
    <row r="8" spans="1:17" ht="12.75">
      <c r="A8" s="25" t="s">
        <v>1123</v>
      </c>
      <c r="B8" s="25" t="s">
        <v>75</v>
      </c>
      <c r="C8" s="25" t="s">
        <v>67</v>
      </c>
      <c r="D8" s="25" t="str">
        <f>"0,6645"</f>
        <v>0,6645</v>
      </c>
      <c r="E8" s="25" t="s">
        <v>68</v>
      </c>
      <c r="F8" s="25" t="s">
        <v>69</v>
      </c>
      <c r="G8" s="27" t="s">
        <v>203</v>
      </c>
      <c r="H8" s="26" t="s">
        <v>225</v>
      </c>
      <c r="I8" s="27" t="s">
        <v>225</v>
      </c>
      <c r="J8" s="26"/>
      <c r="K8" s="27" t="s">
        <v>329</v>
      </c>
      <c r="L8" s="26" t="s">
        <v>266</v>
      </c>
      <c r="M8" s="26" t="s">
        <v>266</v>
      </c>
      <c r="N8" s="26"/>
      <c r="O8" s="25" t="str">
        <f>"290,0"</f>
        <v>290,0</v>
      </c>
      <c r="P8" s="27" t="str">
        <f>"192,7050"</f>
        <v>192,7050</v>
      </c>
      <c r="Q8" s="25" t="s">
        <v>72</v>
      </c>
    </row>
    <row r="10" spans="1:16" ht="15">
      <c r="A10" s="54" t="s">
        <v>88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1:17" ht="12.75">
      <c r="A11" s="19" t="s">
        <v>332</v>
      </c>
      <c r="B11" s="19" t="s">
        <v>333</v>
      </c>
      <c r="C11" s="19" t="s">
        <v>334</v>
      </c>
      <c r="D11" s="19" t="str">
        <f>"0,6358"</f>
        <v>0,6358</v>
      </c>
      <c r="E11" s="19" t="s">
        <v>327</v>
      </c>
      <c r="F11" s="19" t="s">
        <v>69</v>
      </c>
      <c r="G11" s="21" t="s">
        <v>101</v>
      </c>
      <c r="H11" s="21" t="s">
        <v>201</v>
      </c>
      <c r="I11" s="21" t="s">
        <v>227</v>
      </c>
      <c r="J11" s="20"/>
      <c r="K11" s="21" t="s">
        <v>256</v>
      </c>
      <c r="L11" s="21" t="s">
        <v>212</v>
      </c>
      <c r="M11" s="21" t="s">
        <v>311</v>
      </c>
      <c r="N11" s="20"/>
      <c r="O11" s="19" t="str">
        <f>"235,0"</f>
        <v>235,0</v>
      </c>
      <c r="P11" s="21" t="str">
        <f>"176,3073"</f>
        <v>176,3073</v>
      </c>
      <c r="Q11" s="19" t="s">
        <v>33</v>
      </c>
    </row>
    <row r="12" spans="1:17" ht="12.75">
      <c r="A12" s="22" t="s">
        <v>1019</v>
      </c>
      <c r="B12" s="22" t="s">
        <v>1020</v>
      </c>
      <c r="C12" s="22" t="s">
        <v>1021</v>
      </c>
      <c r="D12" s="22" t="str">
        <f>"0,6583"</f>
        <v>0,6583</v>
      </c>
      <c r="E12" s="22" t="s">
        <v>327</v>
      </c>
      <c r="F12" s="22" t="s">
        <v>69</v>
      </c>
      <c r="G12" s="24" t="s">
        <v>81</v>
      </c>
      <c r="H12" s="23" t="s">
        <v>101</v>
      </c>
      <c r="I12" s="24" t="s">
        <v>201</v>
      </c>
      <c r="J12" s="23"/>
      <c r="K12" s="24" t="s">
        <v>686</v>
      </c>
      <c r="L12" s="24" t="s">
        <v>232</v>
      </c>
      <c r="M12" s="24" t="s">
        <v>210</v>
      </c>
      <c r="N12" s="23"/>
      <c r="O12" s="22" t="str">
        <f>"195,0"</f>
        <v>195,0</v>
      </c>
      <c r="P12" s="24" t="str">
        <f>"145,0564"</f>
        <v>145,0564</v>
      </c>
      <c r="Q12" s="22" t="s">
        <v>33</v>
      </c>
    </row>
    <row r="13" spans="1:17" ht="12.75">
      <c r="A13" s="22" t="s">
        <v>1124</v>
      </c>
      <c r="B13" s="22" t="s">
        <v>695</v>
      </c>
      <c r="C13" s="22" t="s">
        <v>696</v>
      </c>
      <c r="D13" s="22" t="str">
        <f>"0,6279"</f>
        <v>0,6279</v>
      </c>
      <c r="E13" s="22" t="s">
        <v>28</v>
      </c>
      <c r="F13" s="22" t="s">
        <v>697</v>
      </c>
      <c r="G13" s="24" t="s">
        <v>299</v>
      </c>
      <c r="H13" s="24" t="s">
        <v>304</v>
      </c>
      <c r="I13" s="23" t="s">
        <v>208</v>
      </c>
      <c r="J13" s="23"/>
      <c r="K13" s="24" t="s">
        <v>267</v>
      </c>
      <c r="L13" s="24" t="s">
        <v>268</v>
      </c>
      <c r="M13" s="24" t="s">
        <v>455</v>
      </c>
      <c r="N13" s="23"/>
      <c r="O13" s="22" t="str">
        <f>"380,0"</f>
        <v>380,0</v>
      </c>
      <c r="P13" s="24" t="str">
        <f>"238,6020"</f>
        <v>238,6020</v>
      </c>
      <c r="Q13" s="22" t="s">
        <v>33</v>
      </c>
    </row>
    <row r="14" spans="1:17" ht="12.75">
      <c r="A14" s="22" t="s">
        <v>348</v>
      </c>
      <c r="B14" s="22" t="s">
        <v>349</v>
      </c>
      <c r="C14" s="22" t="s">
        <v>350</v>
      </c>
      <c r="D14" s="22" t="str">
        <f>"0,6492"</f>
        <v>0,6492</v>
      </c>
      <c r="E14" s="22" t="s">
        <v>327</v>
      </c>
      <c r="F14" s="22" t="s">
        <v>69</v>
      </c>
      <c r="G14" s="24" t="s">
        <v>232</v>
      </c>
      <c r="H14" s="24" t="s">
        <v>210</v>
      </c>
      <c r="I14" s="23" t="s">
        <v>297</v>
      </c>
      <c r="J14" s="23"/>
      <c r="K14" s="24" t="s">
        <v>245</v>
      </c>
      <c r="L14" s="24" t="s">
        <v>329</v>
      </c>
      <c r="M14" s="24" t="s">
        <v>353</v>
      </c>
      <c r="N14" s="23"/>
      <c r="O14" s="22" t="str">
        <f>"305,0"</f>
        <v>305,0</v>
      </c>
      <c r="P14" s="24" t="str">
        <f>"198,0060"</f>
        <v>198,0060</v>
      </c>
      <c r="Q14" s="22" t="s">
        <v>33</v>
      </c>
    </row>
    <row r="15" spans="1:17" ht="12.75">
      <c r="A15" s="25" t="s">
        <v>712</v>
      </c>
      <c r="B15" s="25" t="s">
        <v>713</v>
      </c>
      <c r="C15" s="25" t="s">
        <v>714</v>
      </c>
      <c r="D15" s="25" t="str">
        <f>"0,6461"</f>
        <v>0,6461</v>
      </c>
      <c r="E15" s="25" t="s">
        <v>327</v>
      </c>
      <c r="F15" s="25" t="s">
        <v>69</v>
      </c>
      <c r="G15" s="26" t="s">
        <v>715</v>
      </c>
      <c r="H15" s="26" t="s">
        <v>297</v>
      </c>
      <c r="I15" s="26" t="s">
        <v>297</v>
      </c>
      <c r="J15" s="26"/>
      <c r="K15" s="27" t="s">
        <v>245</v>
      </c>
      <c r="L15" s="26" t="s">
        <v>271</v>
      </c>
      <c r="M15" s="26" t="s">
        <v>271</v>
      </c>
      <c r="N15" s="26"/>
      <c r="O15" s="25" t="str">
        <f>"0.00"</f>
        <v>0.00</v>
      </c>
      <c r="P15" s="27" t="str">
        <f>"0,0000"</f>
        <v>0,0000</v>
      </c>
      <c r="Q15" s="25" t="s">
        <v>33</v>
      </c>
    </row>
    <row r="17" spans="1:16" ht="15">
      <c r="A17" s="54" t="s">
        <v>484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</row>
    <row r="18" spans="1:17" ht="12.75">
      <c r="A18" s="10" t="s">
        <v>785</v>
      </c>
      <c r="B18" s="10" t="s">
        <v>786</v>
      </c>
      <c r="C18" s="10" t="s">
        <v>1125</v>
      </c>
      <c r="D18" s="10" t="str">
        <f>"0,5288"</f>
        <v>0,5288</v>
      </c>
      <c r="E18" s="10" t="s">
        <v>178</v>
      </c>
      <c r="F18" s="10" t="s">
        <v>29</v>
      </c>
      <c r="G18" s="12" t="s">
        <v>245</v>
      </c>
      <c r="H18" s="12" t="s">
        <v>329</v>
      </c>
      <c r="I18" s="12" t="s">
        <v>330</v>
      </c>
      <c r="J18" s="11"/>
      <c r="K18" s="12" t="s">
        <v>266</v>
      </c>
      <c r="L18" s="12" t="s">
        <v>444</v>
      </c>
      <c r="M18" s="12" t="s">
        <v>268</v>
      </c>
      <c r="N18" s="11"/>
      <c r="O18" s="10" t="str">
        <f>"420,0"</f>
        <v>420,0</v>
      </c>
      <c r="P18" s="12" t="str">
        <f>"222,0960"</f>
        <v>222,0960</v>
      </c>
      <c r="Q18" s="10" t="s">
        <v>33</v>
      </c>
    </row>
    <row r="20" ht="15">
      <c r="E20" s="8" t="s">
        <v>13</v>
      </c>
    </row>
    <row r="21" ht="15">
      <c r="E21" s="8" t="s">
        <v>14</v>
      </c>
    </row>
    <row r="22" ht="15">
      <c r="E22" s="8" t="s">
        <v>15</v>
      </c>
    </row>
    <row r="23" ht="15">
      <c r="E23" s="8" t="s">
        <v>16</v>
      </c>
    </row>
    <row r="24" ht="15">
      <c r="E24" s="8" t="s">
        <v>16</v>
      </c>
    </row>
    <row r="25" ht="15">
      <c r="E25" s="8" t="s">
        <v>17</v>
      </c>
    </row>
    <row r="26" ht="15">
      <c r="E26" s="8"/>
    </row>
    <row r="28" spans="1:2" ht="18">
      <c r="A28" s="9" t="s">
        <v>18</v>
      </c>
      <c r="B28" s="9"/>
    </row>
    <row r="29" spans="1:2" ht="15">
      <c r="A29" s="13" t="s">
        <v>34</v>
      </c>
      <c r="B29" s="13"/>
    </row>
    <row r="30" spans="1:2" ht="14.25">
      <c r="A30" s="15"/>
      <c r="B30" s="16" t="s">
        <v>136</v>
      </c>
    </row>
    <row r="31" spans="1:5" ht="15">
      <c r="A31" s="17" t="s">
        <v>36</v>
      </c>
      <c r="B31" s="17" t="s">
        <v>37</v>
      </c>
      <c r="C31" s="17" t="s">
        <v>38</v>
      </c>
      <c r="D31" s="17" t="s">
        <v>39</v>
      </c>
      <c r="E31" s="17" t="s">
        <v>40</v>
      </c>
    </row>
    <row r="32" spans="1:5" ht="12.75">
      <c r="A32" s="14" t="s">
        <v>331</v>
      </c>
      <c r="B32" s="4" t="s">
        <v>363</v>
      </c>
      <c r="C32" s="4" t="s">
        <v>138</v>
      </c>
      <c r="D32" s="4" t="s">
        <v>470</v>
      </c>
      <c r="E32" s="18" t="s">
        <v>1126</v>
      </c>
    </row>
    <row r="33" spans="1:5" ht="12.75">
      <c r="A33" s="14" t="s">
        <v>323</v>
      </c>
      <c r="B33" s="4" t="s">
        <v>137</v>
      </c>
      <c r="C33" s="4" t="s">
        <v>41</v>
      </c>
      <c r="D33" s="4" t="s">
        <v>266</v>
      </c>
      <c r="E33" s="18" t="s">
        <v>1127</v>
      </c>
    </row>
    <row r="34" spans="1:5" ht="12.75">
      <c r="A34" s="14" t="s">
        <v>1018</v>
      </c>
      <c r="B34" s="4" t="s">
        <v>137</v>
      </c>
      <c r="C34" s="4" t="s">
        <v>138</v>
      </c>
      <c r="D34" s="4" t="s">
        <v>343</v>
      </c>
      <c r="E34" s="18" t="s">
        <v>1128</v>
      </c>
    </row>
    <row r="36" spans="1:2" ht="14.25">
      <c r="A36" s="15"/>
      <c r="B36" s="16" t="s">
        <v>35</v>
      </c>
    </row>
    <row r="37" spans="1:5" ht="15">
      <c r="A37" s="17" t="s">
        <v>36</v>
      </c>
      <c r="B37" s="17" t="s">
        <v>37</v>
      </c>
      <c r="C37" s="17" t="s">
        <v>38</v>
      </c>
      <c r="D37" s="17" t="s">
        <v>39</v>
      </c>
      <c r="E37" s="17" t="s">
        <v>40</v>
      </c>
    </row>
    <row r="38" spans="1:5" ht="12.75">
      <c r="A38" s="14" t="s">
        <v>693</v>
      </c>
      <c r="B38" s="4" t="s">
        <v>35</v>
      </c>
      <c r="C38" s="4" t="s">
        <v>138</v>
      </c>
      <c r="D38" s="4" t="s">
        <v>1129</v>
      </c>
      <c r="E38" s="18" t="s">
        <v>1130</v>
      </c>
    </row>
    <row r="39" spans="1:5" ht="12.75">
      <c r="A39" s="14" t="s">
        <v>784</v>
      </c>
      <c r="B39" s="4" t="s">
        <v>35</v>
      </c>
      <c r="C39" s="4" t="s">
        <v>513</v>
      </c>
      <c r="D39" s="4" t="s">
        <v>1131</v>
      </c>
      <c r="E39" s="18" t="s">
        <v>1132</v>
      </c>
    </row>
    <row r="40" spans="1:5" ht="12.75">
      <c r="A40" s="14" t="s">
        <v>78</v>
      </c>
      <c r="B40" s="4" t="s">
        <v>35</v>
      </c>
      <c r="C40" s="4" t="s">
        <v>41</v>
      </c>
      <c r="D40" s="4" t="s">
        <v>970</v>
      </c>
      <c r="E40" s="18" t="s">
        <v>1133</v>
      </c>
    </row>
    <row r="41" spans="1:5" ht="12.75">
      <c r="A41" s="14" t="s">
        <v>347</v>
      </c>
      <c r="B41" s="4" t="s">
        <v>35</v>
      </c>
      <c r="C41" s="4" t="s">
        <v>138</v>
      </c>
      <c r="D41" s="4" t="s">
        <v>380</v>
      </c>
      <c r="E41" s="18" t="s">
        <v>1134</v>
      </c>
    </row>
    <row r="42" spans="1:5" ht="12.75">
      <c r="A42" s="14" t="s">
        <v>73</v>
      </c>
      <c r="B42" s="4" t="s">
        <v>35</v>
      </c>
      <c r="C42" s="4" t="s">
        <v>41</v>
      </c>
      <c r="D42" s="4" t="s">
        <v>465</v>
      </c>
      <c r="E42" s="18" t="s">
        <v>1135</v>
      </c>
    </row>
    <row r="47" spans="1:2" ht="18">
      <c r="A47" s="9" t="s">
        <v>159</v>
      </c>
      <c r="B47" s="9"/>
    </row>
    <row r="48" spans="1:3" ht="15">
      <c r="A48" s="17" t="s">
        <v>160</v>
      </c>
      <c r="B48" s="17" t="s">
        <v>161</v>
      </c>
      <c r="C48" s="17" t="s">
        <v>162</v>
      </c>
    </row>
    <row r="49" spans="1:3" ht="12.75">
      <c r="A49" s="4" t="s">
        <v>327</v>
      </c>
      <c r="B49" s="4" t="s">
        <v>1136</v>
      </c>
      <c r="C49" s="4" t="s">
        <v>1137</v>
      </c>
    </row>
    <row r="50" spans="1:3" ht="12.75">
      <c r="A50" s="4" t="s">
        <v>68</v>
      </c>
      <c r="B50" s="4" t="s">
        <v>1076</v>
      </c>
      <c r="C50" s="4" t="s">
        <v>1138</v>
      </c>
    </row>
    <row r="51" spans="1:3" ht="12.75">
      <c r="A51" s="4" t="s">
        <v>178</v>
      </c>
      <c r="B51" s="4" t="s">
        <v>216</v>
      </c>
      <c r="C51" s="4" t="s">
        <v>1139</v>
      </c>
    </row>
  </sheetData>
  <sheetProtection/>
  <mergeCells count="15">
    <mergeCell ref="A17:P17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  <mergeCell ref="A5:P5"/>
    <mergeCell ref="A10:P10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53" t="s">
        <v>1118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10</v>
      </c>
      <c r="C3" s="48" t="s">
        <v>11</v>
      </c>
      <c r="D3" s="50" t="s">
        <v>21</v>
      </c>
      <c r="E3" s="50" t="s">
        <v>7</v>
      </c>
      <c r="F3" s="50" t="s">
        <v>12</v>
      </c>
      <c r="G3" s="50" t="s">
        <v>248</v>
      </c>
      <c r="H3" s="50"/>
      <c r="I3" s="50"/>
      <c r="J3" s="50"/>
      <c r="K3" s="50" t="s">
        <v>19</v>
      </c>
      <c r="L3" s="50" t="s">
        <v>6</v>
      </c>
      <c r="M3" s="38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8</v>
      </c>
      <c r="K4" s="49"/>
      <c r="L4" s="49"/>
      <c r="M4" s="39"/>
    </row>
    <row r="5" spans="1:12" ht="15">
      <c r="A5" s="51" t="s">
        <v>88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3" ht="12.75">
      <c r="A6" s="10" t="s">
        <v>1088</v>
      </c>
      <c r="B6" s="10" t="s">
        <v>1089</v>
      </c>
      <c r="C6" s="10" t="s">
        <v>696</v>
      </c>
      <c r="D6" s="10" t="str">
        <f>"0,6279"</f>
        <v>0,6279</v>
      </c>
      <c r="E6" s="10" t="s">
        <v>28</v>
      </c>
      <c r="F6" s="10" t="s">
        <v>29</v>
      </c>
      <c r="G6" s="12" t="s">
        <v>329</v>
      </c>
      <c r="H6" s="11" t="s">
        <v>330</v>
      </c>
      <c r="I6" s="11" t="s">
        <v>343</v>
      </c>
      <c r="J6" s="11"/>
      <c r="K6" s="10" t="str">
        <f>"180,0"</f>
        <v>180,0</v>
      </c>
      <c r="L6" s="12" t="str">
        <f>"113,0220"</f>
        <v>113,0220</v>
      </c>
      <c r="M6" s="10" t="s">
        <v>33</v>
      </c>
    </row>
    <row r="8" ht="15">
      <c r="E8" s="8" t="s">
        <v>13</v>
      </c>
    </row>
    <row r="9" ht="15">
      <c r="E9" s="8" t="s">
        <v>14</v>
      </c>
    </row>
    <row r="10" ht="15">
      <c r="E10" s="8" t="s">
        <v>15</v>
      </c>
    </row>
    <row r="11" ht="15">
      <c r="E11" s="8" t="s">
        <v>16</v>
      </c>
    </row>
    <row r="12" ht="15">
      <c r="E12" s="8" t="s">
        <v>16</v>
      </c>
    </row>
    <row r="13" ht="15">
      <c r="E13" s="8" t="s">
        <v>17</v>
      </c>
    </row>
    <row r="14" ht="15">
      <c r="E14" s="8"/>
    </row>
    <row r="16" spans="1:2" ht="18">
      <c r="A16" s="9" t="s">
        <v>18</v>
      </c>
      <c r="B16" s="9"/>
    </row>
    <row r="17" spans="1:2" ht="15">
      <c r="A17" s="13" t="s">
        <v>34</v>
      </c>
      <c r="B17" s="13"/>
    </row>
    <row r="18" spans="1:2" ht="14.25">
      <c r="A18" s="15"/>
      <c r="B18" s="16" t="s">
        <v>35</v>
      </c>
    </row>
    <row r="19" spans="1:5" ht="15">
      <c r="A19" s="17" t="s">
        <v>36</v>
      </c>
      <c r="B19" s="17" t="s">
        <v>37</v>
      </c>
      <c r="C19" s="17" t="s">
        <v>38</v>
      </c>
      <c r="D19" s="17" t="s">
        <v>39</v>
      </c>
      <c r="E19" s="17" t="s">
        <v>40</v>
      </c>
    </row>
    <row r="20" spans="1:5" ht="12.75">
      <c r="A20" s="14" t="s">
        <v>1087</v>
      </c>
      <c r="B20" s="4" t="s">
        <v>35</v>
      </c>
      <c r="C20" s="4" t="s">
        <v>138</v>
      </c>
      <c r="D20" s="4" t="s">
        <v>329</v>
      </c>
      <c r="E20" s="18" t="s">
        <v>1119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5.125" style="4" bestFit="1" customWidth="1"/>
    <col min="7" max="8" width="4.625" style="3" bestFit="1" customWidth="1"/>
    <col min="9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53" t="s">
        <v>1116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10</v>
      </c>
      <c r="C3" s="48" t="s">
        <v>11</v>
      </c>
      <c r="D3" s="50" t="s">
        <v>21</v>
      </c>
      <c r="E3" s="50" t="s">
        <v>7</v>
      </c>
      <c r="F3" s="50" t="s">
        <v>12</v>
      </c>
      <c r="G3" s="50" t="s">
        <v>248</v>
      </c>
      <c r="H3" s="50"/>
      <c r="I3" s="50"/>
      <c r="J3" s="50"/>
      <c r="K3" s="50" t="s">
        <v>19</v>
      </c>
      <c r="L3" s="50" t="s">
        <v>6</v>
      </c>
      <c r="M3" s="38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8</v>
      </c>
      <c r="K4" s="49"/>
      <c r="L4" s="49"/>
      <c r="M4" s="39"/>
    </row>
    <row r="5" spans="1:12" ht="15">
      <c r="A5" s="51" t="s">
        <v>45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3" ht="12.75">
      <c r="A6" s="10" t="s">
        <v>1000</v>
      </c>
      <c r="B6" s="10" t="s">
        <v>1001</v>
      </c>
      <c r="C6" s="10" t="s">
        <v>1002</v>
      </c>
      <c r="D6" s="10" t="str">
        <f>"0,8831"</f>
        <v>0,8831</v>
      </c>
      <c r="E6" s="10" t="s">
        <v>28</v>
      </c>
      <c r="F6" s="10" t="s">
        <v>60</v>
      </c>
      <c r="G6" s="11" t="s">
        <v>196</v>
      </c>
      <c r="H6" s="12" t="s">
        <v>196</v>
      </c>
      <c r="I6" s="11" t="s">
        <v>224</v>
      </c>
      <c r="J6" s="11"/>
      <c r="K6" s="10" t="str">
        <f>"90,0"</f>
        <v>90,0</v>
      </c>
      <c r="L6" s="12" t="str">
        <f>"79,4835"</f>
        <v>79,4835</v>
      </c>
      <c r="M6" s="10" t="s">
        <v>33</v>
      </c>
    </row>
    <row r="8" ht="15">
      <c r="E8" s="8" t="s">
        <v>13</v>
      </c>
    </row>
    <row r="9" ht="15">
      <c r="E9" s="8" t="s">
        <v>14</v>
      </c>
    </row>
    <row r="10" ht="15">
      <c r="E10" s="8" t="s">
        <v>15</v>
      </c>
    </row>
    <row r="11" ht="15">
      <c r="E11" s="8" t="s">
        <v>16</v>
      </c>
    </row>
    <row r="12" ht="15">
      <c r="E12" s="8" t="s">
        <v>16</v>
      </c>
    </row>
    <row r="13" ht="15">
      <c r="E13" s="8" t="s">
        <v>17</v>
      </c>
    </row>
    <row r="14" ht="15">
      <c r="E14" s="8"/>
    </row>
    <row r="16" spans="1:2" ht="18">
      <c r="A16" s="9" t="s">
        <v>18</v>
      </c>
      <c r="B16" s="9"/>
    </row>
    <row r="17" spans="1:2" ht="15">
      <c r="A17" s="13" t="s">
        <v>133</v>
      </c>
      <c r="B17" s="13"/>
    </row>
    <row r="18" spans="1:2" ht="14.25">
      <c r="A18" s="15"/>
      <c r="B18" s="16" t="s">
        <v>35</v>
      </c>
    </row>
    <row r="19" spans="1:5" ht="15">
      <c r="A19" s="17" t="s">
        <v>36</v>
      </c>
      <c r="B19" s="17" t="s">
        <v>37</v>
      </c>
      <c r="C19" s="17" t="s">
        <v>38</v>
      </c>
      <c r="D19" s="17" t="s">
        <v>39</v>
      </c>
      <c r="E19" s="17" t="s">
        <v>40</v>
      </c>
    </row>
    <row r="20" spans="1:5" ht="12.75">
      <c r="A20" s="14" t="s">
        <v>999</v>
      </c>
      <c r="B20" s="4" t="s">
        <v>35</v>
      </c>
      <c r="C20" s="4" t="s">
        <v>134</v>
      </c>
      <c r="D20" s="4" t="s">
        <v>196</v>
      </c>
      <c r="E20" s="18" t="s">
        <v>1117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6.00390625" style="4" customWidth="1"/>
    <col min="4" max="4" width="10.75390625" style="4" bestFit="1" customWidth="1"/>
    <col min="5" max="5" width="22.75390625" style="4" bestFit="1" customWidth="1"/>
    <col min="6" max="6" width="32.375" style="4" bestFit="1" customWidth="1"/>
    <col min="7" max="7" width="9.875" style="3" customWidth="1"/>
    <col min="8" max="8" width="9.375" style="29" customWidth="1"/>
    <col min="9" max="9" width="7.875" style="4" bestFit="1" customWidth="1"/>
    <col min="10" max="10" width="9.625" style="3" bestFit="1" customWidth="1"/>
    <col min="11" max="11" width="12.625" style="4" bestFit="1" customWidth="1"/>
    <col min="12" max="16384" width="9.125" style="3" customWidth="1"/>
  </cols>
  <sheetData>
    <row r="1" spans="1:11" s="2" customFormat="1" ht="28.5" customHeight="1">
      <c r="A1" s="53" t="s">
        <v>1338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10</v>
      </c>
      <c r="C3" s="48" t="s">
        <v>11</v>
      </c>
      <c r="D3" s="50" t="s">
        <v>1290</v>
      </c>
      <c r="E3" s="50" t="s">
        <v>7</v>
      </c>
      <c r="F3" s="50" t="s">
        <v>12</v>
      </c>
      <c r="G3" s="50" t="s">
        <v>1291</v>
      </c>
      <c r="H3" s="50"/>
      <c r="I3" s="50" t="s">
        <v>1142</v>
      </c>
      <c r="J3" s="50" t="s">
        <v>6</v>
      </c>
      <c r="K3" s="38" t="s">
        <v>5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7" t="s">
        <v>1140</v>
      </c>
      <c r="H4" s="28" t="s">
        <v>1141</v>
      </c>
      <c r="I4" s="49"/>
      <c r="J4" s="49"/>
      <c r="K4" s="39"/>
    </row>
    <row r="5" spans="1:10" ht="15">
      <c r="A5" s="51" t="s">
        <v>405</v>
      </c>
      <c r="B5" s="52"/>
      <c r="C5" s="52"/>
      <c r="D5" s="52"/>
      <c r="E5" s="52"/>
      <c r="F5" s="52"/>
      <c r="G5" s="52"/>
      <c r="H5" s="52"/>
      <c r="I5" s="52"/>
      <c r="J5" s="52"/>
    </row>
    <row r="6" spans="1:11" ht="12.75">
      <c r="A6" s="10" t="s">
        <v>859</v>
      </c>
      <c r="B6" s="10" t="s">
        <v>860</v>
      </c>
      <c r="C6" s="10" t="s">
        <v>861</v>
      </c>
      <c r="D6" s="10" t="str">
        <f>"1,0421"</f>
        <v>1,0421</v>
      </c>
      <c r="E6" s="10" t="s">
        <v>28</v>
      </c>
      <c r="F6" s="10" t="s">
        <v>697</v>
      </c>
      <c r="G6" s="12" t="s">
        <v>51</v>
      </c>
      <c r="H6" s="33" t="s">
        <v>1173</v>
      </c>
      <c r="I6" s="10" t="str">
        <f>"1150,0"</f>
        <v>1150,0</v>
      </c>
      <c r="J6" s="12" t="str">
        <f>"1198,4149"</f>
        <v>1198,4149</v>
      </c>
      <c r="K6" s="10" t="s">
        <v>862</v>
      </c>
    </row>
    <row r="8" ht="15">
      <c r="E8" s="8" t="s">
        <v>13</v>
      </c>
    </row>
    <row r="9" ht="15">
      <c r="E9" s="8" t="s">
        <v>14</v>
      </c>
    </row>
    <row r="10" ht="15">
      <c r="E10" s="8" t="s">
        <v>15</v>
      </c>
    </row>
    <row r="11" ht="15">
      <c r="E11" s="8" t="s">
        <v>16</v>
      </c>
    </row>
    <row r="12" ht="15">
      <c r="E12" s="8" t="s">
        <v>16</v>
      </c>
    </row>
    <row r="13" ht="15">
      <c r="E13" s="8" t="s">
        <v>17</v>
      </c>
    </row>
    <row r="14" ht="15">
      <c r="E14" s="8"/>
    </row>
    <row r="16" spans="1:2" ht="18">
      <c r="A16" s="9" t="s">
        <v>18</v>
      </c>
      <c r="B16" s="9"/>
    </row>
    <row r="17" spans="1:2" ht="15">
      <c r="A17" s="13" t="s">
        <v>34</v>
      </c>
      <c r="B17" s="13"/>
    </row>
    <row r="18" spans="1:2" ht="14.25">
      <c r="A18" s="15"/>
      <c r="B18" s="16" t="s">
        <v>136</v>
      </c>
    </row>
    <row r="19" spans="1:5" ht="15">
      <c r="A19" s="17" t="s">
        <v>36</v>
      </c>
      <c r="B19" s="17" t="s">
        <v>37</v>
      </c>
      <c r="C19" s="17" t="s">
        <v>38</v>
      </c>
      <c r="D19" s="17" t="s">
        <v>39</v>
      </c>
      <c r="E19" s="17" t="s">
        <v>1304</v>
      </c>
    </row>
    <row r="20" spans="1:5" ht="12.75">
      <c r="A20" s="14" t="s">
        <v>858</v>
      </c>
      <c r="B20" s="4" t="s">
        <v>498</v>
      </c>
      <c r="C20" s="4" t="s">
        <v>496</v>
      </c>
      <c r="D20" s="4" t="s">
        <v>1339</v>
      </c>
      <c r="E20" s="18" t="s">
        <v>1340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4">
      <selection activeCell="A1" sqref="A1:U2"/>
    </sheetView>
  </sheetViews>
  <sheetFormatPr defaultColWidth="9.00390625" defaultRowHeight="12.75"/>
  <cols>
    <col min="1" max="1" width="27.125" style="4" customWidth="1"/>
    <col min="2" max="2" width="28.625" style="4" bestFit="1" customWidth="1"/>
    <col min="3" max="3" width="15.125" style="4" customWidth="1"/>
    <col min="4" max="4" width="9.25390625" style="4" bestFit="1" customWidth="1"/>
    <col min="5" max="5" width="22.75390625" style="4" bestFit="1" customWidth="1"/>
    <col min="6" max="6" width="33.25390625" style="4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1.625" style="4" bestFit="1" customWidth="1"/>
    <col min="14" max="16384" width="9.125" style="3" customWidth="1"/>
  </cols>
  <sheetData>
    <row r="1" spans="1:13" s="2" customFormat="1" ht="28.5" customHeight="1">
      <c r="A1" s="53" t="s">
        <v>1083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10</v>
      </c>
      <c r="C3" s="48" t="s">
        <v>11</v>
      </c>
      <c r="D3" s="50" t="s">
        <v>21</v>
      </c>
      <c r="E3" s="50" t="s">
        <v>7</v>
      </c>
      <c r="F3" s="50" t="s">
        <v>12</v>
      </c>
      <c r="G3" s="50" t="s">
        <v>250</v>
      </c>
      <c r="H3" s="50"/>
      <c r="I3" s="50"/>
      <c r="J3" s="50"/>
      <c r="K3" s="50" t="s">
        <v>19</v>
      </c>
      <c r="L3" s="50" t="s">
        <v>6</v>
      </c>
      <c r="M3" s="38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8</v>
      </c>
      <c r="K4" s="49"/>
      <c r="L4" s="49"/>
      <c r="M4" s="39"/>
    </row>
    <row r="5" spans="1:12" ht="15">
      <c r="A5" s="51" t="s">
        <v>55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3" ht="12.75">
      <c r="A6" s="10" t="s">
        <v>1085</v>
      </c>
      <c r="B6" s="10" t="s">
        <v>1086</v>
      </c>
      <c r="C6" s="10" t="s">
        <v>295</v>
      </c>
      <c r="D6" s="10" t="str">
        <f>"0,7812"</f>
        <v>0,7812</v>
      </c>
      <c r="E6" s="10" t="s">
        <v>28</v>
      </c>
      <c r="F6" s="10" t="s">
        <v>964</v>
      </c>
      <c r="G6" s="12" t="s">
        <v>255</v>
      </c>
      <c r="H6" s="12" t="s">
        <v>208</v>
      </c>
      <c r="I6" s="12" t="s">
        <v>311</v>
      </c>
      <c r="J6" s="11"/>
      <c r="K6" s="10" t="str">
        <f>"155,0"</f>
        <v>155,0</v>
      </c>
      <c r="L6" s="12" t="str">
        <f>"121,4493"</f>
        <v>121,4493</v>
      </c>
      <c r="M6" s="10" t="s">
        <v>33</v>
      </c>
    </row>
    <row r="8" spans="1:12" ht="15">
      <c r="A8" s="54" t="s">
        <v>88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3" ht="12.75">
      <c r="A9" s="19" t="s">
        <v>428</v>
      </c>
      <c r="B9" s="19" t="s">
        <v>429</v>
      </c>
      <c r="C9" s="19" t="s">
        <v>430</v>
      </c>
      <c r="D9" s="19" t="str">
        <f>"0,6273"</f>
        <v>0,6273</v>
      </c>
      <c r="E9" s="19" t="s">
        <v>410</v>
      </c>
      <c r="F9" s="19" t="s">
        <v>431</v>
      </c>
      <c r="G9" s="21" t="s">
        <v>270</v>
      </c>
      <c r="H9" s="21" t="s">
        <v>271</v>
      </c>
      <c r="I9" s="21" t="s">
        <v>353</v>
      </c>
      <c r="J9" s="20"/>
      <c r="K9" s="19" t="str">
        <f>"185,0"</f>
        <v>185,0</v>
      </c>
      <c r="L9" s="21" t="str">
        <f>"125,3345"</f>
        <v>125,3345</v>
      </c>
      <c r="M9" s="19" t="s">
        <v>33</v>
      </c>
    </row>
    <row r="10" spans="1:13" ht="12.75">
      <c r="A10" s="25" t="s">
        <v>1088</v>
      </c>
      <c r="B10" s="25" t="s">
        <v>1089</v>
      </c>
      <c r="C10" s="25" t="s">
        <v>696</v>
      </c>
      <c r="D10" s="25" t="str">
        <f>"0,6279"</f>
        <v>0,6279</v>
      </c>
      <c r="E10" s="25" t="s">
        <v>28</v>
      </c>
      <c r="F10" s="25" t="s">
        <v>29</v>
      </c>
      <c r="G10" s="27" t="s">
        <v>470</v>
      </c>
      <c r="H10" s="27" t="s">
        <v>273</v>
      </c>
      <c r="I10" s="26" t="s">
        <v>436</v>
      </c>
      <c r="J10" s="26"/>
      <c r="K10" s="25" t="str">
        <f>"245,0"</f>
        <v>245,0</v>
      </c>
      <c r="L10" s="27" t="str">
        <f>"153,8355"</f>
        <v>153,8355</v>
      </c>
      <c r="M10" s="25" t="s">
        <v>33</v>
      </c>
    </row>
    <row r="12" spans="1:12" ht="15">
      <c r="A12" s="54" t="s">
        <v>219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3" ht="12.75">
      <c r="A13" s="10" t="s">
        <v>1091</v>
      </c>
      <c r="B13" s="10" t="s">
        <v>1092</v>
      </c>
      <c r="C13" s="10" t="s">
        <v>449</v>
      </c>
      <c r="D13" s="10" t="str">
        <f>"0,5910"</f>
        <v>0,5910</v>
      </c>
      <c r="E13" s="10" t="s">
        <v>410</v>
      </c>
      <c r="F13" s="10" t="s">
        <v>29</v>
      </c>
      <c r="G13" s="12" t="s">
        <v>470</v>
      </c>
      <c r="H13" s="12" t="s">
        <v>536</v>
      </c>
      <c r="I13" s="12" t="s">
        <v>1093</v>
      </c>
      <c r="J13" s="11"/>
      <c r="K13" s="10" t="str">
        <f>"272,5"</f>
        <v>272,5</v>
      </c>
      <c r="L13" s="12" t="str">
        <f>"161,0475"</f>
        <v>161,0475</v>
      </c>
      <c r="M13" s="10" t="s">
        <v>33</v>
      </c>
    </row>
    <row r="15" spans="1:12" ht="15">
      <c r="A15" s="54" t="s">
        <v>118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3" ht="12.75">
      <c r="A16" s="19" t="s">
        <v>458</v>
      </c>
      <c r="B16" s="19" t="s">
        <v>459</v>
      </c>
      <c r="C16" s="19" t="s">
        <v>460</v>
      </c>
      <c r="D16" s="19" t="str">
        <f>"0,5622"</f>
        <v>0,5622</v>
      </c>
      <c r="E16" s="19" t="s">
        <v>28</v>
      </c>
      <c r="F16" s="19" t="s">
        <v>265</v>
      </c>
      <c r="G16" s="21" t="s">
        <v>463</v>
      </c>
      <c r="H16" s="21" t="s">
        <v>464</v>
      </c>
      <c r="I16" s="20" t="s">
        <v>465</v>
      </c>
      <c r="J16" s="20"/>
      <c r="K16" s="19" t="str">
        <f>"280,0"</f>
        <v>280,0</v>
      </c>
      <c r="L16" s="21" t="str">
        <f>"157,4160"</f>
        <v>157,4160</v>
      </c>
      <c r="M16" s="19" t="s">
        <v>33</v>
      </c>
    </row>
    <row r="17" spans="1:13" ht="12.75">
      <c r="A17" s="22" t="s">
        <v>1095</v>
      </c>
      <c r="B17" s="22" t="s">
        <v>1096</v>
      </c>
      <c r="C17" s="22" t="s">
        <v>1097</v>
      </c>
      <c r="D17" s="22" t="str">
        <f>"0,5761"</f>
        <v>0,5761</v>
      </c>
      <c r="E17" s="22" t="s">
        <v>410</v>
      </c>
      <c r="F17" s="22" t="s">
        <v>431</v>
      </c>
      <c r="G17" s="24" t="s">
        <v>272</v>
      </c>
      <c r="H17" s="24" t="s">
        <v>268</v>
      </c>
      <c r="I17" s="24" t="s">
        <v>461</v>
      </c>
      <c r="J17" s="23"/>
      <c r="K17" s="22" t="str">
        <f>"250,0"</f>
        <v>250,0</v>
      </c>
      <c r="L17" s="24" t="str">
        <f>"144,0250"</f>
        <v>144,0250</v>
      </c>
      <c r="M17" s="22" t="s">
        <v>483</v>
      </c>
    </row>
    <row r="18" spans="1:13" ht="12.75">
      <c r="A18" s="25" t="s">
        <v>1098</v>
      </c>
      <c r="B18" s="25" t="s">
        <v>591</v>
      </c>
      <c r="C18" s="25" t="s">
        <v>592</v>
      </c>
      <c r="D18" s="25" t="str">
        <f>"0,5648"</f>
        <v>0,5648</v>
      </c>
      <c r="E18" s="25" t="s">
        <v>28</v>
      </c>
      <c r="F18" s="25" t="s">
        <v>403</v>
      </c>
      <c r="G18" s="27" t="s">
        <v>266</v>
      </c>
      <c r="H18" s="27" t="s">
        <v>267</v>
      </c>
      <c r="I18" s="26" t="s">
        <v>445</v>
      </c>
      <c r="J18" s="26"/>
      <c r="K18" s="25" t="str">
        <f>"220,0"</f>
        <v>220,0</v>
      </c>
      <c r="L18" s="27" t="str">
        <f>"124,2560"</f>
        <v>124,2560</v>
      </c>
      <c r="M18" s="25" t="s">
        <v>404</v>
      </c>
    </row>
    <row r="20" spans="1:12" ht="15">
      <c r="A20" s="54" t="s">
        <v>123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</row>
    <row r="21" spans="1:13" ht="12.75">
      <c r="A21" s="19" t="s">
        <v>472</v>
      </c>
      <c r="B21" s="19" t="s">
        <v>473</v>
      </c>
      <c r="C21" s="19" t="s">
        <v>474</v>
      </c>
      <c r="D21" s="19" t="str">
        <f>"0,5365"</f>
        <v>0,5365</v>
      </c>
      <c r="E21" s="19" t="s">
        <v>28</v>
      </c>
      <c r="F21" s="19" t="s">
        <v>87</v>
      </c>
      <c r="G21" s="21" t="s">
        <v>475</v>
      </c>
      <c r="H21" s="20" t="s">
        <v>464</v>
      </c>
      <c r="I21" s="20"/>
      <c r="J21" s="20"/>
      <c r="K21" s="19" t="str">
        <f>"275,0"</f>
        <v>275,0</v>
      </c>
      <c r="L21" s="21" t="str">
        <f>"147,5375"</f>
        <v>147,5375</v>
      </c>
      <c r="M21" s="19" t="s">
        <v>33</v>
      </c>
    </row>
    <row r="22" spans="1:13" ht="12.75">
      <c r="A22" s="25" t="s">
        <v>1100</v>
      </c>
      <c r="B22" s="25" t="s">
        <v>1101</v>
      </c>
      <c r="C22" s="25" t="s">
        <v>1102</v>
      </c>
      <c r="D22" s="25" t="str">
        <f>"0,5405"</f>
        <v>0,5405</v>
      </c>
      <c r="E22" s="25" t="s">
        <v>28</v>
      </c>
      <c r="F22" s="25" t="s">
        <v>29</v>
      </c>
      <c r="G22" s="27" t="s">
        <v>455</v>
      </c>
      <c r="H22" s="27" t="s">
        <v>461</v>
      </c>
      <c r="I22" s="26" t="s">
        <v>463</v>
      </c>
      <c r="J22" s="26"/>
      <c r="K22" s="25" t="str">
        <f>"250,0"</f>
        <v>250,0</v>
      </c>
      <c r="L22" s="27" t="str">
        <f>"135,1250"</f>
        <v>135,1250</v>
      </c>
      <c r="M22" s="25" t="s">
        <v>33</v>
      </c>
    </row>
    <row r="24" spans="1:12" ht="15">
      <c r="A24" s="54" t="s">
        <v>484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1:13" ht="12.75">
      <c r="A25" s="10" t="s">
        <v>1103</v>
      </c>
      <c r="B25" s="10" t="s">
        <v>1104</v>
      </c>
      <c r="C25" s="10" t="s">
        <v>1105</v>
      </c>
      <c r="D25" s="10" t="str">
        <f>"0,5323"</f>
        <v>0,5323</v>
      </c>
      <c r="E25" s="10" t="s">
        <v>28</v>
      </c>
      <c r="F25" s="10" t="s">
        <v>29</v>
      </c>
      <c r="G25" s="11" t="s">
        <v>463</v>
      </c>
      <c r="H25" s="11"/>
      <c r="I25" s="11"/>
      <c r="J25" s="11"/>
      <c r="K25" s="10" t="str">
        <f>"0.00"</f>
        <v>0.00</v>
      </c>
      <c r="L25" s="12" t="str">
        <f>"0,0000"</f>
        <v>0,0000</v>
      </c>
      <c r="M25" s="10" t="s">
        <v>33</v>
      </c>
    </row>
    <row r="27" ht="15">
      <c r="E27" s="8" t="s">
        <v>13</v>
      </c>
    </row>
    <row r="28" ht="15">
      <c r="E28" s="8" t="s">
        <v>14</v>
      </c>
    </row>
    <row r="29" ht="15">
      <c r="E29" s="8" t="s">
        <v>15</v>
      </c>
    </row>
    <row r="30" ht="15">
      <c r="E30" s="8" t="s">
        <v>16</v>
      </c>
    </row>
    <row r="31" ht="15">
      <c r="E31" s="8" t="s">
        <v>16</v>
      </c>
    </row>
    <row r="32" ht="15">
      <c r="E32" s="8" t="s">
        <v>17</v>
      </c>
    </row>
    <row r="33" ht="15">
      <c r="E33" s="8"/>
    </row>
    <row r="35" spans="1:2" ht="18">
      <c r="A35" s="9" t="s">
        <v>18</v>
      </c>
      <c r="B35" s="9"/>
    </row>
    <row r="36" spans="1:2" ht="15">
      <c r="A36" s="13" t="s">
        <v>133</v>
      </c>
      <c r="B36" s="13"/>
    </row>
    <row r="37" spans="1:2" ht="14.25">
      <c r="A37" s="15"/>
      <c r="B37" s="16" t="s">
        <v>152</v>
      </c>
    </row>
    <row r="38" spans="1:5" ht="15">
      <c r="A38" s="17" t="s">
        <v>36</v>
      </c>
      <c r="B38" s="17" t="s">
        <v>37</v>
      </c>
      <c r="C38" s="17" t="s">
        <v>38</v>
      </c>
      <c r="D38" s="17" t="s">
        <v>39</v>
      </c>
      <c r="E38" s="17" t="s">
        <v>40</v>
      </c>
    </row>
    <row r="39" spans="1:5" ht="12.75">
      <c r="A39" s="14" t="s">
        <v>1084</v>
      </c>
      <c r="B39" s="4" t="s">
        <v>155</v>
      </c>
      <c r="C39" s="4" t="s">
        <v>140</v>
      </c>
      <c r="D39" s="4" t="s">
        <v>311</v>
      </c>
      <c r="E39" s="18" t="s">
        <v>1106</v>
      </c>
    </row>
    <row r="42" spans="1:2" ht="15">
      <c r="A42" s="13" t="s">
        <v>34</v>
      </c>
      <c r="B42" s="13"/>
    </row>
    <row r="43" spans="1:2" ht="14.25">
      <c r="A43" s="15"/>
      <c r="B43" s="16" t="s">
        <v>136</v>
      </c>
    </row>
    <row r="44" spans="1:5" ht="15">
      <c r="A44" s="17" t="s">
        <v>36</v>
      </c>
      <c r="B44" s="17" t="s">
        <v>37</v>
      </c>
      <c r="C44" s="17" t="s">
        <v>38</v>
      </c>
      <c r="D44" s="17" t="s">
        <v>39</v>
      </c>
      <c r="E44" s="17" t="s">
        <v>40</v>
      </c>
    </row>
    <row r="45" spans="1:5" ht="12.75">
      <c r="A45" s="14" t="s">
        <v>427</v>
      </c>
      <c r="B45" s="4" t="s">
        <v>137</v>
      </c>
      <c r="C45" s="4" t="s">
        <v>138</v>
      </c>
      <c r="D45" s="4" t="s">
        <v>353</v>
      </c>
      <c r="E45" s="18" t="s">
        <v>1107</v>
      </c>
    </row>
    <row r="47" spans="1:2" ht="14.25">
      <c r="A47" s="15"/>
      <c r="B47" s="16" t="s">
        <v>35</v>
      </c>
    </row>
    <row r="48" spans="1:5" ht="15">
      <c r="A48" s="17" t="s">
        <v>36</v>
      </c>
      <c r="B48" s="17" t="s">
        <v>37</v>
      </c>
      <c r="C48" s="17" t="s">
        <v>38</v>
      </c>
      <c r="D48" s="17" t="s">
        <v>39</v>
      </c>
      <c r="E48" s="17" t="s">
        <v>40</v>
      </c>
    </row>
    <row r="49" spans="1:5" ht="12.75">
      <c r="A49" s="14" t="s">
        <v>1090</v>
      </c>
      <c r="B49" s="4" t="s">
        <v>35</v>
      </c>
      <c r="C49" s="4" t="s">
        <v>239</v>
      </c>
      <c r="D49" s="4" t="s">
        <v>1093</v>
      </c>
      <c r="E49" s="18" t="s">
        <v>1108</v>
      </c>
    </row>
    <row r="50" spans="1:5" ht="12.75">
      <c r="A50" s="14" t="s">
        <v>457</v>
      </c>
      <c r="B50" s="4" t="s">
        <v>35</v>
      </c>
      <c r="C50" s="4" t="s">
        <v>156</v>
      </c>
      <c r="D50" s="4" t="s">
        <v>464</v>
      </c>
      <c r="E50" s="18" t="s">
        <v>1109</v>
      </c>
    </row>
    <row r="51" spans="1:5" ht="12.75">
      <c r="A51" s="14" t="s">
        <v>1087</v>
      </c>
      <c r="B51" s="4" t="s">
        <v>35</v>
      </c>
      <c r="C51" s="4" t="s">
        <v>138</v>
      </c>
      <c r="D51" s="4" t="s">
        <v>273</v>
      </c>
      <c r="E51" s="18" t="s">
        <v>1110</v>
      </c>
    </row>
    <row r="52" spans="1:5" ht="12.75">
      <c r="A52" s="14" t="s">
        <v>471</v>
      </c>
      <c r="B52" s="4" t="s">
        <v>35</v>
      </c>
      <c r="C52" s="4" t="s">
        <v>148</v>
      </c>
      <c r="D52" s="4" t="s">
        <v>475</v>
      </c>
      <c r="E52" s="18" t="s">
        <v>1111</v>
      </c>
    </row>
    <row r="53" spans="1:5" ht="12.75">
      <c r="A53" s="14" t="s">
        <v>1094</v>
      </c>
      <c r="B53" s="4" t="s">
        <v>35</v>
      </c>
      <c r="C53" s="4" t="s">
        <v>156</v>
      </c>
      <c r="D53" s="4" t="s">
        <v>461</v>
      </c>
      <c r="E53" s="18" t="s">
        <v>1112</v>
      </c>
    </row>
    <row r="54" spans="1:5" ht="12.75">
      <c r="A54" s="14" t="s">
        <v>1099</v>
      </c>
      <c r="B54" s="4" t="s">
        <v>35</v>
      </c>
      <c r="C54" s="4" t="s">
        <v>148</v>
      </c>
      <c r="D54" s="4" t="s">
        <v>461</v>
      </c>
      <c r="E54" s="18" t="s">
        <v>1113</v>
      </c>
    </row>
    <row r="55" spans="1:5" ht="12.75">
      <c r="A55" s="14" t="s">
        <v>589</v>
      </c>
      <c r="B55" s="4" t="s">
        <v>35</v>
      </c>
      <c r="C55" s="4" t="s">
        <v>156</v>
      </c>
      <c r="D55" s="4" t="s">
        <v>267</v>
      </c>
      <c r="E55" s="18" t="s">
        <v>1114</v>
      </c>
    </row>
    <row r="60" spans="1:2" ht="18">
      <c r="A60" s="9" t="s">
        <v>159</v>
      </c>
      <c r="B60" s="9"/>
    </row>
    <row r="61" spans="1:3" ht="15">
      <c r="A61" s="17" t="s">
        <v>160</v>
      </c>
      <c r="B61" s="17" t="s">
        <v>161</v>
      </c>
      <c r="C61" s="17" t="s">
        <v>162</v>
      </c>
    </row>
    <row r="62" spans="1:3" ht="12.75">
      <c r="A62" s="4" t="s">
        <v>410</v>
      </c>
      <c r="B62" s="4" t="s">
        <v>163</v>
      </c>
      <c r="C62" s="4" t="s">
        <v>1115</v>
      </c>
    </row>
  </sheetData>
  <sheetProtection/>
  <mergeCells count="17">
    <mergeCell ref="M3:M4"/>
    <mergeCell ref="A5:L5"/>
    <mergeCell ref="A8:L8"/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A15:L15"/>
    <mergeCell ref="A20:L20"/>
    <mergeCell ref="A24:L24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03"/>
  <sheetViews>
    <sheetView zoomScalePageLayoutView="0" workbookViewId="0" topLeftCell="A28">
      <selection activeCell="A1" sqref="A1:U2"/>
    </sheetView>
  </sheetViews>
  <sheetFormatPr defaultColWidth="9.00390625" defaultRowHeight="12.75"/>
  <cols>
    <col min="1" max="1" width="23.125" style="4" customWidth="1"/>
    <col min="2" max="2" width="29.00390625" style="4" bestFit="1" customWidth="1"/>
    <col min="3" max="3" width="18.625" style="4" customWidth="1"/>
    <col min="4" max="4" width="9.25390625" style="4" bestFit="1" customWidth="1"/>
    <col min="5" max="5" width="18.75390625" style="4" customWidth="1"/>
    <col min="6" max="6" width="22.75390625" style="4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4.875" style="4" bestFit="1" customWidth="1"/>
    <col min="14" max="16384" width="9.125" style="3" customWidth="1"/>
  </cols>
  <sheetData>
    <row r="1" spans="1:13" s="2" customFormat="1" ht="28.5" customHeight="1">
      <c r="A1" s="53" t="s">
        <v>986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10</v>
      </c>
      <c r="C3" s="48" t="s">
        <v>11</v>
      </c>
      <c r="D3" s="50" t="s">
        <v>21</v>
      </c>
      <c r="E3" s="50" t="s">
        <v>7</v>
      </c>
      <c r="F3" s="50" t="s">
        <v>12</v>
      </c>
      <c r="G3" s="50" t="s">
        <v>250</v>
      </c>
      <c r="H3" s="50"/>
      <c r="I3" s="50"/>
      <c r="J3" s="50"/>
      <c r="K3" s="50" t="s">
        <v>19</v>
      </c>
      <c r="L3" s="50" t="s">
        <v>6</v>
      </c>
      <c r="M3" s="38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8</v>
      </c>
      <c r="K4" s="49"/>
      <c r="L4" s="49"/>
      <c r="M4" s="39"/>
    </row>
    <row r="5" spans="1:12" ht="15">
      <c r="A5" s="51" t="s">
        <v>987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3" ht="12.75">
      <c r="A6" s="10" t="s">
        <v>989</v>
      </c>
      <c r="B6" s="10" t="s">
        <v>990</v>
      </c>
      <c r="C6" s="10" t="s">
        <v>991</v>
      </c>
      <c r="D6" s="10" t="str">
        <f>"1,1089"</f>
        <v>1,1089</v>
      </c>
      <c r="E6" s="10" t="s">
        <v>28</v>
      </c>
      <c r="F6" s="10" t="s">
        <v>726</v>
      </c>
      <c r="G6" s="12" t="s">
        <v>196</v>
      </c>
      <c r="H6" s="11" t="s">
        <v>32</v>
      </c>
      <c r="I6" s="11" t="s">
        <v>32</v>
      </c>
      <c r="J6" s="11"/>
      <c r="K6" s="10" t="str">
        <f>"90,0"</f>
        <v>90,0</v>
      </c>
      <c r="L6" s="12" t="str">
        <f>"100,7990"</f>
        <v>100,7990</v>
      </c>
      <c r="M6" s="10" t="s">
        <v>992</v>
      </c>
    </row>
    <row r="8" spans="1:12" ht="15">
      <c r="A8" s="54" t="s">
        <v>313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3" ht="12.75">
      <c r="A9" s="10" t="s">
        <v>994</v>
      </c>
      <c r="B9" s="10" t="s">
        <v>995</v>
      </c>
      <c r="C9" s="10" t="s">
        <v>996</v>
      </c>
      <c r="D9" s="10" t="str">
        <f>"0,9229"</f>
        <v>0,9229</v>
      </c>
      <c r="E9" s="10" t="s">
        <v>997</v>
      </c>
      <c r="F9" s="10" t="s">
        <v>964</v>
      </c>
      <c r="G9" s="12" t="s">
        <v>225</v>
      </c>
      <c r="H9" s="11" t="s">
        <v>298</v>
      </c>
      <c r="I9" s="11" t="s">
        <v>298</v>
      </c>
      <c r="J9" s="11"/>
      <c r="K9" s="10" t="str">
        <f>"110,0"</f>
        <v>110,0</v>
      </c>
      <c r="L9" s="12" t="str">
        <f>"101,5135"</f>
        <v>101,5135</v>
      </c>
      <c r="M9" s="10" t="s">
        <v>998</v>
      </c>
    </row>
    <row r="11" spans="1:12" ht="15">
      <c r="A11" s="54" t="s">
        <v>45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3" ht="12.75">
      <c r="A12" s="10" t="s">
        <v>1000</v>
      </c>
      <c r="B12" s="10" t="s">
        <v>1001</v>
      </c>
      <c r="C12" s="10" t="s">
        <v>1002</v>
      </c>
      <c r="D12" s="10" t="str">
        <f>"0,8831"</f>
        <v>0,8831</v>
      </c>
      <c r="E12" s="10" t="s">
        <v>28</v>
      </c>
      <c r="F12" s="10" t="s">
        <v>60</v>
      </c>
      <c r="G12" s="11" t="s">
        <v>225</v>
      </c>
      <c r="H12" s="12" t="s">
        <v>225</v>
      </c>
      <c r="I12" s="11" t="s">
        <v>210</v>
      </c>
      <c r="J12" s="11"/>
      <c r="K12" s="10" t="str">
        <f>"110,0"</f>
        <v>110,0</v>
      </c>
      <c r="L12" s="12" t="str">
        <f>"97,1465"</f>
        <v>97,1465</v>
      </c>
      <c r="M12" s="10" t="s">
        <v>33</v>
      </c>
    </row>
    <row r="14" spans="1:12" ht="15">
      <c r="A14" s="54" t="s">
        <v>23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3" ht="12.75">
      <c r="A15" s="10" t="s">
        <v>1004</v>
      </c>
      <c r="B15" s="10" t="s">
        <v>1005</v>
      </c>
      <c r="C15" s="10" t="s">
        <v>1006</v>
      </c>
      <c r="D15" s="10" t="str">
        <f>"0,7304"</f>
        <v>0,7304</v>
      </c>
      <c r="E15" s="10" t="s">
        <v>28</v>
      </c>
      <c r="F15" s="10" t="s">
        <v>50</v>
      </c>
      <c r="G15" s="12" t="s">
        <v>225</v>
      </c>
      <c r="H15" s="12" t="s">
        <v>258</v>
      </c>
      <c r="I15" s="11" t="s">
        <v>208</v>
      </c>
      <c r="J15" s="11"/>
      <c r="K15" s="10" t="str">
        <f>"127,5"</f>
        <v>127,5</v>
      </c>
      <c r="L15" s="12" t="str">
        <f>"93,1324"</f>
        <v>93,1324</v>
      </c>
      <c r="M15" s="10" t="s">
        <v>305</v>
      </c>
    </row>
    <row r="17" spans="1:12" ht="15">
      <c r="A17" s="54" t="s">
        <v>55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3" ht="12.75">
      <c r="A18" s="19" t="s">
        <v>57</v>
      </c>
      <c r="B18" s="19" t="s">
        <v>58</v>
      </c>
      <c r="C18" s="19" t="s">
        <v>59</v>
      </c>
      <c r="D18" s="19" t="str">
        <f>"0,7503"</f>
        <v>0,7503</v>
      </c>
      <c r="E18" s="19" t="s">
        <v>28</v>
      </c>
      <c r="F18" s="19" t="s">
        <v>60</v>
      </c>
      <c r="G18" s="21" t="s">
        <v>299</v>
      </c>
      <c r="H18" s="21" t="s">
        <v>208</v>
      </c>
      <c r="I18" s="20" t="s">
        <v>269</v>
      </c>
      <c r="J18" s="20"/>
      <c r="K18" s="19" t="str">
        <f>"145,0"</f>
        <v>145,0</v>
      </c>
      <c r="L18" s="21" t="str">
        <f>"117,4970"</f>
        <v>117,4970</v>
      </c>
      <c r="M18" s="19" t="s">
        <v>63</v>
      </c>
    </row>
    <row r="19" spans="1:13" ht="12.75">
      <c r="A19" s="22" t="s">
        <v>1007</v>
      </c>
      <c r="B19" s="22" t="s">
        <v>321</v>
      </c>
      <c r="C19" s="22" t="s">
        <v>322</v>
      </c>
      <c r="D19" s="22" t="str">
        <f>"0,7671"</f>
        <v>0,7671</v>
      </c>
      <c r="E19" s="22" t="s">
        <v>68</v>
      </c>
      <c r="F19" s="22" t="s">
        <v>69</v>
      </c>
      <c r="G19" s="24" t="s">
        <v>203</v>
      </c>
      <c r="H19" s="24" t="s">
        <v>210</v>
      </c>
      <c r="I19" s="24" t="s">
        <v>299</v>
      </c>
      <c r="J19" s="23"/>
      <c r="K19" s="22" t="str">
        <f>"135,0"</f>
        <v>135,0</v>
      </c>
      <c r="L19" s="24" t="str">
        <f>"111,8432"</f>
        <v>111,8432</v>
      </c>
      <c r="M19" s="22" t="s">
        <v>72</v>
      </c>
    </row>
    <row r="20" spans="1:13" ht="12.75">
      <c r="A20" s="25" t="s">
        <v>1008</v>
      </c>
      <c r="B20" s="25" t="s">
        <v>188</v>
      </c>
      <c r="C20" s="25" t="s">
        <v>189</v>
      </c>
      <c r="D20" s="25" t="str">
        <f>"0,7408"</f>
        <v>0,7408</v>
      </c>
      <c r="E20" s="25" t="s">
        <v>28</v>
      </c>
      <c r="F20" s="25" t="s">
        <v>29</v>
      </c>
      <c r="G20" s="27" t="s">
        <v>245</v>
      </c>
      <c r="H20" s="27" t="s">
        <v>271</v>
      </c>
      <c r="I20" s="26" t="s">
        <v>329</v>
      </c>
      <c r="J20" s="26"/>
      <c r="K20" s="25" t="str">
        <f>"175,0"</f>
        <v>175,0</v>
      </c>
      <c r="L20" s="27" t="str">
        <f>"129,6400"</f>
        <v>129,6400</v>
      </c>
      <c r="M20" s="25" t="s">
        <v>33</v>
      </c>
    </row>
    <row r="22" spans="1:12" ht="15">
      <c r="A22" s="54" t="s">
        <v>23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3" spans="1:13" ht="12.75">
      <c r="A23" s="19" t="s">
        <v>1010</v>
      </c>
      <c r="B23" s="19" t="s">
        <v>1011</v>
      </c>
      <c r="C23" s="19" t="s">
        <v>1012</v>
      </c>
      <c r="D23" s="19" t="str">
        <f>"0,6828"</f>
        <v>0,6828</v>
      </c>
      <c r="E23" s="19" t="s">
        <v>28</v>
      </c>
      <c r="F23" s="19" t="s">
        <v>87</v>
      </c>
      <c r="G23" s="21" t="s">
        <v>266</v>
      </c>
      <c r="H23" s="21" t="s">
        <v>344</v>
      </c>
      <c r="I23" s="21" t="s">
        <v>272</v>
      </c>
      <c r="J23" s="20"/>
      <c r="K23" s="19" t="str">
        <f>"210,0"</f>
        <v>210,0</v>
      </c>
      <c r="L23" s="21" t="str">
        <f>"143,3880"</f>
        <v>143,3880</v>
      </c>
      <c r="M23" s="19" t="s">
        <v>33</v>
      </c>
    </row>
    <row r="24" spans="1:13" ht="12.75">
      <c r="A24" s="22" t="s">
        <v>79</v>
      </c>
      <c r="B24" s="22" t="s">
        <v>80</v>
      </c>
      <c r="C24" s="22" t="s">
        <v>67</v>
      </c>
      <c r="D24" s="22" t="str">
        <f>"0,6645"</f>
        <v>0,6645</v>
      </c>
      <c r="E24" s="22" t="s">
        <v>68</v>
      </c>
      <c r="F24" s="22" t="s">
        <v>69</v>
      </c>
      <c r="G24" s="24" t="s">
        <v>329</v>
      </c>
      <c r="H24" s="24" t="s">
        <v>266</v>
      </c>
      <c r="I24" s="23" t="s">
        <v>272</v>
      </c>
      <c r="J24" s="23"/>
      <c r="K24" s="22" t="str">
        <f>"200,0"</f>
        <v>200,0</v>
      </c>
      <c r="L24" s="24" t="str">
        <f>"132,9000"</f>
        <v>132,9000</v>
      </c>
      <c r="M24" s="22" t="s">
        <v>33</v>
      </c>
    </row>
    <row r="25" spans="1:13" ht="12.75">
      <c r="A25" s="25" t="s">
        <v>1014</v>
      </c>
      <c r="B25" s="25" t="s">
        <v>1015</v>
      </c>
      <c r="C25" s="25" t="s">
        <v>1016</v>
      </c>
      <c r="D25" s="25" t="str">
        <f>"0,6964"</f>
        <v>0,6964</v>
      </c>
      <c r="E25" s="25" t="s">
        <v>28</v>
      </c>
      <c r="F25" s="25" t="s">
        <v>265</v>
      </c>
      <c r="G25" s="27" t="s">
        <v>329</v>
      </c>
      <c r="H25" s="26" t="s">
        <v>237</v>
      </c>
      <c r="I25" s="26" t="s">
        <v>237</v>
      </c>
      <c r="J25" s="26"/>
      <c r="K25" s="25" t="str">
        <f>"180,0"</f>
        <v>180,0</v>
      </c>
      <c r="L25" s="27" t="str">
        <f>"125,3520"</f>
        <v>125,3520</v>
      </c>
      <c r="M25" s="25" t="s">
        <v>1017</v>
      </c>
    </row>
    <row r="27" spans="1:12" ht="15">
      <c r="A27" s="54" t="s">
        <v>88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</row>
    <row r="28" spans="1:13" ht="12.75">
      <c r="A28" s="19" t="s">
        <v>1019</v>
      </c>
      <c r="B28" s="19" t="s">
        <v>1020</v>
      </c>
      <c r="C28" s="19" t="s">
        <v>1021</v>
      </c>
      <c r="D28" s="19" t="str">
        <f>"0,6583"</f>
        <v>0,6583</v>
      </c>
      <c r="E28" s="19" t="s">
        <v>327</v>
      </c>
      <c r="F28" s="19" t="s">
        <v>69</v>
      </c>
      <c r="G28" s="21" t="s">
        <v>686</v>
      </c>
      <c r="H28" s="21" t="s">
        <v>232</v>
      </c>
      <c r="I28" s="21" t="s">
        <v>210</v>
      </c>
      <c r="J28" s="20"/>
      <c r="K28" s="19" t="str">
        <f>"120,0"</f>
        <v>120,0</v>
      </c>
      <c r="L28" s="21" t="str">
        <f>"89,2655"</f>
        <v>89,2655</v>
      </c>
      <c r="M28" s="19" t="s">
        <v>33</v>
      </c>
    </row>
    <row r="29" spans="1:13" ht="12.75">
      <c r="A29" s="22" t="s">
        <v>96</v>
      </c>
      <c r="B29" s="22" t="s">
        <v>97</v>
      </c>
      <c r="C29" s="22" t="s">
        <v>98</v>
      </c>
      <c r="D29" s="22" t="str">
        <f>"0,6214"</f>
        <v>0,6214</v>
      </c>
      <c r="E29" s="22" t="s">
        <v>28</v>
      </c>
      <c r="F29" s="22" t="s">
        <v>99</v>
      </c>
      <c r="G29" s="24" t="s">
        <v>1022</v>
      </c>
      <c r="H29" s="24" t="s">
        <v>470</v>
      </c>
      <c r="I29" s="24" t="s">
        <v>531</v>
      </c>
      <c r="J29" s="23"/>
      <c r="K29" s="22" t="str">
        <f>"247,5"</f>
        <v>247,5</v>
      </c>
      <c r="L29" s="24" t="str">
        <f>"153,7965"</f>
        <v>153,7965</v>
      </c>
      <c r="M29" s="22" t="s">
        <v>33</v>
      </c>
    </row>
    <row r="30" spans="1:13" ht="12.75">
      <c r="A30" s="22" t="s">
        <v>1023</v>
      </c>
      <c r="B30" s="22" t="s">
        <v>695</v>
      </c>
      <c r="C30" s="22" t="s">
        <v>696</v>
      </c>
      <c r="D30" s="22" t="str">
        <f>"0,6279"</f>
        <v>0,6279</v>
      </c>
      <c r="E30" s="22" t="s">
        <v>28</v>
      </c>
      <c r="F30" s="22" t="s">
        <v>697</v>
      </c>
      <c r="G30" s="24" t="s">
        <v>267</v>
      </c>
      <c r="H30" s="24" t="s">
        <v>268</v>
      </c>
      <c r="I30" s="24" t="s">
        <v>455</v>
      </c>
      <c r="J30" s="23"/>
      <c r="K30" s="22" t="str">
        <f>"240,0"</f>
        <v>240,0</v>
      </c>
      <c r="L30" s="24" t="str">
        <f>"150,6960"</f>
        <v>150,6960</v>
      </c>
      <c r="M30" s="22" t="s">
        <v>33</v>
      </c>
    </row>
    <row r="31" spans="1:13" ht="12.75">
      <c r="A31" s="22" t="s">
        <v>1024</v>
      </c>
      <c r="B31" s="22" t="s">
        <v>692</v>
      </c>
      <c r="C31" s="22" t="s">
        <v>430</v>
      </c>
      <c r="D31" s="22" t="str">
        <f>"0,6273"</f>
        <v>0,6273</v>
      </c>
      <c r="E31" s="22" t="s">
        <v>28</v>
      </c>
      <c r="F31" s="22" t="s">
        <v>29</v>
      </c>
      <c r="G31" s="24" t="s">
        <v>444</v>
      </c>
      <c r="H31" s="24" t="s">
        <v>346</v>
      </c>
      <c r="I31" s="24" t="s">
        <v>455</v>
      </c>
      <c r="J31" s="23"/>
      <c r="K31" s="22" t="str">
        <f>"240,0"</f>
        <v>240,0</v>
      </c>
      <c r="L31" s="24" t="str">
        <f>"150,5520"</f>
        <v>150,5520</v>
      </c>
      <c r="M31" s="22" t="s">
        <v>33</v>
      </c>
    </row>
    <row r="32" spans="1:13" ht="12.75">
      <c r="A32" s="22" t="s">
        <v>1025</v>
      </c>
      <c r="B32" s="22" t="s">
        <v>109</v>
      </c>
      <c r="C32" s="22" t="s">
        <v>110</v>
      </c>
      <c r="D32" s="22" t="str">
        <f>"0,6219"</f>
        <v>0,6219</v>
      </c>
      <c r="E32" s="22" t="s">
        <v>28</v>
      </c>
      <c r="F32" s="22" t="s">
        <v>99</v>
      </c>
      <c r="G32" s="24" t="s">
        <v>245</v>
      </c>
      <c r="H32" s="24" t="s">
        <v>271</v>
      </c>
      <c r="I32" s="24" t="s">
        <v>329</v>
      </c>
      <c r="J32" s="23"/>
      <c r="K32" s="22" t="str">
        <f>"180,0"</f>
        <v>180,0</v>
      </c>
      <c r="L32" s="24" t="str">
        <f>"111,9420"</f>
        <v>111,9420</v>
      </c>
      <c r="M32" s="22" t="s">
        <v>33</v>
      </c>
    </row>
    <row r="33" spans="1:13" ht="12.75">
      <c r="A33" s="22" t="s">
        <v>1027</v>
      </c>
      <c r="B33" s="22" t="s">
        <v>1028</v>
      </c>
      <c r="C33" s="22" t="s">
        <v>338</v>
      </c>
      <c r="D33" s="22" t="str">
        <f>"0,6203"</f>
        <v>0,6203</v>
      </c>
      <c r="E33" s="22" t="s">
        <v>28</v>
      </c>
      <c r="F33" s="22" t="s">
        <v>29</v>
      </c>
      <c r="G33" s="24" t="s">
        <v>311</v>
      </c>
      <c r="H33" s="24" t="s">
        <v>351</v>
      </c>
      <c r="I33" s="23" t="s">
        <v>271</v>
      </c>
      <c r="J33" s="23"/>
      <c r="K33" s="22" t="str">
        <f>"165,0"</f>
        <v>165,0</v>
      </c>
      <c r="L33" s="24" t="str">
        <f>"102,3495"</f>
        <v>102,3495</v>
      </c>
      <c r="M33" s="22" t="s">
        <v>33</v>
      </c>
    </row>
    <row r="34" spans="1:13" ht="12.75">
      <c r="A34" s="22" t="s">
        <v>1029</v>
      </c>
      <c r="B34" s="22" t="s">
        <v>114</v>
      </c>
      <c r="C34" s="22" t="s">
        <v>115</v>
      </c>
      <c r="D34" s="22" t="str">
        <f>"0,6262"</f>
        <v>0,6262</v>
      </c>
      <c r="E34" s="22" t="s">
        <v>116</v>
      </c>
      <c r="F34" s="22" t="s">
        <v>69</v>
      </c>
      <c r="G34" s="23" t="s">
        <v>267</v>
      </c>
      <c r="H34" s="23" t="s">
        <v>267</v>
      </c>
      <c r="I34" s="23" t="s">
        <v>267</v>
      </c>
      <c r="J34" s="23"/>
      <c r="K34" s="22" t="str">
        <f>"0.00"</f>
        <v>0.00</v>
      </c>
      <c r="L34" s="24" t="str">
        <f>"0,0000"</f>
        <v>0,0000</v>
      </c>
      <c r="M34" s="22" t="s">
        <v>33</v>
      </c>
    </row>
    <row r="35" spans="1:13" ht="12.75">
      <c r="A35" s="25" t="s">
        <v>1031</v>
      </c>
      <c r="B35" s="25" t="s">
        <v>1032</v>
      </c>
      <c r="C35" s="25" t="s">
        <v>1033</v>
      </c>
      <c r="D35" s="25" t="str">
        <f>"0,6329"</f>
        <v>0,6329</v>
      </c>
      <c r="E35" s="25" t="s">
        <v>178</v>
      </c>
      <c r="F35" s="25" t="s">
        <v>29</v>
      </c>
      <c r="G35" s="27" t="s">
        <v>304</v>
      </c>
      <c r="H35" s="27" t="s">
        <v>269</v>
      </c>
      <c r="I35" s="26" t="s">
        <v>311</v>
      </c>
      <c r="J35" s="26"/>
      <c r="K35" s="25" t="str">
        <f>"150,0"</f>
        <v>150,0</v>
      </c>
      <c r="L35" s="27" t="str">
        <f>"190,8193"</f>
        <v>190,8193</v>
      </c>
      <c r="M35" s="25" t="s">
        <v>33</v>
      </c>
    </row>
    <row r="37" spans="1:12" ht="15">
      <c r="A37" s="54" t="s">
        <v>219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</row>
    <row r="38" spans="1:13" ht="12.75">
      <c r="A38" s="10" t="s">
        <v>1035</v>
      </c>
      <c r="B38" s="10" t="s">
        <v>1036</v>
      </c>
      <c r="C38" s="10" t="s">
        <v>1037</v>
      </c>
      <c r="D38" s="10" t="str">
        <f>"0,6022"</f>
        <v>0,6022</v>
      </c>
      <c r="E38" s="10" t="s">
        <v>28</v>
      </c>
      <c r="F38" s="10" t="s">
        <v>87</v>
      </c>
      <c r="G38" s="12" t="s">
        <v>344</v>
      </c>
      <c r="H38" s="11" t="s">
        <v>444</v>
      </c>
      <c r="I38" s="11" t="s">
        <v>444</v>
      </c>
      <c r="J38" s="11"/>
      <c r="K38" s="10" t="str">
        <f>"205,0"</f>
        <v>205,0</v>
      </c>
      <c r="L38" s="12" t="str">
        <f>"123,4510"</f>
        <v>123,4510</v>
      </c>
      <c r="M38" s="10" t="s">
        <v>1038</v>
      </c>
    </row>
    <row r="40" spans="1:12" ht="15">
      <c r="A40" s="54" t="s">
        <v>123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</row>
    <row r="41" spans="1:13" ht="12.75">
      <c r="A41" s="19" t="s">
        <v>1039</v>
      </c>
      <c r="B41" s="19" t="s">
        <v>779</v>
      </c>
      <c r="C41" s="19" t="s">
        <v>127</v>
      </c>
      <c r="D41" s="19" t="str">
        <f>"0,5391"</f>
        <v>0,5391</v>
      </c>
      <c r="E41" s="19" t="s">
        <v>28</v>
      </c>
      <c r="F41" s="19" t="s">
        <v>265</v>
      </c>
      <c r="G41" s="21" t="s">
        <v>268</v>
      </c>
      <c r="H41" s="21" t="s">
        <v>531</v>
      </c>
      <c r="I41" s="21" t="s">
        <v>437</v>
      </c>
      <c r="J41" s="20"/>
      <c r="K41" s="19" t="str">
        <f>"270,0"</f>
        <v>270,0</v>
      </c>
      <c r="L41" s="21" t="str">
        <f>"145,5570"</f>
        <v>145,5570</v>
      </c>
      <c r="M41" s="19" t="s">
        <v>33</v>
      </c>
    </row>
    <row r="42" spans="1:13" ht="12.75">
      <c r="A42" s="22" t="s">
        <v>1041</v>
      </c>
      <c r="B42" s="22" t="s">
        <v>1042</v>
      </c>
      <c r="C42" s="22" t="s">
        <v>1043</v>
      </c>
      <c r="D42" s="22" t="str">
        <f>"0,5377"</f>
        <v>0,5377</v>
      </c>
      <c r="E42" s="22" t="s">
        <v>178</v>
      </c>
      <c r="F42" s="22" t="s">
        <v>29</v>
      </c>
      <c r="G42" s="24" t="s">
        <v>267</v>
      </c>
      <c r="H42" s="24" t="s">
        <v>268</v>
      </c>
      <c r="I42" s="24" t="s">
        <v>1044</v>
      </c>
      <c r="J42" s="23"/>
      <c r="K42" s="22" t="str">
        <f>"242,5"</f>
        <v>242,5</v>
      </c>
      <c r="L42" s="24" t="str">
        <f>"130,3922"</f>
        <v>130,3922</v>
      </c>
      <c r="M42" s="22" t="s">
        <v>33</v>
      </c>
    </row>
    <row r="43" spans="1:13" ht="12.75">
      <c r="A43" s="22" t="s">
        <v>1046</v>
      </c>
      <c r="B43" s="22" t="s">
        <v>1047</v>
      </c>
      <c r="C43" s="22" t="s">
        <v>1048</v>
      </c>
      <c r="D43" s="22" t="str">
        <f>"0,5469"</f>
        <v>0,5469</v>
      </c>
      <c r="E43" s="22" t="s">
        <v>327</v>
      </c>
      <c r="F43" s="22" t="s">
        <v>69</v>
      </c>
      <c r="G43" s="24" t="s">
        <v>266</v>
      </c>
      <c r="H43" s="24" t="s">
        <v>272</v>
      </c>
      <c r="I43" s="24" t="s">
        <v>267</v>
      </c>
      <c r="J43" s="23"/>
      <c r="K43" s="22" t="str">
        <f>"220,0"</f>
        <v>220,0</v>
      </c>
      <c r="L43" s="24" t="str">
        <f>"120,3180"</f>
        <v>120,3180</v>
      </c>
      <c r="M43" s="22" t="s">
        <v>33</v>
      </c>
    </row>
    <row r="44" spans="1:13" ht="12.75">
      <c r="A44" s="25" t="s">
        <v>1050</v>
      </c>
      <c r="B44" s="25" t="s">
        <v>1051</v>
      </c>
      <c r="C44" s="25" t="s">
        <v>1052</v>
      </c>
      <c r="D44" s="25" t="str">
        <f>"0,5461"</f>
        <v>0,5461</v>
      </c>
      <c r="E44" s="25" t="s">
        <v>28</v>
      </c>
      <c r="F44" s="25" t="s">
        <v>29</v>
      </c>
      <c r="G44" s="27" t="s">
        <v>271</v>
      </c>
      <c r="H44" s="27" t="s">
        <v>329</v>
      </c>
      <c r="I44" s="27" t="s">
        <v>343</v>
      </c>
      <c r="J44" s="26"/>
      <c r="K44" s="25" t="str">
        <f>"195,0"</f>
        <v>195,0</v>
      </c>
      <c r="L44" s="27" t="str">
        <f>"106,4895"</f>
        <v>106,4895</v>
      </c>
      <c r="M44" s="25" t="s">
        <v>33</v>
      </c>
    </row>
    <row r="46" ht="15">
      <c r="E46" s="8" t="s">
        <v>13</v>
      </c>
    </row>
    <row r="47" ht="15">
      <c r="E47" s="8" t="s">
        <v>14</v>
      </c>
    </row>
    <row r="48" ht="15">
      <c r="E48" s="8" t="s">
        <v>15</v>
      </c>
    </row>
    <row r="49" ht="15">
      <c r="E49" s="8" t="s">
        <v>16</v>
      </c>
    </row>
    <row r="50" ht="15">
      <c r="E50" s="8" t="s">
        <v>16</v>
      </c>
    </row>
    <row r="51" ht="15">
      <c r="E51" s="8" t="s">
        <v>17</v>
      </c>
    </row>
    <row r="52" ht="15">
      <c r="E52" s="8"/>
    </row>
    <row r="54" spans="1:2" ht="18">
      <c r="A54" s="9" t="s">
        <v>18</v>
      </c>
      <c r="B54" s="9"/>
    </row>
    <row r="55" spans="1:2" ht="15">
      <c r="A55" s="13" t="s">
        <v>133</v>
      </c>
      <c r="B55" s="13"/>
    </row>
    <row r="56" spans="1:2" ht="14.25">
      <c r="A56" s="15"/>
      <c r="B56" s="16" t="s">
        <v>366</v>
      </c>
    </row>
    <row r="57" spans="1:5" ht="15">
      <c r="A57" s="17" t="s">
        <v>36</v>
      </c>
      <c r="B57" s="17" t="s">
        <v>37</v>
      </c>
      <c r="C57" s="17" t="s">
        <v>38</v>
      </c>
      <c r="D57" s="17" t="s">
        <v>39</v>
      </c>
      <c r="E57" s="17" t="s">
        <v>40</v>
      </c>
    </row>
    <row r="58" spans="1:5" ht="12.75">
      <c r="A58" s="14" t="s">
        <v>988</v>
      </c>
      <c r="B58" s="4" t="s">
        <v>143</v>
      </c>
      <c r="C58" s="4" t="s">
        <v>1053</v>
      </c>
      <c r="D58" s="4" t="s">
        <v>196</v>
      </c>
      <c r="E58" s="18" t="s">
        <v>1054</v>
      </c>
    </row>
    <row r="60" spans="1:2" ht="14.25">
      <c r="A60" s="15"/>
      <c r="B60" s="16" t="s">
        <v>35</v>
      </c>
    </row>
    <row r="61" spans="1:5" ht="15">
      <c r="A61" s="17" t="s">
        <v>36</v>
      </c>
      <c r="B61" s="17" t="s">
        <v>37</v>
      </c>
      <c r="C61" s="17" t="s">
        <v>38</v>
      </c>
      <c r="D61" s="17" t="s">
        <v>39</v>
      </c>
      <c r="E61" s="17" t="s">
        <v>40</v>
      </c>
    </row>
    <row r="62" spans="1:5" ht="12.75">
      <c r="A62" s="14" t="s">
        <v>993</v>
      </c>
      <c r="B62" s="4" t="s">
        <v>35</v>
      </c>
      <c r="C62" s="4" t="s">
        <v>384</v>
      </c>
      <c r="D62" s="4" t="s">
        <v>225</v>
      </c>
      <c r="E62" s="18" t="s">
        <v>1055</v>
      </c>
    </row>
    <row r="63" spans="1:5" ht="12.75">
      <c r="A63" s="14" t="s">
        <v>999</v>
      </c>
      <c r="B63" s="4" t="s">
        <v>35</v>
      </c>
      <c r="C63" s="4" t="s">
        <v>134</v>
      </c>
      <c r="D63" s="4" t="s">
        <v>225</v>
      </c>
      <c r="E63" s="18" t="s">
        <v>1056</v>
      </c>
    </row>
    <row r="64" spans="1:5" ht="12.75">
      <c r="A64" s="14" t="s">
        <v>1003</v>
      </c>
      <c r="B64" s="4" t="s">
        <v>35</v>
      </c>
      <c r="C64" s="4" t="s">
        <v>41</v>
      </c>
      <c r="D64" s="4" t="s">
        <v>258</v>
      </c>
      <c r="E64" s="18" t="s">
        <v>1057</v>
      </c>
    </row>
    <row r="67" spans="1:2" ht="15">
      <c r="A67" s="13" t="s">
        <v>34</v>
      </c>
      <c r="B67" s="13"/>
    </row>
    <row r="68" spans="1:2" ht="14.25">
      <c r="A68" s="15"/>
      <c r="B68" s="16" t="s">
        <v>136</v>
      </c>
    </row>
    <row r="69" spans="1:5" ht="15">
      <c r="A69" s="17" t="s">
        <v>36</v>
      </c>
      <c r="B69" s="17" t="s">
        <v>37</v>
      </c>
      <c r="C69" s="17" t="s">
        <v>38</v>
      </c>
      <c r="D69" s="17" t="s">
        <v>39</v>
      </c>
      <c r="E69" s="17" t="s">
        <v>40</v>
      </c>
    </row>
    <row r="70" spans="1:5" ht="12.75">
      <c r="A70" s="14" t="s">
        <v>56</v>
      </c>
      <c r="B70" s="4" t="s">
        <v>137</v>
      </c>
      <c r="C70" s="4" t="s">
        <v>140</v>
      </c>
      <c r="D70" s="4" t="s">
        <v>208</v>
      </c>
      <c r="E70" s="18" t="s">
        <v>1058</v>
      </c>
    </row>
    <row r="71" spans="1:5" ht="12.75">
      <c r="A71" s="14" t="s">
        <v>319</v>
      </c>
      <c r="B71" s="4" t="s">
        <v>137</v>
      </c>
      <c r="C71" s="4" t="s">
        <v>140</v>
      </c>
      <c r="D71" s="4" t="s">
        <v>299</v>
      </c>
      <c r="E71" s="18" t="s">
        <v>1059</v>
      </c>
    </row>
    <row r="72" spans="1:5" ht="12.75">
      <c r="A72" s="14" t="s">
        <v>1018</v>
      </c>
      <c r="B72" s="4" t="s">
        <v>137</v>
      </c>
      <c r="C72" s="4" t="s">
        <v>138</v>
      </c>
      <c r="D72" s="4" t="s">
        <v>210</v>
      </c>
      <c r="E72" s="18" t="s">
        <v>1060</v>
      </c>
    </row>
    <row r="74" spans="1:2" ht="14.25">
      <c r="A74" s="15"/>
      <c r="B74" s="16" t="s">
        <v>35</v>
      </c>
    </row>
    <row r="75" spans="1:5" ht="15">
      <c r="A75" s="17" t="s">
        <v>36</v>
      </c>
      <c r="B75" s="17" t="s">
        <v>37</v>
      </c>
      <c r="C75" s="17" t="s">
        <v>38</v>
      </c>
      <c r="D75" s="17" t="s">
        <v>39</v>
      </c>
      <c r="E75" s="17" t="s">
        <v>40</v>
      </c>
    </row>
    <row r="76" spans="1:5" ht="12.75">
      <c r="A76" s="14" t="s">
        <v>95</v>
      </c>
      <c r="B76" s="4" t="s">
        <v>35</v>
      </c>
      <c r="C76" s="4" t="s">
        <v>138</v>
      </c>
      <c r="D76" s="4" t="s">
        <v>531</v>
      </c>
      <c r="E76" s="18" t="s">
        <v>1061</v>
      </c>
    </row>
    <row r="77" spans="1:5" ht="12.75">
      <c r="A77" s="14" t="s">
        <v>693</v>
      </c>
      <c r="B77" s="4" t="s">
        <v>35</v>
      </c>
      <c r="C77" s="4" t="s">
        <v>138</v>
      </c>
      <c r="D77" s="4" t="s">
        <v>455</v>
      </c>
      <c r="E77" s="18" t="s">
        <v>1062</v>
      </c>
    </row>
    <row r="78" spans="1:5" ht="12.75">
      <c r="A78" s="14" t="s">
        <v>690</v>
      </c>
      <c r="B78" s="4" t="s">
        <v>35</v>
      </c>
      <c r="C78" s="4" t="s">
        <v>138</v>
      </c>
      <c r="D78" s="4" t="s">
        <v>455</v>
      </c>
      <c r="E78" s="18" t="s">
        <v>1063</v>
      </c>
    </row>
    <row r="79" spans="1:5" ht="12.75">
      <c r="A79" s="14" t="s">
        <v>777</v>
      </c>
      <c r="B79" s="4" t="s">
        <v>35</v>
      </c>
      <c r="C79" s="4" t="s">
        <v>148</v>
      </c>
      <c r="D79" s="4" t="s">
        <v>437</v>
      </c>
      <c r="E79" s="18" t="s">
        <v>1064</v>
      </c>
    </row>
    <row r="80" spans="1:5" ht="12.75">
      <c r="A80" s="14" t="s">
        <v>1009</v>
      </c>
      <c r="B80" s="4" t="s">
        <v>35</v>
      </c>
      <c r="C80" s="4" t="s">
        <v>41</v>
      </c>
      <c r="D80" s="4" t="s">
        <v>272</v>
      </c>
      <c r="E80" s="18" t="s">
        <v>1065</v>
      </c>
    </row>
    <row r="81" spans="1:5" ht="12.75">
      <c r="A81" s="14" t="s">
        <v>78</v>
      </c>
      <c r="B81" s="4" t="s">
        <v>35</v>
      </c>
      <c r="C81" s="4" t="s">
        <v>41</v>
      </c>
      <c r="D81" s="4" t="s">
        <v>266</v>
      </c>
      <c r="E81" s="18" t="s">
        <v>1066</v>
      </c>
    </row>
    <row r="82" spans="1:5" ht="12.75">
      <c r="A82" s="14" t="s">
        <v>1040</v>
      </c>
      <c r="B82" s="4" t="s">
        <v>35</v>
      </c>
      <c r="C82" s="4" t="s">
        <v>148</v>
      </c>
      <c r="D82" s="4" t="s">
        <v>1044</v>
      </c>
      <c r="E82" s="18" t="s">
        <v>1067</v>
      </c>
    </row>
    <row r="83" spans="1:5" ht="12.75">
      <c r="A83" s="14" t="s">
        <v>186</v>
      </c>
      <c r="B83" s="4" t="s">
        <v>35</v>
      </c>
      <c r="C83" s="4" t="s">
        <v>140</v>
      </c>
      <c r="D83" s="4" t="s">
        <v>271</v>
      </c>
      <c r="E83" s="18" t="s">
        <v>1068</v>
      </c>
    </row>
    <row r="84" spans="1:5" ht="12.75">
      <c r="A84" s="14" t="s">
        <v>1013</v>
      </c>
      <c r="B84" s="4" t="s">
        <v>35</v>
      </c>
      <c r="C84" s="4" t="s">
        <v>41</v>
      </c>
      <c r="D84" s="4" t="s">
        <v>329</v>
      </c>
      <c r="E84" s="18" t="s">
        <v>1069</v>
      </c>
    </row>
    <row r="85" spans="1:5" ht="12.75">
      <c r="A85" s="14" t="s">
        <v>1034</v>
      </c>
      <c r="B85" s="4" t="s">
        <v>35</v>
      </c>
      <c r="C85" s="4" t="s">
        <v>239</v>
      </c>
      <c r="D85" s="4" t="s">
        <v>344</v>
      </c>
      <c r="E85" s="18" t="s">
        <v>1070</v>
      </c>
    </row>
    <row r="86" spans="1:5" ht="12.75">
      <c r="A86" s="14" t="s">
        <v>1045</v>
      </c>
      <c r="B86" s="4" t="s">
        <v>35</v>
      </c>
      <c r="C86" s="4" t="s">
        <v>148</v>
      </c>
      <c r="D86" s="4" t="s">
        <v>267</v>
      </c>
      <c r="E86" s="18" t="s">
        <v>1071</v>
      </c>
    </row>
    <row r="87" spans="1:5" ht="12.75">
      <c r="A87" s="14" t="s">
        <v>107</v>
      </c>
      <c r="B87" s="4" t="s">
        <v>35</v>
      </c>
      <c r="C87" s="4" t="s">
        <v>138</v>
      </c>
      <c r="D87" s="4" t="s">
        <v>329</v>
      </c>
      <c r="E87" s="18" t="s">
        <v>1072</v>
      </c>
    </row>
    <row r="88" spans="1:5" ht="12.75">
      <c r="A88" s="14" t="s">
        <v>1049</v>
      </c>
      <c r="B88" s="4" t="s">
        <v>35</v>
      </c>
      <c r="C88" s="4" t="s">
        <v>148</v>
      </c>
      <c r="D88" s="4" t="s">
        <v>343</v>
      </c>
      <c r="E88" s="18" t="s">
        <v>1073</v>
      </c>
    </row>
    <row r="89" spans="1:5" ht="12.75">
      <c r="A89" s="14" t="s">
        <v>1026</v>
      </c>
      <c r="B89" s="4" t="s">
        <v>35</v>
      </c>
      <c r="C89" s="4" t="s">
        <v>138</v>
      </c>
      <c r="D89" s="4" t="s">
        <v>351</v>
      </c>
      <c r="E89" s="18" t="s">
        <v>1074</v>
      </c>
    </row>
    <row r="91" spans="1:2" ht="14.25">
      <c r="A91" s="15"/>
      <c r="B91" s="16" t="s">
        <v>152</v>
      </c>
    </row>
    <row r="92" spans="1:5" ht="15">
      <c r="A92" s="17" t="s">
        <v>36</v>
      </c>
      <c r="B92" s="17" t="s">
        <v>37</v>
      </c>
      <c r="C92" s="17" t="s">
        <v>38</v>
      </c>
      <c r="D92" s="17" t="s">
        <v>39</v>
      </c>
      <c r="E92" s="17" t="s">
        <v>40</v>
      </c>
    </row>
    <row r="93" spans="1:5" ht="12.75">
      <c r="A93" s="14" t="s">
        <v>1030</v>
      </c>
      <c r="B93" s="4" t="s">
        <v>569</v>
      </c>
      <c r="C93" s="4" t="s">
        <v>138</v>
      </c>
      <c r="D93" s="4" t="s">
        <v>269</v>
      </c>
      <c r="E93" s="18" t="s">
        <v>1075</v>
      </c>
    </row>
    <row r="98" spans="1:2" ht="18">
      <c r="A98" s="9" t="s">
        <v>159</v>
      </c>
      <c r="B98" s="9"/>
    </row>
    <row r="99" spans="1:3" ht="15">
      <c r="A99" s="17" t="s">
        <v>160</v>
      </c>
      <c r="B99" s="17" t="s">
        <v>161</v>
      </c>
      <c r="C99" s="17" t="s">
        <v>162</v>
      </c>
    </row>
    <row r="100" spans="1:3" ht="12.75">
      <c r="A100" s="4" t="s">
        <v>178</v>
      </c>
      <c r="B100" s="4" t="s">
        <v>1076</v>
      </c>
      <c r="C100" s="4" t="s">
        <v>1077</v>
      </c>
    </row>
    <row r="101" spans="1:3" ht="12.75">
      <c r="A101" s="4" t="s">
        <v>327</v>
      </c>
      <c r="B101" s="4" t="s">
        <v>1078</v>
      </c>
      <c r="C101" s="4" t="s">
        <v>1079</v>
      </c>
    </row>
    <row r="102" spans="1:3" ht="12.75">
      <c r="A102" s="4" t="s">
        <v>68</v>
      </c>
      <c r="B102" s="4" t="s">
        <v>1080</v>
      </c>
      <c r="C102" s="4" t="s">
        <v>1081</v>
      </c>
    </row>
    <row r="103" spans="1:3" ht="12.75">
      <c r="A103" s="4" t="s">
        <v>997</v>
      </c>
      <c r="B103" s="4" t="s">
        <v>216</v>
      </c>
      <c r="C103" s="4" t="s">
        <v>1082</v>
      </c>
    </row>
  </sheetData>
  <sheetProtection/>
  <mergeCells count="20">
    <mergeCell ref="A1:M2"/>
    <mergeCell ref="A3:A4"/>
    <mergeCell ref="B3:B4"/>
    <mergeCell ref="C3:C4"/>
    <mergeCell ref="D3:D4"/>
    <mergeCell ref="E3:E4"/>
    <mergeCell ref="F3:F4"/>
    <mergeCell ref="G3:J3"/>
    <mergeCell ref="A40:L40"/>
    <mergeCell ref="K3:K4"/>
    <mergeCell ref="L3:L4"/>
    <mergeCell ref="M3:M4"/>
    <mergeCell ref="A5:L5"/>
    <mergeCell ref="A8:L8"/>
    <mergeCell ref="A11:L11"/>
    <mergeCell ref="A14:L14"/>
    <mergeCell ref="A17:L17"/>
    <mergeCell ref="A22:L22"/>
    <mergeCell ref="A27:L27"/>
    <mergeCell ref="A37:L3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625" style="4" customWidth="1"/>
    <col min="2" max="2" width="26.375" style="4" customWidth="1"/>
    <col min="3" max="3" width="20.125" style="4" customWidth="1"/>
    <col min="4" max="4" width="9.25390625" style="4" bestFit="1" customWidth="1"/>
    <col min="5" max="5" width="19.75390625" style="4" customWidth="1"/>
    <col min="6" max="6" width="35.00390625" style="4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3.375" style="4" bestFit="1" customWidth="1"/>
    <col min="14" max="16384" width="9.125" style="3" customWidth="1"/>
  </cols>
  <sheetData>
    <row r="1" spans="1:13" s="2" customFormat="1" ht="28.5" customHeight="1">
      <c r="A1" s="53" t="s">
        <v>946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10</v>
      </c>
      <c r="C3" s="48" t="s">
        <v>11</v>
      </c>
      <c r="D3" s="50" t="s">
        <v>21</v>
      </c>
      <c r="E3" s="50" t="s">
        <v>7</v>
      </c>
      <c r="F3" s="50" t="s">
        <v>12</v>
      </c>
      <c r="G3" s="50" t="s">
        <v>249</v>
      </c>
      <c r="H3" s="50"/>
      <c r="I3" s="50"/>
      <c r="J3" s="50"/>
      <c r="K3" s="50" t="s">
        <v>19</v>
      </c>
      <c r="L3" s="50" t="s">
        <v>6</v>
      </c>
      <c r="M3" s="38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8</v>
      </c>
      <c r="K4" s="49"/>
      <c r="L4" s="49"/>
      <c r="M4" s="39"/>
    </row>
    <row r="5" spans="1:12" ht="15">
      <c r="A5" s="51" t="s">
        <v>55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3" ht="12.75">
      <c r="A6" s="10" t="s">
        <v>948</v>
      </c>
      <c r="B6" s="10" t="s">
        <v>949</v>
      </c>
      <c r="C6" s="10" t="s">
        <v>950</v>
      </c>
      <c r="D6" s="10" t="str">
        <f>"0,7418"</f>
        <v>0,7418</v>
      </c>
      <c r="E6" s="10" t="s">
        <v>28</v>
      </c>
      <c r="F6" s="10" t="s">
        <v>951</v>
      </c>
      <c r="G6" s="12" t="s">
        <v>245</v>
      </c>
      <c r="H6" s="11" t="s">
        <v>330</v>
      </c>
      <c r="I6" s="12" t="s">
        <v>330</v>
      </c>
      <c r="J6" s="11"/>
      <c r="K6" s="10" t="str">
        <f>"190,0"</f>
        <v>190,0</v>
      </c>
      <c r="L6" s="12" t="str">
        <f>"140,9420"</f>
        <v>140,9420</v>
      </c>
      <c r="M6" s="10" t="s">
        <v>952</v>
      </c>
    </row>
    <row r="8" spans="1:12" ht="15">
      <c r="A8" s="54" t="s">
        <v>23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3" ht="12.75">
      <c r="A9" s="10" t="s">
        <v>954</v>
      </c>
      <c r="B9" s="10" t="s">
        <v>955</v>
      </c>
      <c r="C9" s="10" t="s">
        <v>67</v>
      </c>
      <c r="D9" s="10" t="str">
        <f>"0,6645"</f>
        <v>0,6645</v>
      </c>
      <c r="E9" s="10" t="s">
        <v>28</v>
      </c>
      <c r="F9" s="10" t="s">
        <v>421</v>
      </c>
      <c r="G9" s="12" t="s">
        <v>268</v>
      </c>
      <c r="H9" s="12" t="s">
        <v>455</v>
      </c>
      <c r="I9" s="12" t="s">
        <v>461</v>
      </c>
      <c r="J9" s="11"/>
      <c r="K9" s="10" t="str">
        <f>"250,0"</f>
        <v>250,0</v>
      </c>
      <c r="L9" s="12" t="str">
        <f>"166,1250"</f>
        <v>166,1250</v>
      </c>
      <c r="M9" s="10" t="s">
        <v>33</v>
      </c>
    </row>
    <row r="11" spans="1:12" ht="15">
      <c r="A11" s="54" t="s">
        <v>219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3" ht="12.75">
      <c r="A12" s="19" t="s">
        <v>957</v>
      </c>
      <c r="B12" s="19" t="s">
        <v>958</v>
      </c>
      <c r="C12" s="19" t="s">
        <v>959</v>
      </c>
      <c r="D12" s="19" t="str">
        <f>"0,5939"</f>
        <v>0,5939</v>
      </c>
      <c r="E12" s="19" t="s">
        <v>28</v>
      </c>
      <c r="F12" s="19" t="s">
        <v>265</v>
      </c>
      <c r="G12" s="21" t="s">
        <v>461</v>
      </c>
      <c r="H12" s="21" t="s">
        <v>463</v>
      </c>
      <c r="I12" s="21" t="s">
        <v>437</v>
      </c>
      <c r="J12" s="20"/>
      <c r="K12" s="19" t="str">
        <f>"270,0"</f>
        <v>270,0</v>
      </c>
      <c r="L12" s="21" t="str">
        <f>"160,3530"</f>
        <v>160,3530</v>
      </c>
      <c r="M12" s="19" t="s">
        <v>33</v>
      </c>
    </row>
    <row r="13" spans="1:13" ht="12.75">
      <c r="A13" s="25" t="s">
        <v>961</v>
      </c>
      <c r="B13" s="25" t="s">
        <v>962</v>
      </c>
      <c r="C13" s="25" t="s">
        <v>963</v>
      </c>
      <c r="D13" s="25" t="str">
        <f>"0,5869"</f>
        <v>0,5869</v>
      </c>
      <c r="E13" s="25" t="s">
        <v>28</v>
      </c>
      <c r="F13" s="25" t="s">
        <v>964</v>
      </c>
      <c r="G13" s="27" t="s">
        <v>272</v>
      </c>
      <c r="H13" s="27" t="s">
        <v>267</v>
      </c>
      <c r="I13" s="27" t="s">
        <v>268</v>
      </c>
      <c r="J13" s="26"/>
      <c r="K13" s="25" t="str">
        <f>"230,0"</f>
        <v>230,0</v>
      </c>
      <c r="L13" s="27" t="str">
        <f>"134,9870"</f>
        <v>134,9870</v>
      </c>
      <c r="M13" s="25" t="s">
        <v>33</v>
      </c>
    </row>
    <row r="15" spans="1:12" ht="15">
      <c r="A15" s="54" t="s">
        <v>118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3" ht="12.75">
      <c r="A16" s="10" t="s">
        <v>966</v>
      </c>
      <c r="B16" s="10" t="s">
        <v>967</v>
      </c>
      <c r="C16" s="10" t="s">
        <v>968</v>
      </c>
      <c r="D16" s="10" t="str">
        <f>"0,5772"</f>
        <v>0,5772</v>
      </c>
      <c r="E16" s="10" t="s">
        <v>28</v>
      </c>
      <c r="F16" s="10" t="s">
        <v>964</v>
      </c>
      <c r="G16" s="12" t="s">
        <v>463</v>
      </c>
      <c r="H16" s="12" t="s">
        <v>437</v>
      </c>
      <c r="I16" s="12" t="s">
        <v>969</v>
      </c>
      <c r="J16" s="11"/>
      <c r="K16" s="10" t="str">
        <f>"277,5"</f>
        <v>277,5</v>
      </c>
      <c r="L16" s="12" t="str">
        <f>"160,1730"</f>
        <v>160,1730</v>
      </c>
      <c r="M16" s="10" t="s">
        <v>33</v>
      </c>
    </row>
    <row r="18" spans="1:12" ht="15">
      <c r="A18" s="54" t="s">
        <v>123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3" ht="12.75">
      <c r="A19" s="10" t="s">
        <v>905</v>
      </c>
      <c r="B19" s="10" t="s">
        <v>906</v>
      </c>
      <c r="C19" s="10" t="s">
        <v>907</v>
      </c>
      <c r="D19" s="10" t="str">
        <f>"0,5506"</f>
        <v>0,5506</v>
      </c>
      <c r="E19" s="10" t="s">
        <v>178</v>
      </c>
      <c r="F19" s="10" t="s">
        <v>697</v>
      </c>
      <c r="G19" s="12" t="s">
        <v>970</v>
      </c>
      <c r="H19" s="12" t="s">
        <v>971</v>
      </c>
      <c r="I19" s="12" t="s">
        <v>972</v>
      </c>
      <c r="J19" s="11"/>
      <c r="K19" s="10" t="str">
        <f>"360,0"</f>
        <v>360,0</v>
      </c>
      <c r="L19" s="12" t="str">
        <f>"198,2160"</f>
        <v>198,2160</v>
      </c>
      <c r="M19" s="10" t="s">
        <v>33</v>
      </c>
    </row>
    <row r="21" spans="1:12" ht="15">
      <c r="A21" s="54" t="s">
        <v>260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3" ht="12.75">
      <c r="A22" s="10" t="s">
        <v>974</v>
      </c>
      <c r="B22" s="10" t="s">
        <v>975</v>
      </c>
      <c r="C22" s="10" t="s">
        <v>976</v>
      </c>
      <c r="D22" s="10" t="str">
        <f>"0,5167"</f>
        <v>0,5167</v>
      </c>
      <c r="E22" s="10" t="s">
        <v>178</v>
      </c>
      <c r="F22" s="10" t="s">
        <v>697</v>
      </c>
      <c r="G22" s="12" t="s">
        <v>461</v>
      </c>
      <c r="H22" s="12" t="s">
        <v>463</v>
      </c>
      <c r="I22" s="11" t="s">
        <v>437</v>
      </c>
      <c r="J22" s="11"/>
      <c r="K22" s="10" t="str">
        <f>"260,0"</f>
        <v>260,0</v>
      </c>
      <c r="L22" s="12" t="str">
        <f>"134,3368"</f>
        <v>134,3368</v>
      </c>
      <c r="M22" s="10" t="s">
        <v>862</v>
      </c>
    </row>
    <row r="24" spans="1:12" ht="15">
      <c r="A24" s="54" t="s">
        <v>537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1:13" ht="12.75">
      <c r="A25" s="10" t="s">
        <v>539</v>
      </c>
      <c r="B25" s="10" t="s">
        <v>540</v>
      </c>
      <c r="C25" s="10" t="s">
        <v>541</v>
      </c>
      <c r="D25" s="10" t="str">
        <f>"0,4975"</f>
        <v>0,4975</v>
      </c>
      <c r="E25" s="10" t="s">
        <v>106</v>
      </c>
      <c r="F25" s="10" t="s">
        <v>87</v>
      </c>
      <c r="G25" s="12" t="s">
        <v>346</v>
      </c>
      <c r="H25" s="12" t="s">
        <v>455</v>
      </c>
      <c r="I25" s="11" t="s">
        <v>461</v>
      </c>
      <c r="J25" s="11"/>
      <c r="K25" s="10" t="str">
        <f>"240,0"</f>
        <v>240,0</v>
      </c>
      <c r="L25" s="12" t="str">
        <f>"123,1014"</f>
        <v>123,1014</v>
      </c>
      <c r="M25" s="10" t="s">
        <v>33</v>
      </c>
    </row>
    <row r="27" ht="15">
      <c r="E27" s="8" t="s">
        <v>13</v>
      </c>
    </row>
    <row r="28" ht="15">
      <c r="E28" s="8" t="s">
        <v>14</v>
      </c>
    </row>
    <row r="29" ht="15">
      <c r="E29" s="8" t="s">
        <v>15</v>
      </c>
    </row>
    <row r="30" ht="15">
      <c r="E30" s="8" t="s">
        <v>16</v>
      </c>
    </row>
    <row r="31" ht="15">
      <c r="E31" s="8" t="s">
        <v>16</v>
      </c>
    </row>
    <row r="32" ht="15">
      <c r="E32" s="8" t="s">
        <v>17</v>
      </c>
    </row>
    <row r="33" ht="15">
      <c r="E33" s="8"/>
    </row>
    <row r="35" spans="1:2" ht="18">
      <c r="A35" s="9" t="s">
        <v>18</v>
      </c>
      <c r="B35" s="9"/>
    </row>
    <row r="36" spans="1:2" ht="15">
      <c r="A36" s="13" t="s">
        <v>34</v>
      </c>
      <c r="B36" s="13"/>
    </row>
    <row r="37" spans="1:2" ht="14.25">
      <c r="A37" s="15"/>
      <c r="B37" s="16" t="s">
        <v>35</v>
      </c>
    </row>
    <row r="38" spans="1:5" ht="15">
      <c r="A38" s="17" t="s">
        <v>36</v>
      </c>
      <c r="B38" s="17" t="s">
        <v>37</v>
      </c>
      <c r="C38" s="17" t="s">
        <v>38</v>
      </c>
      <c r="D38" s="17" t="s">
        <v>39</v>
      </c>
      <c r="E38" s="17" t="s">
        <v>40</v>
      </c>
    </row>
    <row r="39" spans="1:5" ht="12.75">
      <c r="A39" s="14" t="s">
        <v>904</v>
      </c>
      <c r="B39" s="4" t="s">
        <v>35</v>
      </c>
      <c r="C39" s="4" t="s">
        <v>148</v>
      </c>
      <c r="D39" s="4" t="s">
        <v>972</v>
      </c>
      <c r="E39" s="18" t="s">
        <v>977</v>
      </c>
    </row>
    <row r="40" spans="1:5" ht="12.75">
      <c r="A40" s="14" t="s">
        <v>953</v>
      </c>
      <c r="B40" s="4" t="s">
        <v>35</v>
      </c>
      <c r="C40" s="4" t="s">
        <v>41</v>
      </c>
      <c r="D40" s="4" t="s">
        <v>461</v>
      </c>
      <c r="E40" s="18" t="s">
        <v>978</v>
      </c>
    </row>
    <row r="41" spans="1:5" ht="12.75">
      <c r="A41" s="14" t="s">
        <v>956</v>
      </c>
      <c r="B41" s="4" t="s">
        <v>35</v>
      </c>
      <c r="C41" s="4" t="s">
        <v>239</v>
      </c>
      <c r="D41" s="4" t="s">
        <v>437</v>
      </c>
      <c r="E41" s="18" t="s">
        <v>979</v>
      </c>
    </row>
    <row r="42" spans="1:5" ht="12.75">
      <c r="A42" s="14" t="s">
        <v>965</v>
      </c>
      <c r="B42" s="4" t="s">
        <v>35</v>
      </c>
      <c r="C42" s="4" t="s">
        <v>156</v>
      </c>
      <c r="D42" s="4" t="s">
        <v>969</v>
      </c>
      <c r="E42" s="18" t="s">
        <v>980</v>
      </c>
    </row>
    <row r="43" spans="1:5" ht="12.75">
      <c r="A43" s="14" t="s">
        <v>947</v>
      </c>
      <c r="B43" s="4" t="s">
        <v>35</v>
      </c>
      <c r="C43" s="4" t="s">
        <v>140</v>
      </c>
      <c r="D43" s="4" t="s">
        <v>330</v>
      </c>
      <c r="E43" s="18" t="s">
        <v>981</v>
      </c>
    </row>
    <row r="44" spans="1:5" ht="12.75">
      <c r="A44" s="14" t="s">
        <v>960</v>
      </c>
      <c r="B44" s="4" t="s">
        <v>35</v>
      </c>
      <c r="C44" s="4" t="s">
        <v>239</v>
      </c>
      <c r="D44" s="4" t="s">
        <v>268</v>
      </c>
      <c r="E44" s="18" t="s">
        <v>982</v>
      </c>
    </row>
    <row r="45" spans="1:5" ht="12.75">
      <c r="A45" s="14" t="s">
        <v>973</v>
      </c>
      <c r="B45" s="4" t="s">
        <v>35</v>
      </c>
      <c r="C45" s="4" t="s">
        <v>279</v>
      </c>
      <c r="D45" s="4" t="s">
        <v>463</v>
      </c>
      <c r="E45" s="18" t="s">
        <v>983</v>
      </c>
    </row>
    <row r="47" spans="1:2" ht="14.25">
      <c r="A47" s="15"/>
      <c r="B47" s="16" t="s">
        <v>152</v>
      </c>
    </row>
    <row r="48" spans="1:5" ht="15">
      <c r="A48" s="17" t="s">
        <v>36</v>
      </c>
      <c r="B48" s="17" t="s">
        <v>37</v>
      </c>
      <c r="C48" s="17" t="s">
        <v>38</v>
      </c>
      <c r="D48" s="17" t="s">
        <v>39</v>
      </c>
      <c r="E48" s="17" t="s">
        <v>40</v>
      </c>
    </row>
    <row r="49" spans="1:5" ht="12.75">
      <c r="A49" s="14" t="s">
        <v>538</v>
      </c>
      <c r="B49" s="4" t="s">
        <v>155</v>
      </c>
      <c r="C49" s="4" t="s">
        <v>546</v>
      </c>
      <c r="D49" s="4" t="s">
        <v>455</v>
      </c>
      <c r="E49" s="18" t="s">
        <v>984</v>
      </c>
    </row>
    <row r="54" spans="1:2" ht="18">
      <c r="A54" s="9" t="s">
        <v>159</v>
      </c>
      <c r="B54" s="9"/>
    </row>
    <row r="55" spans="1:3" ht="15">
      <c r="A55" s="17" t="s">
        <v>160</v>
      </c>
      <c r="B55" s="17" t="s">
        <v>161</v>
      </c>
      <c r="C55" s="17" t="s">
        <v>162</v>
      </c>
    </row>
    <row r="56" spans="1:3" ht="12.75">
      <c r="A56" s="4" t="s">
        <v>178</v>
      </c>
      <c r="B56" s="4" t="s">
        <v>165</v>
      </c>
      <c r="C56" s="4" t="s">
        <v>985</v>
      </c>
    </row>
    <row r="57" spans="1:3" ht="12.75">
      <c r="A57" s="4" t="s">
        <v>106</v>
      </c>
      <c r="B57" s="4" t="s">
        <v>216</v>
      </c>
      <c r="C57" s="4" t="s">
        <v>549</v>
      </c>
    </row>
  </sheetData>
  <sheetProtection/>
  <mergeCells count="18"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A15:L15"/>
    <mergeCell ref="A18:L18"/>
    <mergeCell ref="A21:L21"/>
    <mergeCell ref="A24:L24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0.25390625" style="4" customWidth="1"/>
    <col min="6" max="6" width="29.1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53" t="s">
        <v>935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10</v>
      </c>
      <c r="C3" s="48" t="s">
        <v>11</v>
      </c>
      <c r="D3" s="50" t="s">
        <v>21</v>
      </c>
      <c r="E3" s="50" t="s">
        <v>7</v>
      </c>
      <c r="F3" s="50" t="s">
        <v>12</v>
      </c>
      <c r="G3" s="50" t="s">
        <v>249</v>
      </c>
      <c r="H3" s="50"/>
      <c r="I3" s="50"/>
      <c r="J3" s="50"/>
      <c r="K3" s="50" t="s">
        <v>19</v>
      </c>
      <c r="L3" s="50" t="s">
        <v>6</v>
      </c>
      <c r="M3" s="38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8</v>
      </c>
      <c r="K4" s="49"/>
      <c r="L4" s="49"/>
      <c r="M4" s="39"/>
    </row>
    <row r="5" spans="1:12" ht="15">
      <c r="A5" s="51" t="s">
        <v>123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3" ht="12.75">
      <c r="A6" s="10" t="s">
        <v>937</v>
      </c>
      <c r="B6" s="10" t="s">
        <v>938</v>
      </c>
      <c r="C6" s="10" t="s">
        <v>939</v>
      </c>
      <c r="D6" s="10" t="str">
        <f>"0,5393"</f>
        <v>0,5393</v>
      </c>
      <c r="E6" s="10" t="s">
        <v>28</v>
      </c>
      <c r="F6" s="10" t="s">
        <v>50</v>
      </c>
      <c r="G6" s="11" t="s">
        <v>344</v>
      </c>
      <c r="H6" s="12" t="s">
        <v>344</v>
      </c>
      <c r="I6" s="11" t="s">
        <v>272</v>
      </c>
      <c r="J6" s="11"/>
      <c r="K6" s="10" t="str">
        <f>"205,0"</f>
        <v>205,0</v>
      </c>
      <c r="L6" s="12" t="str">
        <f>"163,6236"</f>
        <v>163,6236</v>
      </c>
      <c r="M6" s="10" t="s">
        <v>33</v>
      </c>
    </row>
    <row r="8" spans="1:12" ht="15">
      <c r="A8" s="54" t="s">
        <v>484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3" ht="12.75">
      <c r="A9" s="10" t="s">
        <v>941</v>
      </c>
      <c r="B9" s="10" t="s">
        <v>942</v>
      </c>
      <c r="C9" s="10" t="s">
        <v>943</v>
      </c>
      <c r="D9" s="10" t="str">
        <f>"0,5276"</f>
        <v>0,5276</v>
      </c>
      <c r="E9" s="10" t="s">
        <v>28</v>
      </c>
      <c r="F9" s="10" t="s">
        <v>265</v>
      </c>
      <c r="G9" s="12" t="s">
        <v>268</v>
      </c>
      <c r="H9" s="12" t="s">
        <v>455</v>
      </c>
      <c r="I9" s="12" t="s">
        <v>461</v>
      </c>
      <c r="J9" s="11"/>
      <c r="K9" s="10" t="str">
        <f>"250,0"</f>
        <v>250,0</v>
      </c>
      <c r="L9" s="12" t="str">
        <f>"131,9000"</f>
        <v>131,9000</v>
      </c>
      <c r="M9" s="10" t="s">
        <v>33</v>
      </c>
    </row>
    <row r="11" ht="15">
      <c r="E11" s="8" t="s">
        <v>13</v>
      </c>
    </row>
    <row r="12" ht="15">
      <c r="E12" s="8" t="s">
        <v>14</v>
      </c>
    </row>
    <row r="13" ht="15">
      <c r="E13" s="8" t="s">
        <v>15</v>
      </c>
    </row>
    <row r="14" ht="15">
      <c r="E14" s="8" t="s">
        <v>16</v>
      </c>
    </row>
    <row r="15" ht="15">
      <c r="E15" s="8" t="s">
        <v>16</v>
      </c>
    </row>
    <row r="16" ht="15">
      <c r="E16" s="8" t="s">
        <v>17</v>
      </c>
    </row>
    <row r="17" ht="15">
      <c r="E17" s="8"/>
    </row>
    <row r="19" spans="1:2" ht="18">
      <c r="A19" s="9" t="s">
        <v>18</v>
      </c>
      <c r="B19" s="9"/>
    </row>
    <row r="20" spans="1:2" ht="15">
      <c r="A20" s="13" t="s">
        <v>34</v>
      </c>
      <c r="B20" s="13"/>
    </row>
    <row r="21" spans="1:2" ht="14.25">
      <c r="A21" s="15"/>
      <c r="B21" s="16" t="s">
        <v>35</v>
      </c>
    </row>
    <row r="22" spans="1:5" ht="15">
      <c r="A22" s="17" t="s">
        <v>36</v>
      </c>
      <c r="B22" s="17" t="s">
        <v>37</v>
      </c>
      <c r="C22" s="17" t="s">
        <v>38</v>
      </c>
      <c r="D22" s="17" t="s">
        <v>39</v>
      </c>
      <c r="E22" s="17" t="s">
        <v>40</v>
      </c>
    </row>
    <row r="23" spans="1:5" ht="12.75">
      <c r="A23" s="14" t="s">
        <v>940</v>
      </c>
      <c r="B23" s="4" t="s">
        <v>35</v>
      </c>
      <c r="C23" s="4" t="s">
        <v>513</v>
      </c>
      <c r="D23" s="4" t="s">
        <v>461</v>
      </c>
      <c r="E23" s="18" t="s">
        <v>944</v>
      </c>
    </row>
    <row r="25" spans="1:2" ht="14.25">
      <c r="A25" s="15"/>
      <c r="B25" s="16" t="s">
        <v>152</v>
      </c>
    </row>
    <row r="26" spans="1:5" ht="15">
      <c r="A26" s="17" t="s">
        <v>36</v>
      </c>
      <c r="B26" s="17" t="s">
        <v>37</v>
      </c>
      <c r="C26" s="17" t="s">
        <v>38</v>
      </c>
      <c r="D26" s="17" t="s">
        <v>39</v>
      </c>
      <c r="E26" s="17" t="s">
        <v>40</v>
      </c>
    </row>
    <row r="27" spans="1:5" ht="12.75">
      <c r="A27" s="14" t="s">
        <v>936</v>
      </c>
      <c r="B27" s="4" t="s">
        <v>518</v>
      </c>
      <c r="C27" s="4" t="s">
        <v>148</v>
      </c>
      <c r="D27" s="4" t="s">
        <v>344</v>
      </c>
      <c r="E27" s="18" t="s">
        <v>945</v>
      </c>
    </row>
  </sheetData>
  <sheetProtection/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52">
      <selection activeCell="A1" sqref="A1:U2"/>
    </sheetView>
  </sheetViews>
  <sheetFormatPr defaultColWidth="9.00390625" defaultRowHeight="12.75"/>
  <cols>
    <col min="1" max="1" width="30.00390625" style="4" customWidth="1"/>
    <col min="2" max="2" width="28.625" style="4" bestFit="1" customWidth="1"/>
    <col min="3" max="3" width="16.00390625" style="4" customWidth="1"/>
    <col min="4" max="4" width="9.25390625" style="4" bestFit="1" customWidth="1"/>
    <col min="5" max="5" width="22.75390625" style="4" bestFit="1" customWidth="1"/>
    <col min="6" max="6" width="33.25390625" style="4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5.75390625" style="4" bestFit="1" customWidth="1"/>
    <col min="14" max="16384" width="9.125" style="3" customWidth="1"/>
  </cols>
  <sheetData>
    <row r="1" spans="1:13" s="2" customFormat="1" ht="28.5" customHeight="1">
      <c r="A1" s="53" t="s">
        <v>857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10</v>
      </c>
      <c r="C3" s="48" t="s">
        <v>11</v>
      </c>
      <c r="D3" s="50" t="s">
        <v>21</v>
      </c>
      <c r="E3" s="50" t="s">
        <v>7</v>
      </c>
      <c r="F3" s="50" t="s">
        <v>12</v>
      </c>
      <c r="G3" s="50" t="s">
        <v>249</v>
      </c>
      <c r="H3" s="50"/>
      <c r="I3" s="50"/>
      <c r="J3" s="50"/>
      <c r="K3" s="50" t="s">
        <v>19</v>
      </c>
      <c r="L3" s="50" t="s">
        <v>6</v>
      </c>
      <c r="M3" s="38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8</v>
      </c>
      <c r="K4" s="49"/>
      <c r="L4" s="49"/>
      <c r="M4" s="39"/>
    </row>
    <row r="5" spans="1:12" ht="15">
      <c r="A5" s="51" t="s">
        <v>405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3" ht="12.75">
      <c r="A6" s="19" t="s">
        <v>859</v>
      </c>
      <c r="B6" s="19" t="s">
        <v>860</v>
      </c>
      <c r="C6" s="19" t="s">
        <v>861</v>
      </c>
      <c r="D6" s="19" t="str">
        <f>"0,9990"</f>
        <v>0,9990</v>
      </c>
      <c r="E6" s="19" t="s">
        <v>28</v>
      </c>
      <c r="F6" s="19" t="s">
        <v>697</v>
      </c>
      <c r="G6" s="21" t="s">
        <v>179</v>
      </c>
      <c r="H6" s="21" t="s">
        <v>117</v>
      </c>
      <c r="I6" s="21" t="s">
        <v>61</v>
      </c>
      <c r="J6" s="20"/>
      <c r="K6" s="19" t="str">
        <f>"45,0"</f>
        <v>45,0</v>
      </c>
      <c r="L6" s="21" t="str">
        <f>"55,2947"</f>
        <v>55,2947</v>
      </c>
      <c r="M6" s="19" t="s">
        <v>862</v>
      </c>
    </row>
    <row r="7" spans="1:13" ht="12.75">
      <c r="A7" s="22" t="s">
        <v>864</v>
      </c>
      <c r="B7" s="22" t="s">
        <v>865</v>
      </c>
      <c r="C7" s="22" t="s">
        <v>866</v>
      </c>
      <c r="D7" s="22" t="str">
        <f>"1,3133"</f>
        <v>1,3133</v>
      </c>
      <c r="E7" s="22" t="s">
        <v>410</v>
      </c>
      <c r="F7" s="22" t="s">
        <v>431</v>
      </c>
      <c r="G7" s="24" t="s">
        <v>646</v>
      </c>
      <c r="H7" s="24" t="s">
        <v>647</v>
      </c>
      <c r="I7" s="24" t="s">
        <v>51</v>
      </c>
      <c r="J7" s="23"/>
      <c r="K7" s="22" t="str">
        <f>"25,0"</f>
        <v>25,0</v>
      </c>
      <c r="L7" s="24" t="str">
        <f>"40,3840"</f>
        <v>40,3840</v>
      </c>
      <c r="M7" s="22" t="s">
        <v>483</v>
      </c>
    </row>
    <row r="8" spans="1:13" ht="12.75">
      <c r="A8" s="22" t="s">
        <v>868</v>
      </c>
      <c r="B8" s="22" t="s">
        <v>869</v>
      </c>
      <c r="C8" s="22" t="s">
        <v>870</v>
      </c>
      <c r="D8" s="22" t="str">
        <f>"1,3133"</f>
        <v>1,3133</v>
      </c>
      <c r="E8" s="22" t="s">
        <v>178</v>
      </c>
      <c r="F8" s="22" t="s">
        <v>29</v>
      </c>
      <c r="G8" s="24" t="s">
        <v>646</v>
      </c>
      <c r="H8" s="23" t="s">
        <v>647</v>
      </c>
      <c r="I8" s="23" t="s">
        <v>647</v>
      </c>
      <c r="J8" s="23"/>
      <c r="K8" s="22" t="str">
        <f>"20,0"</f>
        <v>20,0</v>
      </c>
      <c r="L8" s="24" t="str">
        <f>"32,3072"</f>
        <v>32,3072</v>
      </c>
      <c r="M8" s="22" t="s">
        <v>871</v>
      </c>
    </row>
    <row r="9" spans="1:13" ht="12.75">
      <c r="A9" s="25" t="s">
        <v>873</v>
      </c>
      <c r="B9" s="25" t="s">
        <v>874</v>
      </c>
      <c r="C9" s="25" t="s">
        <v>875</v>
      </c>
      <c r="D9" s="25" t="str">
        <f>"0,9515"</f>
        <v>0,9515</v>
      </c>
      <c r="E9" s="25" t="s">
        <v>178</v>
      </c>
      <c r="F9" s="25" t="s">
        <v>29</v>
      </c>
      <c r="G9" s="27" t="s">
        <v>111</v>
      </c>
      <c r="H9" s="26" t="s">
        <v>61</v>
      </c>
      <c r="I9" s="27" t="s">
        <v>61</v>
      </c>
      <c r="J9" s="26"/>
      <c r="K9" s="25" t="str">
        <f>"45,0"</f>
        <v>45,0</v>
      </c>
      <c r="L9" s="27" t="str">
        <f>"50,5246"</f>
        <v>50,5246</v>
      </c>
      <c r="M9" s="25" t="s">
        <v>312</v>
      </c>
    </row>
    <row r="11" spans="1:12" ht="15">
      <c r="A11" s="54" t="s">
        <v>55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3" ht="12.75">
      <c r="A12" s="10" t="s">
        <v>877</v>
      </c>
      <c r="B12" s="10" t="s">
        <v>878</v>
      </c>
      <c r="C12" s="10" t="s">
        <v>879</v>
      </c>
      <c r="D12" s="10" t="str">
        <f>"0,7347"</f>
        <v>0,7347</v>
      </c>
      <c r="E12" s="10" t="s">
        <v>28</v>
      </c>
      <c r="F12" s="10" t="s">
        <v>697</v>
      </c>
      <c r="G12" s="12" t="s">
        <v>101</v>
      </c>
      <c r="H12" s="12" t="s">
        <v>201</v>
      </c>
      <c r="I12" s="11" t="s">
        <v>227</v>
      </c>
      <c r="J12" s="11"/>
      <c r="K12" s="10" t="str">
        <f>"75,0"</f>
        <v>75,0</v>
      </c>
      <c r="L12" s="12" t="str">
        <f>"67,7761"</f>
        <v>67,7761</v>
      </c>
      <c r="M12" s="10" t="s">
        <v>33</v>
      </c>
    </row>
    <row r="14" spans="1:12" ht="15">
      <c r="A14" s="54" t="s">
        <v>23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3" ht="12.75">
      <c r="A15" s="10" t="s">
        <v>25</v>
      </c>
      <c r="B15" s="10" t="s">
        <v>26</v>
      </c>
      <c r="C15" s="10" t="s">
        <v>27</v>
      </c>
      <c r="D15" s="10" t="str">
        <f>"0,6716"</f>
        <v>0,6716</v>
      </c>
      <c r="E15" s="10" t="s">
        <v>28</v>
      </c>
      <c r="F15" s="10" t="s">
        <v>29</v>
      </c>
      <c r="G15" s="12" t="s">
        <v>256</v>
      </c>
      <c r="H15" s="12" t="s">
        <v>269</v>
      </c>
      <c r="I15" s="12" t="s">
        <v>443</v>
      </c>
      <c r="J15" s="11"/>
      <c r="K15" s="10" t="str">
        <f>"157,5"</f>
        <v>157,5</v>
      </c>
      <c r="L15" s="12" t="str">
        <f>"105,7770"</f>
        <v>105,7770</v>
      </c>
      <c r="M15" s="10" t="s">
        <v>33</v>
      </c>
    </row>
    <row r="17" spans="1:12" ht="15">
      <c r="A17" s="54" t="s">
        <v>88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3" ht="12.75">
      <c r="A18" s="10" t="s">
        <v>881</v>
      </c>
      <c r="B18" s="10" t="s">
        <v>882</v>
      </c>
      <c r="C18" s="10" t="s">
        <v>883</v>
      </c>
      <c r="D18" s="10" t="str">
        <f>"0,6290"</f>
        <v>0,6290</v>
      </c>
      <c r="E18" s="10" t="s">
        <v>28</v>
      </c>
      <c r="F18" s="10" t="s">
        <v>265</v>
      </c>
      <c r="G18" s="12" t="s">
        <v>245</v>
      </c>
      <c r="H18" s="12" t="s">
        <v>329</v>
      </c>
      <c r="I18" s="11" t="s">
        <v>330</v>
      </c>
      <c r="J18" s="11"/>
      <c r="K18" s="10" t="str">
        <f>"180,0"</f>
        <v>180,0</v>
      </c>
      <c r="L18" s="12" t="str">
        <f>"113,2200"</f>
        <v>113,2200</v>
      </c>
      <c r="M18" s="10" t="s">
        <v>33</v>
      </c>
    </row>
    <row r="20" spans="1:12" ht="15">
      <c r="A20" s="54" t="s">
        <v>219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</row>
    <row r="21" spans="1:13" ht="12.75">
      <c r="A21" s="19" t="s">
        <v>885</v>
      </c>
      <c r="B21" s="19" t="s">
        <v>886</v>
      </c>
      <c r="C21" s="19" t="s">
        <v>638</v>
      </c>
      <c r="D21" s="19" t="str">
        <f>"0,5853"</f>
        <v>0,5853</v>
      </c>
      <c r="E21" s="19" t="s">
        <v>178</v>
      </c>
      <c r="F21" s="19" t="s">
        <v>29</v>
      </c>
      <c r="G21" s="21" t="s">
        <v>329</v>
      </c>
      <c r="H21" s="21" t="s">
        <v>330</v>
      </c>
      <c r="I21" s="20" t="s">
        <v>343</v>
      </c>
      <c r="J21" s="20"/>
      <c r="K21" s="19" t="str">
        <f>"190,0"</f>
        <v>190,0</v>
      </c>
      <c r="L21" s="21" t="str">
        <f>"111,2070"</f>
        <v>111,2070</v>
      </c>
      <c r="M21" s="19" t="s">
        <v>33</v>
      </c>
    </row>
    <row r="22" spans="1:13" ht="12.75">
      <c r="A22" s="22" t="s">
        <v>888</v>
      </c>
      <c r="B22" s="22" t="s">
        <v>889</v>
      </c>
      <c r="C22" s="22" t="s">
        <v>435</v>
      </c>
      <c r="D22" s="22" t="str">
        <f>"0,5935"</f>
        <v>0,5935</v>
      </c>
      <c r="E22" s="22" t="s">
        <v>28</v>
      </c>
      <c r="F22" s="22" t="s">
        <v>87</v>
      </c>
      <c r="G22" s="24" t="s">
        <v>269</v>
      </c>
      <c r="H22" s="24" t="s">
        <v>270</v>
      </c>
      <c r="I22" s="23" t="s">
        <v>245</v>
      </c>
      <c r="J22" s="23"/>
      <c r="K22" s="22" t="str">
        <f>"160,0"</f>
        <v>160,0</v>
      </c>
      <c r="L22" s="24" t="str">
        <f>"94,9600"</f>
        <v>94,9600</v>
      </c>
      <c r="M22" s="22" t="s">
        <v>33</v>
      </c>
    </row>
    <row r="23" spans="1:13" ht="12.75">
      <c r="A23" s="25" t="s">
        <v>574</v>
      </c>
      <c r="B23" s="25" t="s">
        <v>575</v>
      </c>
      <c r="C23" s="25" t="s">
        <v>576</v>
      </c>
      <c r="D23" s="25" t="str">
        <f>"0,6059"</f>
        <v>0,6059</v>
      </c>
      <c r="E23" s="25" t="s">
        <v>28</v>
      </c>
      <c r="F23" s="25" t="s">
        <v>99</v>
      </c>
      <c r="G23" s="27" t="s">
        <v>208</v>
      </c>
      <c r="H23" s="27" t="s">
        <v>311</v>
      </c>
      <c r="I23" s="26"/>
      <c r="J23" s="26"/>
      <c r="K23" s="25" t="str">
        <f>"155,0"</f>
        <v>155,0</v>
      </c>
      <c r="L23" s="27" t="str">
        <f>"94,1962"</f>
        <v>94,1962</v>
      </c>
      <c r="M23" s="25" t="s">
        <v>33</v>
      </c>
    </row>
    <row r="25" spans="1:12" ht="15">
      <c r="A25" s="54" t="s">
        <v>118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pans="1:13" ht="12.75">
      <c r="A26" s="19" t="s">
        <v>891</v>
      </c>
      <c r="B26" s="19" t="s">
        <v>892</v>
      </c>
      <c r="C26" s="19" t="s">
        <v>753</v>
      </c>
      <c r="D26" s="19" t="str">
        <f>"0,5540"</f>
        <v>0,5540</v>
      </c>
      <c r="E26" s="19" t="s">
        <v>28</v>
      </c>
      <c r="F26" s="19" t="s">
        <v>50</v>
      </c>
      <c r="G26" s="21" t="s">
        <v>329</v>
      </c>
      <c r="H26" s="21" t="s">
        <v>266</v>
      </c>
      <c r="I26" s="21" t="s">
        <v>583</v>
      </c>
      <c r="J26" s="20"/>
      <c r="K26" s="19" t="str">
        <f>"207,5"</f>
        <v>207,5</v>
      </c>
      <c r="L26" s="21" t="str">
        <f>"114,9550"</f>
        <v>114,9550</v>
      </c>
      <c r="M26" s="19" t="s">
        <v>33</v>
      </c>
    </row>
    <row r="27" spans="1:13" ht="12.75">
      <c r="A27" s="22" t="s">
        <v>894</v>
      </c>
      <c r="B27" s="22" t="s">
        <v>895</v>
      </c>
      <c r="C27" s="22" t="s">
        <v>753</v>
      </c>
      <c r="D27" s="22" t="str">
        <f>"0,5540"</f>
        <v>0,5540</v>
      </c>
      <c r="E27" s="22" t="s">
        <v>28</v>
      </c>
      <c r="F27" s="22" t="s">
        <v>87</v>
      </c>
      <c r="G27" s="24" t="s">
        <v>270</v>
      </c>
      <c r="H27" s="23" t="s">
        <v>245</v>
      </c>
      <c r="I27" s="23"/>
      <c r="J27" s="23"/>
      <c r="K27" s="22" t="str">
        <f>"160,0"</f>
        <v>160,0</v>
      </c>
      <c r="L27" s="24" t="str">
        <f>"88,6400"</f>
        <v>88,6400</v>
      </c>
      <c r="M27" s="22" t="s">
        <v>33</v>
      </c>
    </row>
    <row r="28" spans="1:13" ht="12.75">
      <c r="A28" s="22" t="s">
        <v>897</v>
      </c>
      <c r="B28" s="22" t="s">
        <v>898</v>
      </c>
      <c r="C28" s="22" t="s">
        <v>899</v>
      </c>
      <c r="D28" s="22" t="str">
        <f>"0,5804"</f>
        <v>0,5804</v>
      </c>
      <c r="E28" s="22" t="s">
        <v>28</v>
      </c>
      <c r="F28" s="22" t="s">
        <v>265</v>
      </c>
      <c r="G28" s="24" t="s">
        <v>304</v>
      </c>
      <c r="H28" s="24" t="s">
        <v>269</v>
      </c>
      <c r="I28" s="24" t="s">
        <v>270</v>
      </c>
      <c r="J28" s="23"/>
      <c r="K28" s="22" t="str">
        <f>"160,0"</f>
        <v>160,0</v>
      </c>
      <c r="L28" s="24" t="str">
        <f>"94,5356"</f>
        <v>94,5356</v>
      </c>
      <c r="M28" s="22" t="s">
        <v>33</v>
      </c>
    </row>
    <row r="29" spans="1:13" ht="12.75">
      <c r="A29" s="25" t="s">
        <v>901</v>
      </c>
      <c r="B29" s="25" t="s">
        <v>902</v>
      </c>
      <c r="C29" s="25" t="s">
        <v>903</v>
      </c>
      <c r="D29" s="25" t="str">
        <f>"0,5583"</f>
        <v>0,5583</v>
      </c>
      <c r="E29" s="25" t="s">
        <v>28</v>
      </c>
      <c r="F29" s="25" t="s">
        <v>29</v>
      </c>
      <c r="G29" s="27" t="s">
        <v>715</v>
      </c>
      <c r="H29" s="27" t="s">
        <v>298</v>
      </c>
      <c r="I29" s="27" t="s">
        <v>255</v>
      </c>
      <c r="J29" s="26"/>
      <c r="K29" s="25" t="str">
        <f>"130,0"</f>
        <v>130,0</v>
      </c>
      <c r="L29" s="27" t="str">
        <f>"72,5790"</f>
        <v>72,5790</v>
      </c>
      <c r="M29" s="25" t="s">
        <v>33</v>
      </c>
    </row>
    <row r="31" spans="1:12" ht="15">
      <c r="A31" s="54" t="s">
        <v>123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1:13" ht="12.75">
      <c r="A32" s="19" t="s">
        <v>905</v>
      </c>
      <c r="B32" s="19" t="s">
        <v>906</v>
      </c>
      <c r="C32" s="19" t="s">
        <v>907</v>
      </c>
      <c r="D32" s="19" t="str">
        <f>"0,5506"</f>
        <v>0,5506</v>
      </c>
      <c r="E32" s="19" t="s">
        <v>178</v>
      </c>
      <c r="F32" s="19" t="s">
        <v>697</v>
      </c>
      <c r="G32" s="21" t="s">
        <v>266</v>
      </c>
      <c r="H32" s="21" t="s">
        <v>272</v>
      </c>
      <c r="I32" s="21" t="s">
        <v>444</v>
      </c>
      <c r="J32" s="20"/>
      <c r="K32" s="19" t="str">
        <f>"215,0"</f>
        <v>215,0</v>
      </c>
      <c r="L32" s="21" t="str">
        <f>"118,3790"</f>
        <v>118,3790</v>
      </c>
      <c r="M32" s="19" t="s">
        <v>33</v>
      </c>
    </row>
    <row r="33" spans="1:13" ht="12.75">
      <c r="A33" s="22" t="s">
        <v>909</v>
      </c>
      <c r="B33" s="22" t="s">
        <v>910</v>
      </c>
      <c r="C33" s="22" t="s">
        <v>911</v>
      </c>
      <c r="D33" s="22" t="str">
        <f>"0,5437"</f>
        <v>0,5437</v>
      </c>
      <c r="E33" s="22" t="s">
        <v>28</v>
      </c>
      <c r="F33" s="22" t="s">
        <v>403</v>
      </c>
      <c r="G33" s="24" t="s">
        <v>266</v>
      </c>
      <c r="H33" s="23" t="s">
        <v>583</v>
      </c>
      <c r="I33" s="23"/>
      <c r="J33" s="23"/>
      <c r="K33" s="22" t="str">
        <f>"200,0"</f>
        <v>200,0</v>
      </c>
      <c r="L33" s="24" t="str">
        <f>"108,7400"</f>
        <v>108,7400</v>
      </c>
      <c r="M33" s="22" t="s">
        <v>33</v>
      </c>
    </row>
    <row r="34" spans="1:13" ht="12.75">
      <c r="A34" s="25" t="s">
        <v>913</v>
      </c>
      <c r="B34" s="25" t="s">
        <v>914</v>
      </c>
      <c r="C34" s="25" t="s">
        <v>783</v>
      </c>
      <c r="D34" s="25" t="str">
        <f>"0,5392"</f>
        <v>0,5392</v>
      </c>
      <c r="E34" s="25" t="s">
        <v>410</v>
      </c>
      <c r="F34" s="25" t="s">
        <v>431</v>
      </c>
      <c r="G34" s="27" t="s">
        <v>304</v>
      </c>
      <c r="H34" s="26" t="s">
        <v>208</v>
      </c>
      <c r="I34" s="26" t="s">
        <v>269</v>
      </c>
      <c r="J34" s="26"/>
      <c r="K34" s="25" t="str">
        <f>"140,0"</f>
        <v>140,0</v>
      </c>
      <c r="L34" s="27" t="str">
        <f>"75,4880"</f>
        <v>75,4880</v>
      </c>
      <c r="M34" s="25" t="s">
        <v>483</v>
      </c>
    </row>
    <row r="36" ht="15">
      <c r="E36" s="8" t="s">
        <v>13</v>
      </c>
    </row>
    <row r="37" ht="15">
      <c r="E37" s="8" t="s">
        <v>14</v>
      </c>
    </row>
    <row r="38" ht="15">
      <c r="E38" s="8" t="s">
        <v>15</v>
      </c>
    </row>
    <row r="39" ht="15">
      <c r="E39" s="8" t="s">
        <v>16</v>
      </c>
    </row>
    <row r="40" ht="15">
      <c r="E40" s="8" t="s">
        <v>16</v>
      </c>
    </row>
    <row r="41" ht="15">
      <c r="E41" s="8" t="s">
        <v>17</v>
      </c>
    </row>
    <row r="42" ht="15">
      <c r="E42" s="8"/>
    </row>
    <row r="44" spans="1:2" ht="18">
      <c r="A44" s="9" t="s">
        <v>18</v>
      </c>
      <c r="B44" s="9"/>
    </row>
    <row r="45" spans="1:2" ht="15">
      <c r="A45" s="13" t="s">
        <v>34</v>
      </c>
      <c r="B45" s="13"/>
    </row>
    <row r="46" spans="1:2" ht="14.25">
      <c r="A46" s="15"/>
      <c r="B46" s="16" t="s">
        <v>136</v>
      </c>
    </row>
    <row r="47" spans="1:5" ht="15">
      <c r="A47" s="17" t="s">
        <v>36</v>
      </c>
      <c r="B47" s="17" t="s">
        <v>37</v>
      </c>
      <c r="C47" s="17" t="s">
        <v>38</v>
      </c>
      <c r="D47" s="17" t="s">
        <v>39</v>
      </c>
      <c r="E47" s="17" t="s">
        <v>40</v>
      </c>
    </row>
    <row r="48" spans="1:5" ht="12.75">
      <c r="A48" s="14" t="s">
        <v>876</v>
      </c>
      <c r="B48" s="4" t="s">
        <v>363</v>
      </c>
      <c r="C48" s="4" t="s">
        <v>140</v>
      </c>
      <c r="D48" s="4" t="s">
        <v>201</v>
      </c>
      <c r="E48" s="18" t="s">
        <v>915</v>
      </c>
    </row>
    <row r="49" spans="1:5" ht="12.75">
      <c r="A49" s="14" t="s">
        <v>858</v>
      </c>
      <c r="B49" s="4" t="s">
        <v>498</v>
      </c>
      <c r="C49" s="4" t="s">
        <v>496</v>
      </c>
      <c r="D49" s="4" t="s">
        <v>61</v>
      </c>
      <c r="E49" s="18" t="s">
        <v>916</v>
      </c>
    </row>
    <row r="50" spans="1:5" ht="12.75">
      <c r="A50" s="14" t="s">
        <v>872</v>
      </c>
      <c r="B50" s="4" t="s">
        <v>363</v>
      </c>
      <c r="C50" s="4" t="s">
        <v>496</v>
      </c>
      <c r="D50" s="4" t="s">
        <v>61</v>
      </c>
      <c r="E50" s="18" t="s">
        <v>917</v>
      </c>
    </row>
    <row r="51" spans="1:5" ht="12.75">
      <c r="A51" s="14" t="s">
        <v>863</v>
      </c>
      <c r="B51" s="4" t="s">
        <v>498</v>
      </c>
      <c r="C51" s="4" t="s">
        <v>496</v>
      </c>
      <c r="D51" s="4" t="s">
        <v>51</v>
      </c>
      <c r="E51" s="18" t="s">
        <v>918</v>
      </c>
    </row>
    <row r="52" spans="1:5" ht="12.75">
      <c r="A52" s="14" t="s">
        <v>867</v>
      </c>
      <c r="B52" s="4" t="s">
        <v>498</v>
      </c>
      <c r="C52" s="4" t="s">
        <v>496</v>
      </c>
      <c r="D52" s="4" t="s">
        <v>646</v>
      </c>
      <c r="E52" s="18" t="s">
        <v>919</v>
      </c>
    </row>
    <row r="54" spans="1:2" ht="14.25">
      <c r="A54" s="15"/>
      <c r="B54" s="16" t="s">
        <v>35</v>
      </c>
    </row>
    <row r="55" spans="1:5" ht="15">
      <c r="A55" s="17" t="s">
        <v>36</v>
      </c>
      <c r="B55" s="17" t="s">
        <v>37</v>
      </c>
      <c r="C55" s="17" t="s">
        <v>38</v>
      </c>
      <c r="D55" s="17" t="s">
        <v>39</v>
      </c>
      <c r="E55" s="17" t="s">
        <v>40</v>
      </c>
    </row>
    <row r="56" spans="1:5" ht="12.75">
      <c r="A56" s="14" t="s">
        <v>904</v>
      </c>
      <c r="B56" s="4" t="s">
        <v>35</v>
      </c>
      <c r="C56" s="4" t="s">
        <v>148</v>
      </c>
      <c r="D56" s="4" t="s">
        <v>444</v>
      </c>
      <c r="E56" s="18" t="s">
        <v>920</v>
      </c>
    </row>
    <row r="57" spans="1:5" ht="12.75">
      <c r="A57" s="14" t="s">
        <v>890</v>
      </c>
      <c r="B57" s="4" t="s">
        <v>35</v>
      </c>
      <c r="C57" s="4" t="s">
        <v>156</v>
      </c>
      <c r="D57" s="4" t="s">
        <v>583</v>
      </c>
      <c r="E57" s="18" t="s">
        <v>921</v>
      </c>
    </row>
    <row r="58" spans="1:5" ht="12.75">
      <c r="A58" s="14" t="s">
        <v>880</v>
      </c>
      <c r="B58" s="4" t="s">
        <v>35</v>
      </c>
      <c r="C58" s="4" t="s">
        <v>138</v>
      </c>
      <c r="D58" s="4" t="s">
        <v>329</v>
      </c>
      <c r="E58" s="18" t="s">
        <v>922</v>
      </c>
    </row>
    <row r="59" spans="1:5" ht="12.75">
      <c r="A59" s="14" t="s">
        <v>884</v>
      </c>
      <c r="B59" s="4" t="s">
        <v>35</v>
      </c>
      <c r="C59" s="4" t="s">
        <v>239</v>
      </c>
      <c r="D59" s="4" t="s">
        <v>330</v>
      </c>
      <c r="E59" s="18" t="s">
        <v>815</v>
      </c>
    </row>
    <row r="60" spans="1:5" ht="12.75">
      <c r="A60" s="14" t="s">
        <v>908</v>
      </c>
      <c r="B60" s="4" t="s">
        <v>35</v>
      </c>
      <c r="C60" s="4" t="s">
        <v>148</v>
      </c>
      <c r="D60" s="4" t="s">
        <v>266</v>
      </c>
      <c r="E60" s="18" t="s">
        <v>923</v>
      </c>
    </row>
    <row r="61" spans="1:5" ht="12.75">
      <c r="A61" s="14" t="s">
        <v>24</v>
      </c>
      <c r="B61" s="4" t="s">
        <v>35</v>
      </c>
      <c r="C61" s="4" t="s">
        <v>41</v>
      </c>
      <c r="D61" s="4" t="s">
        <v>443</v>
      </c>
      <c r="E61" s="18" t="s">
        <v>924</v>
      </c>
    </row>
    <row r="62" spans="1:5" ht="12.75">
      <c r="A62" s="14" t="s">
        <v>887</v>
      </c>
      <c r="B62" s="4" t="s">
        <v>35</v>
      </c>
      <c r="C62" s="4" t="s">
        <v>239</v>
      </c>
      <c r="D62" s="4" t="s">
        <v>270</v>
      </c>
      <c r="E62" s="18" t="s">
        <v>925</v>
      </c>
    </row>
    <row r="63" spans="1:5" ht="12.75">
      <c r="A63" s="14" t="s">
        <v>893</v>
      </c>
      <c r="B63" s="4" t="s">
        <v>35</v>
      </c>
      <c r="C63" s="4" t="s">
        <v>156</v>
      </c>
      <c r="D63" s="4" t="s">
        <v>270</v>
      </c>
      <c r="E63" s="18" t="s">
        <v>926</v>
      </c>
    </row>
    <row r="64" spans="1:5" ht="12.75">
      <c r="A64" s="14" t="s">
        <v>912</v>
      </c>
      <c r="B64" s="4" t="s">
        <v>35</v>
      </c>
      <c r="C64" s="4" t="s">
        <v>148</v>
      </c>
      <c r="D64" s="4" t="s">
        <v>304</v>
      </c>
      <c r="E64" s="18" t="s">
        <v>927</v>
      </c>
    </row>
    <row r="66" spans="1:2" ht="14.25">
      <c r="A66" s="15"/>
      <c r="B66" s="16" t="s">
        <v>152</v>
      </c>
    </row>
    <row r="67" spans="1:5" ht="15">
      <c r="A67" s="17" t="s">
        <v>36</v>
      </c>
      <c r="B67" s="17" t="s">
        <v>37</v>
      </c>
      <c r="C67" s="17" t="s">
        <v>38</v>
      </c>
      <c r="D67" s="17" t="s">
        <v>39</v>
      </c>
      <c r="E67" s="17" t="s">
        <v>40</v>
      </c>
    </row>
    <row r="68" spans="1:5" ht="12.75">
      <c r="A68" s="14" t="s">
        <v>896</v>
      </c>
      <c r="B68" s="4" t="s">
        <v>155</v>
      </c>
      <c r="C68" s="4" t="s">
        <v>156</v>
      </c>
      <c r="D68" s="4" t="s">
        <v>270</v>
      </c>
      <c r="E68" s="18" t="s">
        <v>928</v>
      </c>
    </row>
    <row r="69" spans="1:5" ht="12.75">
      <c r="A69" s="14" t="s">
        <v>573</v>
      </c>
      <c r="B69" s="4" t="s">
        <v>155</v>
      </c>
      <c r="C69" s="4" t="s">
        <v>239</v>
      </c>
      <c r="D69" s="4" t="s">
        <v>311</v>
      </c>
      <c r="E69" s="18" t="s">
        <v>929</v>
      </c>
    </row>
    <row r="70" spans="1:5" ht="12.75">
      <c r="A70" s="14" t="s">
        <v>900</v>
      </c>
      <c r="B70" s="4" t="s">
        <v>155</v>
      </c>
      <c r="C70" s="4" t="s">
        <v>156</v>
      </c>
      <c r="D70" s="4" t="s">
        <v>255</v>
      </c>
      <c r="E70" s="18" t="s">
        <v>930</v>
      </c>
    </row>
    <row r="75" spans="1:2" ht="18">
      <c r="A75" s="9" t="s">
        <v>159</v>
      </c>
      <c r="B75" s="9"/>
    </row>
    <row r="76" spans="1:3" ht="15">
      <c r="A76" s="17" t="s">
        <v>160</v>
      </c>
      <c r="B76" s="17" t="s">
        <v>161</v>
      </c>
      <c r="C76" s="17" t="s">
        <v>162</v>
      </c>
    </row>
    <row r="77" spans="1:3" ht="12.75">
      <c r="A77" s="4" t="s">
        <v>178</v>
      </c>
      <c r="B77" s="4" t="s">
        <v>931</v>
      </c>
      <c r="C77" s="4" t="s">
        <v>932</v>
      </c>
    </row>
    <row r="78" spans="1:3" ht="12.75">
      <c r="A78" s="4" t="s">
        <v>410</v>
      </c>
      <c r="B78" s="4" t="s">
        <v>933</v>
      </c>
      <c r="C78" s="4" t="s">
        <v>934</v>
      </c>
    </row>
  </sheetData>
  <sheetProtection/>
  <mergeCells count="18">
    <mergeCell ref="M3:M4"/>
    <mergeCell ref="A5:L5"/>
    <mergeCell ref="A11:L11"/>
    <mergeCell ref="A14:L14"/>
    <mergeCell ref="A1:M2"/>
    <mergeCell ref="A3:A4"/>
    <mergeCell ref="B3:B4"/>
    <mergeCell ref="C3:C4"/>
    <mergeCell ref="D3:D4"/>
    <mergeCell ref="E3:E4"/>
    <mergeCell ref="F3:F4"/>
    <mergeCell ref="G3:J3"/>
    <mergeCell ref="A17:L17"/>
    <mergeCell ref="A20:L20"/>
    <mergeCell ref="A25:L25"/>
    <mergeCell ref="A31:L31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96"/>
  <sheetViews>
    <sheetView tabSelected="1" zoomScalePageLayoutView="0" workbookViewId="0" topLeftCell="A1">
      <selection activeCell="B162" sqref="B162"/>
    </sheetView>
  </sheetViews>
  <sheetFormatPr defaultColWidth="9.00390625" defaultRowHeight="12.75"/>
  <cols>
    <col min="1" max="1" width="26.25390625" style="4" customWidth="1"/>
    <col min="2" max="2" width="29.00390625" style="4" bestFit="1" customWidth="1"/>
    <col min="3" max="3" width="18.375" style="4" customWidth="1"/>
    <col min="4" max="4" width="9.25390625" style="4" bestFit="1" customWidth="1"/>
    <col min="5" max="5" width="22.75390625" style="4" bestFit="1" customWidth="1"/>
    <col min="6" max="6" width="27.125" style="4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5.75390625" style="4" bestFit="1" customWidth="1"/>
    <col min="14" max="16384" width="9.125" style="3" customWidth="1"/>
  </cols>
  <sheetData>
    <row r="1" spans="1:13" s="2" customFormat="1" ht="28.5" customHeight="1">
      <c r="A1" s="53" t="s">
        <v>596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10</v>
      </c>
      <c r="C3" s="48" t="s">
        <v>11</v>
      </c>
      <c r="D3" s="50" t="s">
        <v>21</v>
      </c>
      <c r="E3" s="50" t="s">
        <v>7</v>
      </c>
      <c r="F3" s="50" t="s">
        <v>12</v>
      </c>
      <c r="G3" s="50" t="s">
        <v>249</v>
      </c>
      <c r="H3" s="50"/>
      <c r="I3" s="50"/>
      <c r="J3" s="50"/>
      <c r="K3" s="50" t="s">
        <v>19</v>
      </c>
      <c r="L3" s="50" t="s">
        <v>6</v>
      </c>
      <c r="M3" s="38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8</v>
      </c>
      <c r="K4" s="49"/>
      <c r="L4" s="49"/>
      <c r="M4" s="39"/>
    </row>
    <row r="5" spans="1:12" ht="15">
      <c r="A5" s="51" t="s">
        <v>597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3" ht="12.75">
      <c r="A6" s="10" t="s">
        <v>599</v>
      </c>
      <c r="B6" s="10" t="s">
        <v>600</v>
      </c>
      <c r="C6" s="10" t="s">
        <v>601</v>
      </c>
      <c r="D6" s="10" t="str">
        <f>"1,0345"</f>
        <v>1,0345</v>
      </c>
      <c r="E6" s="10" t="s">
        <v>178</v>
      </c>
      <c r="F6" s="10" t="s">
        <v>29</v>
      </c>
      <c r="G6" s="12" t="s">
        <v>111</v>
      </c>
      <c r="H6" s="12" t="s">
        <v>62</v>
      </c>
      <c r="I6" s="11" t="s">
        <v>70</v>
      </c>
      <c r="J6" s="11"/>
      <c r="K6" s="10" t="str">
        <f>"47,5"</f>
        <v>47,5</v>
      </c>
      <c r="L6" s="12" t="str">
        <f>"49,1364"</f>
        <v>49,1364</v>
      </c>
      <c r="M6" s="10" t="s">
        <v>312</v>
      </c>
    </row>
    <row r="8" spans="1:12" ht="15">
      <c r="A8" s="54" t="s">
        <v>313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3" ht="12.75">
      <c r="A9" s="10" t="s">
        <v>47</v>
      </c>
      <c r="B9" s="10" t="s">
        <v>48</v>
      </c>
      <c r="C9" s="10" t="s">
        <v>49</v>
      </c>
      <c r="D9" s="10" t="str">
        <f>"0,9256"</f>
        <v>0,9256</v>
      </c>
      <c r="E9" s="10" t="s">
        <v>28</v>
      </c>
      <c r="F9" s="10" t="s">
        <v>50</v>
      </c>
      <c r="G9" s="12" t="s">
        <v>61</v>
      </c>
      <c r="H9" s="12" t="s">
        <v>70</v>
      </c>
      <c r="I9" s="11" t="s">
        <v>71</v>
      </c>
      <c r="J9" s="11"/>
      <c r="K9" s="10" t="str">
        <f>"50,0"</f>
        <v>50,0</v>
      </c>
      <c r="L9" s="12" t="str">
        <f>"46,2800"</f>
        <v>46,2800</v>
      </c>
      <c r="M9" s="10" t="s">
        <v>54</v>
      </c>
    </row>
    <row r="11" spans="1:12" ht="15">
      <c r="A11" s="54" t="s">
        <v>45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3" ht="12.75">
      <c r="A12" s="19" t="s">
        <v>603</v>
      </c>
      <c r="B12" s="19" t="s">
        <v>604</v>
      </c>
      <c r="C12" s="19" t="s">
        <v>605</v>
      </c>
      <c r="D12" s="19" t="str">
        <f>"0,8769"</f>
        <v>0,8769</v>
      </c>
      <c r="E12" s="19" t="s">
        <v>28</v>
      </c>
      <c r="F12" s="19" t="s">
        <v>29</v>
      </c>
      <c r="G12" s="21" t="s">
        <v>81</v>
      </c>
      <c r="H12" s="21" t="s">
        <v>101</v>
      </c>
      <c r="I12" s="20" t="s">
        <v>202</v>
      </c>
      <c r="J12" s="20"/>
      <c r="K12" s="19" t="str">
        <f>"70,0"</f>
        <v>70,0</v>
      </c>
      <c r="L12" s="21" t="str">
        <f>"61,3830"</f>
        <v>61,3830</v>
      </c>
      <c r="M12" s="19" t="s">
        <v>33</v>
      </c>
    </row>
    <row r="13" spans="1:13" ht="12.75">
      <c r="A13" s="22" t="s">
        <v>607</v>
      </c>
      <c r="B13" s="22" t="s">
        <v>608</v>
      </c>
      <c r="C13" s="22" t="s">
        <v>605</v>
      </c>
      <c r="D13" s="22" t="str">
        <f>"0,8769"</f>
        <v>0,8769</v>
      </c>
      <c r="E13" s="22" t="s">
        <v>28</v>
      </c>
      <c r="F13" s="22" t="s">
        <v>50</v>
      </c>
      <c r="G13" s="24" t="s">
        <v>93</v>
      </c>
      <c r="H13" s="23" t="s">
        <v>94</v>
      </c>
      <c r="I13" s="23" t="s">
        <v>94</v>
      </c>
      <c r="J13" s="23"/>
      <c r="K13" s="22" t="str">
        <f>"55,0"</f>
        <v>55,0</v>
      </c>
      <c r="L13" s="24" t="str">
        <f>"48,2295"</f>
        <v>48,2295</v>
      </c>
      <c r="M13" s="22" t="s">
        <v>33</v>
      </c>
    </row>
    <row r="14" spans="1:13" ht="12.75">
      <c r="A14" s="22" t="s">
        <v>610</v>
      </c>
      <c r="B14" s="22" t="s">
        <v>611</v>
      </c>
      <c r="C14" s="22" t="s">
        <v>177</v>
      </c>
      <c r="D14" s="22" t="str">
        <f>"0,8744"</f>
        <v>0,8744</v>
      </c>
      <c r="E14" s="22" t="s">
        <v>28</v>
      </c>
      <c r="F14" s="22" t="s">
        <v>29</v>
      </c>
      <c r="G14" s="24" t="s">
        <v>61</v>
      </c>
      <c r="H14" s="23" t="s">
        <v>70</v>
      </c>
      <c r="I14" s="23" t="s">
        <v>70</v>
      </c>
      <c r="J14" s="23"/>
      <c r="K14" s="22" t="str">
        <f>"45,0"</f>
        <v>45,0</v>
      </c>
      <c r="L14" s="24" t="str">
        <f>"39,3480"</f>
        <v>39,3480</v>
      </c>
      <c r="M14" s="22" t="s">
        <v>612</v>
      </c>
    </row>
    <row r="15" spans="1:13" ht="12.75">
      <c r="A15" s="25" t="s">
        <v>614</v>
      </c>
      <c r="B15" s="25" t="s">
        <v>615</v>
      </c>
      <c r="C15" s="25" t="s">
        <v>288</v>
      </c>
      <c r="D15" s="25" t="str">
        <f>"0,8609"</f>
        <v>0,8609</v>
      </c>
      <c r="E15" s="25" t="s">
        <v>28</v>
      </c>
      <c r="F15" s="25" t="s">
        <v>29</v>
      </c>
      <c r="G15" s="27" t="s">
        <v>111</v>
      </c>
      <c r="H15" s="27" t="s">
        <v>61</v>
      </c>
      <c r="I15" s="26" t="s">
        <v>62</v>
      </c>
      <c r="J15" s="26"/>
      <c r="K15" s="25" t="str">
        <f>"45,0"</f>
        <v>45,0</v>
      </c>
      <c r="L15" s="27" t="str">
        <f>"38,7405"</f>
        <v>38,7405</v>
      </c>
      <c r="M15" s="25" t="s">
        <v>33</v>
      </c>
    </row>
    <row r="17" spans="1:12" ht="15">
      <c r="A17" s="54" t="s">
        <v>55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3" ht="12.75">
      <c r="A18" s="19" t="s">
        <v>617</v>
      </c>
      <c r="B18" s="19" t="s">
        <v>618</v>
      </c>
      <c r="C18" s="19" t="s">
        <v>619</v>
      </c>
      <c r="D18" s="19" t="str">
        <f>"0,8153"</f>
        <v>0,8153</v>
      </c>
      <c r="E18" s="19" t="s">
        <v>556</v>
      </c>
      <c r="F18" s="19" t="s">
        <v>29</v>
      </c>
      <c r="G18" s="21" t="s">
        <v>81</v>
      </c>
      <c r="H18" s="21" t="s">
        <v>100</v>
      </c>
      <c r="I18" s="20" t="s">
        <v>132</v>
      </c>
      <c r="J18" s="20"/>
      <c r="K18" s="19" t="str">
        <f>"67,5"</f>
        <v>67,5</v>
      </c>
      <c r="L18" s="21" t="str">
        <f>"59,4390"</f>
        <v>59,4390</v>
      </c>
      <c r="M18" s="19" t="s">
        <v>33</v>
      </c>
    </row>
    <row r="19" spans="1:13" ht="12.75">
      <c r="A19" s="22" t="s">
        <v>621</v>
      </c>
      <c r="B19" s="22" t="s">
        <v>622</v>
      </c>
      <c r="C19" s="22" t="s">
        <v>623</v>
      </c>
      <c r="D19" s="22" t="str">
        <f>"0,7995"</f>
        <v>0,7995</v>
      </c>
      <c r="E19" s="22" t="s">
        <v>86</v>
      </c>
      <c r="F19" s="22" t="s">
        <v>87</v>
      </c>
      <c r="G19" s="24" t="s">
        <v>81</v>
      </c>
      <c r="H19" s="24" t="s">
        <v>101</v>
      </c>
      <c r="I19" s="23" t="s">
        <v>132</v>
      </c>
      <c r="J19" s="23"/>
      <c r="K19" s="22" t="str">
        <f>"70,0"</f>
        <v>70,0</v>
      </c>
      <c r="L19" s="24" t="str">
        <f>"57,6439"</f>
        <v>57,6439</v>
      </c>
      <c r="M19" s="22" t="s">
        <v>33</v>
      </c>
    </row>
    <row r="20" spans="1:13" ht="12.75">
      <c r="A20" s="25" t="s">
        <v>625</v>
      </c>
      <c r="B20" s="25" t="s">
        <v>626</v>
      </c>
      <c r="C20" s="25" t="s">
        <v>420</v>
      </c>
      <c r="D20" s="25" t="str">
        <f>"0,7913"</f>
        <v>0,7913</v>
      </c>
      <c r="E20" s="25" t="s">
        <v>116</v>
      </c>
      <c r="F20" s="25" t="s">
        <v>69</v>
      </c>
      <c r="G20" s="27" t="s">
        <v>93</v>
      </c>
      <c r="H20" s="27" t="s">
        <v>81</v>
      </c>
      <c r="I20" s="26" t="s">
        <v>101</v>
      </c>
      <c r="J20" s="26"/>
      <c r="K20" s="25" t="str">
        <f>"65,0"</f>
        <v>65,0</v>
      </c>
      <c r="L20" s="27" t="str">
        <f>"52,4632"</f>
        <v>52,4632</v>
      </c>
      <c r="M20" s="25" t="s">
        <v>627</v>
      </c>
    </row>
    <row r="22" spans="1:12" ht="15">
      <c r="A22" s="54" t="s">
        <v>23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3" spans="1:13" ht="12.75">
      <c r="A23" s="10" t="s">
        <v>629</v>
      </c>
      <c r="B23" s="10" t="s">
        <v>630</v>
      </c>
      <c r="C23" s="10" t="s">
        <v>631</v>
      </c>
      <c r="D23" s="10" t="str">
        <f>"0,7449"</f>
        <v>0,7449</v>
      </c>
      <c r="E23" s="10" t="s">
        <v>28</v>
      </c>
      <c r="F23" s="10" t="s">
        <v>29</v>
      </c>
      <c r="G23" s="12" t="s">
        <v>94</v>
      </c>
      <c r="H23" s="11" t="s">
        <v>101</v>
      </c>
      <c r="I23" s="11" t="s">
        <v>101</v>
      </c>
      <c r="J23" s="11"/>
      <c r="K23" s="10" t="str">
        <f>"60,0"</f>
        <v>60,0</v>
      </c>
      <c r="L23" s="12" t="str">
        <f>"46,4818"</f>
        <v>46,4818</v>
      </c>
      <c r="M23" s="10" t="s">
        <v>33</v>
      </c>
    </row>
    <row r="25" spans="1:12" ht="15">
      <c r="A25" s="54" t="s">
        <v>88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pans="1:13" ht="12.75">
      <c r="A26" s="10" t="s">
        <v>633</v>
      </c>
      <c r="B26" s="10" t="s">
        <v>634</v>
      </c>
      <c r="C26" s="10" t="s">
        <v>635</v>
      </c>
      <c r="D26" s="10" t="str">
        <f>"0,7138"</f>
        <v>0,7138</v>
      </c>
      <c r="E26" s="10" t="s">
        <v>28</v>
      </c>
      <c r="F26" s="10" t="s">
        <v>60</v>
      </c>
      <c r="G26" s="12" t="s">
        <v>93</v>
      </c>
      <c r="H26" s="12" t="s">
        <v>94</v>
      </c>
      <c r="I26" s="11" t="s">
        <v>81</v>
      </c>
      <c r="J26" s="11"/>
      <c r="K26" s="10" t="str">
        <f>"60,0"</f>
        <v>60,0</v>
      </c>
      <c r="L26" s="12" t="str">
        <f>"44,5380"</f>
        <v>44,5380</v>
      </c>
      <c r="M26" s="10" t="s">
        <v>63</v>
      </c>
    </row>
    <row r="28" spans="1:12" ht="15">
      <c r="A28" s="54" t="s">
        <v>219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</row>
    <row r="29" spans="1:13" ht="12.75">
      <c r="A29" s="10" t="s">
        <v>1343</v>
      </c>
      <c r="B29" s="10" t="s">
        <v>637</v>
      </c>
      <c r="C29" s="10" t="s">
        <v>638</v>
      </c>
      <c r="D29" s="10" t="str">
        <f>"0,6311"</f>
        <v>0,6311</v>
      </c>
      <c r="E29" s="10" t="s">
        <v>28</v>
      </c>
      <c r="F29" s="10" t="s">
        <v>60</v>
      </c>
      <c r="G29" s="12" t="s">
        <v>558</v>
      </c>
      <c r="H29" s="12" t="s">
        <v>32</v>
      </c>
      <c r="I29" s="11" t="s">
        <v>224</v>
      </c>
      <c r="J29" s="11"/>
      <c r="K29" s="10" t="str">
        <f>"102,5"</f>
        <v>102,5</v>
      </c>
      <c r="L29" s="12" t="str">
        <f>"64,6877"</f>
        <v>64,6877</v>
      </c>
      <c r="M29" s="10" t="s">
        <v>63</v>
      </c>
    </row>
    <row r="31" spans="1:12" ht="15">
      <c r="A31" s="54" t="s">
        <v>405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1:13" ht="12.75">
      <c r="A32" s="19" t="s">
        <v>640</v>
      </c>
      <c r="B32" s="19" t="s">
        <v>641</v>
      </c>
      <c r="C32" s="19" t="s">
        <v>642</v>
      </c>
      <c r="D32" s="19" t="str">
        <f>"1,3133"</f>
        <v>1,3133</v>
      </c>
      <c r="E32" s="19" t="s">
        <v>68</v>
      </c>
      <c r="F32" s="19" t="s">
        <v>69</v>
      </c>
      <c r="G32" s="21" t="s">
        <v>51</v>
      </c>
      <c r="H32" s="20" t="s">
        <v>52</v>
      </c>
      <c r="I32" s="21" t="s">
        <v>52</v>
      </c>
      <c r="J32" s="20"/>
      <c r="K32" s="19" t="str">
        <f>"27,5"</f>
        <v>27,5</v>
      </c>
      <c r="L32" s="21" t="str">
        <f>"44,4224"</f>
        <v>44,4224</v>
      </c>
      <c r="M32" s="19" t="s">
        <v>72</v>
      </c>
    </row>
    <row r="33" spans="1:13" ht="12.75">
      <c r="A33" s="22" t="s">
        <v>644</v>
      </c>
      <c r="B33" s="22" t="s">
        <v>645</v>
      </c>
      <c r="C33" s="22" t="s">
        <v>642</v>
      </c>
      <c r="D33" s="22" t="str">
        <f>"1,3133"</f>
        <v>1,3133</v>
      </c>
      <c r="E33" s="22" t="s">
        <v>68</v>
      </c>
      <c r="F33" s="22" t="s">
        <v>69</v>
      </c>
      <c r="G33" s="24" t="s">
        <v>646</v>
      </c>
      <c r="H33" s="23" t="s">
        <v>647</v>
      </c>
      <c r="I33" s="24" t="s">
        <v>647</v>
      </c>
      <c r="J33" s="23"/>
      <c r="K33" s="22" t="str">
        <f>"22,5"</f>
        <v>22,5</v>
      </c>
      <c r="L33" s="24" t="str">
        <f>"36,3456"</f>
        <v>36,3456</v>
      </c>
      <c r="M33" s="22" t="s">
        <v>72</v>
      </c>
    </row>
    <row r="34" spans="1:13" ht="12.75">
      <c r="A34" s="25" t="s">
        <v>649</v>
      </c>
      <c r="B34" s="25" t="s">
        <v>650</v>
      </c>
      <c r="C34" s="25" t="s">
        <v>651</v>
      </c>
      <c r="D34" s="25" t="str">
        <f>"1,3133"</f>
        <v>1,3133</v>
      </c>
      <c r="E34" s="25" t="s">
        <v>28</v>
      </c>
      <c r="F34" s="25" t="s">
        <v>29</v>
      </c>
      <c r="G34" s="26" t="s">
        <v>232</v>
      </c>
      <c r="H34" s="26" t="s">
        <v>232</v>
      </c>
      <c r="I34" s="26" t="s">
        <v>232</v>
      </c>
      <c r="J34" s="26"/>
      <c r="K34" s="25" t="str">
        <f>"0.00"</f>
        <v>0.00</v>
      </c>
      <c r="L34" s="27" t="str">
        <f>"0,0000"</f>
        <v>0,0000</v>
      </c>
      <c r="M34" s="25" t="s">
        <v>33</v>
      </c>
    </row>
    <row r="36" spans="1:12" ht="15">
      <c r="A36" s="54" t="s">
        <v>313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1:13" ht="12.75">
      <c r="A37" s="19" t="s">
        <v>653</v>
      </c>
      <c r="B37" s="19" t="s">
        <v>654</v>
      </c>
      <c r="C37" s="19" t="s">
        <v>49</v>
      </c>
      <c r="D37" s="19" t="str">
        <f>"0,8924"</f>
        <v>0,8924</v>
      </c>
      <c r="E37" s="19" t="s">
        <v>68</v>
      </c>
      <c r="F37" s="19" t="s">
        <v>69</v>
      </c>
      <c r="G37" s="21" t="s">
        <v>179</v>
      </c>
      <c r="H37" s="20" t="s">
        <v>117</v>
      </c>
      <c r="I37" s="20" t="s">
        <v>117</v>
      </c>
      <c r="J37" s="20"/>
      <c r="K37" s="19" t="str">
        <f>"35,0"</f>
        <v>35,0</v>
      </c>
      <c r="L37" s="21" t="str">
        <f>"38,4178"</f>
        <v>38,4178</v>
      </c>
      <c r="M37" s="19" t="s">
        <v>72</v>
      </c>
    </row>
    <row r="38" spans="1:13" ht="12.75">
      <c r="A38" s="22" t="s">
        <v>656</v>
      </c>
      <c r="B38" s="22" t="s">
        <v>657</v>
      </c>
      <c r="C38" s="22" t="s">
        <v>658</v>
      </c>
      <c r="D38" s="22" t="str">
        <f>"0,8998"</f>
        <v>0,8998</v>
      </c>
      <c r="E38" s="22" t="s">
        <v>68</v>
      </c>
      <c r="F38" s="22" t="s">
        <v>69</v>
      </c>
      <c r="G38" s="24" t="s">
        <v>51</v>
      </c>
      <c r="H38" s="24" t="s">
        <v>53</v>
      </c>
      <c r="I38" s="23" t="s">
        <v>179</v>
      </c>
      <c r="J38" s="23"/>
      <c r="K38" s="22" t="str">
        <f>"30,0"</f>
        <v>30,0</v>
      </c>
      <c r="L38" s="24" t="str">
        <f>"33,2026"</f>
        <v>33,2026</v>
      </c>
      <c r="M38" s="22" t="s">
        <v>72</v>
      </c>
    </row>
    <row r="39" spans="1:13" ht="12.75">
      <c r="A39" s="25" t="s">
        <v>660</v>
      </c>
      <c r="B39" s="25" t="s">
        <v>661</v>
      </c>
      <c r="C39" s="25" t="s">
        <v>662</v>
      </c>
      <c r="D39" s="25" t="str">
        <f>"0,8853"</f>
        <v>0,8853</v>
      </c>
      <c r="E39" s="25" t="s">
        <v>116</v>
      </c>
      <c r="F39" s="25" t="s">
        <v>69</v>
      </c>
      <c r="G39" s="27" t="s">
        <v>81</v>
      </c>
      <c r="H39" s="27" t="s">
        <v>101</v>
      </c>
      <c r="I39" s="27" t="s">
        <v>201</v>
      </c>
      <c r="J39" s="26"/>
      <c r="K39" s="25" t="str">
        <f>"75,0"</f>
        <v>75,0</v>
      </c>
      <c r="L39" s="27" t="str">
        <f>"78,3490"</f>
        <v>78,3490</v>
      </c>
      <c r="M39" s="25" t="s">
        <v>627</v>
      </c>
    </row>
    <row r="41" spans="1:12" ht="15">
      <c r="A41" s="54" t="s">
        <v>55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</row>
    <row r="42" spans="1:13" ht="12.75">
      <c r="A42" s="19" t="s">
        <v>664</v>
      </c>
      <c r="B42" s="19" t="s">
        <v>665</v>
      </c>
      <c r="C42" s="19" t="s">
        <v>666</v>
      </c>
      <c r="D42" s="19" t="str">
        <f>"0,7741"</f>
        <v>0,7741</v>
      </c>
      <c r="E42" s="19" t="s">
        <v>68</v>
      </c>
      <c r="F42" s="19" t="s">
        <v>69</v>
      </c>
      <c r="G42" s="21" t="s">
        <v>179</v>
      </c>
      <c r="H42" s="21" t="s">
        <v>117</v>
      </c>
      <c r="I42" s="20" t="s">
        <v>111</v>
      </c>
      <c r="J42" s="20"/>
      <c r="K42" s="19" t="str">
        <f>"40,0"</f>
        <v>40,0</v>
      </c>
      <c r="L42" s="21" t="str">
        <f>"38,0857"</f>
        <v>38,0857</v>
      </c>
      <c r="M42" s="19" t="s">
        <v>72</v>
      </c>
    </row>
    <row r="43" spans="1:13" ht="12.75">
      <c r="A43" s="22" t="s">
        <v>668</v>
      </c>
      <c r="B43" s="22" t="s">
        <v>669</v>
      </c>
      <c r="C43" s="22" t="s">
        <v>254</v>
      </c>
      <c r="D43" s="22" t="str">
        <f>"0,7258"</f>
        <v>0,7258</v>
      </c>
      <c r="E43" s="22" t="s">
        <v>68</v>
      </c>
      <c r="F43" s="22" t="s">
        <v>69</v>
      </c>
      <c r="G43" s="24" t="s">
        <v>53</v>
      </c>
      <c r="H43" s="24" t="s">
        <v>179</v>
      </c>
      <c r="I43" s="23" t="s">
        <v>117</v>
      </c>
      <c r="J43" s="23"/>
      <c r="K43" s="22" t="str">
        <f>"35,0"</f>
        <v>35,0</v>
      </c>
      <c r="L43" s="24" t="str">
        <f>"31,2457"</f>
        <v>31,2457</v>
      </c>
      <c r="M43" s="22" t="s">
        <v>72</v>
      </c>
    </row>
    <row r="44" spans="1:13" ht="12.75">
      <c r="A44" s="25" t="s">
        <v>57</v>
      </c>
      <c r="B44" s="25" t="s">
        <v>58</v>
      </c>
      <c r="C44" s="25" t="s">
        <v>59</v>
      </c>
      <c r="D44" s="25" t="str">
        <f>"0,7503"</f>
        <v>0,7503</v>
      </c>
      <c r="E44" s="25" t="s">
        <v>28</v>
      </c>
      <c r="F44" s="25" t="s">
        <v>60</v>
      </c>
      <c r="G44" s="27" t="s">
        <v>203</v>
      </c>
      <c r="H44" s="27" t="s">
        <v>224</v>
      </c>
      <c r="I44" s="27" t="s">
        <v>225</v>
      </c>
      <c r="J44" s="26"/>
      <c r="K44" s="25" t="str">
        <f>"110,0"</f>
        <v>110,0</v>
      </c>
      <c r="L44" s="27" t="str">
        <f>"89,1356"</f>
        <v>89,1356</v>
      </c>
      <c r="M44" s="25" t="s">
        <v>63</v>
      </c>
    </row>
    <row r="46" spans="1:12" ht="15">
      <c r="A46" s="54" t="s">
        <v>23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</row>
    <row r="47" spans="1:13" ht="12.75">
      <c r="A47" s="19" t="s">
        <v>671</v>
      </c>
      <c r="B47" s="19" t="s">
        <v>672</v>
      </c>
      <c r="C47" s="19" t="s">
        <v>673</v>
      </c>
      <c r="D47" s="19" t="str">
        <f>"0,6972"</f>
        <v>0,6972</v>
      </c>
      <c r="E47" s="19" t="s">
        <v>28</v>
      </c>
      <c r="F47" s="19" t="s">
        <v>674</v>
      </c>
      <c r="G47" s="21" t="s">
        <v>30</v>
      </c>
      <c r="H47" s="21" t="s">
        <v>196</v>
      </c>
      <c r="I47" s="20" t="s">
        <v>557</v>
      </c>
      <c r="J47" s="20"/>
      <c r="K47" s="19" t="str">
        <f>"90,0"</f>
        <v>90,0</v>
      </c>
      <c r="L47" s="21" t="str">
        <f>"74,0426"</f>
        <v>74,0426</v>
      </c>
      <c r="M47" s="19" t="s">
        <v>33</v>
      </c>
    </row>
    <row r="48" spans="1:13" ht="12.75">
      <c r="A48" s="22" t="s">
        <v>65</v>
      </c>
      <c r="B48" s="22" t="s">
        <v>66</v>
      </c>
      <c r="C48" s="22" t="s">
        <v>67</v>
      </c>
      <c r="D48" s="22" t="str">
        <f>"0,6645"</f>
        <v>0,6645</v>
      </c>
      <c r="E48" s="22" t="s">
        <v>68</v>
      </c>
      <c r="F48" s="22" t="s">
        <v>69</v>
      </c>
      <c r="G48" s="24" t="s">
        <v>196</v>
      </c>
      <c r="H48" s="23" t="s">
        <v>203</v>
      </c>
      <c r="I48" s="24" t="s">
        <v>32</v>
      </c>
      <c r="J48" s="23"/>
      <c r="K48" s="22" t="str">
        <f>"102,5"</f>
        <v>102,5</v>
      </c>
      <c r="L48" s="24" t="str">
        <f>"70,1546"</f>
        <v>70,1546</v>
      </c>
      <c r="M48" s="22" t="s">
        <v>72</v>
      </c>
    </row>
    <row r="49" spans="1:13" ht="12.75">
      <c r="A49" s="22" t="s">
        <v>676</v>
      </c>
      <c r="B49" s="22" t="s">
        <v>677</v>
      </c>
      <c r="C49" s="22" t="s">
        <v>678</v>
      </c>
      <c r="D49" s="22" t="str">
        <f>"0,7031"</f>
        <v>0,7031</v>
      </c>
      <c r="E49" s="22" t="s">
        <v>28</v>
      </c>
      <c r="F49" s="22" t="s">
        <v>87</v>
      </c>
      <c r="G49" s="23" t="s">
        <v>201</v>
      </c>
      <c r="H49" s="24" t="s">
        <v>201</v>
      </c>
      <c r="I49" s="24" t="s">
        <v>227</v>
      </c>
      <c r="J49" s="23"/>
      <c r="K49" s="22" t="str">
        <f>"80,0"</f>
        <v>80,0</v>
      </c>
      <c r="L49" s="24" t="str">
        <f>"57,3730"</f>
        <v>57,3730</v>
      </c>
      <c r="M49" s="22" t="s">
        <v>33</v>
      </c>
    </row>
    <row r="50" spans="1:13" ht="12.75">
      <c r="A50" s="22" t="s">
        <v>680</v>
      </c>
      <c r="B50" s="22" t="s">
        <v>681</v>
      </c>
      <c r="C50" s="22" t="s">
        <v>682</v>
      </c>
      <c r="D50" s="22" t="str">
        <f>"0,6745"</f>
        <v>0,6745</v>
      </c>
      <c r="E50" s="22" t="s">
        <v>28</v>
      </c>
      <c r="F50" s="22" t="s">
        <v>50</v>
      </c>
      <c r="G50" s="24" t="s">
        <v>358</v>
      </c>
      <c r="H50" s="24" t="s">
        <v>256</v>
      </c>
      <c r="I50" s="24" t="s">
        <v>304</v>
      </c>
      <c r="J50" s="23"/>
      <c r="K50" s="22" t="str">
        <f>"140,0"</f>
        <v>140,0</v>
      </c>
      <c r="L50" s="24" t="str">
        <f>"94,4300"</f>
        <v>94,4300</v>
      </c>
      <c r="M50" s="22" t="s">
        <v>33</v>
      </c>
    </row>
    <row r="51" spans="1:13" ht="12.75">
      <c r="A51" s="22" t="s">
        <v>83</v>
      </c>
      <c r="B51" s="22" t="s">
        <v>84</v>
      </c>
      <c r="C51" s="22" t="s">
        <v>85</v>
      </c>
      <c r="D51" s="22" t="str">
        <f>"0,6723"</f>
        <v>0,6723</v>
      </c>
      <c r="E51" s="22" t="s">
        <v>86</v>
      </c>
      <c r="F51" s="22" t="s">
        <v>87</v>
      </c>
      <c r="G51" s="24" t="s">
        <v>203</v>
      </c>
      <c r="H51" s="23" t="s">
        <v>224</v>
      </c>
      <c r="I51" s="23" t="s">
        <v>224</v>
      </c>
      <c r="J51" s="23"/>
      <c r="K51" s="22" t="str">
        <f>"100,0"</f>
        <v>100,0</v>
      </c>
      <c r="L51" s="24" t="str">
        <f>"67,2300"</f>
        <v>67,2300</v>
      </c>
      <c r="M51" s="22" t="s">
        <v>33</v>
      </c>
    </row>
    <row r="52" spans="1:13" ht="12.75">
      <c r="A52" s="22" t="s">
        <v>684</v>
      </c>
      <c r="B52" s="22" t="s">
        <v>685</v>
      </c>
      <c r="C52" s="22" t="s">
        <v>27</v>
      </c>
      <c r="D52" s="22" t="str">
        <f>"0,6716"</f>
        <v>0,6716</v>
      </c>
      <c r="E52" s="22" t="s">
        <v>116</v>
      </c>
      <c r="F52" s="22" t="s">
        <v>69</v>
      </c>
      <c r="G52" s="24" t="s">
        <v>203</v>
      </c>
      <c r="H52" s="24" t="s">
        <v>224</v>
      </c>
      <c r="I52" s="24" t="s">
        <v>686</v>
      </c>
      <c r="J52" s="23"/>
      <c r="K52" s="22" t="str">
        <f>"107,5"</f>
        <v>107,5</v>
      </c>
      <c r="L52" s="24" t="str">
        <f>"126,7057"</f>
        <v>126,7057</v>
      </c>
      <c r="M52" s="22" t="s">
        <v>33</v>
      </c>
    </row>
    <row r="53" spans="1:13" ht="12.75">
      <c r="A53" s="25" t="s">
        <v>688</v>
      </c>
      <c r="B53" s="25" t="s">
        <v>689</v>
      </c>
      <c r="C53" s="25" t="s">
        <v>67</v>
      </c>
      <c r="D53" s="25" t="str">
        <f>"0,6645"</f>
        <v>0,6645</v>
      </c>
      <c r="E53" s="25" t="s">
        <v>28</v>
      </c>
      <c r="F53" s="25" t="s">
        <v>50</v>
      </c>
      <c r="G53" s="27" t="s">
        <v>196</v>
      </c>
      <c r="H53" s="27" t="s">
        <v>31</v>
      </c>
      <c r="I53" s="26" t="s">
        <v>203</v>
      </c>
      <c r="J53" s="26"/>
      <c r="K53" s="25" t="str">
        <f>"95,0"</f>
        <v>95,0</v>
      </c>
      <c r="L53" s="27" t="str">
        <f>"128,1488"</f>
        <v>128,1488</v>
      </c>
      <c r="M53" s="25" t="s">
        <v>33</v>
      </c>
    </row>
    <row r="55" spans="1:12" ht="15">
      <c r="A55" s="54" t="s">
        <v>88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</row>
    <row r="56" spans="1:13" ht="12.75">
      <c r="A56" s="19" t="s">
        <v>90</v>
      </c>
      <c r="B56" s="19" t="s">
        <v>91</v>
      </c>
      <c r="C56" s="19" t="s">
        <v>92</v>
      </c>
      <c r="D56" s="19" t="str">
        <f>"0,6268"</f>
        <v>0,6268</v>
      </c>
      <c r="E56" s="19" t="s">
        <v>28</v>
      </c>
      <c r="F56" s="19" t="s">
        <v>60</v>
      </c>
      <c r="G56" s="21" t="s">
        <v>225</v>
      </c>
      <c r="H56" s="20" t="s">
        <v>232</v>
      </c>
      <c r="I56" s="21" t="s">
        <v>232</v>
      </c>
      <c r="J56" s="20"/>
      <c r="K56" s="19" t="str">
        <f>"115,0"</f>
        <v>115,0</v>
      </c>
      <c r="L56" s="21" t="str">
        <f>"81,4527"</f>
        <v>81,4527</v>
      </c>
      <c r="M56" s="19" t="s">
        <v>33</v>
      </c>
    </row>
    <row r="57" spans="1:13" ht="12.75">
      <c r="A57" s="22" t="s">
        <v>691</v>
      </c>
      <c r="B57" s="22" t="s">
        <v>692</v>
      </c>
      <c r="C57" s="22" t="s">
        <v>430</v>
      </c>
      <c r="D57" s="22" t="str">
        <f>"0,6273"</f>
        <v>0,6273</v>
      </c>
      <c r="E57" s="22" t="s">
        <v>28</v>
      </c>
      <c r="F57" s="22" t="s">
        <v>29</v>
      </c>
      <c r="G57" s="24" t="s">
        <v>269</v>
      </c>
      <c r="H57" s="24" t="s">
        <v>270</v>
      </c>
      <c r="I57" s="23" t="s">
        <v>351</v>
      </c>
      <c r="J57" s="23"/>
      <c r="K57" s="22" t="str">
        <f>"160,0"</f>
        <v>160,0</v>
      </c>
      <c r="L57" s="24" t="str">
        <f>"100,3680"</f>
        <v>100,3680</v>
      </c>
      <c r="M57" s="22" t="s">
        <v>33</v>
      </c>
    </row>
    <row r="58" spans="1:13" ht="12.75">
      <c r="A58" s="22" t="s">
        <v>103</v>
      </c>
      <c r="B58" s="22" t="s">
        <v>104</v>
      </c>
      <c r="C58" s="22" t="s">
        <v>105</v>
      </c>
      <c r="D58" s="22" t="str">
        <f>"0,6352"</f>
        <v>0,6352</v>
      </c>
      <c r="E58" s="22" t="s">
        <v>106</v>
      </c>
      <c r="F58" s="22" t="s">
        <v>87</v>
      </c>
      <c r="G58" s="23" t="s">
        <v>304</v>
      </c>
      <c r="H58" s="24" t="s">
        <v>208</v>
      </c>
      <c r="I58" s="24" t="s">
        <v>269</v>
      </c>
      <c r="J58" s="23"/>
      <c r="K58" s="22" t="str">
        <f>"150,0"</f>
        <v>150,0</v>
      </c>
      <c r="L58" s="24" t="str">
        <f>"95,2800"</f>
        <v>95,2800</v>
      </c>
      <c r="M58" s="22" t="s">
        <v>33</v>
      </c>
    </row>
    <row r="59" spans="1:13" ht="12.75">
      <c r="A59" s="22" t="s">
        <v>694</v>
      </c>
      <c r="B59" s="22" t="s">
        <v>695</v>
      </c>
      <c r="C59" s="22" t="s">
        <v>696</v>
      </c>
      <c r="D59" s="22" t="str">
        <f>"0,6279"</f>
        <v>0,6279</v>
      </c>
      <c r="E59" s="22" t="s">
        <v>28</v>
      </c>
      <c r="F59" s="22" t="s">
        <v>697</v>
      </c>
      <c r="G59" s="24" t="s">
        <v>299</v>
      </c>
      <c r="H59" s="24" t="s">
        <v>304</v>
      </c>
      <c r="I59" s="23" t="s">
        <v>208</v>
      </c>
      <c r="J59" s="23"/>
      <c r="K59" s="22" t="str">
        <f>"140,0"</f>
        <v>140,0</v>
      </c>
      <c r="L59" s="24" t="str">
        <f>"87,9060"</f>
        <v>87,9060</v>
      </c>
      <c r="M59" s="22" t="s">
        <v>33</v>
      </c>
    </row>
    <row r="60" spans="1:13" ht="12.75">
      <c r="A60" s="22" t="s">
        <v>699</v>
      </c>
      <c r="B60" s="22" t="s">
        <v>700</v>
      </c>
      <c r="C60" s="22" t="s">
        <v>701</v>
      </c>
      <c r="D60" s="22" t="str">
        <f>"0,6193"</f>
        <v>0,6193</v>
      </c>
      <c r="E60" s="22" t="s">
        <v>28</v>
      </c>
      <c r="F60" s="22" t="s">
        <v>29</v>
      </c>
      <c r="G60" s="24" t="s">
        <v>255</v>
      </c>
      <c r="H60" s="24" t="s">
        <v>304</v>
      </c>
      <c r="I60" s="23" t="s">
        <v>212</v>
      </c>
      <c r="J60" s="23"/>
      <c r="K60" s="22" t="str">
        <f>"140,0"</f>
        <v>140,0</v>
      </c>
      <c r="L60" s="24" t="str">
        <f>"86,7020"</f>
        <v>86,7020</v>
      </c>
      <c r="M60" s="22" t="s">
        <v>33</v>
      </c>
    </row>
    <row r="61" spans="1:13" ht="12.75">
      <c r="A61" s="22" t="s">
        <v>702</v>
      </c>
      <c r="B61" s="22" t="s">
        <v>650</v>
      </c>
      <c r="C61" s="22" t="s">
        <v>703</v>
      </c>
      <c r="D61" s="22" t="str">
        <f>"0,6324"</f>
        <v>0,6324</v>
      </c>
      <c r="E61" s="22" t="s">
        <v>28</v>
      </c>
      <c r="F61" s="22" t="s">
        <v>29</v>
      </c>
      <c r="G61" s="23" t="s">
        <v>232</v>
      </c>
      <c r="H61" s="24" t="s">
        <v>210</v>
      </c>
      <c r="I61" s="24" t="s">
        <v>255</v>
      </c>
      <c r="J61" s="23"/>
      <c r="K61" s="22" t="str">
        <f>"130,0"</f>
        <v>130,0</v>
      </c>
      <c r="L61" s="24" t="str">
        <f>"82,2120"</f>
        <v>82,2120</v>
      </c>
      <c r="M61" s="22" t="s">
        <v>33</v>
      </c>
    </row>
    <row r="62" spans="1:13" ht="12.75">
      <c r="A62" s="22" t="s">
        <v>705</v>
      </c>
      <c r="B62" s="22" t="s">
        <v>706</v>
      </c>
      <c r="C62" s="22" t="s">
        <v>707</v>
      </c>
      <c r="D62" s="22" t="str">
        <f>"0,6388"</f>
        <v>0,6388</v>
      </c>
      <c r="E62" s="22" t="s">
        <v>28</v>
      </c>
      <c r="F62" s="22" t="s">
        <v>87</v>
      </c>
      <c r="G62" s="23" t="s">
        <v>210</v>
      </c>
      <c r="H62" s="24" t="s">
        <v>298</v>
      </c>
      <c r="I62" s="23" t="s">
        <v>255</v>
      </c>
      <c r="J62" s="23"/>
      <c r="K62" s="22" t="str">
        <f>"125,0"</f>
        <v>125,0</v>
      </c>
      <c r="L62" s="24" t="str">
        <f>"79,8500"</f>
        <v>79,8500</v>
      </c>
      <c r="M62" s="22" t="s">
        <v>33</v>
      </c>
    </row>
    <row r="63" spans="1:13" ht="12.75">
      <c r="A63" s="22" t="s">
        <v>709</v>
      </c>
      <c r="B63" s="22" t="s">
        <v>710</v>
      </c>
      <c r="C63" s="22" t="s">
        <v>711</v>
      </c>
      <c r="D63" s="22" t="str">
        <f>"0,6246"</f>
        <v>0,6246</v>
      </c>
      <c r="E63" s="22" t="s">
        <v>86</v>
      </c>
      <c r="F63" s="22" t="s">
        <v>87</v>
      </c>
      <c r="G63" s="24" t="s">
        <v>297</v>
      </c>
      <c r="H63" s="23" t="s">
        <v>255</v>
      </c>
      <c r="I63" s="23" t="s">
        <v>255</v>
      </c>
      <c r="J63" s="23"/>
      <c r="K63" s="22" t="str">
        <f>"122,5"</f>
        <v>122,5</v>
      </c>
      <c r="L63" s="24" t="str">
        <f>"76,5135"</f>
        <v>76,5135</v>
      </c>
      <c r="M63" s="22" t="s">
        <v>33</v>
      </c>
    </row>
    <row r="64" spans="1:13" ht="12.75">
      <c r="A64" s="25" t="s">
        <v>712</v>
      </c>
      <c r="B64" s="25" t="s">
        <v>713</v>
      </c>
      <c r="C64" s="25" t="s">
        <v>714</v>
      </c>
      <c r="D64" s="25" t="str">
        <f>"0,6461"</f>
        <v>0,6461</v>
      </c>
      <c r="E64" s="25" t="s">
        <v>327</v>
      </c>
      <c r="F64" s="25" t="s">
        <v>69</v>
      </c>
      <c r="G64" s="26" t="s">
        <v>715</v>
      </c>
      <c r="H64" s="26" t="s">
        <v>297</v>
      </c>
      <c r="I64" s="26" t="s">
        <v>297</v>
      </c>
      <c r="J64" s="26"/>
      <c r="K64" s="25" t="str">
        <f>"0.00"</f>
        <v>0.00</v>
      </c>
      <c r="L64" s="27" t="str">
        <f>"0,0000"</f>
        <v>0,0000</v>
      </c>
      <c r="M64" s="25" t="s">
        <v>33</v>
      </c>
    </row>
    <row r="66" spans="1:12" ht="15">
      <c r="A66" s="54" t="s">
        <v>219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</row>
    <row r="67" spans="1:13" ht="12.75">
      <c r="A67" s="19" t="s">
        <v>717</v>
      </c>
      <c r="B67" s="19" t="s">
        <v>718</v>
      </c>
      <c r="C67" s="19" t="s">
        <v>588</v>
      </c>
      <c r="D67" s="19" t="str">
        <f>"0,6013"</f>
        <v>0,6013</v>
      </c>
      <c r="E67" s="19" t="s">
        <v>116</v>
      </c>
      <c r="F67" s="19" t="s">
        <v>69</v>
      </c>
      <c r="G67" s="21" t="s">
        <v>203</v>
      </c>
      <c r="H67" s="21" t="s">
        <v>224</v>
      </c>
      <c r="I67" s="21" t="s">
        <v>225</v>
      </c>
      <c r="J67" s="20"/>
      <c r="K67" s="19" t="str">
        <f>"110,0"</f>
        <v>110,0</v>
      </c>
      <c r="L67" s="21" t="str">
        <f>"71,4344"</f>
        <v>71,4344</v>
      </c>
      <c r="M67" s="19" t="s">
        <v>627</v>
      </c>
    </row>
    <row r="68" spans="1:13" ht="12.75">
      <c r="A68" s="22" t="s">
        <v>720</v>
      </c>
      <c r="B68" s="22" t="s">
        <v>721</v>
      </c>
      <c r="C68" s="22" t="s">
        <v>722</v>
      </c>
      <c r="D68" s="22" t="str">
        <f>"0,5952"</f>
        <v>0,5952</v>
      </c>
      <c r="E68" s="22" t="s">
        <v>28</v>
      </c>
      <c r="F68" s="22" t="s">
        <v>697</v>
      </c>
      <c r="G68" s="24" t="s">
        <v>255</v>
      </c>
      <c r="H68" s="24" t="s">
        <v>299</v>
      </c>
      <c r="I68" s="24" t="s">
        <v>304</v>
      </c>
      <c r="J68" s="23"/>
      <c r="K68" s="22" t="str">
        <f>"140,0"</f>
        <v>140,0</v>
      </c>
      <c r="L68" s="24" t="str">
        <f>"84,9946"</f>
        <v>84,9946</v>
      </c>
      <c r="M68" s="22" t="s">
        <v>33</v>
      </c>
    </row>
    <row r="69" spans="1:13" ht="12.75">
      <c r="A69" s="22" t="s">
        <v>724</v>
      </c>
      <c r="B69" s="22" t="s">
        <v>725</v>
      </c>
      <c r="C69" s="22" t="s">
        <v>638</v>
      </c>
      <c r="D69" s="22" t="str">
        <f>"0,5853"</f>
        <v>0,5853</v>
      </c>
      <c r="E69" s="22" t="s">
        <v>28</v>
      </c>
      <c r="F69" s="22" t="s">
        <v>726</v>
      </c>
      <c r="G69" s="24" t="s">
        <v>330</v>
      </c>
      <c r="H69" s="23" t="s">
        <v>266</v>
      </c>
      <c r="I69" s="23" t="s">
        <v>266</v>
      </c>
      <c r="J69" s="23"/>
      <c r="K69" s="22" t="str">
        <f>"190,0"</f>
        <v>190,0</v>
      </c>
      <c r="L69" s="24" t="str">
        <f>"111,2070"</f>
        <v>111,2070</v>
      </c>
      <c r="M69" s="22" t="s">
        <v>33</v>
      </c>
    </row>
    <row r="70" spans="1:13" ht="12.75">
      <c r="A70" s="22" t="s">
        <v>728</v>
      </c>
      <c r="B70" s="22" t="s">
        <v>729</v>
      </c>
      <c r="C70" s="22" t="s">
        <v>357</v>
      </c>
      <c r="D70" s="22" t="str">
        <f>"0,5885"</f>
        <v>0,5885</v>
      </c>
      <c r="E70" s="22" t="s">
        <v>106</v>
      </c>
      <c r="F70" s="22" t="s">
        <v>87</v>
      </c>
      <c r="G70" s="24" t="s">
        <v>208</v>
      </c>
      <c r="H70" s="24" t="s">
        <v>311</v>
      </c>
      <c r="I70" s="24" t="s">
        <v>270</v>
      </c>
      <c r="J70" s="23"/>
      <c r="K70" s="22" t="str">
        <f>"160,0"</f>
        <v>160,0</v>
      </c>
      <c r="L70" s="24" t="str">
        <f>"94,1600"</f>
        <v>94,1600</v>
      </c>
      <c r="M70" s="22" t="s">
        <v>33</v>
      </c>
    </row>
    <row r="71" spans="1:13" ht="12.75">
      <c r="A71" s="22" t="s">
        <v>1344</v>
      </c>
      <c r="B71" s="22" t="s">
        <v>730</v>
      </c>
      <c r="C71" s="22" t="s">
        <v>731</v>
      </c>
      <c r="D71" s="22" t="str">
        <f>"0,5897"</f>
        <v>0,5897</v>
      </c>
      <c r="E71" s="22" t="s">
        <v>28</v>
      </c>
      <c r="F71" s="22" t="s">
        <v>29</v>
      </c>
      <c r="G71" s="24" t="s">
        <v>304</v>
      </c>
      <c r="H71" s="23" t="s">
        <v>208</v>
      </c>
      <c r="I71" s="24" t="s">
        <v>208</v>
      </c>
      <c r="J71" s="23"/>
      <c r="K71" s="22" t="str">
        <f>"145,0"</f>
        <v>145,0</v>
      </c>
      <c r="L71" s="24" t="str">
        <f>"85,5065"</f>
        <v>85,5065</v>
      </c>
      <c r="M71" s="22" t="s">
        <v>33</v>
      </c>
    </row>
    <row r="72" spans="1:13" ht="12.75">
      <c r="A72" s="22" t="s">
        <v>733</v>
      </c>
      <c r="B72" s="22" t="s">
        <v>734</v>
      </c>
      <c r="C72" s="22" t="s">
        <v>357</v>
      </c>
      <c r="D72" s="22" t="str">
        <f>"0,5885"</f>
        <v>0,5885</v>
      </c>
      <c r="E72" s="22" t="s">
        <v>28</v>
      </c>
      <c r="F72" s="22" t="s">
        <v>421</v>
      </c>
      <c r="G72" s="24" t="s">
        <v>304</v>
      </c>
      <c r="H72" s="23" t="s">
        <v>311</v>
      </c>
      <c r="I72" s="23" t="s">
        <v>311</v>
      </c>
      <c r="J72" s="23"/>
      <c r="K72" s="22" t="str">
        <f>"140,0"</f>
        <v>140,0</v>
      </c>
      <c r="L72" s="24" t="str">
        <f>"82,3900"</f>
        <v>82,3900</v>
      </c>
      <c r="M72" s="22" t="s">
        <v>33</v>
      </c>
    </row>
    <row r="73" spans="1:13" ht="12.75">
      <c r="A73" s="22" t="s">
        <v>736</v>
      </c>
      <c r="B73" s="22" t="s">
        <v>737</v>
      </c>
      <c r="C73" s="22" t="s">
        <v>738</v>
      </c>
      <c r="D73" s="22" t="str">
        <f>"0,5873"</f>
        <v>0,5873</v>
      </c>
      <c r="E73" s="22" t="s">
        <v>106</v>
      </c>
      <c r="F73" s="22" t="s">
        <v>87</v>
      </c>
      <c r="G73" s="24" t="s">
        <v>298</v>
      </c>
      <c r="H73" s="23" t="s">
        <v>299</v>
      </c>
      <c r="I73" s="23" t="s">
        <v>299</v>
      </c>
      <c r="J73" s="23"/>
      <c r="K73" s="22" t="str">
        <f>"125,0"</f>
        <v>125,0</v>
      </c>
      <c r="L73" s="24" t="str">
        <f>"73,4125"</f>
        <v>73,4125</v>
      </c>
      <c r="M73" s="22" t="s">
        <v>33</v>
      </c>
    </row>
    <row r="74" spans="1:13" ht="12.75">
      <c r="A74" s="22" t="s">
        <v>740</v>
      </c>
      <c r="B74" s="22" t="s">
        <v>741</v>
      </c>
      <c r="C74" s="22" t="s">
        <v>638</v>
      </c>
      <c r="D74" s="22" t="str">
        <f>"0,5853"</f>
        <v>0,5853</v>
      </c>
      <c r="E74" s="22" t="s">
        <v>28</v>
      </c>
      <c r="F74" s="22" t="s">
        <v>29</v>
      </c>
      <c r="G74" s="24" t="s">
        <v>208</v>
      </c>
      <c r="H74" s="23" t="s">
        <v>269</v>
      </c>
      <c r="I74" s="24" t="s">
        <v>269</v>
      </c>
      <c r="J74" s="23"/>
      <c r="K74" s="22" t="str">
        <f>"150,0"</f>
        <v>150,0</v>
      </c>
      <c r="L74" s="24" t="str">
        <f>"88,0584"</f>
        <v>88,0584</v>
      </c>
      <c r="M74" s="22" t="s">
        <v>33</v>
      </c>
    </row>
    <row r="75" spans="1:13" ht="12.75">
      <c r="A75" s="22" t="s">
        <v>743</v>
      </c>
      <c r="B75" s="22" t="s">
        <v>744</v>
      </c>
      <c r="C75" s="22" t="s">
        <v>745</v>
      </c>
      <c r="D75" s="22" t="str">
        <f>"0,5986"</f>
        <v>0,5986</v>
      </c>
      <c r="E75" s="22" t="s">
        <v>28</v>
      </c>
      <c r="F75" s="22" t="s">
        <v>87</v>
      </c>
      <c r="G75" s="24" t="s">
        <v>210</v>
      </c>
      <c r="H75" s="24" t="s">
        <v>299</v>
      </c>
      <c r="I75" s="24" t="s">
        <v>256</v>
      </c>
      <c r="J75" s="23"/>
      <c r="K75" s="22" t="str">
        <f>"137,5"</f>
        <v>137,5</v>
      </c>
      <c r="L75" s="24" t="str">
        <f>"86,2583"</f>
        <v>86,2583</v>
      </c>
      <c r="M75" s="22" t="s">
        <v>33</v>
      </c>
    </row>
    <row r="76" spans="1:13" ht="12.75">
      <c r="A76" s="25" t="s">
        <v>747</v>
      </c>
      <c r="B76" s="25" t="s">
        <v>748</v>
      </c>
      <c r="C76" s="25" t="s">
        <v>749</v>
      </c>
      <c r="D76" s="25" t="str">
        <f>"0,6000"</f>
        <v>0,6000</v>
      </c>
      <c r="E76" s="25" t="s">
        <v>116</v>
      </c>
      <c r="F76" s="25" t="s">
        <v>69</v>
      </c>
      <c r="G76" s="27" t="s">
        <v>227</v>
      </c>
      <c r="H76" s="27" t="s">
        <v>30</v>
      </c>
      <c r="I76" s="26" t="s">
        <v>426</v>
      </c>
      <c r="J76" s="26"/>
      <c r="K76" s="25" t="str">
        <f>"85,0"</f>
        <v>85,0</v>
      </c>
      <c r="L76" s="27" t="str">
        <f>"105,5700"</f>
        <v>105,5700</v>
      </c>
      <c r="M76" s="25" t="s">
        <v>33</v>
      </c>
    </row>
    <row r="78" spans="1:12" ht="15">
      <c r="A78" s="54" t="s">
        <v>118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1:13" ht="12.75">
      <c r="A79" s="19" t="s">
        <v>751</v>
      </c>
      <c r="B79" s="19" t="s">
        <v>752</v>
      </c>
      <c r="C79" s="19" t="s">
        <v>753</v>
      </c>
      <c r="D79" s="19" t="str">
        <f>"0,5540"</f>
        <v>0,5540</v>
      </c>
      <c r="E79" s="19" t="s">
        <v>28</v>
      </c>
      <c r="F79" s="19" t="s">
        <v>29</v>
      </c>
      <c r="G79" s="21" t="s">
        <v>311</v>
      </c>
      <c r="H79" s="21" t="s">
        <v>242</v>
      </c>
      <c r="I79" s="21" t="s">
        <v>245</v>
      </c>
      <c r="J79" s="20"/>
      <c r="K79" s="19" t="str">
        <f>"170,0"</f>
        <v>170,0</v>
      </c>
      <c r="L79" s="21" t="str">
        <f>"94,1800"</f>
        <v>94,1800</v>
      </c>
      <c r="M79" s="19" t="s">
        <v>33</v>
      </c>
    </row>
    <row r="80" spans="1:13" ht="12.75">
      <c r="A80" s="22" t="s">
        <v>755</v>
      </c>
      <c r="B80" s="22" t="s">
        <v>756</v>
      </c>
      <c r="C80" s="22" t="s">
        <v>592</v>
      </c>
      <c r="D80" s="22" t="str">
        <f>"0,5648"</f>
        <v>0,5648</v>
      </c>
      <c r="E80" s="22" t="s">
        <v>28</v>
      </c>
      <c r="F80" s="22" t="s">
        <v>29</v>
      </c>
      <c r="G80" s="24" t="s">
        <v>311</v>
      </c>
      <c r="H80" s="23" t="s">
        <v>242</v>
      </c>
      <c r="I80" s="24" t="s">
        <v>242</v>
      </c>
      <c r="J80" s="23"/>
      <c r="K80" s="22" t="str">
        <f>"162,5"</f>
        <v>162,5</v>
      </c>
      <c r="L80" s="24" t="str">
        <f>"91,7800"</f>
        <v>91,7800</v>
      </c>
      <c r="M80" s="22" t="s">
        <v>33</v>
      </c>
    </row>
    <row r="81" spans="1:13" ht="12.75">
      <c r="A81" s="22" t="s">
        <v>758</v>
      </c>
      <c r="B81" s="22" t="s">
        <v>759</v>
      </c>
      <c r="C81" s="22" t="s">
        <v>760</v>
      </c>
      <c r="D81" s="22" t="str">
        <f>"0,5594"</f>
        <v>0,5594</v>
      </c>
      <c r="E81" s="22" t="s">
        <v>28</v>
      </c>
      <c r="F81" s="22" t="s">
        <v>87</v>
      </c>
      <c r="G81" s="24" t="s">
        <v>257</v>
      </c>
      <c r="H81" s="24" t="s">
        <v>212</v>
      </c>
      <c r="I81" s="24" t="s">
        <v>311</v>
      </c>
      <c r="J81" s="23"/>
      <c r="K81" s="22" t="str">
        <f>"155,0"</f>
        <v>155,0</v>
      </c>
      <c r="L81" s="24" t="str">
        <f>"86,7070"</f>
        <v>86,7070</v>
      </c>
      <c r="M81" s="22" t="s">
        <v>33</v>
      </c>
    </row>
    <row r="82" spans="1:13" ht="12.75">
      <c r="A82" s="22" t="s">
        <v>762</v>
      </c>
      <c r="B82" s="22" t="s">
        <v>763</v>
      </c>
      <c r="C82" s="22" t="s">
        <v>764</v>
      </c>
      <c r="D82" s="22" t="str">
        <f>"0,5678"</f>
        <v>0,5678</v>
      </c>
      <c r="E82" s="22" t="s">
        <v>28</v>
      </c>
      <c r="F82" s="22" t="s">
        <v>29</v>
      </c>
      <c r="G82" s="23" t="s">
        <v>210</v>
      </c>
      <c r="H82" s="24" t="s">
        <v>255</v>
      </c>
      <c r="I82" s="23" t="s">
        <v>257</v>
      </c>
      <c r="J82" s="23"/>
      <c r="K82" s="22" t="str">
        <f>"130,0"</f>
        <v>130,0</v>
      </c>
      <c r="L82" s="24" t="str">
        <f>"73,8140"</f>
        <v>73,8140</v>
      </c>
      <c r="M82" s="22" t="s">
        <v>33</v>
      </c>
    </row>
    <row r="83" spans="1:13" ht="12.75">
      <c r="A83" s="22" t="s">
        <v>766</v>
      </c>
      <c r="B83" s="22" t="s">
        <v>767</v>
      </c>
      <c r="C83" s="22" t="s">
        <v>453</v>
      </c>
      <c r="D83" s="22" t="str">
        <f>"0,5589"</f>
        <v>0,5589</v>
      </c>
      <c r="E83" s="22" t="s">
        <v>28</v>
      </c>
      <c r="F83" s="22" t="s">
        <v>296</v>
      </c>
      <c r="G83" s="24" t="s">
        <v>269</v>
      </c>
      <c r="H83" s="24" t="s">
        <v>270</v>
      </c>
      <c r="I83" s="23" t="s">
        <v>245</v>
      </c>
      <c r="J83" s="23"/>
      <c r="K83" s="22" t="str">
        <f>"160,0"</f>
        <v>160,0</v>
      </c>
      <c r="L83" s="24" t="str">
        <f>"91,0336"</f>
        <v>91,0336</v>
      </c>
      <c r="M83" s="22" t="s">
        <v>33</v>
      </c>
    </row>
    <row r="84" spans="1:13" ht="12.75">
      <c r="A84" s="25" t="s">
        <v>768</v>
      </c>
      <c r="B84" s="25" t="s">
        <v>121</v>
      </c>
      <c r="C84" s="25" t="s">
        <v>760</v>
      </c>
      <c r="D84" s="25" t="str">
        <f>"0,5594"</f>
        <v>0,5594</v>
      </c>
      <c r="E84" s="25" t="s">
        <v>86</v>
      </c>
      <c r="F84" s="25" t="s">
        <v>87</v>
      </c>
      <c r="G84" s="27" t="s">
        <v>299</v>
      </c>
      <c r="H84" s="26" t="s">
        <v>257</v>
      </c>
      <c r="I84" s="26" t="s">
        <v>257</v>
      </c>
      <c r="J84" s="26"/>
      <c r="K84" s="25" t="str">
        <f>"135,0"</f>
        <v>135,0</v>
      </c>
      <c r="L84" s="27" t="str">
        <f>"77,8601"</f>
        <v>77,8601</v>
      </c>
      <c r="M84" s="25" t="s">
        <v>33</v>
      </c>
    </row>
    <row r="86" spans="1:12" ht="15">
      <c r="A86" s="54" t="s">
        <v>123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</row>
    <row r="87" spans="1:13" ht="12.75">
      <c r="A87" s="19" t="s">
        <v>770</v>
      </c>
      <c r="B87" s="19" t="s">
        <v>771</v>
      </c>
      <c r="C87" s="19" t="s">
        <v>127</v>
      </c>
      <c r="D87" s="19" t="str">
        <f>"0,5391"</f>
        <v>0,5391</v>
      </c>
      <c r="E87" s="19" t="s">
        <v>28</v>
      </c>
      <c r="F87" s="19" t="s">
        <v>87</v>
      </c>
      <c r="G87" s="21" t="s">
        <v>271</v>
      </c>
      <c r="H87" s="21" t="s">
        <v>240</v>
      </c>
      <c r="I87" s="21" t="s">
        <v>237</v>
      </c>
      <c r="J87" s="20"/>
      <c r="K87" s="19" t="str">
        <f>"192,5"</f>
        <v>192,5</v>
      </c>
      <c r="L87" s="21" t="str">
        <f>"103,7767"</f>
        <v>103,7767</v>
      </c>
      <c r="M87" s="19" t="s">
        <v>33</v>
      </c>
    </row>
    <row r="88" spans="1:13" ht="12.75">
      <c r="A88" s="22" t="s">
        <v>773</v>
      </c>
      <c r="B88" s="22" t="s">
        <v>774</v>
      </c>
      <c r="C88" s="22" t="s">
        <v>775</v>
      </c>
      <c r="D88" s="22" t="str">
        <f>"0,5427"</f>
        <v>0,5427</v>
      </c>
      <c r="E88" s="22" t="s">
        <v>28</v>
      </c>
      <c r="F88" s="22" t="s">
        <v>87</v>
      </c>
      <c r="G88" s="24" t="s">
        <v>245</v>
      </c>
      <c r="H88" s="24" t="s">
        <v>776</v>
      </c>
      <c r="I88" s="24" t="s">
        <v>481</v>
      </c>
      <c r="J88" s="23"/>
      <c r="K88" s="22" t="str">
        <f>"182,5"</f>
        <v>182,5</v>
      </c>
      <c r="L88" s="24" t="str">
        <f>"99,0427"</f>
        <v>99,0427</v>
      </c>
      <c r="M88" s="22" t="s">
        <v>33</v>
      </c>
    </row>
    <row r="89" spans="1:13" ht="12.75">
      <c r="A89" s="22" t="s">
        <v>778</v>
      </c>
      <c r="B89" s="22" t="s">
        <v>779</v>
      </c>
      <c r="C89" s="22" t="s">
        <v>127</v>
      </c>
      <c r="D89" s="22" t="str">
        <f>"0,5391"</f>
        <v>0,5391</v>
      </c>
      <c r="E89" s="22" t="s">
        <v>28</v>
      </c>
      <c r="F89" s="22" t="s">
        <v>265</v>
      </c>
      <c r="G89" s="24" t="s">
        <v>270</v>
      </c>
      <c r="H89" s="24" t="s">
        <v>462</v>
      </c>
      <c r="I89" s="23" t="s">
        <v>271</v>
      </c>
      <c r="J89" s="23"/>
      <c r="K89" s="22" t="str">
        <f>"167,5"</f>
        <v>167,5</v>
      </c>
      <c r="L89" s="24" t="str">
        <f>"90,2992"</f>
        <v>90,2992</v>
      </c>
      <c r="M89" s="22" t="s">
        <v>33</v>
      </c>
    </row>
    <row r="90" spans="1:13" ht="12.75">
      <c r="A90" s="25" t="s">
        <v>781</v>
      </c>
      <c r="B90" s="25" t="s">
        <v>782</v>
      </c>
      <c r="C90" s="25" t="s">
        <v>783</v>
      </c>
      <c r="D90" s="25" t="str">
        <f>"0,5392"</f>
        <v>0,5392</v>
      </c>
      <c r="E90" s="25" t="s">
        <v>28</v>
      </c>
      <c r="F90" s="25" t="s">
        <v>29</v>
      </c>
      <c r="G90" s="27" t="s">
        <v>245</v>
      </c>
      <c r="H90" s="27" t="s">
        <v>271</v>
      </c>
      <c r="I90" s="26" t="s">
        <v>329</v>
      </c>
      <c r="J90" s="26"/>
      <c r="K90" s="25" t="str">
        <f>"175,0"</f>
        <v>175,0</v>
      </c>
      <c r="L90" s="27" t="str">
        <f>"103,0411"</f>
        <v>103,0411</v>
      </c>
      <c r="M90" s="25" t="s">
        <v>33</v>
      </c>
    </row>
    <row r="92" spans="1:12" ht="15">
      <c r="A92" s="54" t="s">
        <v>484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</row>
    <row r="93" spans="1:13" ht="12.75">
      <c r="A93" s="19" t="s">
        <v>785</v>
      </c>
      <c r="B93" s="19" t="s">
        <v>786</v>
      </c>
      <c r="C93" s="19" t="s">
        <v>310</v>
      </c>
      <c r="D93" s="19" t="str">
        <f>"0,5305"</f>
        <v>0,5305</v>
      </c>
      <c r="E93" s="19" t="s">
        <v>178</v>
      </c>
      <c r="F93" s="19" t="s">
        <v>29</v>
      </c>
      <c r="G93" s="21" t="s">
        <v>245</v>
      </c>
      <c r="H93" s="21" t="s">
        <v>329</v>
      </c>
      <c r="I93" s="21" t="s">
        <v>330</v>
      </c>
      <c r="J93" s="20"/>
      <c r="K93" s="19" t="str">
        <f>"190,0"</f>
        <v>190,0</v>
      </c>
      <c r="L93" s="21" t="str">
        <f>"100,7950"</f>
        <v>100,7950</v>
      </c>
      <c r="M93" s="19" t="s">
        <v>33</v>
      </c>
    </row>
    <row r="94" spans="1:13" ht="12.75">
      <c r="A94" s="25" t="s">
        <v>787</v>
      </c>
      <c r="B94" s="25" t="s">
        <v>565</v>
      </c>
      <c r="C94" s="25" t="s">
        <v>566</v>
      </c>
      <c r="D94" s="25" t="str">
        <f>"0,5296"</f>
        <v>0,5296</v>
      </c>
      <c r="E94" s="25" t="s">
        <v>28</v>
      </c>
      <c r="F94" s="25" t="s">
        <v>29</v>
      </c>
      <c r="G94" s="27" t="s">
        <v>271</v>
      </c>
      <c r="H94" s="27" t="s">
        <v>329</v>
      </c>
      <c r="I94" s="27" t="s">
        <v>481</v>
      </c>
      <c r="J94" s="26"/>
      <c r="K94" s="25" t="str">
        <f>"182,5"</f>
        <v>182,5</v>
      </c>
      <c r="L94" s="27" t="str">
        <f>"96,6520"</f>
        <v>96,6520</v>
      </c>
      <c r="M94" s="25" t="s">
        <v>33</v>
      </c>
    </row>
    <row r="96" ht="15">
      <c r="E96" s="8" t="s">
        <v>13</v>
      </c>
    </row>
    <row r="97" ht="15">
      <c r="E97" s="8" t="s">
        <v>14</v>
      </c>
    </row>
    <row r="98" ht="15">
      <c r="E98" s="8" t="s">
        <v>15</v>
      </c>
    </row>
    <row r="99" ht="15">
      <c r="E99" s="8" t="s">
        <v>16</v>
      </c>
    </row>
    <row r="100" ht="15">
      <c r="E100" s="8" t="s">
        <v>16</v>
      </c>
    </row>
    <row r="101" ht="15">
      <c r="E101" s="8" t="s">
        <v>17</v>
      </c>
    </row>
    <row r="102" ht="15">
      <c r="E102" s="8"/>
    </row>
    <row r="104" spans="1:2" ht="18">
      <c r="A104" s="9" t="s">
        <v>18</v>
      </c>
      <c r="B104" s="9"/>
    </row>
    <row r="105" spans="1:2" ht="15">
      <c r="A105" s="13" t="s">
        <v>133</v>
      </c>
      <c r="B105" s="13"/>
    </row>
    <row r="106" spans="1:2" ht="14.25">
      <c r="A106" s="15"/>
      <c r="B106" s="16" t="s">
        <v>204</v>
      </c>
    </row>
    <row r="107" spans="1:5" ht="15">
      <c r="A107" s="17" t="s">
        <v>36</v>
      </c>
      <c r="B107" s="17" t="s">
        <v>37</v>
      </c>
      <c r="C107" s="17" t="s">
        <v>38</v>
      </c>
      <c r="D107" s="17" t="s">
        <v>39</v>
      </c>
      <c r="E107" s="17" t="s">
        <v>40</v>
      </c>
    </row>
    <row r="108" spans="1:5" ht="12.75">
      <c r="A108" s="14" t="s">
        <v>616</v>
      </c>
      <c r="B108" s="4" t="s">
        <v>137</v>
      </c>
      <c r="C108" s="4" t="s">
        <v>140</v>
      </c>
      <c r="D108" s="4" t="s">
        <v>100</v>
      </c>
      <c r="E108" s="18" t="s">
        <v>788</v>
      </c>
    </row>
    <row r="109" spans="1:5" ht="12.75">
      <c r="A109" s="14" t="s">
        <v>628</v>
      </c>
      <c r="B109" s="4" t="s">
        <v>276</v>
      </c>
      <c r="C109" s="4" t="s">
        <v>41</v>
      </c>
      <c r="D109" s="4" t="s">
        <v>94</v>
      </c>
      <c r="E109" s="18" t="s">
        <v>789</v>
      </c>
    </row>
    <row r="110" spans="1:5" ht="12.75">
      <c r="A110" s="14" t="s">
        <v>632</v>
      </c>
      <c r="B110" s="4" t="s">
        <v>276</v>
      </c>
      <c r="C110" s="4" t="s">
        <v>138</v>
      </c>
      <c r="D110" s="4" t="s">
        <v>94</v>
      </c>
      <c r="E110" s="18" t="s">
        <v>790</v>
      </c>
    </row>
    <row r="112" spans="1:2" ht="14.25">
      <c r="A112" s="15"/>
      <c r="B112" s="16" t="s">
        <v>366</v>
      </c>
    </row>
    <row r="113" spans="1:5" ht="15">
      <c r="A113" s="17" t="s">
        <v>36</v>
      </c>
      <c r="B113" s="17" t="s">
        <v>37</v>
      </c>
      <c r="C113" s="17" t="s">
        <v>38</v>
      </c>
      <c r="D113" s="17" t="s">
        <v>39</v>
      </c>
      <c r="E113" s="17" t="s">
        <v>40</v>
      </c>
    </row>
    <row r="114" spans="1:5" ht="12.75">
      <c r="A114" s="14" t="s">
        <v>620</v>
      </c>
      <c r="B114" s="4" t="s">
        <v>143</v>
      </c>
      <c r="C114" s="4" t="s">
        <v>140</v>
      </c>
      <c r="D114" s="4" t="s">
        <v>101</v>
      </c>
      <c r="E114" s="18" t="s">
        <v>791</v>
      </c>
    </row>
    <row r="115" spans="1:5" ht="12.75">
      <c r="A115" s="14" t="s">
        <v>624</v>
      </c>
      <c r="B115" s="4" t="s">
        <v>143</v>
      </c>
      <c r="C115" s="4" t="s">
        <v>140</v>
      </c>
      <c r="D115" s="4" t="s">
        <v>81</v>
      </c>
      <c r="E115" s="18" t="s">
        <v>792</v>
      </c>
    </row>
    <row r="117" spans="1:2" ht="14.25">
      <c r="A117" s="15"/>
      <c r="B117" s="16" t="s">
        <v>35</v>
      </c>
    </row>
    <row r="118" spans="1:5" ht="15">
      <c r="A118" s="17" t="s">
        <v>36</v>
      </c>
      <c r="B118" s="17" t="s">
        <v>37</v>
      </c>
      <c r="C118" s="17" t="s">
        <v>38</v>
      </c>
      <c r="D118" s="17" t="s">
        <v>39</v>
      </c>
      <c r="E118" s="17" t="s">
        <v>40</v>
      </c>
    </row>
    <row r="119" spans="1:5" ht="12.75">
      <c r="A119" s="14" t="s">
        <v>636</v>
      </c>
      <c r="B119" s="4" t="s">
        <v>35</v>
      </c>
      <c r="C119" s="4" t="s">
        <v>239</v>
      </c>
      <c r="D119" s="4" t="s">
        <v>32</v>
      </c>
      <c r="E119" s="18" t="s">
        <v>793</v>
      </c>
    </row>
    <row r="120" spans="1:5" ht="12.75">
      <c r="A120" s="14" t="s">
        <v>602</v>
      </c>
      <c r="B120" s="4" t="s">
        <v>35</v>
      </c>
      <c r="C120" s="4" t="s">
        <v>134</v>
      </c>
      <c r="D120" s="4" t="s">
        <v>101</v>
      </c>
      <c r="E120" s="18" t="s">
        <v>794</v>
      </c>
    </row>
    <row r="121" spans="1:5" ht="12.75">
      <c r="A121" s="14" t="s">
        <v>598</v>
      </c>
      <c r="B121" s="4" t="s">
        <v>35</v>
      </c>
      <c r="C121" s="4" t="s">
        <v>795</v>
      </c>
      <c r="D121" s="4" t="s">
        <v>62</v>
      </c>
      <c r="E121" s="18" t="s">
        <v>796</v>
      </c>
    </row>
    <row r="122" spans="1:5" ht="12.75">
      <c r="A122" s="14" t="s">
        <v>606</v>
      </c>
      <c r="B122" s="4" t="s">
        <v>35</v>
      </c>
      <c r="C122" s="4" t="s">
        <v>134</v>
      </c>
      <c r="D122" s="4" t="s">
        <v>93</v>
      </c>
      <c r="E122" s="18" t="s">
        <v>797</v>
      </c>
    </row>
    <row r="123" spans="1:5" ht="12.75">
      <c r="A123" s="14" t="s">
        <v>46</v>
      </c>
      <c r="B123" s="4" t="s">
        <v>35</v>
      </c>
      <c r="C123" s="4" t="s">
        <v>384</v>
      </c>
      <c r="D123" s="4" t="s">
        <v>70</v>
      </c>
      <c r="E123" s="18" t="s">
        <v>798</v>
      </c>
    </row>
    <row r="124" spans="1:5" ht="12.75">
      <c r="A124" s="14" t="s">
        <v>609</v>
      </c>
      <c r="B124" s="4" t="s">
        <v>35</v>
      </c>
      <c r="C124" s="4" t="s">
        <v>134</v>
      </c>
      <c r="D124" s="4" t="s">
        <v>61</v>
      </c>
      <c r="E124" s="18" t="s">
        <v>799</v>
      </c>
    </row>
    <row r="125" spans="1:5" ht="12.75">
      <c r="A125" s="14" t="s">
        <v>613</v>
      </c>
      <c r="B125" s="4" t="s">
        <v>35</v>
      </c>
      <c r="C125" s="4" t="s">
        <v>134</v>
      </c>
      <c r="D125" s="4" t="s">
        <v>61</v>
      </c>
      <c r="E125" s="18" t="s">
        <v>800</v>
      </c>
    </row>
    <row r="128" spans="1:2" ht="15">
      <c r="A128" s="13" t="s">
        <v>34</v>
      </c>
      <c r="B128" s="13"/>
    </row>
    <row r="129" spans="1:2" ht="14.25">
      <c r="A129" s="15"/>
      <c r="B129" s="16" t="s">
        <v>136</v>
      </c>
    </row>
    <row r="130" spans="1:5" ht="15">
      <c r="A130" s="17" t="s">
        <v>36</v>
      </c>
      <c r="B130" s="17" t="s">
        <v>37</v>
      </c>
      <c r="C130" s="17" t="s">
        <v>38</v>
      </c>
      <c r="D130" s="17" t="s">
        <v>39</v>
      </c>
      <c r="E130" s="17" t="s">
        <v>40</v>
      </c>
    </row>
    <row r="131" spans="1:5" ht="12.75">
      <c r="A131" s="14" t="s">
        <v>56</v>
      </c>
      <c r="B131" s="4" t="s">
        <v>137</v>
      </c>
      <c r="C131" s="4" t="s">
        <v>140</v>
      </c>
      <c r="D131" s="4" t="s">
        <v>225</v>
      </c>
      <c r="E131" s="18" t="s">
        <v>801</v>
      </c>
    </row>
    <row r="132" spans="1:5" ht="12.75">
      <c r="A132" s="14" t="s">
        <v>89</v>
      </c>
      <c r="B132" s="4" t="s">
        <v>137</v>
      </c>
      <c r="C132" s="4" t="s">
        <v>138</v>
      </c>
      <c r="D132" s="4" t="s">
        <v>232</v>
      </c>
      <c r="E132" s="18" t="s">
        <v>802</v>
      </c>
    </row>
    <row r="133" spans="1:5" ht="12.75">
      <c r="A133" s="14" t="s">
        <v>659</v>
      </c>
      <c r="B133" s="4" t="s">
        <v>363</v>
      </c>
      <c r="C133" s="4" t="s">
        <v>384</v>
      </c>
      <c r="D133" s="4" t="s">
        <v>201</v>
      </c>
      <c r="E133" s="18" t="s">
        <v>803</v>
      </c>
    </row>
    <row r="134" spans="1:5" ht="12.75">
      <c r="A134" s="14" t="s">
        <v>670</v>
      </c>
      <c r="B134" s="4" t="s">
        <v>363</v>
      </c>
      <c r="C134" s="4" t="s">
        <v>41</v>
      </c>
      <c r="D134" s="4" t="s">
        <v>196</v>
      </c>
      <c r="E134" s="18" t="s">
        <v>804</v>
      </c>
    </row>
    <row r="135" spans="1:5" ht="12.75">
      <c r="A135" s="14" t="s">
        <v>716</v>
      </c>
      <c r="B135" s="4" t="s">
        <v>137</v>
      </c>
      <c r="C135" s="4" t="s">
        <v>239</v>
      </c>
      <c r="D135" s="4" t="s">
        <v>225</v>
      </c>
      <c r="E135" s="18" t="s">
        <v>805</v>
      </c>
    </row>
    <row r="136" spans="1:5" ht="12.75">
      <c r="A136" s="14" t="s">
        <v>639</v>
      </c>
      <c r="B136" s="4" t="s">
        <v>498</v>
      </c>
      <c r="C136" s="4" t="s">
        <v>496</v>
      </c>
      <c r="D136" s="4" t="s">
        <v>52</v>
      </c>
      <c r="E136" s="18" t="s">
        <v>806</v>
      </c>
    </row>
    <row r="137" spans="1:5" ht="12.75">
      <c r="A137" s="14" t="s">
        <v>652</v>
      </c>
      <c r="B137" s="4" t="s">
        <v>498</v>
      </c>
      <c r="C137" s="4" t="s">
        <v>384</v>
      </c>
      <c r="D137" s="4" t="s">
        <v>179</v>
      </c>
      <c r="E137" s="18" t="s">
        <v>807</v>
      </c>
    </row>
    <row r="138" spans="1:5" ht="12.75">
      <c r="A138" s="14" t="s">
        <v>663</v>
      </c>
      <c r="B138" s="4" t="s">
        <v>498</v>
      </c>
      <c r="C138" s="4" t="s">
        <v>140</v>
      </c>
      <c r="D138" s="4" t="s">
        <v>117</v>
      </c>
      <c r="E138" s="18" t="s">
        <v>808</v>
      </c>
    </row>
    <row r="139" spans="1:5" ht="12.75">
      <c r="A139" s="14" t="s">
        <v>643</v>
      </c>
      <c r="B139" s="4" t="s">
        <v>498</v>
      </c>
      <c r="C139" s="4" t="s">
        <v>496</v>
      </c>
      <c r="D139" s="4" t="s">
        <v>647</v>
      </c>
      <c r="E139" s="18" t="s">
        <v>809</v>
      </c>
    </row>
    <row r="140" spans="1:5" ht="12.75">
      <c r="A140" s="14" t="s">
        <v>655</v>
      </c>
      <c r="B140" s="4" t="s">
        <v>498</v>
      </c>
      <c r="C140" s="4" t="s">
        <v>384</v>
      </c>
      <c r="D140" s="4" t="s">
        <v>53</v>
      </c>
      <c r="E140" s="18" t="s">
        <v>810</v>
      </c>
    </row>
    <row r="141" spans="1:5" ht="12.75">
      <c r="A141" s="14" t="s">
        <v>667</v>
      </c>
      <c r="B141" s="4" t="s">
        <v>498</v>
      </c>
      <c r="C141" s="4" t="s">
        <v>140</v>
      </c>
      <c r="D141" s="4" t="s">
        <v>179</v>
      </c>
      <c r="E141" s="18" t="s">
        <v>811</v>
      </c>
    </row>
    <row r="143" spans="1:2" ht="14.25">
      <c r="A143" s="15"/>
      <c r="B143" s="16" t="s">
        <v>142</v>
      </c>
    </row>
    <row r="144" spans="1:5" ht="15">
      <c r="A144" s="17" t="s">
        <v>36</v>
      </c>
      <c r="B144" s="17" t="s">
        <v>37</v>
      </c>
      <c r="C144" s="17" t="s">
        <v>38</v>
      </c>
      <c r="D144" s="17" t="s">
        <v>39</v>
      </c>
      <c r="E144" s="17" t="s">
        <v>40</v>
      </c>
    </row>
    <row r="145" spans="1:5" ht="12.75">
      <c r="A145" s="14" t="s">
        <v>719</v>
      </c>
      <c r="B145" s="4" t="s">
        <v>143</v>
      </c>
      <c r="C145" s="4" t="s">
        <v>239</v>
      </c>
      <c r="D145" s="4" t="s">
        <v>304</v>
      </c>
      <c r="E145" s="18" t="s">
        <v>812</v>
      </c>
    </row>
    <row r="146" spans="1:5" ht="12.75">
      <c r="A146" s="14" t="s">
        <v>64</v>
      </c>
      <c r="B146" s="4" t="s">
        <v>143</v>
      </c>
      <c r="C146" s="4" t="s">
        <v>41</v>
      </c>
      <c r="D146" s="4" t="s">
        <v>32</v>
      </c>
      <c r="E146" s="18" t="s">
        <v>813</v>
      </c>
    </row>
    <row r="147" spans="1:5" ht="12.75">
      <c r="A147" s="14" t="s">
        <v>675</v>
      </c>
      <c r="B147" s="4" t="s">
        <v>143</v>
      </c>
      <c r="C147" s="4" t="s">
        <v>41</v>
      </c>
      <c r="D147" s="4" t="s">
        <v>227</v>
      </c>
      <c r="E147" s="18" t="s">
        <v>814</v>
      </c>
    </row>
    <row r="149" spans="1:2" ht="14.25">
      <c r="A149" s="15"/>
      <c r="B149" s="16" t="s">
        <v>35</v>
      </c>
    </row>
    <row r="150" spans="1:5" ht="15">
      <c r="A150" s="17" t="s">
        <v>36</v>
      </c>
      <c r="B150" s="17" t="s">
        <v>37</v>
      </c>
      <c r="C150" s="17" t="s">
        <v>38</v>
      </c>
      <c r="D150" s="17" t="s">
        <v>39</v>
      </c>
      <c r="E150" s="17" t="s">
        <v>40</v>
      </c>
    </row>
    <row r="151" spans="1:5" ht="12.75">
      <c r="A151" s="14" t="s">
        <v>723</v>
      </c>
      <c r="B151" s="4" t="s">
        <v>35</v>
      </c>
      <c r="C151" s="4" t="s">
        <v>239</v>
      </c>
      <c r="D151" s="4" t="s">
        <v>330</v>
      </c>
      <c r="E151" s="18" t="s">
        <v>815</v>
      </c>
    </row>
    <row r="152" spans="1:5" ht="12.75">
      <c r="A152" s="14" t="s">
        <v>769</v>
      </c>
      <c r="B152" s="4" t="s">
        <v>35</v>
      </c>
      <c r="C152" s="4" t="s">
        <v>148</v>
      </c>
      <c r="D152" s="4" t="s">
        <v>237</v>
      </c>
      <c r="E152" s="18" t="s">
        <v>816</v>
      </c>
    </row>
    <row r="153" spans="1:5" ht="12.75">
      <c r="A153" s="14" t="s">
        <v>784</v>
      </c>
      <c r="B153" s="4" t="s">
        <v>35</v>
      </c>
      <c r="C153" s="4" t="s">
        <v>513</v>
      </c>
      <c r="D153" s="4" t="s">
        <v>330</v>
      </c>
      <c r="E153" s="18" t="s">
        <v>817</v>
      </c>
    </row>
    <row r="154" spans="1:5" ht="12.75">
      <c r="A154" s="14" t="s">
        <v>690</v>
      </c>
      <c r="B154" s="4" t="s">
        <v>35</v>
      </c>
      <c r="C154" s="4" t="s">
        <v>138</v>
      </c>
      <c r="D154" s="4" t="s">
        <v>270</v>
      </c>
      <c r="E154" s="18" t="s">
        <v>818</v>
      </c>
    </row>
    <row r="155" spans="1:5" ht="12.75">
      <c r="A155" s="14" t="s">
        <v>772</v>
      </c>
      <c r="B155" s="4" t="s">
        <v>35</v>
      </c>
      <c r="C155" s="4" t="s">
        <v>148</v>
      </c>
      <c r="D155" s="4" t="s">
        <v>481</v>
      </c>
      <c r="E155" s="18" t="s">
        <v>819</v>
      </c>
    </row>
    <row r="156" spans="1:5" ht="12.75">
      <c r="A156" s="14" t="s">
        <v>563</v>
      </c>
      <c r="B156" s="4" t="s">
        <v>35</v>
      </c>
      <c r="C156" s="4" t="s">
        <v>513</v>
      </c>
      <c r="D156" s="4" t="s">
        <v>481</v>
      </c>
      <c r="E156" s="18" t="s">
        <v>820</v>
      </c>
    </row>
    <row r="157" spans="1:5" ht="12.75">
      <c r="A157" s="14" t="s">
        <v>102</v>
      </c>
      <c r="B157" s="4" t="s">
        <v>35</v>
      </c>
      <c r="C157" s="4" t="s">
        <v>138</v>
      </c>
      <c r="D157" s="4" t="s">
        <v>269</v>
      </c>
      <c r="E157" s="18" t="s">
        <v>821</v>
      </c>
    </row>
    <row r="158" spans="1:5" ht="12.75">
      <c r="A158" s="14" t="s">
        <v>679</v>
      </c>
      <c r="B158" s="4" t="s">
        <v>35</v>
      </c>
      <c r="C158" s="4" t="s">
        <v>41</v>
      </c>
      <c r="D158" s="4" t="s">
        <v>304</v>
      </c>
      <c r="E158" s="18" t="s">
        <v>822</v>
      </c>
    </row>
    <row r="159" spans="1:5" ht="12.75">
      <c r="A159" s="14" t="s">
        <v>750</v>
      </c>
      <c r="B159" s="4" t="s">
        <v>35</v>
      </c>
      <c r="C159" s="4" t="s">
        <v>156</v>
      </c>
      <c r="D159" s="4" t="s">
        <v>245</v>
      </c>
      <c r="E159" s="18" t="s">
        <v>823</v>
      </c>
    </row>
    <row r="160" spans="1:5" ht="12.75">
      <c r="A160" s="14" t="s">
        <v>727</v>
      </c>
      <c r="B160" s="4" t="s">
        <v>35</v>
      </c>
      <c r="C160" s="4" t="s">
        <v>239</v>
      </c>
      <c r="D160" s="4" t="s">
        <v>270</v>
      </c>
      <c r="E160" s="18" t="s">
        <v>824</v>
      </c>
    </row>
    <row r="161" spans="1:5" ht="12.75">
      <c r="A161" s="14" t="s">
        <v>754</v>
      </c>
      <c r="B161" s="4" t="s">
        <v>35</v>
      </c>
      <c r="C161" s="4" t="s">
        <v>156</v>
      </c>
      <c r="D161" s="4" t="s">
        <v>242</v>
      </c>
      <c r="E161" s="18" t="s">
        <v>825</v>
      </c>
    </row>
    <row r="162" spans="1:5" ht="12.75">
      <c r="A162" s="14" t="s">
        <v>777</v>
      </c>
      <c r="B162" s="4" t="s">
        <v>35</v>
      </c>
      <c r="C162" s="4" t="s">
        <v>148</v>
      </c>
      <c r="D162" s="4" t="s">
        <v>462</v>
      </c>
      <c r="E162" s="18" t="s">
        <v>826</v>
      </c>
    </row>
    <row r="163" spans="1:5" ht="12.75">
      <c r="A163" s="14" t="s">
        <v>693</v>
      </c>
      <c r="B163" s="4" t="s">
        <v>35</v>
      </c>
      <c r="C163" s="4" t="s">
        <v>138</v>
      </c>
      <c r="D163" s="4" t="s">
        <v>304</v>
      </c>
      <c r="E163" s="18" t="s">
        <v>827</v>
      </c>
    </row>
    <row r="164" spans="1:5" ht="12.75">
      <c r="A164" s="14" t="s">
        <v>757</v>
      </c>
      <c r="B164" s="4" t="s">
        <v>35</v>
      </c>
      <c r="C164" s="4" t="s">
        <v>156</v>
      </c>
      <c r="D164" s="4" t="s">
        <v>311</v>
      </c>
      <c r="E164" s="18" t="s">
        <v>828</v>
      </c>
    </row>
    <row r="165" spans="1:5" ht="12.75">
      <c r="A165" s="14" t="s">
        <v>698</v>
      </c>
      <c r="B165" s="4" t="s">
        <v>35</v>
      </c>
      <c r="C165" s="4" t="s">
        <v>138</v>
      </c>
      <c r="D165" s="4" t="s">
        <v>304</v>
      </c>
      <c r="E165" s="18" t="s">
        <v>829</v>
      </c>
    </row>
    <row r="166" spans="1:5" ht="12.75">
      <c r="A166" s="14" t="s">
        <v>1345</v>
      </c>
      <c r="B166" s="4" t="s">
        <v>35</v>
      </c>
      <c r="C166" s="4" t="s">
        <v>239</v>
      </c>
      <c r="D166" s="4" t="s">
        <v>208</v>
      </c>
      <c r="E166" s="18" t="s">
        <v>830</v>
      </c>
    </row>
    <row r="167" spans="1:5" ht="12.75">
      <c r="A167" s="14" t="s">
        <v>732</v>
      </c>
      <c r="B167" s="4" t="s">
        <v>35</v>
      </c>
      <c r="C167" s="4" t="s">
        <v>239</v>
      </c>
      <c r="D167" s="4" t="s">
        <v>304</v>
      </c>
      <c r="E167" s="18" t="s">
        <v>831</v>
      </c>
    </row>
    <row r="168" spans="1:5" ht="12.75">
      <c r="A168" s="14" t="s">
        <v>648</v>
      </c>
      <c r="B168" s="4" t="s">
        <v>35</v>
      </c>
      <c r="C168" s="4" t="s">
        <v>138</v>
      </c>
      <c r="D168" s="4" t="s">
        <v>255</v>
      </c>
      <c r="E168" s="18" t="s">
        <v>832</v>
      </c>
    </row>
    <row r="169" spans="1:5" ht="12.75">
      <c r="A169" s="14" t="s">
        <v>704</v>
      </c>
      <c r="B169" s="4" t="s">
        <v>35</v>
      </c>
      <c r="C169" s="4" t="s">
        <v>138</v>
      </c>
      <c r="D169" s="4" t="s">
        <v>298</v>
      </c>
      <c r="E169" s="18" t="s">
        <v>833</v>
      </c>
    </row>
    <row r="170" spans="1:5" ht="12.75">
      <c r="A170" s="14" t="s">
        <v>708</v>
      </c>
      <c r="B170" s="4" t="s">
        <v>35</v>
      </c>
      <c r="C170" s="4" t="s">
        <v>138</v>
      </c>
      <c r="D170" s="4" t="s">
        <v>297</v>
      </c>
      <c r="E170" s="18" t="s">
        <v>834</v>
      </c>
    </row>
    <row r="171" spans="1:5" ht="12.75">
      <c r="A171" s="14" t="s">
        <v>761</v>
      </c>
      <c r="B171" s="4" t="s">
        <v>35</v>
      </c>
      <c r="C171" s="4" t="s">
        <v>156</v>
      </c>
      <c r="D171" s="4" t="s">
        <v>255</v>
      </c>
      <c r="E171" s="18" t="s">
        <v>835</v>
      </c>
    </row>
    <row r="172" spans="1:5" ht="12.75">
      <c r="A172" s="14" t="s">
        <v>735</v>
      </c>
      <c r="B172" s="4" t="s">
        <v>35</v>
      </c>
      <c r="C172" s="4" t="s">
        <v>239</v>
      </c>
      <c r="D172" s="4" t="s">
        <v>298</v>
      </c>
      <c r="E172" s="18" t="s">
        <v>836</v>
      </c>
    </row>
    <row r="174" spans="1:2" ht="14.25">
      <c r="A174" s="15"/>
      <c r="B174" s="16" t="s">
        <v>152</v>
      </c>
    </row>
    <row r="175" spans="1:5" ht="15">
      <c r="A175" s="17" t="s">
        <v>36</v>
      </c>
      <c r="B175" s="17" t="s">
        <v>37</v>
      </c>
      <c r="C175" s="17" t="s">
        <v>38</v>
      </c>
      <c r="D175" s="17" t="s">
        <v>39</v>
      </c>
      <c r="E175" s="17" t="s">
        <v>40</v>
      </c>
    </row>
    <row r="176" spans="1:5" ht="12.75">
      <c r="A176" s="14" t="s">
        <v>687</v>
      </c>
      <c r="B176" s="4" t="s">
        <v>569</v>
      </c>
      <c r="C176" s="4" t="s">
        <v>41</v>
      </c>
      <c r="D176" s="4" t="s">
        <v>31</v>
      </c>
      <c r="E176" s="18" t="s">
        <v>837</v>
      </c>
    </row>
    <row r="177" spans="1:5" ht="12.75">
      <c r="A177" s="14" t="s">
        <v>683</v>
      </c>
      <c r="B177" s="4" t="s">
        <v>153</v>
      </c>
      <c r="C177" s="4" t="s">
        <v>41</v>
      </c>
      <c r="D177" s="4" t="s">
        <v>686</v>
      </c>
      <c r="E177" s="18" t="s">
        <v>838</v>
      </c>
    </row>
    <row r="178" spans="1:5" ht="12.75">
      <c r="A178" s="14" t="s">
        <v>746</v>
      </c>
      <c r="B178" s="4" t="s">
        <v>839</v>
      </c>
      <c r="C178" s="4" t="s">
        <v>239</v>
      </c>
      <c r="D178" s="4" t="s">
        <v>30</v>
      </c>
      <c r="E178" s="18" t="s">
        <v>840</v>
      </c>
    </row>
    <row r="179" spans="1:5" ht="12.75">
      <c r="A179" s="14" t="s">
        <v>780</v>
      </c>
      <c r="B179" s="4" t="s">
        <v>244</v>
      </c>
      <c r="C179" s="4" t="s">
        <v>148</v>
      </c>
      <c r="D179" s="4" t="s">
        <v>271</v>
      </c>
      <c r="E179" s="18" t="s">
        <v>841</v>
      </c>
    </row>
    <row r="180" spans="1:5" ht="12.75">
      <c r="A180" s="14" t="s">
        <v>765</v>
      </c>
      <c r="B180" s="4" t="s">
        <v>155</v>
      </c>
      <c r="C180" s="4" t="s">
        <v>156</v>
      </c>
      <c r="D180" s="4" t="s">
        <v>270</v>
      </c>
      <c r="E180" s="18" t="s">
        <v>842</v>
      </c>
    </row>
    <row r="181" spans="1:5" ht="12.75">
      <c r="A181" s="14" t="s">
        <v>739</v>
      </c>
      <c r="B181" s="4" t="s">
        <v>155</v>
      </c>
      <c r="C181" s="4" t="s">
        <v>239</v>
      </c>
      <c r="D181" s="4" t="s">
        <v>269</v>
      </c>
      <c r="E181" s="18" t="s">
        <v>843</v>
      </c>
    </row>
    <row r="182" spans="1:5" ht="12.75">
      <c r="A182" s="14" t="s">
        <v>742</v>
      </c>
      <c r="B182" s="4" t="s">
        <v>244</v>
      </c>
      <c r="C182" s="4" t="s">
        <v>239</v>
      </c>
      <c r="D182" s="4" t="s">
        <v>256</v>
      </c>
      <c r="E182" s="18" t="s">
        <v>844</v>
      </c>
    </row>
    <row r="183" spans="1:5" ht="12.75">
      <c r="A183" s="14" t="s">
        <v>119</v>
      </c>
      <c r="B183" s="4" t="s">
        <v>155</v>
      </c>
      <c r="C183" s="4" t="s">
        <v>156</v>
      </c>
      <c r="D183" s="4" t="s">
        <v>299</v>
      </c>
      <c r="E183" s="18" t="s">
        <v>845</v>
      </c>
    </row>
    <row r="184" spans="1:5" ht="12.75">
      <c r="A184" s="14" t="s">
        <v>82</v>
      </c>
      <c r="B184" s="4" t="s">
        <v>155</v>
      </c>
      <c r="C184" s="4" t="s">
        <v>41</v>
      </c>
      <c r="D184" s="4" t="s">
        <v>203</v>
      </c>
      <c r="E184" s="18" t="s">
        <v>846</v>
      </c>
    </row>
    <row r="189" spans="1:2" ht="18">
      <c r="A189" s="9" t="s">
        <v>159</v>
      </c>
      <c r="B189" s="9"/>
    </row>
    <row r="190" spans="1:3" ht="15">
      <c r="A190" s="17" t="s">
        <v>160</v>
      </c>
      <c r="B190" s="17" t="s">
        <v>161</v>
      </c>
      <c r="C190" s="17" t="s">
        <v>162</v>
      </c>
    </row>
    <row r="191" spans="1:3" ht="12.75">
      <c r="A191" s="4" t="s">
        <v>68</v>
      </c>
      <c r="B191" s="4" t="s">
        <v>847</v>
      </c>
      <c r="C191" s="4" t="s">
        <v>848</v>
      </c>
    </row>
    <row r="192" spans="1:3" ht="12.75">
      <c r="A192" s="4" t="s">
        <v>116</v>
      </c>
      <c r="B192" s="4" t="s">
        <v>849</v>
      </c>
      <c r="C192" s="4" t="s">
        <v>850</v>
      </c>
    </row>
    <row r="193" spans="1:3" ht="12.75">
      <c r="A193" s="4" t="s">
        <v>86</v>
      </c>
      <c r="B193" s="4" t="s">
        <v>851</v>
      </c>
      <c r="C193" s="4" t="s">
        <v>852</v>
      </c>
    </row>
    <row r="194" spans="1:3" ht="12.75">
      <c r="A194" s="4" t="s">
        <v>106</v>
      </c>
      <c r="B194" s="4" t="s">
        <v>853</v>
      </c>
      <c r="C194" s="4" t="s">
        <v>854</v>
      </c>
    </row>
    <row r="195" spans="1:3" ht="12.75">
      <c r="A195" s="4" t="s">
        <v>178</v>
      </c>
      <c r="B195" s="4" t="s">
        <v>165</v>
      </c>
      <c r="C195" s="4" t="s">
        <v>855</v>
      </c>
    </row>
    <row r="196" spans="1:3" ht="12.75">
      <c r="A196" s="4" t="s">
        <v>556</v>
      </c>
      <c r="B196" s="4" t="s">
        <v>216</v>
      </c>
      <c r="C196" s="4" t="s">
        <v>856</v>
      </c>
    </row>
  </sheetData>
  <sheetProtection/>
  <mergeCells count="27">
    <mergeCell ref="A1:M2"/>
    <mergeCell ref="A3:A4"/>
    <mergeCell ref="B3:B4"/>
    <mergeCell ref="C3:C4"/>
    <mergeCell ref="D3:D4"/>
    <mergeCell ref="E3:E4"/>
    <mergeCell ref="F3:F4"/>
    <mergeCell ref="G3:J3"/>
    <mergeCell ref="A36:L36"/>
    <mergeCell ref="K3:K4"/>
    <mergeCell ref="L3:L4"/>
    <mergeCell ref="M3:M4"/>
    <mergeCell ref="A5:L5"/>
    <mergeCell ref="A8:L8"/>
    <mergeCell ref="A11:L11"/>
    <mergeCell ref="A17:L17"/>
    <mergeCell ref="A22:L22"/>
    <mergeCell ref="A25:L25"/>
    <mergeCell ref="A28:L28"/>
    <mergeCell ref="A31:L31"/>
    <mergeCell ref="A92:L92"/>
    <mergeCell ref="A41:L41"/>
    <mergeCell ref="A46:L46"/>
    <mergeCell ref="A55:L55"/>
    <mergeCell ref="A66:L66"/>
    <mergeCell ref="A78:L78"/>
    <mergeCell ref="A86:L86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18.00390625" style="4" customWidth="1"/>
    <col min="6" max="6" width="34.3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1.625" style="4" bestFit="1" customWidth="1"/>
    <col min="14" max="16384" width="9.125" style="3" customWidth="1"/>
  </cols>
  <sheetData>
    <row r="1" spans="1:13" s="2" customFormat="1" ht="28.5" customHeight="1">
      <c r="A1" s="53" t="s">
        <v>578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10</v>
      </c>
      <c r="C3" s="48" t="s">
        <v>11</v>
      </c>
      <c r="D3" s="50" t="s">
        <v>21</v>
      </c>
      <c r="E3" s="50" t="s">
        <v>7</v>
      </c>
      <c r="F3" s="50" t="s">
        <v>12</v>
      </c>
      <c r="G3" s="50" t="s">
        <v>249</v>
      </c>
      <c r="H3" s="50"/>
      <c r="I3" s="50"/>
      <c r="J3" s="50"/>
      <c r="K3" s="50" t="s">
        <v>19</v>
      </c>
      <c r="L3" s="50" t="s">
        <v>6</v>
      </c>
      <c r="M3" s="38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8</v>
      </c>
      <c r="K4" s="49"/>
      <c r="L4" s="49"/>
      <c r="M4" s="39"/>
    </row>
    <row r="5" spans="1:12" ht="15">
      <c r="A5" s="51" t="s">
        <v>219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3" ht="12.75">
      <c r="A6" s="19" t="s">
        <v>580</v>
      </c>
      <c r="B6" s="19" t="s">
        <v>581</v>
      </c>
      <c r="C6" s="19" t="s">
        <v>582</v>
      </c>
      <c r="D6" s="19" t="str">
        <f>"0,5893"</f>
        <v>0,5893</v>
      </c>
      <c r="E6" s="19" t="s">
        <v>28</v>
      </c>
      <c r="F6" s="19" t="s">
        <v>403</v>
      </c>
      <c r="G6" s="21" t="s">
        <v>266</v>
      </c>
      <c r="H6" s="21" t="s">
        <v>583</v>
      </c>
      <c r="I6" s="20" t="s">
        <v>584</v>
      </c>
      <c r="J6" s="20"/>
      <c r="K6" s="19" t="str">
        <f>"207,5"</f>
        <v>207,5</v>
      </c>
      <c r="L6" s="21" t="str">
        <f>"122,2797"</f>
        <v>122,2797</v>
      </c>
      <c r="M6" s="19" t="s">
        <v>33</v>
      </c>
    </row>
    <row r="7" spans="1:13" ht="12.75">
      <c r="A7" s="25" t="s">
        <v>586</v>
      </c>
      <c r="B7" s="25" t="s">
        <v>587</v>
      </c>
      <c r="C7" s="25" t="s">
        <v>588</v>
      </c>
      <c r="D7" s="25" t="str">
        <f>"0,6013"</f>
        <v>0,6013</v>
      </c>
      <c r="E7" s="25" t="s">
        <v>28</v>
      </c>
      <c r="F7" s="25" t="s">
        <v>403</v>
      </c>
      <c r="G7" s="27" t="s">
        <v>329</v>
      </c>
      <c r="H7" s="26" t="s">
        <v>583</v>
      </c>
      <c r="I7" s="26" t="s">
        <v>583</v>
      </c>
      <c r="J7" s="26"/>
      <c r="K7" s="25" t="str">
        <f>"180,0"</f>
        <v>180,0</v>
      </c>
      <c r="L7" s="27" t="str">
        <f>"108,2340"</f>
        <v>108,2340</v>
      </c>
      <c r="M7" s="25" t="s">
        <v>33</v>
      </c>
    </row>
    <row r="9" spans="1:12" ht="15">
      <c r="A9" s="54" t="s">
        <v>118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3" ht="12.75">
      <c r="A10" s="10" t="s">
        <v>590</v>
      </c>
      <c r="B10" s="10" t="s">
        <v>591</v>
      </c>
      <c r="C10" s="10" t="s">
        <v>592</v>
      </c>
      <c r="D10" s="10" t="str">
        <f>"0,5648"</f>
        <v>0,5648</v>
      </c>
      <c r="E10" s="10" t="s">
        <v>28</v>
      </c>
      <c r="F10" s="10" t="s">
        <v>403</v>
      </c>
      <c r="G10" s="12" t="s">
        <v>270</v>
      </c>
      <c r="H10" s="11" t="s">
        <v>329</v>
      </c>
      <c r="I10" s="11" t="s">
        <v>329</v>
      </c>
      <c r="J10" s="11"/>
      <c r="K10" s="10" t="str">
        <f>"160,0"</f>
        <v>160,0</v>
      </c>
      <c r="L10" s="12" t="str">
        <f>"90,3680"</f>
        <v>90,3680</v>
      </c>
      <c r="M10" s="10" t="s">
        <v>404</v>
      </c>
    </row>
    <row r="12" ht="15">
      <c r="E12" s="8" t="s">
        <v>13</v>
      </c>
    </row>
    <row r="13" ht="15">
      <c r="E13" s="8" t="s">
        <v>14</v>
      </c>
    </row>
    <row r="14" ht="15">
      <c r="E14" s="8" t="s">
        <v>15</v>
      </c>
    </row>
    <row r="15" ht="15">
      <c r="E15" s="8" t="s">
        <v>16</v>
      </c>
    </row>
    <row r="16" ht="15">
      <c r="E16" s="8" t="s">
        <v>16</v>
      </c>
    </row>
    <row r="17" ht="15">
      <c r="E17" s="8" t="s">
        <v>17</v>
      </c>
    </row>
    <row r="18" ht="15">
      <c r="E18" s="8"/>
    </row>
    <row r="20" spans="1:2" ht="18">
      <c r="A20" s="9" t="s">
        <v>18</v>
      </c>
      <c r="B20" s="9"/>
    </row>
    <row r="21" spans="1:2" ht="15">
      <c r="A21" s="13" t="s">
        <v>34</v>
      </c>
      <c r="B21" s="13"/>
    </row>
    <row r="22" spans="1:2" ht="14.25">
      <c r="A22" s="15"/>
      <c r="B22" s="16" t="s">
        <v>35</v>
      </c>
    </row>
    <row r="23" spans="1:5" ht="15">
      <c r="A23" s="17" t="s">
        <v>36</v>
      </c>
      <c r="B23" s="17" t="s">
        <v>37</v>
      </c>
      <c r="C23" s="17" t="s">
        <v>38</v>
      </c>
      <c r="D23" s="17" t="s">
        <v>39</v>
      </c>
      <c r="E23" s="17" t="s">
        <v>40</v>
      </c>
    </row>
    <row r="24" spans="1:5" ht="12.75">
      <c r="A24" s="14" t="s">
        <v>579</v>
      </c>
      <c r="B24" s="4" t="s">
        <v>35</v>
      </c>
      <c r="C24" s="4" t="s">
        <v>239</v>
      </c>
      <c r="D24" s="4" t="s">
        <v>583</v>
      </c>
      <c r="E24" s="18" t="s">
        <v>593</v>
      </c>
    </row>
    <row r="25" spans="1:5" ht="12.75">
      <c r="A25" s="14" t="s">
        <v>585</v>
      </c>
      <c r="B25" s="4" t="s">
        <v>35</v>
      </c>
      <c r="C25" s="4" t="s">
        <v>239</v>
      </c>
      <c r="D25" s="4" t="s">
        <v>329</v>
      </c>
      <c r="E25" s="18" t="s">
        <v>594</v>
      </c>
    </row>
    <row r="26" spans="1:5" ht="12.75">
      <c r="A26" s="14" t="s">
        <v>589</v>
      </c>
      <c r="B26" s="4" t="s">
        <v>35</v>
      </c>
      <c r="C26" s="4" t="s">
        <v>156</v>
      </c>
      <c r="D26" s="4" t="s">
        <v>270</v>
      </c>
      <c r="E26" s="18" t="s">
        <v>595</v>
      </c>
    </row>
  </sheetData>
  <sheetProtection/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9:L9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0.3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53" t="s">
        <v>572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10</v>
      </c>
      <c r="C3" s="48" t="s">
        <v>11</v>
      </c>
      <c r="D3" s="50" t="s">
        <v>21</v>
      </c>
      <c r="E3" s="50" t="s">
        <v>7</v>
      </c>
      <c r="F3" s="50" t="s">
        <v>12</v>
      </c>
      <c r="G3" s="50" t="s">
        <v>249</v>
      </c>
      <c r="H3" s="50"/>
      <c r="I3" s="50"/>
      <c r="J3" s="50"/>
      <c r="K3" s="50" t="s">
        <v>19</v>
      </c>
      <c r="L3" s="50" t="s">
        <v>6</v>
      </c>
      <c r="M3" s="38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8</v>
      </c>
      <c r="K4" s="49"/>
      <c r="L4" s="49"/>
      <c r="M4" s="39"/>
    </row>
    <row r="5" spans="1:12" ht="15">
      <c r="A5" s="51" t="s">
        <v>219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3" ht="12.75">
      <c r="A6" s="10" t="s">
        <v>574</v>
      </c>
      <c r="B6" s="10" t="s">
        <v>575</v>
      </c>
      <c r="C6" s="10" t="s">
        <v>576</v>
      </c>
      <c r="D6" s="10" t="str">
        <f>"0,6059"</f>
        <v>0,6059</v>
      </c>
      <c r="E6" s="10" t="s">
        <v>28</v>
      </c>
      <c r="F6" s="10" t="s">
        <v>99</v>
      </c>
      <c r="G6" s="12" t="s">
        <v>304</v>
      </c>
      <c r="H6" s="12" t="s">
        <v>269</v>
      </c>
      <c r="I6" s="11" t="s">
        <v>270</v>
      </c>
      <c r="J6" s="11"/>
      <c r="K6" s="10" t="str">
        <f>"150,0"</f>
        <v>150,0</v>
      </c>
      <c r="L6" s="12" t="str">
        <f>"91,1577"</f>
        <v>91,1577</v>
      </c>
      <c r="M6" s="10" t="s">
        <v>33</v>
      </c>
    </row>
    <row r="8" ht="15">
      <c r="E8" s="8" t="s">
        <v>13</v>
      </c>
    </row>
    <row r="9" ht="15">
      <c r="E9" s="8" t="s">
        <v>14</v>
      </c>
    </row>
    <row r="10" ht="15">
      <c r="E10" s="8" t="s">
        <v>15</v>
      </c>
    </row>
    <row r="11" ht="15">
      <c r="E11" s="8" t="s">
        <v>16</v>
      </c>
    </row>
    <row r="12" ht="15">
      <c r="E12" s="8" t="s">
        <v>16</v>
      </c>
    </row>
    <row r="13" ht="15">
      <c r="E13" s="8" t="s">
        <v>17</v>
      </c>
    </row>
    <row r="14" ht="15">
      <c r="E14" s="8"/>
    </row>
    <row r="16" spans="1:2" ht="18">
      <c r="A16" s="9" t="s">
        <v>18</v>
      </c>
      <c r="B16" s="9"/>
    </row>
    <row r="17" spans="1:2" ht="15">
      <c r="A17" s="13" t="s">
        <v>34</v>
      </c>
      <c r="B17" s="13"/>
    </row>
    <row r="18" spans="1:2" ht="14.25">
      <c r="A18" s="15"/>
      <c r="B18" s="16" t="s">
        <v>152</v>
      </c>
    </row>
    <row r="19" spans="1:5" ht="15">
      <c r="A19" s="17" t="s">
        <v>36</v>
      </c>
      <c r="B19" s="17" t="s">
        <v>37</v>
      </c>
      <c r="C19" s="17" t="s">
        <v>38</v>
      </c>
      <c r="D19" s="17" t="s">
        <v>39</v>
      </c>
      <c r="E19" s="17" t="s">
        <v>40</v>
      </c>
    </row>
    <row r="20" spans="1:5" ht="12.75">
      <c r="A20" s="14" t="s">
        <v>573</v>
      </c>
      <c r="B20" s="4" t="s">
        <v>155</v>
      </c>
      <c r="C20" s="4" t="s">
        <v>239</v>
      </c>
      <c r="D20" s="4" t="s">
        <v>269</v>
      </c>
      <c r="E20" s="18" t="s">
        <v>577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3.75390625" style="4" customWidth="1"/>
    <col min="4" max="4" width="9.25390625" style="4" bestFit="1" customWidth="1"/>
    <col min="5" max="5" width="19.625" style="4" customWidth="1"/>
    <col min="6" max="6" width="29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1.625" style="4" bestFit="1" customWidth="1"/>
    <col min="14" max="16384" width="9.125" style="3" customWidth="1"/>
  </cols>
  <sheetData>
    <row r="1" spans="1:13" s="2" customFormat="1" ht="28.5" customHeight="1">
      <c r="A1" s="53" t="s">
        <v>551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10</v>
      </c>
      <c r="C3" s="48" t="s">
        <v>11</v>
      </c>
      <c r="D3" s="50" t="s">
        <v>21</v>
      </c>
      <c r="E3" s="50" t="s">
        <v>7</v>
      </c>
      <c r="F3" s="50" t="s">
        <v>12</v>
      </c>
      <c r="G3" s="50" t="s">
        <v>249</v>
      </c>
      <c r="H3" s="50"/>
      <c r="I3" s="50"/>
      <c r="J3" s="50"/>
      <c r="K3" s="50" t="s">
        <v>19</v>
      </c>
      <c r="L3" s="50" t="s">
        <v>6</v>
      </c>
      <c r="M3" s="38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8</v>
      </c>
      <c r="K4" s="49"/>
      <c r="L4" s="49"/>
      <c r="M4" s="39"/>
    </row>
    <row r="5" spans="1:12" ht="15">
      <c r="A5" s="51" t="s">
        <v>55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3" ht="12.75">
      <c r="A6" s="10" t="s">
        <v>553</v>
      </c>
      <c r="B6" s="10" t="s">
        <v>554</v>
      </c>
      <c r="C6" s="10" t="s">
        <v>555</v>
      </c>
      <c r="D6" s="10" t="str">
        <f>"0,7327"</f>
        <v>0,7327</v>
      </c>
      <c r="E6" s="10" t="s">
        <v>556</v>
      </c>
      <c r="F6" s="10" t="s">
        <v>29</v>
      </c>
      <c r="G6" s="12" t="s">
        <v>557</v>
      </c>
      <c r="H6" s="11" t="s">
        <v>558</v>
      </c>
      <c r="I6" s="11" t="s">
        <v>32</v>
      </c>
      <c r="J6" s="11"/>
      <c r="K6" s="10" t="str">
        <f>"92,5"</f>
        <v>92,5</v>
      </c>
      <c r="L6" s="12" t="str">
        <f>"67,7747"</f>
        <v>67,7747</v>
      </c>
      <c r="M6" s="10" t="s">
        <v>259</v>
      </c>
    </row>
    <row r="8" spans="1:12" ht="15">
      <c r="A8" s="54" t="s">
        <v>219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3" ht="12.75">
      <c r="A9" s="10" t="s">
        <v>560</v>
      </c>
      <c r="B9" s="10" t="s">
        <v>561</v>
      </c>
      <c r="C9" s="10" t="s">
        <v>562</v>
      </c>
      <c r="D9" s="10" t="str">
        <f>"0,5857"</f>
        <v>0,5857</v>
      </c>
      <c r="E9" s="10" t="s">
        <v>28</v>
      </c>
      <c r="F9" s="10" t="s">
        <v>50</v>
      </c>
      <c r="G9" s="12" t="s">
        <v>31</v>
      </c>
      <c r="H9" s="12" t="s">
        <v>203</v>
      </c>
      <c r="I9" s="11" t="s">
        <v>224</v>
      </c>
      <c r="J9" s="11"/>
      <c r="K9" s="10" t="str">
        <f>"100,0"</f>
        <v>100,0</v>
      </c>
      <c r="L9" s="12" t="str">
        <f>"118,8971"</f>
        <v>118,8971</v>
      </c>
      <c r="M9" s="10" t="s">
        <v>33</v>
      </c>
    </row>
    <row r="11" spans="1:12" ht="15">
      <c r="A11" s="54" t="s">
        <v>484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3" ht="12.75">
      <c r="A12" s="10" t="s">
        <v>564</v>
      </c>
      <c r="B12" s="10" t="s">
        <v>565</v>
      </c>
      <c r="C12" s="10" t="s">
        <v>566</v>
      </c>
      <c r="D12" s="10" t="str">
        <f>"0,5296"</f>
        <v>0,5296</v>
      </c>
      <c r="E12" s="10" t="s">
        <v>28</v>
      </c>
      <c r="F12" s="10" t="s">
        <v>29</v>
      </c>
      <c r="G12" s="12" t="s">
        <v>270</v>
      </c>
      <c r="H12" s="12" t="s">
        <v>351</v>
      </c>
      <c r="I12" s="12" t="s">
        <v>245</v>
      </c>
      <c r="J12" s="11"/>
      <c r="K12" s="10" t="str">
        <f>"170,0"</f>
        <v>170,0</v>
      </c>
      <c r="L12" s="12" t="str">
        <f>"90,0320"</f>
        <v>90,0320</v>
      </c>
      <c r="M12" s="10" t="s">
        <v>33</v>
      </c>
    </row>
    <row r="14" ht="15">
      <c r="E14" s="8" t="s">
        <v>13</v>
      </c>
    </row>
    <row r="15" ht="15">
      <c r="E15" s="8" t="s">
        <v>14</v>
      </c>
    </row>
    <row r="16" ht="15">
      <c r="E16" s="8" t="s">
        <v>15</v>
      </c>
    </row>
    <row r="17" ht="15">
      <c r="E17" s="8" t="s">
        <v>16</v>
      </c>
    </row>
    <row r="18" ht="15">
      <c r="E18" s="8" t="s">
        <v>16</v>
      </c>
    </row>
    <row r="19" ht="15">
      <c r="E19" s="8" t="s">
        <v>17</v>
      </c>
    </row>
    <row r="20" ht="15">
      <c r="E20" s="8"/>
    </row>
    <row r="22" spans="1:2" ht="18">
      <c r="A22" s="9" t="s">
        <v>18</v>
      </c>
      <c r="B22" s="9"/>
    </row>
    <row r="23" spans="1:2" ht="15">
      <c r="A23" s="13" t="s">
        <v>34</v>
      </c>
      <c r="B23" s="13"/>
    </row>
    <row r="24" spans="1:2" ht="14.25">
      <c r="A24" s="15"/>
      <c r="B24" s="16" t="s">
        <v>35</v>
      </c>
    </row>
    <row r="25" spans="1:5" ht="15">
      <c r="A25" s="17" t="s">
        <v>36</v>
      </c>
      <c r="B25" s="17" t="s">
        <v>37</v>
      </c>
      <c r="C25" s="17" t="s">
        <v>38</v>
      </c>
      <c r="D25" s="17" t="s">
        <v>39</v>
      </c>
      <c r="E25" s="17" t="s">
        <v>40</v>
      </c>
    </row>
    <row r="26" spans="1:5" ht="12.75">
      <c r="A26" s="14" t="s">
        <v>563</v>
      </c>
      <c r="B26" s="4" t="s">
        <v>35</v>
      </c>
      <c r="C26" s="4" t="s">
        <v>513</v>
      </c>
      <c r="D26" s="4" t="s">
        <v>245</v>
      </c>
      <c r="E26" s="18" t="s">
        <v>567</v>
      </c>
    </row>
    <row r="27" spans="1:5" ht="12.75">
      <c r="A27" s="14" t="s">
        <v>552</v>
      </c>
      <c r="B27" s="4" t="s">
        <v>35</v>
      </c>
      <c r="C27" s="4" t="s">
        <v>140</v>
      </c>
      <c r="D27" s="4" t="s">
        <v>557</v>
      </c>
      <c r="E27" s="18" t="s">
        <v>568</v>
      </c>
    </row>
    <row r="29" spans="1:2" ht="14.25">
      <c r="A29" s="15"/>
      <c r="B29" s="16" t="s">
        <v>152</v>
      </c>
    </row>
    <row r="30" spans="1:5" ht="15">
      <c r="A30" s="17" t="s">
        <v>36</v>
      </c>
      <c r="B30" s="17" t="s">
        <v>37</v>
      </c>
      <c r="C30" s="17" t="s">
        <v>38</v>
      </c>
      <c r="D30" s="17" t="s">
        <v>39</v>
      </c>
      <c r="E30" s="17" t="s">
        <v>40</v>
      </c>
    </row>
    <row r="31" spans="1:5" ht="12.75">
      <c r="A31" s="14" t="s">
        <v>559</v>
      </c>
      <c r="B31" s="4" t="s">
        <v>569</v>
      </c>
      <c r="C31" s="4" t="s">
        <v>239</v>
      </c>
      <c r="D31" s="4" t="s">
        <v>203</v>
      </c>
      <c r="E31" s="18" t="s">
        <v>570</v>
      </c>
    </row>
    <row r="36" spans="1:2" ht="18">
      <c r="A36" s="9" t="s">
        <v>159</v>
      </c>
      <c r="B36" s="9"/>
    </row>
    <row r="37" spans="1:3" ht="15">
      <c r="A37" s="17" t="s">
        <v>160</v>
      </c>
      <c r="B37" s="17" t="s">
        <v>161</v>
      </c>
      <c r="C37" s="17" t="s">
        <v>162</v>
      </c>
    </row>
    <row r="38" spans="1:3" ht="12.75">
      <c r="A38" s="4" t="s">
        <v>556</v>
      </c>
      <c r="B38" s="4" t="s">
        <v>216</v>
      </c>
      <c r="C38" s="4" t="s">
        <v>571</v>
      </c>
    </row>
  </sheetData>
  <sheetProtection/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" width="28.00390625" style="4" customWidth="1"/>
    <col min="2" max="2" width="24.125" style="4" customWidth="1"/>
    <col min="3" max="3" width="18.125" style="4" customWidth="1"/>
    <col min="4" max="4" width="9.25390625" style="4" bestFit="1" customWidth="1"/>
    <col min="5" max="5" width="17.875" style="4" customWidth="1"/>
    <col min="6" max="6" width="25.375" style="4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11.625" style="4" bestFit="1" customWidth="1"/>
    <col min="22" max="16384" width="9.125" style="3" customWidth="1"/>
  </cols>
  <sheetData>
    <row r="1" spans="1:21" s="2" customFormat="1" ht="28.5" customHeight="1">
      <c r="A1" s="53" t="s">
        <v>1342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0</v>
      </c>
      <c r="B3" s="48" t="s">
        <v>10</v>
      </c>
      <c r="C3" s="48" t="s">
        <v>11</v>
      </c>
      <c r="D3" s="50" t="s">
        <v>21</v>
      </c>
      <c r="E3" s="50" t="s">
        <v>7</v>
      </c>
      <c r="F3" s="50" t="s">
        <v>12</v>
      </c>
      <c r="G3" s="50" t="s">
        <v>248</v>
      </c>
      <c r="H3" s="50"/>
      <c r="I3" s="50"/>
      <c r="J3" s="50"/>
      <c r="K3" s="50" t="s">
        <v>249</v>
      </c>
      <c r="L3" s="50"/>
      <c r="M3" s="50"/>
      <c r="N3" s="50"/>
      <c r="O3" s="50" t="s">
        <v>250</v>
      </c>
      <c r="P3" s="50"/>
      <c r="Q3" s="50"/>
      <c r="R3" s="50"/>
      <c r="S3" s="50" t="s">
        <v>4</v>
      </c>
      <c r="T3" s="50" t="s">
        <v>6</v>
      </c>
      <c r="U3" s="38" t="s">
        <v>5</v>
      </c>
    </row>
    <row r="4" spans="1:21" s="1" customFormat="1" ht="31.5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49"/>
      <c r="T4" s="49"/>
      <c r="U4" s="39"/>
    </row>
    <row r="5" spans="1:20" s="1" customFormat="1" ht="21" customHeight="1">
      <c r="A5" s="51" t="s">
        <v>55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s="1" customFormat="1" ht="21" customHeight="1" thickBot="1">
      <c r="A6" s="10" t="s">
        <v>252</v>
      </c>
      <c r="B6" s="10" t="s">
        <v>253</v>
      </c>
      <c r="C6" s="10" t="s">
        <v>254</v>
      </c>
      <c r="D6" s="10" t="str">
        <f>"0,7788"</f>
        <v>0,7788</v>
      </c>
      <c r="E6" s="10" t="s">
        <v>178</v>
      </c>
      <c r="F6" s="10" t="s">
        <v>29</v>
      </c>
      <c r="G6" s="12" t="s">
        <v>255</v>
      </c>
      <c r="H6" s="12" t="s">
        <v>256</v>
      </c>
      <c r="I6" s="12" t="s">
        <v>257</v>
      </c>
      <c r="J6" s="11"/>
      <c r="K6" s="11" t="s">
        <v>210</v>
      </c>
      <c r="L6" s="12" t="s">
        <v>210</v>
      </c>
      <c r="M6" s="12" t="s">
        <v>258</v>
      </c>
      <c r="N6" s="11"/>
      <c r="O6" s="12" t="s">
        <v>210</v>
      </c>
      <c r="P6" s="12" t="s">
        <v>255</v>
      </c>
      <c r="Q6" s="12" t="s">
        <v>256</v>
      </c>
      <c r="R6" s="11"/>
      <c r="S6" s="10" t="str">
        <f>"407,5"</f>
        <v>407,5</v>
      </c>
      <c r="T6" s="12" t="str">
        <f>"330,0343"</f>
        <v>330,0343</v>
      </c>
    </row>
    <row r="7" spans="1:20" ht="15">
      <c r="A7" s="51" t="s">
        <v>118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1" ht="12.75">
      <c r="A8" s="10" t="s">
        <v>528</v>
      </c>
      <c r="B8" s="10" t="s">
        <v>529</v>
      </c>
      <c r="C8" s="10" t="s">
        <v>530</v>
      </c>
      <c r="D8" s="10" t="str">
        <f>"0,5663"</f>
        <v>0,5663</v>
      </c>
      <c r="E8" s="10" t="s">
        <v>28</v>
      </c>
      <c r="F8" s="10" t="s">
        <v>265</v>
      </c>
      <c r="G8" s="11" t="s">
        <v>461</v>
      </c>
      <c r="H8" s="11" t="s">
        <v>461</v>
      </c>
      <c r="I8" s="12" t="s">
        <v>461</v>
      </c>
      <c r="J8" s="11"/>
      <c r="K8" s="12" t="s">
        <v>461</v>
      </c>
      <c r="L8" s="12" t="s">
        <v>463</v>
      </c>
      <c r="M8" s="12" t="s">
        <v>437</v>
      </c>
      <c r="N8" s="11"/>
      <c r="O8" s="12" t="s">
        <v>272</v>
      </c>
      <c r="P8" s="12" t="s">
        <v>268</v>
      </c>
      <c r="Q8" s="12" t="s">
        <v>531</v>
      </c>
      <c r="R8" s="11"/>
      <c r="S8" s="10" t="str">
        <f>"767,5"</f>
        <v>767,5</v>
      </c>
      <c r="T8" s="12" t="str">
        <f>"447,6743"</f>
        <v>447,6743</v>
      </c>
      <c r="U8" s="10" t="s">
        <v>33</v>
      </c>
    </row>
    <row r="10" spans="1:20" ht="15">
      <c r="A10" s="54" t="s">
        <v>484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</row>
    <row r="11" spans="1:21" ht="12.75">
      <c r="A11" s="10" t="s">
        <v>533</v>
      </c>
      <c r="B11" s="10" t="s">
        <v>534</v>
      </c>
      <c r="C11" s="10" t="s">
        <v>535</v>
      </c>
      <c r="D11" s="10" t="str">
        <f>"0,5302"</f>
        <v>0,5302</v>
      </c>
      <c r="E11" s="10" t="s">
        <v>178</v>
      </c>
      <c r="F11" s="10" t="s">
        <v>29</v>
      </c>
      <c r="G11" s="12" t="s">
        <v>461</v>
      </c>
      <c r="H11" s="12" t="s">
        <v>536</v>
      </c>
      <c r="I11" s="12" t="s">
        <v>475</v>
      </c>
      <c r="J11" s="11"/>
      <c r="K11" s="11" t="s">
        <v>463</v>
      </c>
      <c r="L11" s="12" t="s">
        <v>463</v>
      </c>
      <c r="M11" s="12" t="s">
        <v>475</v>
      </c>
      <c r="N11" s="11"/>
      <c r="O11" s="12" t="s">
        <v>268</v>
      </c>
      <c r="P11" s="11" t="s">
        <v>273</v>
      </c>
      <c r="Q11" s="11" t="s">
        <v>273</v>
      </c>
      <c r="R11" s="11"/>
      <c r="S11" s="10" t="str">
        <f>"780,0"</f>
        <v>780,0</v>
      </c>
      <c r="T11" s="12" t="str">
        <f>"413,5560"</f>
        <v>413,5560</v>
      </c>
      <c r="U11" s="10" t="s">
        <v>259</v>
      </c>
    </row>
    <row r="13" spans="1:20" ht="15">
      <c r="A13" s="54" t="s">
        <v>537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</row>
    <row r="14" spans="1:21" ht="12.75">
      <c r="A14" s="10" t="s">
        <v>539</v>
      </c>
      <c r="B14" s="10" t="s">
        <v>540</v>
      </c>
      <c r="C14" s="10" t="s">
        <v>541</v>
      </c>
      <c r="D14" s="10" t="str">
        <f>"0,4975"</f>
        <v>0,4975</v>
      </c>
      <c r="E14" s="10" t="s">
        <v>106</v>
      </c>
      <c r="F14" s="10" t="s">
        <v>87</v>
      </c>
      <c r="G14" s="12" t="s">
        <v>444</v>
      </c>
      <c r="H14" s="12" t="s">
        <v>268</v>
      </c>
      <c r="I14" s="12" t="s">
        <v>455</v>
      </c>
      <c r="J14" s="11"/>
      <c r="K14" s="12" t="s">
        <v>346</v>
      </c>
      <c r="L14" s="12" t="s">
        <v>455</v>
      </c>
      <c r="M14" s="11" t="s">
        <v>461</v>
      </c>
      <c r="N14" s="11"/>
      <c r="O14" s="12" t="s">
        <v>267</v>
      </c>
      <c r="P14" s="11"/>
      <c r="Q14" s="11"/>
      <c r="R14" s="11"/>
      <c r="S14" s="10" t="str">
        <f>"700,0"</f>
        <v>700,0</v>
      </c>
      <c r="T14" s="12" t="str">
        <f>"359,0458"</f>
        <v>359,0458</v>
      </c>
      <c r="U14" s="10" t="s">
        <v>33</v>
      </c>
    </row>
    <row r="16" ht="15">
      <c r="E16" s="8" t="s">
        <v>13</v>
      </c>
    </row>
    <row r="17" ht="15">
      <c r="E17" s="8" t="s">
        <v>14</v>
      </c>
    </row>
    <row r="18" ht="15">
      <c r="E18" s="8" t="s">
        <v>15</v>
      </c>
    </row>
    <row r="19" ht="15">
      <c r="E19" s="8" t="s">
        <v>16</v>
      </c>
    </row>
    <row r="20" ht="15">
      <c r="E20" s="8" t="s">
        <v>16</v>
      </c>
    </row>
    <row r="21" ht="15">
      <c r="E21" s="8" t="s">
        <v>17</v>
      </c>
    </row>
    <row r="22" ht="15">
      <c r="E22" s="8"/>
    </row>
    <row r="24" spans="1:2" ht="18">
      <c r="A24" s="9" t="s">
        <v>18</v>
      </c>
      <c r="B24" s="9"/>
    </row>
    <row r="25" spans="1:2" ht="15">
      <c r="A25" s="13" t="s">
        <v>133</v>
      </c>
      <c r="B25" s="13"/>
    </row>
    <row r="26" spans="1:2" ht="14.25">
      <c r="A26" s="15"/>
      <c r="B26" s="16" t="s">
        <v>204</v>
      </c>
    </row>
    <row r="27" spans="1:5" ht="15">
      <c r="A27" s="17" t="s">
        <v>36</v>
      </c>
      <c r="B27" s="17" t="s">
        <v>37</v>
      </c>
      <c r="C27" s="17" t="s">
        <v>38</v>
      </c>
      <c r="D27" s="17" t="s">
        <v>39</v>
      </c>
      <c r="E27" s="17" t="s">
        <v>40</v>
      </c>
    </row>
    <row r="28" spans="1:5" ht="12.75">
      <c r="A28" s="34" t="s">
        <v>251</v>
      </c>
      <c r="B28" s="10" t="s">
        <v>276</v>
      </c>
      <c r="C28" s="10" t="s">
        <v>140</v>
      </c>
      <c r="D28" s="10" t="s">
        <v>277</v>
      </c>
      <c r="E28" s="35" t="s">
        <v>278</v>
      </c>
    </row>
    <row r="29" spans="1:2" ht="18">
      <c r="A29" s="9"/>
      <c r="B29" s="9"/>
    </row>
    <row r="30" spans="1:2" ht="15">
      <c r="A30" s="13" t="s">
        <v>34</v>
      </c>
      <c r="B30" s="13"/>
    </row>
    <row r="31" spans="1:2" ht="14.25">
      <c r="A31" s="15"/>
      <c r="B31" s="16" t="s">
        <v>142</v>
      </c>
    </row>
    <row r="32" spans="1:5" ht="15">
      <c r="A32" s="17" t="s">
        <v>36</v>
      </c>
      <c r="B32" s="17" t="s">
        <v>37</v>
      </c>
      <c r="C32" s="17" t="s">
        <v>38</v>
      </c>
      <c r="D32" s="17" t="s">
        <v>39</v>
      </c>
      <c r="E32" s="17" t="s">
        <v>40</v>
      </c>
    </row>
    <row r="33" spans="1:5" ht="12.75">
      <c r="A33" s="14" t="s">
        <v>527</v>
      </c>
      <c r="B33" s="4" t="s">
        <v>143</v>
      </c>
      <c r="C33" s="4" t="s">
        <v>156</v>
      </c>
      <c r="D33" s="4" t="s">
        <v>542</v>
      </c>
      <c r="E33" s="18" t="s">
        <v>543</v>
      </c>
    </row>
    <row r="35" spans="1:2" ht="14.25">
      <c r="A35" s="15"/>
      <c r="B35" s="16" t="s">
        <v>35</v>
      </c>
    </row>
    <row r="36" spans="1:5" ht="15">
      <c r="A36" s="17" t="s">
        <v>36</v>
      </c>
      <c r="B36" s="17" t="s">
        <v>37</v>
      </c>
      <c r="C36" s="17" t="s">
        <v>38</v>
      </c>
      <c r="D36" s="17" t="s">
        <v>39</v>
      </c>
      <c r="E36" s="17" t="s">
        <v>40</v>
      </c>
    </row>
    <row r="37" spans="1:5" ht="12.75">
      <c r="A37" s="14" t="s">
        <v>532</v>
      </c>
      <c r="B37" s="4" t="s">
        <v>35</v>
      </c>
      <c r="C37" s="4" t="s">
        <v>513</v>
      </c>
      <c r="D37" s="4" t="s">
        <v>544</v>
      </c>
      <c r="E37" s="18" t="s">
        <v>545</v>
      </c>
    </row>
    <row r="39" spans="1:2" ht="14.25">
      <c r="A39" s="15"/>
      <c r="B39" s="16" t="s">
        <v>152</v>
      </c>
    </row>
    <row r="40" spans="1:5" ht="15">
      <c r="A40" s="17" t="s">
        <v>36</v>
      </c>
      <c r="B40" s="17" t="s">
        <v>37</v>
      </c>
      <c r="C40" s="17" t="s">
        <v>38</v>
      </c>
      <c r="D40" s="17" t="s">
        <v>39</v>
      </c>
      <c r="E40" s="17" t="s">
        <v>40</v>
      </c>
    </row>
    <row r="41" spans="1:5" ht="12.75">
      <c r="A41" s="14" t="s">
        <v>538</v>
      </c>
      <c r="B41" s="4" t="s">
        <v>155</v>
      </c>
      <c r="C41" s="4" t="s">
        <v>546</v>
      </c>
      <c r="D41" s="4" t="s">
        <v>547</v>
      </c>
      <c r="E41" s="18" t="s">
        <v>548</v>
      </c>
    </row>
    <row r="46" spans="1:2" ht="18">
      <c r="A46" s="9" t="s">
        <v>159</v>
      </c>
      <c r="B46" s="9"/>
    </row>
    <row r="47" spans="1:3" ht="15">
      <c r="A47" s="17" t="s">
        <v>160</v>
      </c>
      <c r="B47" s="17" t="s">
        <v>161</v>
      </c>
      <c r="C47" s="17" t="s">
        <v>162</v>
      </c>
    </row>
    <row r="48" spans="1:3" ht="12.75">
      <c r="A48" s="4" t="s">
        <v>106</v>
      </c>
      <c r="B48" s="4" t="s">
        <v>216</v>
      </c>
      <c r="C48" s="4" t="s">
        <v>549</v>
      </c>
    </row>
    <row r="49" spans="1:3" ht="12.75">
      <c r="A49" s="4" t="s">
        <v>178</v>
      </c>
      <c r="B49" s="4" t="s">
        <v>216</v>
      </c>
      <c r="C49" s="4" t="s">
        <v>550</v>
      </c>
    </row>
  </sheetData>
  <sheetProtection/>
  <mergeCells count="17">
    <mergeCell ref="A13:T13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7:T7"/>
    <mergeCell ref="A10:T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29.875" style="4" bestFit="1" customWidth="1"/>
    <col min="7" max="7" width="9.00390625" style="3" customWidth="1"/>
    <col min="8" max="8" width="14.00390625" style="29" customWidth="1"/>
    <col min="9" max="9" width="7.875" style="4" bestFit="1" customWidth="1"/>
    <col min="10" max="10" width="9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3" t="s">
        <v>1329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10</v>
      </c>
      <c r="C3" s="48" t="s">
        <v>11</v>
      </c>
      <c r="D3" s="50" t="s">
        <v>1290</v>
      </c>
      <c r="E3" s="50" t="s">
        <v>7</v>
      </c>
      <c r="F3" s="50" t="s">
        <v>12</v>
      </c>
      <c r="G3" s="50" t="s">
        <v>1291</v>
      </c>
      <c r="H3" s="50"/>
      <c r="I3" s="50" t="s">
        <v>1142</v>
      </c>
      <c r="J3" s="50" t="s">
        <v>6</v>
      </c>
      <c r="K3" s="38" t="s">
        <v>5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7" t="s">
        <v>1140</v>
      </c>
      <c r="H4" s="28" t="s">
        <v>1141</v>
      </c>
      <c r="I4" s="49"/>
      <c r="J4" s="49"/>
      <c r="K4" s="39"/>
    </row>
    <row r="5" spans="1:10" ht="15">
      <c r="A5" s="51" t="s">
        <v>88</v>
      </c>
      <c r="B5" s="52"/>
      <c r="C5" s="52"/>
      <c r="D5" s="52"/>
      <c r="E5" s="52"/>
      <c r="F5" s="52"/>
      <c r="G5" s="52"/>
      <c r="H5" s="52"/>
      <c r="I5" s="52"/>
      <c r="J5" s="52"/>
    </row>
    <row r="6" spans="1:11" ht="12.75">
      <c r="A6" s="10" t="s">
        <v>1088</v>
      </c>
      <c r="B6" s="10" t="s">
        <v>1089</v>
      </c>
      <c r="C6" s="10" t="s">
        <v>696</v>
      </c>
      <c r="D6" s="10" t="str">
        <f>"0,7713"</f>
        <v>0,7713</v>
      </c>
      <c r="E6" s="10" t="s">
        <v>28</v>
      </c>
      <c r="F6" s="10" t="s">
        <v>29</v>
      </c>
      <c r="G6" s="12" t="s">
        <v>195</v>
      </c>
      <c r="H6" s="33" t="s">
        <v>1166</v>
      </c>
      <c r="I6" s="10" t="str">
        <f>"2145,0"</f>
        <v>2145,0</v>
      </c>
      <c r="J6" s="12" t="str">
        <f>"1654,4385"</f>
        <v>1654,4385</v>
      </c>
      <c r="K6" s="10" t="s">
        <v>33</v>
      </c>
    </row>
    <row r="8" spans="1:10" ht="15">
      <c r="A8" s="54" t="s">
        <v>219</v>
      </c>
      <c r="B8" s="55"/>
      <c r="C8" s="55"/>
      <c r="D8" s="55"/>
      <c r="E8" s="55"/>
      <c r="F8" s="55"/>
      <c r="G8" s="55"/>
      <c r="H8" s="55"/>
      <c r="I8" s="55"/>
      <c r="J8" s="55"/>
    </row>
    <row r="9" spans="1:11" ht="12.75">
      <c r="A9" s="10" t="s">
        <v>1331</v>
      </c>
      <c r="B9" s="10" t="s">
        <v>1332</v>
      </c>
      <c r="C9" s="10" t="s">
        <v>1333</v>
      </c>
      <c r="D9" s="10" t="str">
        <f>"0,7557"</f>
        <v>0,7557</v>
      </c>
      <c r="E9" s="10" t="s">
        <v>28</v>
      </c>
      <c r="F9" s="10" t="s">
        <v>29</v>
      </c>
      <c r="G9" s="12" t="s">
        <v>30</v>
      </c>
      <c r="H9" s="33" t="s">
        <v>1174</v>
      </c>
      <c r="I9" s="10" t="str">
        <f>"2635,0"</f>
        <v>2635,0</v>
      </c>
      <c r="J9" s="12" t="str">
        <f>"1991,2695"</f>
        <v>1991,2695</v>
      </c>
      <c r="K9" s="10" t="s">
        <v>33</v>
      </c>
    </row>
    <row r="11" ht="15">
      <c r="E11" s="8" t="s">
        <v>13</v>
      </c>
    </row>
    <row r="12" ht="15">
      <c r="E12" s="8" t="s">
        <v>14</v>
      </c>
    </row>
    <row r="13" ht="15">
      <c r="E13" s="8" t="s">
        <v>15</v>
      </c>
    </row>
    <row r="14" ht="15">
      <c r="E14" s="8" t="s">
        <v>16</v>
      </c>
    </row>
    <row r="15" ht="15">
      <c r="E15" s="8" t="s">
        <v>16</v>
      </c>
    </row>
    <row r="16" ht="15">
      <c r="E16" s="8" t="s">
        <v>17</v>
      </c>
    </row>
    <row r="17" ht="15">
      <c r="E17" s="8"/>
    </row>
    <row r="19" spans="1:2" ht="18">
      <c r="A19" s="9" t="s">
        <v>18</v>
      </c>
      <c r="B19" s="9"/>
    </row>
    <row r="20" spans="1:2" ht="15">
      <c r="A20" s="13" t="s">
        <v>34</v>
      </c>
      <c r="B20" s="13"/>
    </row>
    <row r="21" spans="1:2" ht="14.25">
      <c r="A21" s="15"/>
      <c r="B21" s="16" t="s">
        <v>35</v>
      </c>
    </row>
    <row r="22" spans="1:5" ht="15">
      <c r="A22" s="17" t="s">
        <v>36</v>
      </c>
      <c r="B22" s="17" t="s">
        <v>37</v>
      </c>
      <c r="C22" s="17" t="s">
        <v>38</v>
      </c>
      <c r="D22" s="17" t="s">
        <v>39</v>
      </c>
      <c r="E22" s="17" t="s">
        <v>1304</v>
      </c>
    </row>
    <row r="23" spans="1:5" ht="12.75">
      <c r="A23" s="14" t="s">
        <v>1330</v>
      </c>
      <c r="B23" s="4" t="s">
        <v>35</v>
      </c>
      <c r="C23" s="4" t="s">
        <v>239</v>
      </c>
      <c r="D23" s="4" t="s">
        <v>1334</v>
      </c>
      <c r="E23" s="18" t="s">
        <v>1335</v>
      </c>
    </row>
    <row r="24" spans="1:5" ht="12.75">
      <c r="A24" s="14" t="s">
        <v>1087</v>
      </c>
      <c r="B24" s="4" t="s">
        <v>35</v>
      </c>
      <c r="C24" s="4" t="s">
        <v>138</v>
      </c>
      <c r="D24" s="4" t="s">
        <v>1336</v>
      </c>
      <c r="E24" s="18" t="s">
        <v>1337</v>
      </c>
    </row>
  </sheetData>
  <sheetProtection/>
  <mergeCells count="13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J5"/>
    <mergeCell ref="A8:J8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U88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875" style="4" customWidth="1"/>
    <col min="2" max="2" width="28.625" style="4" bestFit="1" customWidth="1"/>
    <col min="3" max="3" width="19.125" style="4" customWidth="1"/>
    <col min="4" max="4" width="9.25390625" style="4" bestFit="1" customWidth="1"/>
    <col min="5" max="5" width="14.75390625" style="4" customWidth="1"/>
    <col min="6" max="6" width="29.25390625" style="4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11.625" style="4" bestFit="1" customWidth="1"/>
    <col min="22" max="16384" width="9.125" style="3" customWidth="1"/>
  </cols>
  <sheetData>
    <row r="1" spans="1:21" s="2" customFormat="1" ht="28.5" customHeight="1">
      <c r="A1" s="53" t="s">
        <v>399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0</v>
      </c>
      <c r="B3" s="48" t="s">
        <v>10</v>
      </c>
      <c r="C3" s="48" t="s">
        <v>11</v>
      </c>
      <c r="D3" s="50" t="s">
        <v>21</v>
      </c>
      <c r="E3" s="50" t="s">
        <v>7</v>
      </c>
      <c r="F3" s="50" t="s">
        <v>12</v>
      </c>
      <c r="G3" s="50" t="s">
        <v>248</v>
      </c>
      <c r="H3" s="50"/>
      <c r="I3" s="50"/>
      <c r="J3" s="50"/>
      <c r="K3" s="50" t="s">
        <v>249</v>
      </c>
      <c r="L3" s="50"/>
      <c r="M3" s="50"/>
      <c r="N3" s="50"/>
      <c r="O3" s="50" t="s">
        <v>250</v>
      </c>
      <c r="P3" s="50"/>
      <c r="Q3" s="50"/>
      <c r="R3" s="50"/>
      <c r="S3" s="50" t="s">
        <v>4</v>
      </c>
      <c r="T3" s="50" t="s">
        <v>6</v>
      </c>
      <c r="U3" s="38" t="s">
        <v>5</v>
      </c>
    </row>
    <row r="4" spans="1:21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49"/>
      <c r="T4" s="49"/>
      <c r="U4" s="39"/>
    </row>
    <row r="5" spans="1:20" ht="15">
      <c r="A5" s="51" t="s">
        <v>23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1" ht="12.75">
      <c r="A6" s="10" t="s">
        <v>401</v>
      </c>
      <c r="B6" s="10" t="s">
        <v>402</v>
      </c>
      <c r="C6" s="10" t="s">
        <v>67</v>
      </c>
      <c r="D6" s="10" t="str">
        <f>"0,7219"</f>
        <v>0,7219</v>
      </c>
      <c r="E6" s="10" t="s">
        <v>28</v>
      </c>
      <c r="F6" s="10" t="s">
        <v>403</v>
      </c>
      <c r="G6" s="12" t="s">
        <v>210</v>
      </c>
      <c r="H6" s="12" t="s">
        <v>255</v>
      </c>
      <c r="I6" s="11" t="s">
        <v>304</v>
      </c>
      <c r="J6" s="11"/>
      <c r="K6" s="12" t="s">
        <v>100</v>
      </c>
      <c r="L6" s="12" t="s">
        <v>132</v>
      </c>
      <c r="M6" s="12" t="s">
        <v>201</v>
      </c>
      <c r="N6" s="11"/>
      <c r="O6" s="12" t="s">
        <v>298</v>
      </c>
      <c r="P6" s="12" t="s">
        <v>358</v>
      </c>
      <c r="Q6" s="12" t="s">
        <v>212</v>
      </c>
      <c r="R6" s="11"/>
      <c r="S6" s="10" t="str">
        <f>"352,5"</f>
        <v>352,5</v>
      </c>
      <c r="T6" s="12" t="str">
        <f>"254,4874"</f>
        <v>254,4874</v>
      </c>
      <c r="U6" s="10" t="s">
        <v>404</v>
      </c>
    </row>
    <row r="8" spans="1:20" ht="15">
      <c r="A8" s="54" t="s">
        <v>405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</row>
    <row r="9" spans="1:21" ht="12.75">
      <c r="A9" s="19" t="s">
        <v>407</v>
      </c>
      <c r="B9" s="19" t="s">
        <v>408</v>
      </c>
      <c r="C9" s="19" t="s">
        <v>409</v>
      </c>
      <c r="D9" s="19" t="str">
        <f>"1,0496"</f>
        <v>1,0496</v>
      </c>
      <c r="E9" s="19" t="s">
        <v>410</v>
      </c>
      <c r="F9" s="19" t="s">
        <v>29</v>
      </c>
      <c r="G9" s="21" t="s">
        <v>61</v>
      </c>
      <c r="H9" s="21" t="s">
        <v>93</v>
      </c>
      <c r="I9" s="21" t="s">
        <v>94</v>
      </c>
      <c r="J9" s="20"/>
      <c r="K9" s="21" t="s">
        <v>53</v>
      </c>
      <c r="L9" s="21" t="s">
        <v>179</v>
      </c>
      <c r="M9" s="21" t="s">
        <v>411</v>
      </c>
      <c r="N9" s="20"/>
      <c r="O9" s="21" t="s">
        <v>201</v>
      </c>
      <c r="P9" s="21" t="s">
        <v>30</v>
      </c>
      <c r="Q9" s="20" t="s">
        <v>203</v>
      </c>
      <c r="R9" s="20"/>
      <c r="S9" s="19" t="str">
        <f>"182,5"</f>
        <v>182,5</v>
      </c>
      <c r="T9" s="21" t="str">
        <f>"235,6090"</f>
        <v>235,6090</v>
      </c>
      <c r="U9" s="19" t="s">
        <v>412</v>
      </c>
    </row>
    <row r="10" spans="1:21" ht="12.75">
      <c r="A10" s="25" t="s">
        <v>414</v>
      </c>
      <c r="B10" s="25" t="s">
        <v>415</v>
      </c>
      <c r="C10" s="25" t="s">
        <v>416</v>
      </c>
      <c r="D10" s="25" t="str">
        <f>"1,3133"</f>
        <v>1,3133</v>
      </c>
      <c r="E10" s="25" t="s">
        <v>28</v>
      </c>
      <c r="F10" s="25" t="s">
        <v>29</v>
      </c>
      <c r="G10" s="26" t="s">
        <v>61</v>
      </c>
      <c r="H10" s="27" t="s">
        <v>70</v>
      </c>
      <c r="I10" s="26" t="s">
        <v>93</v>
      </c>
      <c r="J10" s="26"/>
      <c r="K10" s="27" t="s">
        <v>52</v>
      </c>
      <c r="L10" s="27" t="s">
        <v>180</v>
      </c>
      <c r="M10" s="27" t="s">
        <v>179</v>
      </c>
      <c r="N10" s="26"/>
      <c r="O10" s="27" t="s">
        <v>101</v>
      </c>
      <c r="P10" s="27" t="s">
        <v>227</v>
      </c>
      <c r="Q10" s="26" t="s">
        <v>31</v>
      </c>
      <c r="R10" s="26"/>
      <c r="S10" s="25" t="str">
        <f>"165,0"</f>
        <v>165,0</v>
      </c>
      <c r="T10" s="27" t="str">
        <f>"266,5342"</f>
        <v>266,5342</v>
      </c>
      <c r="U10" s="25" t="s">
        <v>33</v>
      </c>
    </row>
    <row r="12" spans="1:20" ht="15">
      <c r="A12" s="54" t="s">
        <v>55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1" ht="12.75">
      <c r="A13" s="10" t="s">
        <v>418</v>
      </c>
      <c r="B13" s="10" t="s">
        <v>419</v>
      </c>
      <c r="C13" s="10" t="s">
        <v>420</v>
      </c>
      <c r="D13" s="10" t="str">
        <f>"0,7377"</f>
        <v>0,7377</v>
      </c>
      <c r="E13" s="10" t="s">
        <v>28</v>
      </c>
      <c r="F13" s="10" t="s">
        <v>421</v>
      </c>
      <c r="G13" s="12" t="s">
        <v>203</v>
      </c>
      <c r="H13" s="12" t="s">
        <v>225</v>
      </c>
      <c r="I13" s="11"/>
      <c r="J13" s="11"/>
      <c r="K13" s="12" t="s">
        <v>227</v>
      </c>
      <c r="L13" s="12" t="s">
        <v>30</v>
      </c>
      <c r="M13" s="12" t="s">
        <v>196</v>
      </c>
      <c r="N13" s="11"/>
      <c r="O13" s="12" t="s">
        <v>304</v>
      </c>
      <c r="P13" s="12" t="s">
        <v>208</v>
      </c>
      <c r="Q13" s="12" t="s">
        <v>269</v>
      </c>
      <c r="R13" s="11"/>
      <c r="S13" s="10" t="str">
        <f>"350,0"</f>
        <v>350,0</v>
      </c>
      <c r="T13" s="12" t="str">
        <f>"356,3091"</f>
        <v>356,3091</v>
      </c>
      <c r="U13" s="10" t="s">
        <v>33</v>
      </c>
    </row>
    <row r="15" spans="1:20" ht="15">
      <c r="A15" s="54" t="s">
        <v>23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</row>
    <row r="16" spans="1:21" ht="12.75">
      <c r="A16" s="10" t="s">
        <v>423</v>
      </c>
      <c r="B16" s="10" t="s">
        <v>424</v>
      </c>
      <c r="C16" s="10" t="s">
        <v>425</v>
      </c>
      <c r="D16" s="10" t="str">
        <f>"0,6789"</f>
        <v>0,6789</v>
      </c>
      <c r="E16" s="10" t="s">
        <v>28</v>
      </c>
      <c r="F16" s="10" t="s">
        <v>29</v>
      </c>
      <c r="G16" s="12" t="s">
        <v>203</v>
      </c>
      <c r="H16" s="12" t="s">
        <v>225</v>
      </c>
      <c r="I16" s="11" t="s">
        <v>297</v>
      </c>
      <c r="J16" s="11"/>
      <c r="K16" s="12" t="s">
        <v>132</v>
      </c>
      <c r="L16" s="12" t="s">
        <v>195</v>
      </c>
      <c r="M16" s="12" t="s">
        <v>426</v>
      </c>
      <c r="N16" s="11"/>
      <c r="O16" s="12" t="s">
        <v>269</v>
      </c>
      <c r="P16" s="12" t="s">
        <v>245</v>
      </c>
      <c r="Q16" s="12" t="s">
        <v>353</v>
      </c>
      <c r="R16" s="11"/>
      <c r="S16" s="10" t="str">
        <f>"382,5"</f>
        <v>382,5</v>
      </c>
      <c r="T16" s="12" t="str">
        <f>"293,4376"</f>
        <v>293,4376</v>
      </c>
      <c r="U16" s="10" t="s">
        <v>33</v>
      </c>
    </row>
    <row r="18" spans="1:20" ht="15">
      <c r="A18" s="54" t="s">
        <v>88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</row>
    <row r="19" spans="1:21" ht="12.75">
      <c r="A19" s="10" t="s">
        <v>428</v>
      </c>
      <c r="B19" s="10" t="s">
        <v>429</v>
      </c>
      <c r="C19" s="10" t="s">
        <v>430</v>
      </c>
      <c r="D19" s="10" t="str">
        <f>"0,6273"</f>
        <v>0,6273</v>
      </c>
      <c r="E19" s="10" t="s">
        <v>410</v>
      </c>
      <c r="F19" s="10" t="s">
        <v>431</v>
      </c>
      <c r="G19" s="12" t="s">
        <v>224</v>
      </c>
      <c r="H19" s="12" t="s">
        <v>232</v>
      </c>
      <c r="I19" s="12" t="s">
        <v>255</v>
      </c>
      <c r="J19" s="11"/>
      <c r="K19" s="12" t="s">
        <v>202</v>
      </c>
      <c r="L19" s="12" t="s">
        <v>30</v>
      </c>
      <c r="M19" s="12" t="s">
        <v>196</v>
      </c>
      <c r="N19" s="11"/>
      <c r="O19" s="12" t="s">
        <v>270</v>
      </c>
      <c r="P19" s="12" t="s">
        <v>271</v>
      </c>
      <c r="Q19" s="12" t="s">
        <v>353</v>
      </c>
      <c r="R19" s="11"/>
      <c r="S19" s="10" t="str">
        <f>"405,0"</f>
        <v>405,0</v>
      </c>
      <c r="T19" s="12" t="str">
        <f>"274,3810"</f>
        <v>274,3810</v>
      </c>
      <c r="U19" s="10" t="s">
        <v>33</v>
      </c>
    </row>
    <row r="21" spans="1:20" ht="15">
      <c r="A21" s="54" t="s">
        <v>219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</row>
    <row r="22" spans="1:21" ht="12.75">
      <c r="A22" s="19" t="s">
        <v>433</v>
      </c>
      <c r="B22" s="19" t="s">
        <v>434</v>
      </c>
      <c r="C22" s="19" t="s">
        <v>435</v>
      </c>
      <c r="D22" s="19" t="str">
        <f>"0,5935"</f>
        <v>0,5935</v>
      </c>
      <c r="E22" s="19" t="s">
        <v>106</v>
      </c>
      <c r="F22" s="19" t="s">
        <v>87</v>
      </c>
      <c r="G22" s="21" t="s">
        <v>272</v>
      </c>
      <c r="H22" s="21" t="s">
        <v>267</v>
      </c>
      <c r="I22" s="21" t="s">
        <v>268</v>
      </c>
      <c r="J22" s="20"/>
      <c r="K22" s="21" t="s">
        <v>304</v>
      </c>
      <c r="L22" s="21" t="s">
        <v>269</v>
      </c>
      <c r="M22" s="21" t="s">
        <v>270</v>
      </c>
      <c r="N22" s="20"/>
      <c r="O22" s="21" t="s">
        <v>436</v>
      </c>
      <c r="P22" s="21" t="s">
        <v>437</v>
      </c>
      <c r="Q22" s="20"/>
      <c r="R22" s="20"/>
      <c r="S22" s="19" t="str">
        <f>"660,0"</f>
        <v>660,0</v>
      </c>
      <c r="T22" s="21" t="str">
        <f>"391,7100"</f>
        <v>391,7100</v>
      </c>
      <c r="U22" s="19" t="s">
        <v>33</v>
      </c>
    </row>
    <row r="23" spans="1:21" ht="12.75">
      <c r="A23" s="22" t="s">
        <v>439</v>
      </c>
      <c r="B23" s="22" t="s">
        <v>440</v>
      </c>
      <c r="C23" s="22" t="s">
        <v>441</v>
      </c>
      <c r="D23" s="22" t="str">
        <f>"0,5877"</f>
        <v>0,5877</v>
      </c>
      <c r="E23" s="22" t="s">
        <v>106</v>
      </c>
      <c r="F23" s="22" t="s">
        <v>87</v>
      </c>
      <c r="G23" s="24" t="s">
        <v>329</v>
      </c>
      <c r="H23" s="24" t="s">
        <v>330</v>
      </c>
      <c r="I23" s="24" t="s">
        <v>343</v>
      </c>
      <c r="J23" s="23"/>
      <c r="K23" s="24" t="s">
        <v>208</v>
      </c>
      <c r="L23" s="24" t="s">
        <v>442</v>
      </c>
      <c r="M23" s="24" t="s">
        <v>443</v>
      </c>
      <c r="N23" s="23"/>
      <c r="O23" s="24" t="s">
        <v>444</v>
      </c>
      <c r="P23" s="24" t="s">
        <v>346</v>
      </c>
      <c r="Q23" s="24" t="s">
        <v>445</v>
      </c>
      <c r="R23" s="23"/>
      <c r="S23" s="22" t="str">
        <f>"585,0"</f>
        <v>585,0</v>
      </c>
      <c r="T23" s="24" t="str">
        <f>"343,8045"</f>
        <v>343,8045</v>
      </c>
      <c r="U23" s="22" t="s">
        <v>33</v>
      </c>
    </row>
    <row r="24" spans="1:21" ht="12.75">
      <c r="A24" s="25" t="s">
        <v>447</v>
      </c>
      <c r="B24" s="25" t="s">
        <v>448</v>
      </c>
      <c r="C24" s="25" t="s">
        <v>449</v>
      </c>
      <c r="D24" s="25" t="str">
        <f>"0,5910"</f>
        <v>0,5910</v>
      </c>
      <c r="E24" s="25" t="s">
        <v>106</v>
      </c>
      <c r="F24" s="25" t="s">
        <v>87</v>
      </c>
      <c r="G24" s="26" t="s">
        <v>208</v>
      </c>
      <c r="H24" s="26" t="s">
        <v>269</v>
      </c>
      <c r="I24" s="27" t="s">
        <v>269</v>
      </c>
      <c r="J24" s="26"/>
      <c r="K24" s="27" t="s">
        <v>210</v>
      </c>
      <c r="L24" s="27" t="s">
        <v>298</v>
      </c>
      <c r="M24" s="27" t="s">
        <v>358</v>
      </c>
      <c r="N24" s="26"/>
      <c r="O24" s="27" t="s">
        <v>245</v>
      </c>
      <c r="P24" s="27" t="s">
        <v>329</v>
      </c>
      <c r="Q24" s="27" t="s">
        <v>240</v>
      </c>
      <c r="R24" s="26"/>
      <c r="S24" s="25" t="str">
        <f>"470,0"</f>
        <v>470,0</v>
      </c>
      <c r="T24" s="27" t="str">
        <f>"277,7700"</f>
        <v>277,7700</v>
      </c>
      <c r="U24" s="25" t="s">
        <v>33</v>
      </c>
    </row>
    <row r="26" spans="1:20" ht="15">
      <c r="A26" s="54" t="s">
        <v>118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</row>
    <row r="27" spans="1:21" ht="12.75">
      <c r="A27" s="19" t="s">
        <v>451</v>
      </c>
      <c r="B27" s="19" t="s">
        <v>452</v>
      </c>
      <c r="C27" s="19" t="s">
        <v>453</v>
      </c>
      <c r="D27" s="19" t="str">
        <f>"0,5589"</f>
        <v>0,5589</v>
      </c>
      <c r="E27" s="19" t="s">
        <v>28</v>
      </c>
      <c r="F27" s="19" t="s">
        <v>454</v>
      </c>
      <c r="G27" s="21" t="s">
        <v>272</v>
      </c>
      <c r="H27" s="20" t="s">
        <v>267</v>
      </c>
      <c r="I27" s="20" t="s">
        <v>267</v>
      </c>
      <c r="J27" s="20"/>
      <c r="K27" s="20" t="s">
        <v>208</v>
      </c>
      <c r="L27" s="21" t="s">
        <v>442</v>
      </c>
      <c r="M27" s="21" t="s">
        <v>311</v>
      </c>
      <c r="N27" s="20"/>
      <c r="O27" s="20" t="s">
        <v>267</v>
      </c>
      <c r="P27" s="21" t="s">
        <v>455</v>
      </c>
      <c r="Q27" s="20" t="s">
        <v>456</v>
      </c>
      <c r="R27" s="20"/>
      <c r="S27" s="19" t="str">
        <f>"605,0"</f>
        <v>605,0</v>
      </c>
      <c r="T27" s="21" t="str">
        <f>"344,8972"</f>
        <v>344,8972</v>
      </c>
      <c r="U27" s="19" t="s">
        <v>33</v>
      </c>
    </row>
    <row r="28" spans="1:21" ht="12.75">
      <c r="A28" s="22" t="s">
        <v>458</v>
      </c>
      <c r="B28" s="22" t="s">
        <v>459</v>
      </c>
      <c r="C28" s="22" t="s">
        <v>460</v>
      </c>
      <c r="D28" s="22" t="str">
        <f>"0,5622"</f>
        <v>0,5622</v>
      </c>
      <c r="E28" s="22" t="s">
        <v>28</v>
      </c>
      <c r="F28" s="22" t="s">
        <v>265</v>
      </c>
      <c r="G28" s="24" t="s">
        <v>268</v>
      </c>
      <c r="H28" s="23" t="s">
        <v>273</v>
      </c>
      <c r="I28" s="23" t="s">
        <v>461</v>
      </c>
      <c r="J28" s="23"/>
      <c r="K28" s="24" t="s">
        <v>270</v>
      </c>
      <c r="L28" s="24" t="s">
        <v>462</v>
      </c>
      <c r="M28" s="23" t="s">
        <v>245</v>
      </c>
      <c r="N28" s="23"/>
      <c r="O28" s="24" t="s">
        <v>463</v>
      </c>
      <c r="P28" s="24" t="s">
        <v>464</v>
      </c>
      <c r="Q28" s="23" t="s">
        <v>465</v>
      </c>
      <c r="R28" s="23"/>
      <c r="S28" s="22" t="str">
        <f>"677,5"</f>
        <v>677,5</v>
      </c>
      <c r="T28" s="24" t="str">
        <f>"380,8905"</f>
        <v>380,8905</v>
      </c>
      <c r="U28" s="22" t="s">
        <v>33</v>
      </c>
    </row>
    <row r="29" spans="1:21" ht="12.75">
      <c r="A29" s="22" t="s">
        <v>467</v>
      </c>
      <c r="B29" s="22" t="s">
        <v>468</v>
      </c>
      <c r="C29" s="22" t="s">
        <v>469</v>
      </c>
      <c r="D29" s="22" t="str">
        <f>"0,5548"</f>
        <v>0,5548</v>
      </c>
      <c r="E29" s="22" t="s">
        <v>28</v>
      </c>
      <c r="F29" s="22" t="s">
        <v>99</v>
      </c>
      <c r="G29" s="24" t="s">
        <v>272</v>
      </c>
      <c r="H29" s="24" t="s">
        <v>346</v>
      </c>
      <c r="I29" s="24" t="s">
        <v>470</v>
      </c>
      <c r="J29" s="23"/>
      <c r="K29" s="23" t="s">
        <v>208</v>
      </c>
      <c r="L29" s="24" t="s">
        <v>269</v>
      </c>
      <c r="M29" s="24" t="s">
        <v>242</v>
      </c>
      <c r="N29" s="23"/>
      <c r="O29" s="24" t="s">
        <v>268</v>
      </c>
      <c r="P29" s="24" t="s">
        <v>461</v>
      </c>
      <c r="Q29" s="24" t="s">
        <v>463</v>
      </c>
      <c r="R29" s="23"/>
      <c r="S29" s="22" t="str">
        <f>"657,5"</f>
        <v>657,5</v>
      </c>
      <c r="T29" s="24" t="str">
        <f>"364,7810"</f>
        <v>364,7810</v>
      </c>
      <c r="U29" s="22" t="s">
        <v>33</v>
      </c>
    </row>
    <row r="30" spans="1:21" ht="12.75">
      <c r="A30" s="25" t="s">
        <v>234</v>
      </c>
      <c r="B30" s="25" t="s">
        <v>235</v>
      </c>
      <c r="C30" s="25" t="s">
        <v>236</v>
      </c>
      <c r="D30" s="25" t="str">
        <f>"0,5565"</f>
        <v>0,5565</v>
      </c>
      <c r="E30" s="25" t="s">
        <v>106</v>
      </c>
      <c r="F30" s="25" t="s">
        <v>87</v>
      </c>
      <c r="G30" s="27" t="s">
        <v>330</v>
      </c>
      <c r="H30" s="27" t="s">
        <v>266</v>
      </c>
      <c r="I30" s="26" t="s">
        <v>272</v>
      </c>
      <c r="J30" s="26"/>
      <c r="K30" s="27" t="s">
        <v>304</v>
      </c>
      <c r="L30" s="27" t="s">
        <v>269</v>
      </c>
      <c r="M30" s="27" t="s">
        <v>270</v>
      </c>
      <c r="N30" s="26"/>
      <c r="O30" s="27" t="s">
        <v>266</v>
      </c>
      <c r="P30" s="27" t="s">
        <v>267</v>
      </c>
      <c r="Q30" s="26" t="s">
        <v>470</v>
      </c>
      <c r="R30" s="26"/>
      <c r="S30" s="25" t="str">
        <f>"580,0"</f>
        <v>580,0</v>
      </c>
      <c r="T30" s="27" t="str">
        <f>"352,4649"</f>
        <v>352,4649</v>
      </c>
      <c r="U30" s="25" t="s">
        <v>33</v>
      </c>
    </row>
    <row r="32" spans="1:20" ht="15">
      <c r="A32" s="54" t="s">
        <v>123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</row>
    <row r="33" spans="1:21" ht="12.75">
      <c r="A33" s="19" t="s">
        <v>472</v>
      </c>
      <c r="B33" s="19" t="s">
        <v>473</v>
      </c>
      <c r="C33" s="19" t="s">
        <v>474</v>
      </c>
      <c r="D33" s="19" t="str">
        <f>"0,5365"</f>
        <v>0,5365</v>
      </c>
      <c r="E33" s="19" t="s">
        <v>28</v>
      </c>
      <c r="F33" s="19" t="s">
        <v>87</v>
      </c>
      <c r="G33" s="20" t="s">
        <v>267</v>
      </c>
      <c r="H33" s="20" t="s">
        <v>268</v>
      </c>
      <c r="I33" s="21" t="s">
        <v>268</v>
      </c>
      <c r="J33" s="20"/>
      <c r="K33" s="21" t="s">
        <v>269</v>
      </c>
      <c r="L33" s="21" t="s">
        <v>270</v>
      </c>
      <c r="M33" s="21" t="s">
        <v>462</v>
      </c>
      <c r="N33" s="20"/>
      <c r="O33" s="21" t="s">
        <v>475</v>
      </c>
      <c r="P33" s="20" t="s">
        <v>464</v>
      </c>
      <c r="Q33" s="20"/>
      <c r="R33" s="20"/>
      <c r="S33" s="19" t="str">
        <f>"672,5"</f>
        <v>672,5</v>
      </c>
      <c r="T33" s="21" t="str">
        <f>"360,7962"</f>
        <v>360,7962</v>
      </c>
      <c r="U33" s="19" t="s">
        <v>33</v>
      </c>
    </row>
    <row r="34" spans="1:21" ht="12.75">
      <c r="A34" s="25" t="s">
        <v>477</v>
      </c>
      <c r="B34" s="25" t="s">
        <v>478</v>
      </c>
      <c r="C34" s="25" t="s">
        <v>479</v>
      </c>
      <c r="D34" s="25" t="str">
        <f>"0,5495"</f>
        <v>0,5495</v>
      </c>
      <c r="E34" s="25" t="s">
        <v>410</v>
      </c>
      <c r="F34" s="25" t="s">
        <v>50</v>
      </c>
      <c r="G34" s="27" t="s">
        <v>267</v>
      </c>
      <c r="H34" s="27" t="s">
        <v>480</v>
      </c>
      <c r="I34" s="26" t="s">
        <v>470</v>
      </c>
      <c r="J34" s="26"/>
      <c r="K34" s="27" t="s">
        <v>271</v>
      </c>
      <c r="L34" s="27" t="s">
        <v>481</v>
      </c>
      <c r="M34" s="26" t="s">
        <v>240</v>
      </c>
      <c r="N34" s="26"/>
      <c r="O34" s="27" t="s">
        <v>455</v>
      </c>
      <c r="P34" s="27" t="s">
        <v>436</v>
      </c>
      <c r="Q34" s="26" t="s">
        <v>482</v>
      </c>
      <c r="R34" s="26"/>
      <c r="S34" s="25" t="str">
        <f>"665,0"</f>
        <v>665,0</v>
      </c>
      <c r="T34" s="27" t="str">
        <f>"365,4175"</f>
        <v>365,4175</v>
      </c>
      <c r="U34" s="25" t="s">
        <v>483</v>
      </c>
    </row>
    <row r="36" spans="1:20" ht="15">
      <c r="A36" s="54" t="s">
        <v>484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</row>
    <row r="37" spans="1:21" ht="12.75">
      <c r="A37" s="10" t="s">
        <v>486</v>
      </c>
      <c r="B37" s="10" t="s">
        <v>487</v>
      </c>
      <c r="C37" s="10" t="s">
        <v>488</v>
      </c>
      <c r="D37" s="10" t="str">
        <f>"0,5248"</f>
        <v>0,5248</v>
      </c>
      <c r="E37" s="10" t="s">
        <v>28</v>
      </c>
      <c r="F37" s="10" t="s">
        <v>454</v>
      </c>
      <c r="G37" s="12" t="s">
        <v>266</v>
      </c>
      <c r="H37" s="12" t="s">
        <v>272</v>
      </c>
      <c r="I37" s="12" t="s">
        <v>346</v>
      </c>
      <c r="J37" s="11"/>
      <c r="K37" s="12" t="s">
        <v>208</v>
      </c>
      <c r="L37" s="12" t="s">
        <v>442</v>
      </c>
      <c r="M37" s="11" t="s">
        <v>270</v>
      </c>
      <c r="N37" s="11"/>
      <c r="O37" s="12" t="s">
        <v>273</v>
      </c>
      <c r="P37" s="12" t="s">
        <v>489</v>
      </c>
      <c r="Q37" s="11" t="s">
        <v>482</v>
      </c>
      <c r="R37" s="11"/>
      <c r="S37" s="10" t="str">
        <f>"635,0"</f>
        <v>635,0</v>
      </c>
      <c r="T37" s="12" t="str">
        <f>"333,2480"</f>
        <v>333,2480</v>
      </c>
      <c r="U37" s="10" t="s">
        <v>33</v>
      </c>
    </row>
    <row r="39" ht="15">
      <c r="E39" s="8" t="s">
        <v>13</v>
      </c>
    </row>
    <row r="40" ht="15">
      <c r="E40" s="8" t="s">
        <v>14</v>
      </c>
    </row>
    <row r="41" ht="15">
      <c r="E41" s="8" t="s">
        <v>15</v>
      </c>
    </row>
    <row r="42" ht="15">
      <c r="E42" s="8" t="s">
        <v>16</v>
      </c>
    </row>
    <row r="43" ht="15">
      <c r="E43" s="8" t="s">
        <v>16</v>
      </c>
    </row>
    <row r="44" ht="15">
      <c r="E44" s="8" t="s">
        <v>17</v>
      </c>
    </row>
    <row r="45" ht="15">
      <c r="E45" s="8"/>
    </row>
    <row r="47" spans="1:2" ht="18">
      <c r="A47" s="9" t="s">
        <v>18</v>
      </c>
      <c r="B47" s="9"/>
    </row>
    <row r="48" spans="1:2" ht="15">
      <c r="A48" s="13" t="s">
        <v>133</v>
      </c>
      <c r="B48" s="13"/>
    </row>
    <row r="49" spans="1:2" ht="14.25">
      <c r="A49" s="15"/>
      <c r="B49" s="16" t="s">
        <v>35</v>
      </c>
    </row>
    <row r="50" spans="1:5" ht="15">
      <c r="A50" s="17" t="s">
        <v>36</v>
      </c>
      <c r="B50" s="17" t="s">
        <v>37</v>
      </c>
      <c r="C50" s="17" t="s">
        <v>38</v>
      </c>
      <c r="D50" s="17" t="s">
        <v>39</v>
      </c>
      <c r="E50" s="17" t="s">
        <v>40</v>
      </c>
    </row>
    <row r="51" spans="1:5" ht="12.75">
      <c r="A51" s="14" t="s">
        <v>400</v>
      </c>
      <c r="B51" s="4" t="s">
        <v>35</v>
      </c>
      <c r="C51" s="4" t="s">
        <v>41</v>
      </c>
      <c r="D51" s="4" t="s">
        <v>490</v>
      </c>
      <c r="E51" s="18" t="s">
        <v>491</v>
      </c>
    </row>
    <row r="54" spans="1:2" ht="15">
      <c r="A54" s="13" t="s">
        <v>34</v>
      </c>
      <c r="B54" s="13"/>
    </row>
    <row r="55" spans="1:2" ht="14.25">
      <c r="A55" s="15"/>
      <c r="B55" s="16" t="s">
        <v>136</v>
      </c>
    </row>
    <row r="56" spans="1:5" ht="15">
      <c r="A56" s="17" t="s">
        <v>36</v>
      </c>
      <c r="B56" s="17" t="s">
        <v>37</v>
      </c>
      <c r="C56" s="17" t="s">
        <v>38</v>
      </c>
      <c r="D56" s="17" t="s">
        <v>39</v>
      </c>
      <c r="E56" s="17" t="s">
        <v>40</v>
      </c>
    </row>
    <row r="57" spans="1:5" ht="12.75">
      <c r="A57" s="14" t="s">
        <v>422</v>
      </c>
      <c r="B57" s="4" t="s">
        <v>137</v>
      </c>
      <c r="C57" s="4" t="s">
        <v>41</v>
      </c>
      <c r="D57" s="4" t="s">
        <v>492</v>
      </c>
      <c r="E57" s="18" t="s">
        <v>493</v>
      </c>
    </row>
    <row r="58" spans="1:5" ht="12.75">
      <c r="A58" s="14" t="s">
        <v>427</v>
      </c>
      <c r="B58" s="4" t="s">
        <v>137</v>
      </c>
      <c r="C58" s="4" t="s">
        <v>138</v>
      </c>
      <c r="D58" s="4" t="s">
        <v>494</v>
      </c>
      <c r="E58" s="18" t="s">
        <v>495</v>
      </c>
    </row>
    <row r="59" spans="1:5" ht="12.75">
      <c r="A59" s="14" t="s">
        <v>413</v>
      </c>
      <c r="B59" s="4" t="s">
        <v>363</v>
      </c>
      <c r="C59" s="4" t="s">
        <v>496</v>
      </c>
      <c r="D59" s="4" t="s">
        <v>351</v>
      </c>
      <c r="E59" s="18" t="s">
        <v>497</v>
      </c>
    </row>
    <row r="60" spans="1:5" ht="12.75">
      <c r="A60" s="14" t="s">
        <v>406</v>
      </c>
      <c r="B60" s="4" t="s">
        <v>498</v>
      </c>
      <c r="C60" s="4" t="s">
        <v>496</v>
      </c>
      <c r="D60" s="4" t="s">
        <v>481</v>
      </c>
      <c r="E60" s="18" t="s">
        <v>499</v>
      </c>
    </row>
    <row r="62" spans="1:2" ht="14.25">
      <c r="A62" s="15"/>
      <c r="B62" s="16" t="s">
        <v>142</v>
      </c>
    </row>
    <row r="63" spans="1:5" ht="15">
      <c r="A63" s="17" t="s">
        <v>36</v>
      </c>
      <c r="B63" s="17" t="s">
        <v>37</v>
      </c>
      <c r="C63" s="17" t="s">
        <v>38</v>
      </c>
      <c r="D63" s="17" t="s">
        <v>39</v>
      </c>
      <c r="E63" s="17" t="s">
        <v>40</v>
      </c>
    </row>
    <row r="64" spans="1:5" ht="12.75">
      <c r="A64" s="14" t="s">
        <v>450</v>
      </c>
      <c r="B64" s="4" t="s">
        <v>143</v>
      </c>
      <c r="C64" s="4" t="s">
        <v>156</v>
      </c>
      <c r="D64" s="4" t="s">
        <v>280</v>
      </c>
      <c r="E64" s="18" t="s">
        <v>500</v>
      </c>
    </row>
    <row r="66" spans="1:2" ht="14.25">
      <c r="A66" s="15"/>
      <c r="B66" s="16" t="s">
        <v>35</v>
      </c>
    </row>
    <row r="67" spans="1:5" ht="15">
      <c r="A67" s="17" t="s">
        <v>36</v>
      </c>
      <c r="B67" s="17" t="s">
        <v>37</v>
      </c>
      <c r="C67" s="17" t="s">
        <v>38</v>
      </c>
      <c r="D67" s="17" t="s">
        <v>39</v>
      </c>
      <c r="E67" s="17" t="s">
        <v>40</v>
      </c>
    </row>
    <row r="68" spans="1:5" ht="12.75">
      <c r="A68" s="14" t="s">
        <v>432</v>
      </c>
      <c r="B68" s="4" t="s">
        <v>35</v>
      </c>
      <c r="C68" s="4" t="s">
        <v>239</v>
      </c>
      <c r="D68" s="4" t="s">
        <v>501</v>
      </c>
      <c r="E68" s="18" t="s">
        <v>502</v>
      </c>
    </row>
    <row r="69" spans="1:5" ht="12.75">
      <c r="A69" s="14" t="s">
        <v>457</v>
      </c>
      <c r="B69" s="4" t="s">
        <v>35</v>
      </c>
      <c r="C69" s="4" t="s">
        <v>156</v>
      </c>
      <c r="D69" s="4" t="s">
        <v>503</v>
      </c>
      <c r="E69" s="18" t="s">
        <v>504</v>
      </c>
    </row>
    <row r="70" spans="1:5" ht="12.75">
      <c r="A70" s="14" t="s">
        <v>476</v>
      </c>
      <c r="B70" s="4" t="s">
        <v>35</v>
      </c>
      <c r="C70" s="4" t="s">
        <v>148</v>
      </c>
      <c r="D70" s="4" t="s">
        <v>505</v>
      </c>
      <c r="E70" s="18" t="s">
        <v>506</v>
      </c>
    </row>
    <row r="71" spans="1:5" ht="12.75">
      <c r="A71" s="14" t="s">
        <v>466</v>
      </c>
      <c r="B71" s="4" t="s">
        <v>35</v>
      </c>
      <c r="C71" s="4" t="s">
        <v>156</v>
      </c>
      <c r="D71" s="4" t="s">
        <v>507</v>
      </c>
      <c r="E71" s="18" t="s">
        <v>508</v>
      </c>
    </row>
    <row r="72" spans="1:5" ht="12.75">
      <c r="A72" s="14" t="s">
        <v>471</v>
      </c>
      <c r="B72" s="4" t="s">
        <v>35</v>
      </c>
      <c r="C72" s="4" t="s">
        <v>148</v>
      </c>
      <c r="D72" s="4" t="s">
        <v>509</v>
      </c>
      <c r="E72" s="18" t="s">
        <v>510</v>
      </c>
    </row>
    <row r="73" spans="1:5" ht="12.75">
      <c r="A73" s="14" t="s">
        <v>438</v>
      </c>
      <c r="B73" s="4" t="s">
        <v>35</v>
      </c>
      <c r="C73" s="4" t="s">
        <v>239</v>
      </c>
      <c r="D73" s="4" t="s">
        <v>511</v>
      </c>
      <c r="E73" s="18" t="s">
        <v>512</v>
      </c>
    </row>
    <row r="74" spans="1:5" ht="12.75">
      <c r="A74" s="14" t="s">
        <v>485</v>
      </c>
      <c r="B74" s="4" t="s">
        <v>35</v>
      </c>
      <c r="C74" s="4" t="s">
        <v>513</v>
      </c>
      <c r="D74" s="4" t="s">
        <v>514</v>
      </c>
      <c r="E74" s="18" t="s">
        <v>515</v>
      </c>
    </row>
    <row r="75" spans="1:5" ht="12.75">
      <c r="A75" s="14" t="s">
        <v>446</v>
      </c>
      <c r="B75" s="4" t="s">
        <v>35</v>
      </c>
      <c r="C75" s="4" t="s">
        <v>239</v>
      </c>
      <c r="D75" s="4" t="s">
        <v>516</v>
      </c>
      <c r="E75" s="18" t="s">
        <v>517</v>
      </c>
    </row>
    <row r="77" spans="1:2" ht="14.25">
      <c r="A77" s="15"/>
      <c r="B77" s="16" t="s">
        <v>152</v>
      </c>
    </row>
    <row r="78" spans="1:5" ht="15">
      <c r="A78" s="17" t="s">
        <v>36</v>
      </c>
      <c r="B78" s="17" t="s">
        <v>37</v>
      </c>
      <c r="C78" s="17" t="s">
        <v>38</v>
      </c>
      <c r="D78" s="17" t="s">
        <v>39</v>
      </c>
      <c r="E78" s="17" t="s">
        <v>40</v>
      </c>
    </row>
    <row r="79" spans="1:5" ht="12.75">
      <c r="A79" s="14" t="s">
        <v>417</v>
      </c>
      <c r="B79" s="4" t="s">
        <v>518</v>
      </c>
      <c r="C79" s="4" t="s">
        <v>140</v>
      </c>
      <c r="D79" s="4" t="s">
        <v>519</v>
      </c>
      <c r="E79" s="18" t="s">
        <v>520</v>
      </c>
    </row>
    <row r="80" spans="1:5" ht="12.75">
      <c r="A80" s="14" t="s">
        <v>233</v>
      </c>
      <c r="B80" s="4" t="s">
        <v>244</v>
      </c>
      <c r="C80" s="4" t="s">
        <v>156</v>
      </c>
      <c r="D80" s="4" t="s">
        <v>521</v>
      </c>
      <c r="E80" s="18" t="s">
        <v>522</v>
      </c>
    </row>
    <row r="85" spans="1:2" ht="18">
      <c r="A85" s="9" t="s">
        <v>159</v>
      </c>
      <c r="B85" s="9"/>
    </row>
    <row r="86" spans="1:3" ht="15">
      <c r="A86" s="17" t="s">
        <v>160</v>
      </c>
      <c r="B86" s="17" t="s">
        <v>161</v>
      </c>
      <c r="C86" s="17" t="s">
        <v>162</v>
      </c>
    </row>
    <row r="87" spans="1:3" ht="12.75">
      <c r="A87" s="4" t="s">
        <v>106</v>
      </c>
      <c r="B87" s="4" t="s">
        <v>523</v>
      </c>
      <c r="C87" s="4" t="s">
        <v>524</v>
      </c>
    </row>
    <row r="88" spans="1:3" ht="12.75">
      <c r="A88" s="4" t="s">
        <v>410</v>
      </c>
      <c r="B88" s="4" t="s">
        <v>525</v>
      </c>
      <c r="C88" s="4" t="s">
        <v>526</v>
      </c>
    </row>
  </sheetData>
  <sheetProtection/>
  <mergeCells count="22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36:T36"/>
    <mergeCell ref="S3:S4"/>
    <mergeCell ref="T3:T4"/>
    <mergeCell ref="U3:U4"/>
    <mergeCell ref="A5:T5"/>
    <mergeCell ref="A8:T8"/>
    <mergeCell ref="A12:T12"/>
    <mergeCell ref="A15:T15"/>
    <mergeCell ref="A18:T18"/>
    <mergeCell ref="A21:T21"/>
    <mergeCell ref="A26:T26"/>
    <mergeCell ref="A32:T32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U94"/>
  <sheetViews>
    <sheetView zoomScalePageLayoutView="0" workbookViewId="0" topLeftCell="A4">
      <selection activeCell="A1" sqref="A1:U2"/>
    </sheetView>
  </sheetViews>
  <sheetFormatPr defaultColWidth="9.00390625" defaultRowHeight="12.75"/>
  <cols>
    <col min="1" max="1" width="23.75390625" style="4" customWidth="1"/>
    <col min="2" max="2" width="29.00390625" style="4" bestFit="1" customWidth="1"/>
    <col min="3" max="3" width="16.875" style="4" customWidth="1"/>
    <col min="4" max="4" width="9.25390625" style="4" bestFit="1" customWidth="1"/>
    <col min="5" max="5" width="16.75390625" style="4" customWidth="1"/>
    <col min="6" max="6" width="27.875" style="4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15.75390625" style="4" bestFit="1" customWidth="1"/>
    <col min="22" max="16384" width="9.125" style="3" customWidth="1"/>
  </cols>
  <sheetData>
    <row r="1" spans="1:21" s="2" customFormat="1" ht="28.5" customHeight="1">
      <c r="A1" s="53" t="s">
        <v>284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0</v>
      </c>
      <c r="B3" s="48" t="s">
        <v>10</v>
      </c>
      <c r="C3" s="48" t="s">
        <v>11</v>
      </c>
      <c r="D3" s="50" t="s">
        <v>21</v>
      </c>
      <c r="E3" s="50" t="s">
        <v>7</v>
      </c>
      <c r="F3" s="50" t="s">
        <v>12</v>
      </c>
      <c r="G3" s="50" t="s">
        <v>248</v>
      </c>
      <c r="H3" s="50"/>
      <c r="I3" s="50"/>
      <c r="J3" s="50"/>
      <c r="K3" s="50" t="s">
        <v>249</v>
      </c>
      <c r="L3" s="50"/>
      <c r="M3" s="50"/>
      <c r="N3" s="50"/>
      <c r="O3" s="50" t="s">
        <v>250</v>
      </c>
      <c r="P3" s="50"/>
      <c r="Q3" s="50"/>
      <c r="R3" s="50"/>
      <c r="S3" s="50" t="s">
        <v>4</v>
      </c>
      <c r="T3" s="50" t="s">
        <v>6</v>
      </c>
      <c r="U3" s="38" t="s">
        <v>5</v>
      </c>
    </row>
    <row r="4" spans="1:21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49"/>
      <c r="T4" s="49"/>
      <c r="U4" s="39"/>
    </row>
    <row r="5" spans="1:20" ht="15">
      <c r="A5" s="51" t="s">
        <v>45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1" ht="12.75">
      <c r="A6" s="19" t="s">
        <v>286</v>
      </c>
      <c r="B6" s="19" t="s">
        <v>287</v>
      </c>
      <c r="C6" s="19" t="s">
        <v>288</v>
      </c>
      <c r="D6" s="19" t="str">
        <f>"0,8609"</f>
        <v>0,8609</v>
      </c>
      <c r="E6" s="19" t="s">
        <v>28</v>
      </c>
      <c r="F6" s="19" t="s">
        <v>60</v>
      </c>
      <c r="G6" s="21" t="s">
        <v>227</v>
      </c>
      <c r="H6" s="21" t="s">
        <v>30</v>
      </c>
      <c r="I6" s="20" t="s">
        <v>196</v>
      </c>
      <c r="J6" s="20"/>
      <c r="K6" s="21" t="s">
        <v>70</v>
      </c>
      <c r="L6" s="20" t="s">
        <v>71</v>
      </c>
      <c r="M6" s="20" t="s">
        <v>71</v>
      </c>
      <c r="N6" s="20"/>
      <c r="O6" s="21" t="s">
        <v>227</v>
      </c>
      <c r="P6" s="21" t="s">
        <v>195</v>
      </c>
      <c r="Q6" s="21" t="s">
        <v>30</v>
      </c>
      <c r="R6" s="20"/>
      <c r="S6" s="19" t="str">
        <f>"220,0"</f>
        <v>220,0</v>
      </c>
      <c r="T6" s="21" t="str">
        <f>"232,9595"</f>
        <v>232,9595</v>
      </c>
      <c r="U6" s="19" t="s">
        <v>63</v>
      </c>
    </row>
    <row r="7" spans="1:21" ht="12.75">
      <c r="A7" s="25" t="s">
        <v>290</v>
      </c>
      <c r="B7" s="25" t="s">
        <v>291</v>
      </c>
      <c r="C7" s="25" t="s">
        <v>288</v>
      </c>
      <c r="D7" s="25" t="str">
        <f>"0,8609"</f>
        <v>0,8609</v>
      </c>
      <c r="E7" s="25" t="s">
        <v>28</v>
      </c>
      <c r="F7" s="25" t="s">
        <v>50</v>
      </c>
      <c r="G7" s="27" t="s">
        <v>94</v>
      </c>
      <c r="H7" s="27" t="s">
        <v>101</v>
      </c>
      <c r="I7" s="26" t="s">
        <v>201</v>
      </c>
      <c r="J7" s="26"/>
      <c r="K7" s="27" t="s">
        <v>179</v>
      </c>
      <c r="L7" s="27" t="s">
        <v>117</v>
      </c>
      <c r="M7" s="26" t="s">
        <v>61</v>
      </c>
      <c r="N7" s="26"/>
      <c r="O7" s="27" t="s">
        <v>196</v>
      </c>
      <c r="P7" s="27" t="s">
        <v>31</v>
      </c>
      <c r="Q7" s="26" t="s">
        <v>203</v>
      </c>
      <c r="R7" s="26"/>
      <c r="S7" s="25" t="str">
        <f>"205,0"</f>
        <v>205,0</v>
      </c>
      <c r="T7" s="27" t="str">
        <f>"190,6033"</f>
        <v>190,6033</v>
      </c>
      <c r="U7" s="25" t="s">
        <v>54</v>
      </c>
    </row>
    <row r="9" spans="1:20" ht="15">
      <c r="A9" s="54" t="s">
        <v>55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spans="1:21" ht="12.75">
      <c r="A10" s="19" t="s">
        <v>293</v>
      </c>
      <c r="B10" s="19" t="s">
        <v>294</v>
      </c>
      <c r="C10" s="19" t="s">
        <v>295</v>
      </c>
      <c r="D10" s="19" t="str">
        <f>"0,7812"</f>
        <v>0,7812</v>
      </c>
      <c r="E10" s="19" t="s">
        <v>28</v>
      </c>
      <c r="F10" s="19" t="s">
        <v>296</v>
      </c>
      <c r="G10" s="21" t="s">
        <v>232</v>
      </c>
      <c r="H10" s="21" t="s">
        <v>297</v>
      </c>
      <c r="I10" s="21" t="s">
        <v>298</v>
      </c>
      <c r="J10" s="20"/>
      <c r="K10" s="21" t="s">
        <v>93</v>
      </c>
      <c r="L10" s="20" t="s">
        <v>94</v>
      </c>
      <c r="M10" s="21" t="s">
        <v>94</v>
      </c>
      <c r="N10" s="20"/>
      <c r="O10" s="21" t="s">
        <v>210</v>
      </c>
      <c r="P10" s="21" t="s">
        <v>299</v>
      </c>
      <c r="Q10" s="21" t="s">
        <v>208</v>
      </c>
      <c r="R10" s="20"/>
      <c r="S10" s="19" t="str">
        <f>"330,0"</f>
        <v>330,0</v>
      </c>
      <c r="T10" s="21" t="str">
        <f>"257,7960"</f>
        <v>257,7960</v>
      </c>
      <c r="U10" s="19" t="s">
        <v>33</v>
      </c>
    </row>
    <row r="11" spans="1:21" ht="12.75">
      <c r="A11" s="25" t="s">
        <v>301</v>
      </c>
      <c r="B11" s="25" t="s">
        <v>302</v>
      </c>
      <c r="C11" s="25" t="s">
        <v>303</v>
      </c>
      <c r="D11" s="25" t="str">
        <f>"0,8318"</f>
        <v>0,8318</v>
      </c>
      <c r="E11" s="25" t="s">
        <v>28</v>
      </c>
      <c r="F11" s="25" t="s">
        <v>50</v>
      </c>
      <c r="G11" s="27" t="s">
        <v>203</v>
      </c>
      <c r="H11" s="27" t="s">
        <v>225</v>
      </c>
      <c r="I11" s="26" t="s">
        <v>232</v>
      </c>
      <c r="J11" s="26"/>
      <c r="K11" s="27" t="s">
        <v>93</v>
      </c>
      <c r="L11" s="27" t="s">
        <v>94</v>
      </c>
      <c r="M11" s="27" t="s">
        <v>77</v>
      </c>
      <c r="N11" s="26"/>
      <c r="O11" s="27" t="s">
        <v>299</v>
      </c>
      <c r="P11" s="26" t="s">
        <v>304</v>
      </c>
      <c r="Q11" s="27" t="s">
        <v>304</v>
      </c>
      <c r="R11" s="26"/>
      <c r="S11" s="25" t="str">
        <f>"312,5"</f>
        <v>312,5</v>
      </c>
      <c r="T11" s="27" t="str">
        <f>"259,9531"</f>
        <v>259,9531</v>
      </c>
      <c r="U11" s="25" t="s">
        <v>305</v>
      </c>
    </row>
    <row r="13" spans="1:20" ht="15">
      <c r="A13" s="54" t="s">
        <v>306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</row>
    <row r="14" spans="1:21" ht="12.75">
      <c r="A14" s="10" t="s">
        <v>308</v>
      </c>
      <c r="B14" s="10" t="s">
        <v>309</v>
      </c>
      <c r="C14" s="10" t="s">
        <v>310</v>
      </c>
      <c r="D14" s="10" t="str">
        <f>"0,5615"</f>
        <v>0,5615</v>
      </c>
      <c r="E14" s="10" t="s">
        <v>178</v>
      </c>
      <c r="F14" s="10" t="s">
        <v>29</v>
      </c>
      <c r="G14" s="12" t="s">
        <v>304</v>
      </c>
      <c r="H14" s="12" t="s">
        <v>269</v>
      </c>
      <c r="I14" s="12" t="s">
        <v>311</v>
      </c>
      <c r="J14" s="11"/>
      <c r="K14" s="12" t="s">
        <v>81</v>
      </c>
      <c r="L14" s="12" t="s">
        <v>101</v>
      </c>
      <c r="M14" s="12" t="s">
        <v>132</v>
      </c>
      <c r="N14" s="11"/>
      <c r="O14" s="12" t="s">
        <v>210</v>
      </c>
      <c r="P14" s="12" t="s">
        <v>299</v>
      </c>
      <c r="Q14" s="11" t="s">
        <v>208</v>
      </c>
      <c r="R14" s="11"/>
      <c r="S14" s="10" t="str">
        <f>"362,5"</f>
        <v>362,5</v>
      </c>
      <c r="T14" s="12" t="str">
        <f>"209,6314"</f>
        <v>209,6314</v>
      </c>
      <c r="U14" s="10" t="s">
        <v>312</v>
      </c>
    </row>
    <row r="16" spans="1:20" ht="15">
      <c r="A16" s="54" t="s">
        <v>313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</row>
    <row r="17" spans="1:21" ht="12.75">
      <c r="A17" s="10" t="s">
        <v>315</v>
      </c>
      <c r="B17" s="10" t="s">
        <v>316</v>
      </c>
      <c r="C17" s="10" t="s">
        <v>317</v>
      </c>
      <c r="D17" s="10" t="str">
        <f>"0,8748"</f>
        <v>0,8748</v>
      </c>
      <c r="E17" s="10" t="s">
        <v>178</v>
      </c>
      <c r="F17" s="10" t="s">
        <v>29</v>
      </c>
      <c r="G17" s="12" t="s">
        <v>255</v>
      </c>
      <c r="H17" s="12" t="s">
        <v>299</v>
      </c>
      <c r="I17" s="11" t="s">
        <v>304</v>
      </c>
      <c r="J17" s="11"/>
      <c r="K17" s="12" t="s">
        <v>225</v>
      </c>
      <c r="L17" s="12" t="s">
        <v>232</v>
      </c>
      <c r="M17" s="12" t="s">
        <v>210</v>
      </c>
      <c r="N17" s="11"/>
      <c r="O17" s="12" t="s">
        <v>208</v>
      </c>
      <c r="P17" s="12" t="s">
        <v>270</v>
      </c>
      <c r="Q17" s="12" t="s">
        <v>245</v>
      </c>
      <c r="R17" s="11"/>
      <c r="S17" s="10" t="str">
        <f>"425,0"</f>
        <v>425,0</v>
      </c>
      <c r="T17" s="12" t="str">
        <f>"371,7900"</f>
        <v>371,7900</v>
      </c>
      <c r="U17" s="10" t="s">
        <v>318</v>
      </c>
    </row>
    <row r="19" spans="1:20" ht="15">
      <c r="A19" s="54" t="s">
        <v>55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</row>
    <row r="20" spans="1:21" ht="12.75">
      <c r="A20" s="10" t="s">
        <v>320</v>
      </c>
      <c r="B20" s="10" t="s">
        <v>321</v>
      </c>
      <c r="C20" s="10" t="s">
        <v>322</v>
      </c>
      <c r="D20" s="10" t="str">
        <f>"0,7671"</f>
        <v>0,7671</v>
      </c>
      <c r="E20" s="10" t="s">
        <v>68</v>
      </c>
      <c r="F20" s="10" t="s">
        <v>69</v>
      </c>
      <c r="G20" s="12" t="s">
        <v>196</v>
      </c>
      <c r="H20" s="11" t="s">
        <v>224</v>
      </c>
      <c r="I20" s="12" t="s">
        <v>224</v>
      </c>
      <c r="J20" s="11"/>
      <c r="K20" s="12" t="s">
        <v>94</v>
      </c>
      <c r="L20" s="12" t="s">
        <v>101</v>
      </c>
      <c r="M20" s="12" t="s">
        <v>201</v>
      </c>
      <c r="N20" s="11"/>
      <c r="O20" s="12" t="s">
        <v>203</v>
      </c>
      <c r="P20" s="12" t="s">
        <v>210</v>
      </c>
      <c r="Q20" s="12" t="s">
        <v>299</v>
      </c>
      <c r="R20" s="11"/>
      <c r="S20" s="10" t="str">
        <f>"315,0"</f>
        <v>315,0</v>
      </c>
      <c r="T20" s="12" t="str">
        <f>"260,9674"</f>
        <v>260,9674</v>
      </c>
      <c r="U20" s="10" t="s">
        <v>72</v>
      </c>
    </row>
    <row r="22" spans="1:20" ht="15">
      <c r="A22" s="54" t="s">
        <v>23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</row>
    <row r="23" spans="1:21" ht="12.75">
      <c r="A23" s="19" t="s">
        <v>324</v>
      </c>
      <c r="B23" s="19" t="s">
        <v>325</v>
      </c>
      <c r="C23" s="19" t="s">
        <v>326</v>
      </c>
      <c r="D23" s="19" t="str">
        <f>"0,7040"</f>
        <v>0,7040</v>
      </c>
      <c r="E23" s="19" t="s">
        <v>327</v>
      </c>
      <c r="F23" s="19" t="s">
        <v>69</v>
      </c>
      <c r="G23" s="21" t="s">
        <v>196</v>
      </c>
      <c r="H23" s="20" t="s">
        <v>203</v>
      </c>
      <c r="I23" s="21" t="s">
        <v>224</v>
      </c>
      <c r="J23" s="20"/>
      <c r="K23" s="21" t="s">
        <v>94</v>
      </c>
      <c r="L23" s="21" t="s">
        <v>81</v>
      </c>
      <c r="M23" s="21" t="s">
        <v>101</v>
      </c>
      <c r="N23" s="20"/>
      <c r="O23" s="21" t="s">
        <v>225</v>
      </c>
      <c r="P23" s="21" t="s">
        <v>210</v>
      </c>
      <c r="Q23" s="21" t="s">
        <v>255</v>
      </c>
      <c r="R23" s="20"/>
      <c r="S23" s="19" t="str">
        <f>"305,0"</f>
        <v>305,0</v>
      </c>
      <c r="T23" s="21" t="str">
        <f>"242,6336"</f>
        <v>242,6336</v>
      </c>
      <c r="U23" s="19" t="s">
        <v>33</v>
      </c>
    </row>
    <row r="24" spans="1:21" ht="12.75">
      <c r="A24" s="25" t="s">
        <v>328</v>
      </c>
      <c r="B24" s="25" t="s">
        <v>80</v>
      </c>
      <c r="C24" s="25" t="s">
        <v>67</v>
      </c>
      <c r="D24" s="25" t="str">
        <f>"0,6645"</f>
        <v>0,6645</v>
      </c>
      <c r="E24" s="25" t="s">
        <v>68</v>
      </c>
      <c r="F24" s="25" t="s">
        <v>69</v>
      </c>
      <c r="G24" s="26" t="s">
        <v>329</v>
      </c>
      <c r="H24" s="26" t="s">
        <v>329</v>
      </c>
      <c r="I24" s="26" t="s">
        <v>329</v>
      </c>
      <c r="J24" s="26"/>
      <c r="K24" s="26" t="s">
        <v>298</v>
      </c>
      <c r="L24" s="26"/>
      <c r="M24" s="26"/>
      <c r="N24" s="26"/>
      <c r="O24" s="26" t="s">
        <v>330</v>
      </c>
      <c r="P24" s="26"/>
      <c r="Q24" s="26"/>
      <c r="R24" s="26"/>
      <c r="S24" s="25" t="str">
        <f>"0.00"</f>
        <v>0.00</v>
      </c>
      <c r="T24" s="27" t="str">
        <f>"0,0000"</f>
        <v>0,0000</v>
      </c>
      <c r="U24" s="25" t="s">
        <v>33</v>
      </c>
    </row>
    <row r="26" spans="1:20" ht="15">
      <c r="A26" s="54" t="s">
        <v>88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</row>
    <row r="27" spans="1:21" ht="12.75">
      <c r="A27" s="19" t="s">
        <v>332</v>
      </c>
      <c r="B27" s="19" t="s">
        <v>333</v>
      </c>
      <c r="C27" s="19" t="s">
        <v>334</v>
      </c>
      <c r="D27" s="19" t="str">
        <f>"0,6358"</f>
        <v>0,6358</v>
      </c>
      <c r="E27" s="19" t="s">
        <v>327</v>
      </c>
      <c r="F27" s="19" t="s">
        <v>69</v>
      </c>
      <c r="G27" s="21" t="s">
        <v>203</v>
      </c>
      <c r="H27" s="21" t="s">
        <v>225</v>
      </c>
      <c r="I27" s="20" t="s">
        <v>210</v>
      </c>
      <c r="J27" s="20"/>
      <c r="K27" s="21" t="s">
        <v>101</v>
      </c>
      <c r="L27" s="21" t="s">
        <v>201</v>
      </c>
      <c r="M27" s="21" t="s">
        <v>227</v>
      </c>
      <c r="N27" s="20"/>
      <c r="O27" s="21" t="s">
        <v>256</v>
      </c>
      <c r="P27" s="21" t="s">
        <v>212</v>
      </c>
      <c r="Q27" s="21" t="s">
        <v>311</v>
      </c>
      <c r="R27" s="20"/>
      <c r="S27" s="19" t="str">
        <f>"345,0"</f>
        <v>345,0</v>
      </c>
      <c r="T27" s="21" t="str">
        <f>"258,8342"</f>
        <v>258,8342</v>
      </c>
      <c r="U27" s="19" t="s">
        <v>33</v>
      </c>
    </row>
    <row r="28" spans="1:21" ht="12.75">
      <c r="A28" s="22" t="s">
        <v>336</v>
      </c>
      <c r="B28" s="22" t="s">
        <v>337</v>
      </c>
      <c r="C28" s="22" t="s">
        <v>338</v>
      </c>
      <c r="D28" s="22" t="str">
        <f>"0,6203"</f>
        <v>0,6203</v>
      </c>
      <c r="E28" s="22" t="s">
        <v>28</v>
      </c>
      <c r="F28" s="22" t="s">
        <v>50</v>
      </c>
      <c r="G28" s="24" t="s">
        <v>208</v>
      </c>
      <c r="H28" s="23" t="s">
        <v>269</v>
      </c>
      <c r="I28" s="24" t="s">
        <v>269</v>
      </c>
      <c r="J28" s="23"/>
      <c r="K28" s="24" t="s">
        <v>232</v>
      </c>
      <c r="L28" s="24" t="s">
        <v>210</v>
      </c>
      <c r="M28" s="23"/>
      <c r="N28" s="23"/>
      <c r="O28" s="24" t="s">
        <v>245</v>
      </c>
      <c r="P28" s="24" t="s">
        <v>271</v>
      </c>
      <c r="Q28" s="23" t="s">
        <v>329</v>
      </c>
      <c r="R28" s="23"/>
      <c r="S28" s="22" t="str">
        <f>"445,0"</f>
        <v>445,0</v>
      </c>
      <c r="T28" s="24" t="str">
        <f>"276,0335"</f>
        <v>276,0335</v>
      </c>
      <c r="U28" s="22" t="s">
        <v>33</v>
      </c>
    </row>
    <row r="29" spans="1:21" ht="12.75">
      <c r="A29" s="22" t="s">
        <v>340</v>
      </c>
      <c r="B29" s="22" t="s">
        <v>341</v>
      </c>
      <c r="C29" s="22" t="s">
        <v>342</v>
      </c>
      <c r="D29" s="22" t="str">
        <f>"0,6251"</f>
        <v>0,6251</v>
      </c>
      <c r="E29" s="22" t="s">
        <v>28</v>
      </c>
      <c r="F29" s="22" t="s">
        <v>296</v>
      </c>
      <c r="G29" s="24" t="s">
        <v>343</v>
      </c>
      <c r="H29" s="24" t="s">
        <v>344</v>
      </c>
      <c r="I29" s="23" t="s">
        <v>345</v>
      </c>
      <c r="J29" s="23"/>
      <c r="K29" s="24" t="s">
        <v>304</v>
      </c>
      <c r="L29" s="24" t="s">
        <v>212</v>
      </c>
      <c r="M29" s="23"/>
      <c r="N29" s="23"/>
      <c r="O29" s="24" t="s">
        <v>266</v>
      </c>
      <c r="P29" s="24" t="s">
        <v>267</v>
      </c>
      <c r="Q29" s="24" t="s">
        <v>346</v>
      </c>
      <c r="R29" s="23"/>
      <c r="S29" s="22" t="str">
        <f>"577,5"</f>
        <v>577,5</v>
      </c>
      <c r="T29" s="24" t="str">
        <f>"360,9953"</f>
        <v>360,9953</v>
      </c>
      <c r="U29" s="22" t="s">
        <v>33</v>
      </c>
    </row>
    <row r="30" spans="1:21" ht="12.75">
      <c r="A30" s="25" t="s">
        <v>348</v>
      </c>
      <c r="B30" s="25" t="s">
        <v>349</v>
      </c>
      <c r="C30" s="25" t="s">
        <v>350</v>
      </c>
      <c r="D30" s="25" t="str">
        <f>"0,6492"</f>
        <v>0,6492</v>
      </c>
      <c r="E30" s="25" t="s">
        <v>327</v>
      </c>
      <c r="F30" s="25" t="s">
        <v>69</v>
      </c>
      <c r="G30" s="27" t="s">
        <v>311</v>
      </c>
      <c r="H30" s="26" t="s">
        <v>351</v>
      </c>
      <c r="I30" s="26" t="s">
        <v>352</v>
      </c>
      <c r="J30" s="26"/>
      <c r="K30" s="27" t="s">
        <v>232</v>
      </c>
      <c r="L30" s="27" t="s">
        <v>210</v>
      </c>
      <c r="M30" s="26" t="s">
        <v>297</v>
      </c>
      <c r="N30" s="26"/>
      <c r="O30" s="27" t="s">
        <v>245</v>
      </c>
      <c r="P30" s="27" t="s">
        <v>329</v>
      </c>
      <c r="Q30" s="27" t="s">
        <v>353</v>
      </c>
      <c r="R30" s="26"/>
      <c r="S30" s="25" t="str">
        <f>"460,0"</f>
        <v>460,0</v>
      </c>
      <c r="T30" s="27" t="str">
        <f>"298,6320"</f>
        <v>298,6320</v>
      </c>
      <c r="U30" s="25" t="s">
        <v>33</v>
      </c>
    </row>
    <row r="32" spans="1:20" ht="15">
      <c r="A32" s="54" t="s">
        <v>219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</row>
    <row r="33" spans="1:21" ht="12.75">
      <c r="A33" s="10" t="s">
        <v>355</v>
      </c>
      <c r="B33" s="10" t="s">
        <v>356</v>
      </c>
      <c r="C33" s="10" t="s">
        <v>357</v>
      </c>
      <c r="D33" s="10" t="str">
        <f>"0,5885"</f>
        <v>0,5885</v>
      </c>
      <c r="E33" s="10" t="s">
        <v>28</v>
      </c>
      <c r="F33" s="10" t="s">
        <v>87</v>
      </c>
      <c r="G33" s="12" t="s">
        <v>353</v>
      </c>
      <c r="H33" s="12" t="s">
        <v>343</v>
      </c>
      <c r="I33" s="11" t="s">
        <v>344</v>
      </c>
      <c r="J33" s="11"/>
      <c r="K33" s="12" t="s">
        <v>358</v>
      </c>
      <c r="L33" s="12" t="s">
        <v>256</v>
      </c>
      <c r="M33" s="11" t="s">
        <v>304</v>
      </c>
      <c r="N33" s="11"/>
      <c r="O33" s="12" t="s">
        <v>330</v>
      </c>
      <c r="P33" s="12" t="s">
        <v>266</v>
      </c>
      <c r="Q33" s="11" t="s">
        <v>344</v>
      </c>
      <c r="R33" s="11"/>
      <c r="S33" s="10" t="str">
        <f>"532,5"</f>
        <v>532,5</v>
      </c>
      <c r="T33" s="12" t="str">
        <f>"313,3763"</f>
        <v>313,3763</v>
      </c>
      <c r="U33" s="10" t="s">
        <v>33</v>
      </c>
    </row>
    <row r="35" spans="1:20" ht="15">
      <c r="A35" s="54" t="s">
        <v>118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</row>
    <row r="36" spans="1:21" ht="12.75">
      <c r="A36" s="10" t="s">
        <v>360</v>
      </c>
      <c r="B36" s="10" t="s">
        <v>361</v>
      </c>
      <c r="C36" s="10" t="s">
        <v>362</v>
      </c>
      <c r="D36" s="10" t="str">
        <f>"0,5553"</f>
        <v>0,5553</v>
      </c>
      <c r="E36" s="10" t="s">
        <v>28</v>
      </c>
      <c r="F36" s="10" t="s">
        <v>29</v>
      </c>
      <c r="G36" s="11" t="s">
        <v>304</v>
      </c>
      <c r="H36" s="11" t="s">
        <v>304</v>
      </c>
      <c r="I36" s="12" t="s">
        <v>304</v>
      </c>
      <c r="J36" s="11"/>
      <c r="K36" s="12" t="s">
        <v>196</v>
      </c>
      <c r="L36" s="12" t="s">
        <v>203</v>
      </c>
      <c r="M36" s="11" t="s">
        <v>225</v>
      </c>
      <c r="N36" s="11"/>
      <c r="O36" s="12" t="s">
        <v>270</v>
      </c>
      <c r="P36" s="12" t="s">
        <v>271</v>
      </c>
      <c r="Q36" s="11" t="s">
        <v>330</v>
      </c>
      <c r="R36" s="11"/>
      <c r="S36" s="10" t="str">
        <f>"415,0"</f>
        <v>415,0</v>
      </c>
      <c r="T36" s="12" t="str">
        <f>"248,8855"</f>
        <v>248,8855</v>
      </c>
      <c r="U36" s="10" t="s">
        <v>33</v>
      </c>
    </row>
    <row r="38" spans="1:20" ht="15">
      <c r="A38" s="54" t="s">
        <v>123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</row>
    <row r="39" spans="1:21" ht="12.75">
      <c r="A39" s="10" t="s">
        <v>125</v>
      </c>
      <c r="B39" s="10" t="s">
        <v>126</v>
      </c>
      <c r="C39" s="10" t="s">
        <v>127</v>
      </c>
      <c r="D39" s="10" t="str">
        <f>"0,5391"</f>
        <v>0,5391</v>
      </c>
      <c r="E39" s="10" t="s">
        <v>106</v>
      </c>
      <c r="F39" s="10" t="s">
        <v>87</v>
      </c>
      <c r="G39" s="11" t="s">
        <v>271</v>
      </c>
      <c r="H39" s="11" t="s">
        <v>271</v>
      </c>
      <c r="I39" s="12" t="s">
        <v>271</v>
      </c>
      <c r="J39" s="11"/>
      <c r="K39" s="12" t="s">
        <v>224</v>
      </c>
      <c r="L39" s="12" t="s">
        <v>232</v>
      </c>
      <c r="M39" s="12" t="s">
        <v>210</v>
      </c>
      <c r="N39" s="11"/>
      <c r="O39" s="12" t="s">
        <v>271</v>
      </c>
      <c r="P39" s="12" t="s">
        <v>353</v>
      </c>
      <c r="Q39" s="12" t="s">
        <v>266</v>
      </c>
      <c r="R39" s="11"/>
      <c r="S39" s="10" t="str">
        <f>"495,0"</f>
        <v>495,0</v>
      </c>
      <c r="T39" s="12" t="str">
        <f>"266,8545"</f>
        <v>266,8545</v>
      </c>
      <c r="U39" s="10" t="s">
        <v>33</v>
      </c>
    </row>
    <row r="41" ht="15">
      <c r="E41" s="8" t="s">
        <v>13</v>
      </c>
    </row>
    <row r="42" ht="15">
      <c r="E42" s="8" t="s">
        <v>14</v>
      </c>
    </row>
    <row r="43" ht="15">
      <c r="E43" s="8" t="s">
        <v>15</v>
      </c>
    </row>
    <row r="44" ht="15">
      <c r="E44" s="8" t="s">
        <v>16</v>
      </c>
    </row>
    <row r="45" ht="15">
      <c r="E45" s="8" t="s">
        <v>16</v>
      </c>
    </row>
    <row r="46" ht="15">
      <c r="E46" s="8" t="s">
        <v>17</v>
      </c>
    </row>
    <row r="47" ht="15">
      <c r="E47" s="8"/>
    </row>
    <row r="49" spans="1:2" ht="18">
      <c r="A49" s="9" t="s">
        <v>18</v>
      </c>
      <c r="B49" s="9"/>
    </row>
    <row r="50" spans="1:2" ht="15">
      <c r="A50" s="13" t="s">
        <v>133</v>
      </c>
      <c r="B50" s="13"/>
    </row>
    <row r="51" spans="1:2" ht="14.25">
      <c r="A51" s="15"/>
      <c r="B51" s="16" t="s">
        <v>204</v>
      </c>
    </row>
    <row r="52" spans="1:5" ht="15">
      <c r="A52" s="17" t="s">
        <v>36</v>
      </c>
      <c r="B52" s="17" t="s">
        <v>37</v>
      </c>
      <c r="C52" s="17" t="s">
        <v>38</v>
      </c>
      <c r="D52" s="17" t="s">
        <v>39</v>
      </c>
      <c r="E52" s="17" t="s">
        <v>40</v>
      </c>
    </row>
    <row r="53" spans="1:5" ht="12.75">
      <c r="A53" s="14" t="s">
        <v>285</v>
      </c>
      <c r="B53" s="4" t="s">
        <v>363</v>
      </c>
      <c r="C53" s="4" t="s">
        <v>134</v>
      </c>
      <c r="D53" s="4" t="s">
        <v>267</v>
      </c>
      <c r="E53" s="18" t="s">
        <v>364</v>
      </c>
    </row>
    <row r="54" spans="1:5" ht="12.75">
      <c r="A54" s="14" t="s">
        <v>289</v>
      </c>
      <c r="B54" s="4" t="s">
        <v>137</v>
      </c>
      <c r="C54" s="4" t="s">
        <v>134</v>
      </c>
      <c r="D54" s="4" t="s">
        <v>344</v>
      </c>
      <c r="E54" s="18" t="s">
        <v>365</v>
      </c>
    </row>
    <row r="56" spans="1:2" ht="14.25">
      <c r="A56" s="15"/>
      <c r="B56" s="16" t="s">
        <v>366</v>
      </c>
    </row>
    <row r="57" spans="1:5" ht="15">
      <c r="A57" s="17" t="s">
        <v>36</v>
      </c>
      <c r="B57" s="17" t="s">
        <v>37</v>
      </c>
      <c r="C57" s="17" t="s">
        <v>38</v>
      </c>
      <c r="D57" s="17" t="s">
        <v>39</v>
      </c>
      <c r="E57" s="17" t="s">
        <v>40</v>
      </c>
    </row>
    <row r="58" spans="1:5" ht="12.75">
      <c r="A58" s="14" t="s">
        <v>307</v>
      </c>
      <c r="B58" s="4" t="s">
        <v>143</v>
      </c>
      <c r="C58" s="4" t="s">
        <v>367</v>
      </c>
      <c r="D58" s="4" t="s">
        <v>368</v>
      </c>
      <c r="E58" s="18" t="s">
        <v>369</v>
      </c>
    </row>
    <row r="60" spans="1:2" ht="14.25">
      <c r="A60" s="15"/>
      <c r="B60" s="16" t="s">
        <v>35</v>
      </c>
    </row>
    <row r="61" spans="1:5" ht="15">
      <c r="A61" s="17" t="s">
        <v>36</v>
      </c>
      <c r="B61" s="17" t="s">
        <v>37</v>
      </c>
      <c r="C61" s="17" t="s">
        <v>38</v>
      </c>
      <c r="D61" s="17" t="s">
        <v>39</v>
      </c>
      <c r="E61" s="17" t="s">
        <v>40</v>
      </c>
    </row>
    <row r="62" spans="1:5" ht="12.75">
      <c r="A62" s="14" t="s">
        <v>300</v>
      </c>
      <c r="B62" s="4" t="s">
        <v>35</v>
      </c>
      <c r="C62" s="4" t="s">
        <v>140</v>
      </c>
      <c r="D62" s="4" t="s">
        <v>370</v>
      </c>
      <c r="E62" s="18" t="s">
        <v>371</v>
      </c>
    </row>
    <row r="63" spans="1:5" ht="12.75">
      <c r="A63" s="14" t="s">
        <v>292</v>
      </c>
      <c r="B63" s="4" t="s">
        <v>35</v>
      </c>
      <c r="C63" s="4" t="s">
        <v>140</v>
      </c>
      <c r="D63" s="4" t="s">
        <v>372</v>
      </c>
      <c r="E63" s="18" t="s">
        <v>373</v>
      </c>
    </row>
    <row r="66" spans="1:2" ht="15">
      <c r="A66" s="13" t="s">
        <v>34</v>
      </c>
      <c r="B66" s="13"/>
    </row>
    <row r="67" spans="1:2" ht="14.25">
      <c r="A67" s="15"/>
      <c r="B67" s="16" t="s">
        <v>136</v>
      </c>
    </row>
    <row r="68" spans="1:5" ht="15">
      <c r="A68" s="17" t="s">
        <v>36</v>
      </c>
      <c r="B68" s="17" t="s">
        <v>37</v>
      </c>
      <c r="C68" s="17" t="s">
        <v>38</v>
      </c>
      <c r="D68" s="17" t="s">
        <v>39</v>
      </c>
      <c r="E68" s="17" t="s">
        <v>40</v>
      </c>
    </row>
    <row r="69" spans="1:5" ht="12.75">
      <c r="A69" s="14" t="s">
        <v>319</v>
      </c>
      <c r="B69" s="4" t="s">
        <v>137</v>
      </c>
      <c r="C69" s="4" t="s">
        <v>140</v>
      </c>
      <c r="D69" s="4" t="s">
        <v>374</v>
      </c>
      <c r="E69" s="18" t="s">
        <v>375</v>
      </c>
    </row>
    <row r="70" spans="1:5" ht="12.75">
      <c r="A70" s="14" t="s">
        <v>331</v>
      </c>
      <c r="B70" s="4" t="s">
        <v>363</v>
      </c>
      <c r="C70" s="4" t="s">
        <v>138</v>
      </c>
      <c r="D70" s="4" t="s">
        <v>376</v>
      </c>
      <c r="E70" s="18" t="s">
        <v>377</v>
      </c>
    </row>
    <row r="71" spans="1:5" ht="12.75">
      <c r="A71" s="14" t="s">
        <v>359</v>
      </c>
      <c r="B71" s="4" t="s">
        <v>137</v>
      </c>
      <c r="C71" s="4" t="s">
        <v>156</v>
      </c>
      <c r="D71" s="4" t="s">
        <v>378</v>
      </c>
      <c r="E71" s="18" t="s">
        <v>379</v>
      </c>
    </row>
    <row r="72" spans="1:5" ht="12.75">
      <c r="A72" s="14" t="s">
        <v>323</v>
      </c>
      <c r="B72" s="4" t="s">
        <v>137</v>
      </c>
      <c r="C72" s="4" t="s">
        <v>41</v>
      </c>
      <c r="D72" s="4" t="s">
        <v>380</v>
      </c>
      <c r="E72" s="18" t="s">
        <v>381</v>
      </c>
    </row>
    <row r="74" spans="1:2" ht="14.25">
      <c r="A74" s="15"/>
      <c r="B74" s="16" t="s">
        <v>142</v>
      </c>
    </row>
    <row r="75" spans="1:5" ht="15">
      <c r="A75" s="17" t="s">
        <v>36</v>
      </c>
      <c r="B75" s="17" t="s">
        <v>37</v>
      </c>
      <c r="C75" s="17" t="s">
        <v>38</v>
      </c>
      <c r="D75" s="17" t="s">
        <v>39</v>
      </c>
      <c r="E75" s="17" t="s">
        <v>40</v>
      </c>
    </row>
    <row r="76" spans="1:5" ht="12.75">
      <c r="A76" s="14" t="s">
        <v>335</v>
      </c>
      <c r="B76" s="4" t="s">
        <v>143</v>
      </c>
      <c r="C76" s="4" t="s">
        <v>138</v>
      </c>
      <c r="D76" s="4" t="s">
        <v>382</v>
      </c>
      <c r="E76" s="18" t="s">
        <v>383</v>
      </c>
    </row>
    <row r="78" spans="1:2" ht="14.25">
      <c r="A78" s="15"/>
      <c r="B78" s="16" t="s">
        <v>35</v>
      </c>
    </row>
    <row r="79" spans="1:5" ht="15">
      <c r="A79" s="17" t="s">
        <v>36</v>
      </c>
      <c r="B79" s="17" t="s">
        <v>37</v>
      </c>
      <c r="C79" s="17" t="s">
        <v>38</v>
      </c>
      <c r="D79" s="17" t="s">
        <v>39</v>
      </c>
      <c r="E79" s="17" t="s">
        <v>40</v>
      </c>
    </row>
    <row r="80" spans="1:5" ht="12.75">
      <c r="A80" s="14" t="s">
        <v>314</v>
      </c>
      <c r="B80" s="4" t="s">
        <v>35</v>
      </c>
      <c r="C80" s="4" t="s">
        <v>384</v>
      </c>
      <c r="D80" s="4" t="s">
        <v>385</v>
      </c>
      <c r="E80" s="18" t="s">
        <v>386</v>
      </c>
    </row>
    <row r="81" spans="1:5" ht="12.75">
      <c r="A81" s="14" t="s">
        <v>339</v>
      </c>
      <c r="B81" s="4" t="s">
        <v>35</v>
      </c>
      <c r="C81" s="4" t="s">
        <v>138</v>
      </c>
      <c r="D81" s="4" t="s">
        <v>387</v>
      </c>
      <c r="E81" s="18" t="s">
        <v>388</v>
      </c>
    </row>
    <row r="82" spans="1:5" ht="12.75">
      <c r="A82" s="14" t="s">
        <v>354</v>
      </c>
      <c r="B82" s="4" t="s">
        <v>35</v>
      </c>
      <c r="C82" s="4" t="s">
        <v>239</v>
      </c>
      <c r="D82" s="4" t="s">
        <v>389</v>
      </c>
      <c r="E82" s="18" t="s">
        <v>390</v>
      </c>
    </row>
    <row r="83" spans="1:5" ht="12.75">
      <c r="A83" s="14" t="s">
        <v>347</v>
      </c>
      <c r="B83" s="4" t="s">
        <v>35</v>
      </c>
      <c r="C83" s="4" t="s">
        <v>138</v>
      </c>
      <c r="D83" s="4" t="s">
        <v>391</v>
      </c>
      <c r="E83" s="18" t="s">
        <v>392</v>
      </c>
    </row>
    <row r="84" spans="1:5" ht="12.75">
      <c r="A84" s="14" t="s">
        <v>124</v>
      </c>
      <c r="B84" s="4" t="s">
        <v>35</v>
      </c>
      <c r="C84" s="4" t="s">
        <v>148</v>
      </c>
      <c r="D84" s="4" t="s">
        <v>393</v>
      </c>
      <c r="E84" s="18" t="s">
        <v>394</v>
      </c>
    </row>
    <row r="89" spans="1:2" ht="18">
      <c r="A89" s="9" t="s">
        <v>159</v>
      </c>
      <c r="B89" s="9"/>
    </row>
    <row r="90" spans="1:3" ht="15">
      <c r="A90" s="17" t="s">
        <v>160</v>
      </c>
      <c r="B90" s="17" t="s">
        <v>161</v>
      </c>
      <c r="C90" s="17" t="s">
        <v>162</v>
      </c>
    </row>
    <row r="91" spans="1:3" ht="12.75">
      <c r="A91" s="4" t="s">
        <v>327</v>
      </c>
      <c r="B91" s="4" t="s">
        <v>163</v>
      </c>
      <c r="C91" s="4" t="s">
        <v>395</v>
      </c>
    </row>
    <row r="92" spans="1:3" ht="12.75">
      <c r="A92" s="4" t="s">
        <v>178</v>
      </c>
      <c r="B92" s="4" t="s">
        <v>165</v>
      </c>
      <c r="C92" s="4" t="s">
        <v>396</v>
      </c>
    </row>
    <row r="93" spans="1:3" ht="12.75">
      <c r="A93" s="4" t="s">
        <v>68</v>
      </c>
      <c r="B93" s="4" t="s">
        <v>216</v>
      </c>
      <c r="C93" s="4" t="s">
        <v>397</v>
      </c>
    </row>
    <row r="94" spans="1:3" ht="12.75">
      <c r="A94" s="4" t="s">
        <v>106</v>
      </c>
      <c r="B94" s="4" t="s">
        <v>216</v>
      </c>
      <c r="C94" s="4" t="s">
        <v>398</v>
      </c>
    </row>
  </sheetData>
  <sheetProtection/>
  <mergeCells count="23">
    <mergeCell ref="A13:T13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9:T9"/>
    <mergeCell ref="A38:T38"/>
    <mergeCell ref="A16:T16"/>
    <mergeCell ref="A19:T19"/>
    <mergeCell ref="A22:T22"/>
    <mergeCell ref="A26:T26"/>
    <mergeCell ref="A32:T32"/>
    <mergeCell ref="A35:T35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C33" sqref="C33"/>
    </sheetView>
  </sheetViews>
  <sheetFormatPr defaultColWidth="9.00390625" defaultRowHeight="12.75"/>
  <cols>
    <col min="1" max="1" width="26.625" style="4" customWidth="1"/>
    <col min="2" max="2" width="29.00390625" style="4" bestFit="1" customWidth="1"/>
    <col min="3" max="3" width="17.625" style="4" bestFit="1" customWidth="1"/>
    <col min="4" max="4" width="9.25390625" style="4" bestFit="1" customWidth="1"/>
    <col min="5" max="5" width="18.25390625" style="4" customWidth="1"/>
    <col min="6" max="6" width="29.87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14.125" style="4" bestFit="1" customWidth="1"/>
    <col min="22" max="16384" width="9.125" style="3" customWidth="1"/>
  </cols>
  <sheetData>
    <row r="1" spans="1:21" s="2" customFormat="1" ht="28.5" customHeight="1">
      <c r="A1" s="53" t="s">
        <v>1341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0</v>
      </c>
      <c r="B3" s="48" t="s">
        <v>10</v>
      </c>
      <c r="C3" s="48" t="s">
        <v>11</v>
      </c>
      <c r="D3" s="50" t="s">
        <v>21</v>
      </c>
      <c r="E3" s="50" t="s">
        <v>7</v>
      </c>
      <c r="F3" s="50" t="s">
        <v>12</v>
      </c>
      <c r="G3" s="50" t="s">
        <v>248</v>
      </c>
      <c r="H3" s="50"/>
      <c r="I3" s="50"/>
      <c r="J3" s="50"/>
      <c r="K3" s="50" t="s">
        <v>249</v>
      </c>
      <c r="L3" s="50"/>
      <c r="M3" s="50"/>
      <c r="N3" s="50"/>
      <c r="O3" s="50" t="s">
        <v>250</v>
      </c>
      <c r="P3" s="50"/>
      <c r="Q3" s="50"/>
      <c r="R3" s="50"/>
      <c r="S3" s="50" t="s">
        <v>4</v>
      </c>
      <c r="T3" s="50" t="s">
        <v>6</v>
      </c>
      <c r="U3" s="38" t="s">
        <v>5</v>
      </c>
    </row>
    <row r="4" spans="1:21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49"/>
      <c r="T4" s="49"/>
      <c r="U4" s="39"/>
    </row>
    <row r="5" spans="1:20" ht="15">
      <c r="A5" s="54" t="s">
        <v>260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1" ht="12.75">
      <c r="A6" s="19" t="s">
        <v>262</v>
      </c>
      <c r="B6" s="19" t="s">
        <v>263</v>
      </c>
      <c r="C6" s="19" t="s">
        <v>264</v>
      </c>
      <c r="D6" s="19" t="str">
        <f>"0,5090"</f>
        <v>0,5090</v>
      </c>
      <c r="E6" s="19" t="s">
        <v>28</v>
      </c>
      <c r="F6" s="19" t="s">
        <v>265</v>
      </c>
      <c r="G6" s="21" t="s">
        <v>266</v>
      </c>
      <c r="H6" s="20" t="s">
        <v>267</v>
      </c>
      <c r="I6" s="20" t="s">
        <v>268</v>
      </c>
      <c r="J6" s="20"/>
      <c r="K6" s="21" t="s">
        <v>269</v>
      </c>
      <c r="L6" s="21" t="s">
        <v>270</v>
      </c>
      <c r="M6" s="20" t="s">
        <v>271</v>
      </c>
      <c r="N6" s="20"/>
      <c r="O6" s="21" t="s">
        <v>272</v>
      </c>
      <c r="P6" s="21" t="s">
        <v>268</v>
      </c>
      <c r="Q6" s="21" t="s">
        <v>273</v>
      </c>
      <c r="R6" s="20"/>
      <c r="S6" s="19" t="str">
        <f>"605,0"</f>
        <v>605,0</v>
      </c>
      <c r="T6" s="21" t="str">
        <f>"307,9450"</f>
        <v>307,9450</v>
      </c>
      <c r="U6" s="19" t="s">
        <v>274</v>
      </c>
    </row>
    <row r="7" spans="1:21" ht="12.75">
      <c r="A7" s="25" t="s">
        <v>262</v>
      </c>
      <c r="B7" s="25" t="s">
        <v>275</v>
      </c>
      <c r="C7" s="25" t="s">
        <v>264</v>
      </c>
      <c r="D7" s="25" t="str">
        <f>"0,5090"</f>
        <v>0,5090</v>
      </c>
      <c r="E7" s="25" t="s">
        <v>28</v>
      </c>
      <c r="F7" s="25" t="s">
        <v>265</v>
      </c>
      <c r="G7" s="27" t="s">
        <v>266</v>
      </c>
      <c r="H7" s="26" t="s">
        <v>267</v>
      </c>
      <c r="I7" s="26" t="s">
        <v>268</v>
      </c>
      <c r="J7" s="26"/>
      <c r="K7" s="27" t="s">
        <v>269</v>
      </c>
      <c r="L7" s="27" t="s">
        <v>270</v>
      </c>
      <c r="M7" s="26" t="s">
        <v>271</v>
      </c>
      <c r="N7" s="26"/>
      <c r="O7" s="27" t="s">
        <v>272</v>
      </c>
      <c r="P7" s="27" t="s">
        <v>268</v>
      </c>
      <c r="Q7" s="27" t="s">
        <v>273</v>
      </c>
      <c r="R7" s="26"/>
      <c r="S7" s="25" t="str">
        <f>"605,0"</f>
        <v>605,0</v>
      </c>
      <c r="T7" s="27" t="str">
        <f>"361,2195"</f>
        <v>361,2195</v>
      </c>
      <c r="U7" s="25" t="s">
        <v>274</v>
      </c>
    </row>
    <row r="9" ht="15">
      <c r="E9" s="8" t="s">
        <v>13</v>
      </c>
    </row>
    <row r="10" ht="15">
      <c r="E10" s="8" t="s">
        <v>14</v>
      </c>
    </row>
    <row r="11" ht="15">
      <c r="E11" s="8" t="s">
        <v>15</v>
      </c>
    </row>
    <row r="12" ht="15">
      <c r="E12" s="8" t="s">
        <v>16</v>
      </c>
    </row>
    <row r="13" ht="15">
      <c r="E13" s="8" t="s">
        <v>16</v>
      </c>
    </row>
    <row r="14" ht="15">
      <c r="E14" s="8" t="s">
        <v>17</v>
      </c>
    </row>
    <row r="15" ht="15">
      <c r="E15" s="8"/>
    </row>
    <row r="17" spans="1:2" ht="18">
      <c r="A17" s="9" t="s">
        <v>18</v>
      </c>
      <c r="B17" s="9"/>
    </row>
    <row r="18" spans="1:2" ht="15">
      <c r="A18" s="13" t="s">
        <v>34</v>
      </c>
      <c r="B18" s="13"/>
    </row>
    <row r="19" spans="1:2" ht="14.25">
      <c r="A19" s="15"/>
      <c r="B19" s="16" t="s">
        <v>35</v>
      </c>
    </row>
    <row r="20" spans="1:5" ht="15">
      <c r="A20" s="17" t="s">
        <v>36</v>
      </c>
      <c r="B20" s="17" t="s">
        <v>37</v>
      </c>
      <c r="C20" s="17" t="s">
        <v>38</v>
      </c>
      <c r="D20" s="17" t="s">
        <v>39</v>
      </c>
      <c r="E20" s="17" t="s">
        <v>40</v>
      </c>
    </row>
    <row r="21" spans="1:5" ht="12.75">
      <c r="A21" s="14" t="s">
        <v>261</v>
      </c>
      <c r="B21" s="4" t="s">
        <v>35</v>
      </c>
      <c r="C21" s="4" t="s">
        <v>279</v>
      </c>
      <c r="D21" s="4" t="s">
        <v>280</v>
      </c>
      <c r="E21" s="18" t="s">
        <v>281</v>
      </c>
    </row>
    <row r="23" spans="1:2" ht="14.25">
      <c r="A23" s="15"/>
      <c r="B23" s="16" t="s">
        <v>152</v>
      </c>
    </row>
    <row r="24" spans="1:5" ht="15">
      <c r="A24" s="17" t="s">
        <v>36</v>
      </c>
      <c r="B24" s="17" t="s">
        <v>37</v>
      </c>
      <c r="C24" s="17" t="s">
        <v>38</v>
      </c>
      <c r="D24" s="17" t="s">
        <v>39</v>
      </c>
      <c r="E24" s="17" t="s">
        <v>40</v>
      </c>
    </row>
    <row r="25" spans="1:5" ht="12.75">
      <c r="A25" s="14" t="s">
        <v>261</v>
      </c>
      <c r="B25" s="4" t="s">
        <v>282</v>
      </c>
      <c r="C25" s="4" t="s">
        <v>279</v>
      </c>
      <c r="D25" s="4" t="s">
        <v>280</v>
      </c>
      <c r="E25" s="18" t="s">
        <v>283</v>
      </c>
    </row>
    <row r="30" spans="4:21" ht="12.75">
      <c r="D30" s="3"/>
      <c r="E30" s="3"/>
      <c r="F30" s="3"/>
      <c r="P30" s="4"/>
      <c r="R30" s="4"/>
      <c r="S30" s="3"/>
      <c r="U30" s="3"/>
    </row>
    <row r="31" spans="4:21" ht="12.75">
      <c r="D31" s="3"/>
      <c r="E31" s="3"/>
      <c r="F31" s="3"/>
      <c r="P31" s="4"/>
      <c r="R31" s="4"/>
      <c r="S31" s="3"/>
      <c r="U31" s="3"/>
    </row>
    <row r="32" spans="4:21" ht="12.75">
      <c r="D32" s="3"/>
      <c r="E32" s="3"/>
      <c r="F32" s="3"/>
      <c r="P32" s="4"/>
      <c r="R32" s="4"/>
      <c r="S32" s="3"/>
      <c r="U32" s="3"/>
    </row>
    <row r="33" spans="4:21" ht="12.75">
      <c r="D33" s="3"/>
      <c r="E33" s="3"/>
      <c r="F33" s="3"/>
      <c r="P33" s="4"/>
      <c r="R33" s="4"/>
      <c r="S33" s="3"/>
      <c r="U33" s="3"/>
    </row>
    <row r="34" spans="4:21" ht="12.75">
      <c r="D34" s="3"/>
      <c r="E34" s="3"/>
      <c r="F34" s="3"/>
      <c r="P34" s="4"/>
      <c r="R34" s="4"/>
      <c r="S34" s="3"/>
      <c r="U34" s="3"/>
    </row>
    <row r="35" spans="4:21" ht="12.75">
      <c r="D35" s="3"/>
      <c r="E35" s="3"/>
      <c r="F35" s="3"/>
      <c r="P35" s="4"/>
      <c r="R35" s="4"/>
      <c r="S35" s="3"/>
      <c r="U35" s="3"/>
    </row>
  </sheetData>
  <sheetProtection/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5.625" style="4" customWidth="1"/>
    <col min="2" max="2" width="23.75390625" style="4" customWidth="1"/>
    <col min="3" max="3" width="15.875" style="4" customWidth="1"/>
    <col min="4" max="4" width="9.25390625" style="4" bestFit="1" customWidth="1"/>
    <col min="5" max="5" width="16.875" style="4" customWidth="1"/>
    <col min="6" max="6" width="25.875" style="4" customWidth="1"/>
    <col min="7" max="9" width="5.625" style="3" bestFit="1" customWidth="1"/>
    <col min="10" max="10" width="4.875" style="3" bestFit="1" customWidth="1"/>
    <col min="11" max="13" width="4.625" style="3" bestFit="1" customWidth="1"/>
    <col min="14" max="14" width="4.875" style="3" bestFit="1" customWidth="1"/>
    <col min="15" max="15" width="7.875" style="4" bestFit="1" customWidth="1"/>
    <col min="16" max="16" width="8.625" style="3" bestFit="1" customWidth="1"/>
    <col min="17" max="17" width="8.875" style="4" bestFit="1" customWidth="1"/>
    <col min="18" max="16384" width="9.125" style="3" customWidth="1"/>
  </cols>
  <sheetData>
    <row r="1" spans="1:17" s="2" customFormat="1" ht="28.5" customHeight="1">
      <c r="A1" s="53" t="s">
        <v>218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s="1" customFormat="1" ht="12.75" customHeight="1">
      <c r="A3" s="46" t="s">
        <v>0</v>
      </c>
      <c r="B3" s="48" t="s">
        <v>10</v>
      </c>
      <c r="C3" s="48" t="s">
        <v>11</v>
      </c>
      <c r="D3" s="50" t="s">
        <v>21</v>
      </c>
      <c r="E3" s="50" t="s">
        <v>7</v>
      </c>
      <c r="F3" s="50" t="s">
        <v>12</v>
      </c>
      <c r="G3" s="50" t="s">
        <v>22</v>
      </c>
      <c r="H3" s="50"/>
      <c r="I3" s="50"/>
      <c r="J3" s="50"/>
      <c r="K3" s="50" t="s">
        <v>44</v>
      </c>
      <c r="L3" s="50"/>
      <c r="M3" s="50"/>
      <c r="N3" s="50"/>
      <c r="O3" s="50" t="s">
        <v>4</v>
      </c>
      <c r="P3" s="50" t="s">
        <v>6</v>
      </c>
      <c r="Q3" s="38" t="s">
        <v>5</v>
      </c>
    </row>
    <row r="4" spans="1:17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49"/>
      <c r="P4" s="49"/>
      <c r="Q4" s="39"/>
    </row>
    <row r="5" spans="1:16" ht="15">
      <c r="A5" s="51" t="s">
        <v>23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7" ht="12.75">
      <c r="A6" s="10" t="s">
        <v>25</v>
      </c>
      <c r="B6" s="10" t="s">
        <v>26</v>
      </c>
      <c r="C6" s="10" t="s">
        <v>27</v>
      </c>
      <c r="D6" s="10" t="str">
        <f>"0,6716"</f>
        <v>0,6716</v>
      </c>
      <c r="E6" s="10" t="s">
        <v>28</v>
      </c>
      <c r="F6" s="10" t="s">
        <v>29</v>
      </c>
      <c r="G6" s="12" t="s">
        <v>30</v>
      </c>
      <c r="H6" s="12" t="s">
        <v>31</v>
      </c>
      <c r="I6" s="12" t="s">
        <v>32</v>
      </c>
      <c r="J6" s="11"/>
      <c r="K6" s="11" t="s">
        <v>70</v>
      </c>
      <c r="L6" s="12" t="s">
        <v>94</v>
      </c>
      <c r="M6" s="11" t="s">
        <v>101</v>
      </c>
      <c r="N6" s="11"/>
      <c r="O6" s="10" t="str">
        <f>"162,5"</f>
        <v>162,5</v>
      </c>
      <c r="P6" s="12" t="str">
        <f>"109,1350"</f>
        <v>109,1350</v>
      </c>
      <c r="Q6" s="10" t="s">
        <v>33</v>
      </c>
    </row>
    <row r="8" spans="1:16" ht="15">
      <c r="A8" s="54" t="s">
        <v>219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17" ht="12.75">
      <c r="A9" s="10" t="s">
        <v>221</v>
      </c>
      <c r="B9" s="10" t="s">
        <v>222</v>
      </c>
      <c r="C9" s="10" t="s">
        <v>223</v>
      </c>
      <c r="D9" s="10" t="str">
        <f>"0,5905"</f>
        <v>0,5905</v>
      </c>
      <c r="E9" s="10" t="s">
        <v>28</v>
      </c>
      <c r="F9" s="10" t="s">
        <v>29</v>
      </c>
      <c r="G9" s="12" t="s">
        <v>224</v>
      </c>
      <c r="H9" s="12" t="s">
        <v>225</v>
      </c>
      <c r="I9" s="12" t="s">
        <v>226</v>
      </c>
      <c r="J9" s="11"/>
      <c r="K9" s="12" t="s">
        <v>81</v>
      </c>
      <c r="L9" s="12" t="s">
        <v>201</v>
      </c>
      <c r="M9" s="11" t="s">
        <v>227</v>
      </c>
      <c r="N9" s="11"/>
      <c r="O9" s="10" t="str">
        <f>"187,5"</f>
        <v>187,5</v>
      </c>
      <c r="P9" s="12" t="str">
        <f>"110,7187"</f>
        <v>110,7187</v>
      </c>
      <c r="Q9" s="10" t="s">
        <v>33</v>
      </c>
    </row>
    <row r="11" spans="1:16" ht="15">
      <c r="A11" s="54" t="s">
        <v>118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</row>
    <row r="12" spans="1:17" ht="12.75">
      <c r="A12" s="19" t="s">
        <v>229</v>
      </c>
      <c r="B12" s="19" t="s">
        <v>230</v>
      </c>
      <c r="C12" s="19" t="s">
        <v>231</v>
      </c>
      <c r="D12" s="19" t="str">
        <f>"0,5793"</f>
        <v>0,5793</v>
      </c>
      <c r="E12" s="19" t="s">
        <v>28</v>
      </c>
      <c r="F12" s="19" t="s">
        <v>99</v>
      </c>
      <c r="G12" s="21" t="s">
        <v>203</v>
      </c>
      <c r="H12" s="21" t="s">
        <v>225</v>
      </c>
      <c r="I12" s="20" t="s">
        <v>232</v>
      </c>
      <c r="J12" s="20"/>
      <c r="K12" s="21" t="s">
        <v>101</v>
      </c>
      <c r="L12" s="21" t="s">
        <v>201</v>
      </c>
      <c r="M12" s="21" t="s">
        <v>195</v>
      </c>
      <c r="N12" s="20"/>
      <c r="O12" s="19" t="str">
        <f>"192,5"</f>
        <v>192,5</v>
      </c>
      <c r="P12" s="21" t="str">
        <f>"111,5152"</f>
        <v>111,5152</v>
      </c>
      <c r="Q12" s="19" t="s">
        <v>33</v>
      </c>
    </row>
    <row r="13" spans="1:17" ht="12.75">
      <c r="A13" s="25" t="s">
        <v>234</v>
      </c>
      <c r="B13" s="25" t="s">
        <v>235</v>
      </c>
      <c r="C13" s="25" t="s">
        <v>236</v>
      </c>
      <c r="D13" s="25" t="str">
        <f>"0,5565"</f>
        <v>0,5565</v>
      </c>
      <c r="E13" s="25" t="s">
        <v>106</v>
      </c>
      <c r="F13" s="25" t="s">
        <v>87</v>
      </c>
      <c r="G13" s="27" t="s">
        <v>196</v>
      </c>
      <c r="H13" s="27" t="s">
        <v>31</v>
      </c>
      <c r="I13" s="26" t="s">
        <v>203</v>
      </c>
      <c r="J13" s="26"/>
      <c r="K13" s="26" t="s">
        <v>201</v>
      </c>
      <c r="L13" s="27" t="s">
        <v>201</v>
      </c>
      <c r="M13" s="26" t="s">
        <v>227</v>
      </c>
      <c r="N13" s="26"/>
      <c r="O13" s="25" t="str">
        <f>"170,0"</f>
        <v>170,0</v>
      </c>
      <c r="P13" s="27" t="str">
        <f>"103,3087"</f>
        <v>103,3087</v>
      </c>
      <c r="Q13" s="25" t="s">
        <v>33</v>
      </c>
    </row>
    <row r="15" ht="15">
      <c r="E15" s="8" t="s">
        <v>13</v>
      </c>
    </row>
    <row r="16" ht="15">
      <c r="E16" s="8" t="s">
        <v>14</v>
      </c>
    </row>
    <row r="17" ht="15">
      <c r="E17" s="8" t="s">
        <v>15</v>
      </c>
    </row>
    <row r="18" ht="15">
      <c r="E18" s="8" t="s">
        <v>16</v>
      </c>
    </row>
    <row r="19" ht="15">
      <c r="E19" s="8" t="s">
        <v>16</v>
      </c>
    </row>
    <row r="20" ht="15">
      <c r="E20" s="8" t="s">
        <v>17</v>
      </c>
    </row>
    <row r="21" ht="15">
      <c r="E21" s="8"/>
    </row>
    <row r="23" spans="1:2" ht="18">
      <c r="A23" s="9" t="s">
        <v>18</v>
      </c>
      <c r="B23" s="9"/>
    </row>
    <row r="24" spans="1:2" ht="15">
      <c r="A24" s="13" t="s">
        <v>34</v>
      </c>
      <c r="B24" s="13"/>
    </row>
    <row r="25" spans="1:2" ht="14.25">
      <c r="A25" s="15"/>
      <c r="B25" s="16" t="s">
        <v>142</v>
      </c>
    </row>
    <row r="26" spans="1:5" ht="15">
      <c r="A26" s="17" t="s">
        <v>36</v>
      </c>
      <c r="B26" s="17" t="s">
        <v>37</v>
      </c>
      <c r="C26" s="17" t="s">
        <v>38</v>
      </c>
      <c r="D26" s="17" t="s">
        <v>39</v>
      </c>
      <c r="E26" s="17" t="s">
        <v>40</v>
      </c>
    </row>
    <row r="27" spans="1:5" ht="12.75">
      <c r="A27" s="14" t="s">
        <v>228</v>
      </c>
      <c r="B27" s="4" t="s">
        <v>143</v>
      </c>
      <c r="C27" s="4" t="s">
        <v>156</v>
      </c>
      <c r="D27" s="4" t="s">
        <v>237</v>
      </c>
      <c r="E27" s="18" t="s">
        <v>238</v>
      </c>
    </row>
    <row r="29" spans="1:2" ht="14.25">
      <c r="A29" s="15"/>
      <c r="B29" s="16" t="s">
        <v>35</v>
      </c>
    </row>
    <row r="30" spans="1:5" ht="15">
      <c r="A30" s="17" t="s">
        <v>36</v>
      </c>
      <c r="B30" s="17" t="s">
        <v>37</v>
      </c>
      <c r="C30" s="17" t="s">
        <v>38</v>
      </c>
      <c r="D30" s="17" t="s">
        <v>39</v>
      </c>
      <c r="E30" s="17" t="s">
        <v>40</v>
      </c>
    </row>
    <row r="31" spans="1:5" ht="12.75">
      <c r="A31" s="14" t="s">
        <v>220</v>
      </c>
      <c r="B31" s="4" t="s">
        <v>35</v>
      </c>
      <c r="C31" s="4" t="s">
        <v>239</v>
      </c>
      <c r="D31" s="4" t="s">
        <v>240</v>
      </c>
      <c r="E31" s="18" t="s">
        <v>241</v>
      </c>
    </row>
    <row r="32" spans="1:5" ht="12.75">
      <c r="A32" s="14" t="s">
        <v>24</v>
      </c>
      <c r="B32" s="4" t="s">
        <v>35</v>
      </c>
      <c r="C32" s="4" t="s">
        <v>41</v>
      </c>
      <c r="D32" s="4" t="s">
        <v>242</v>
      </c>
      <c r="E32" s="18" t="s">
        <v>243</v>
      </c>
    </row>
    <row r="34" spans="1:2" ht="14.25">
      <c r="A34" s="15"/>
      <c r="B34" s="16" t="s">
        <v>152</v>
      </c>
    </row>
    <row r="35" spans="1:5" ht="15">
      <c r="A35" s="17" t="s">
        <v>36</v>
      </c>
      <c r="B35" s="17" t="s">
        <v>37</v>
      </c>
      <c r="C35" s="17" t="s">
        <v>38</v>
      </c>
      <c r="D35" s="17" t="s">
        <v>39</v>
      </c>
      <c r="E35" s="17" t="s">
        <v>40</v>
      </c>
    </row>
    <row r="36" spans="1:5" ht="12.75">
      <c r="A36" s="14" t="s">
        <v>233</v>
      </c>
      <c r="B36" s="4" t="s">
        <v>244</v>
      </c>
      <c r="C36" s="4" t="s">
        <v>156</v>
      </c>
      <c r="D36" s="4" t="s">
        <v>245</v>
      </c>
      <c r="E36" s="18" t="s">
        <v>246</v>
      </c>
    </row>
    <row r="41" spans="1:2" ht="18">
      <c r="A41" s="9" t="s">
        <v>159</v>
      </c>
      <c r="B41" s="9"/>
    </row>
    <row r="42" spans="1:3" ht="15">
      <c r="A42" s="17" t="s">
        <v>160</v>
      </c>
      <c r="B42" s="17" t="s">
        <v>161</v>
      </c>
      <c r="C42" s="17" t="s">
        <v>162</v>
      </c>
    </row>
    <row r="43" spans="1:3" ht="12.75">
      <c r="A43" s="4" t="s">
        <v>106</v>
      </c>
      <c r="B43" s="4" t="s">
        <v>216</v>
      </c>
      <c r="C43" s="4" t="s">
        <v>247</v>
      </c>
    </row>
  </sheetData>
  <sheetProtection/>
  <mergeCells count="15">
    <mergeCell ref="A11:P11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  <mergeCell ref="A5:P5"/>
    <mergeCell ref="A8:P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27.75390625" style="4" customWidth="1"/>
    <col min="2" max="2" width="29.00390625" style="4" bestFit="1" customWidth="1"/>
    <col min="3" max="3" width="20.75390625" style="4" customWidth="1"/>
    <col min="4" max="4" width="9.25390625" style="4" bestFit="1" customWidth="1"/>
    <col min="5" max="5" width="22.75390625" style="4" bestFit="1" customWidth="1"/>
    <col min="6" max="6" width="26.875" style="4" customWidth="1"/>
    <col min="7" max="8" width="4.625" style="3" bestFit="1" customWidth="1"/>
    <col min="9" max="9" width="5.625" style="3" bestFit="1" customWidth="1"/>
    <col min="10" max="10" width="4.875" style="3" bestFit="1" customWidth="1"/>
    <col min="11" max="13" width="4.625" style="3" bestFit="1" customWidth="1"/>
    <col min="14" max="14" width="4.875" style="3" bestFit="1" customWidth="1"/>
    <col min="15" max="15" width="7.875" style="4" bestFit="1" customWidth="1"/>
    <col min="16" max="16" width="8.625" style="3" bestFit="1" customWidth="1"/>
    <col min="17" max="17" width="9.75390625" style="4" bestFit="1" customWidth="1"/>
    <col min="18" max="16384" width="9.125" style="3" customWidth="1"/>
  </cols>
  <sheetData>
    <row r="1" spans="1:17" s="2" customFormat="1" ht="28.5" customHeight="1">
      <c r="A1" s="53" t="s">
        <v>173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s="1" customFormat="1" ht="12.75" customHeight="1">
      <c r="A3" s="46" t="s">
        <v>0</v>
      </c>
      <c r="B3" s="48" t="s">
        <v>10</v>
      </c>
      <c r="C3" s="48" t="s">
        <v>11</v>
      </c>
      <c r="D3" s="50" t="s">
        <v>21</v>
      </c>
      <c r="E3" s="50" t="s">
        <v>7</v>
      </c>
      <c r="F3" s="50" t="s">
        <v>12</v>
      </c>
      <c r="G3" s="50" t="s">
        <v>22</v>
      </c>
      <c r="H3" s="50"/>
      <c r="I3" s="50"/>
      <c r="J3" s="50"/>
      <c r="K3" s="50" t="s">
        <v>44</v>
      </c>
      <c r="L3" s="50"/>
      <c r="M3" s="50"/>
      <c r="N3" s="50"/>
      <c r="O3" s="50" t="s">
        <v>4</v>
      </c>
      <c r="P3" s="50" t="s">
        <v>6</v>
      </c>
      <c r="Q3" s="38" t="s">
        <v>5</v>
      </c>
    </row>
    <row r="4" spans="1:17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49"/>
      <c r="P4" s="49"/>
      <c r="Q4" s="39"/>
    </row>
    <row r="5" spans="1:16" ht="15">
      <c r="A5" s="51" t="s">
        <v>45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7" ht="12.75">
      <c r="A6" s="10" t="s">
        <v>175</v>
      </c>
      <c r="B6" s="10" t="s">
        <v>176</v>
      </c>
      <c r="C6" s="10" t="s">
        <v>177</v>
      </c>
      <c r="D6" s="10" t="str">
        <f>"0,8744"</f>
        <v>0,8744</v>
      </c>
      <c r="E6" s="10" t="s">
        <v>178</v>
      </c>
      <c r="F6" s="10" t="s">
        <v>29</v>
      </c>
      <c r="G6" s="12" t="s">
        <v>53</v>
      </c>
      <c r="H6" s="11" t="s">
        <v>179</v>
      </c>
      <c r="I6" s="11" t="s">
        <v>179</v>
      </c>
      <c r="J6" s="11"/>
      <c r="K6" s="12" t="s">
        <v>51</v>
      </c>
      <c r="L6" s="12" t="s">
        <v>53</v>
      </c>
      <c r="M6" s="12" t="s">
        <v>180</v>
      </c>
      <c r="N6" s="11"/>
      <c r="O6" s="10" t="str">
        <f>"62,5"</f>
        <v>62,5</v>
      </c>
      <c r="P6" s="12" t="str">
        <f>"61,7545"</f>
        <v>61,7545</v>
      </c>
      <c r="Q6" s="10" t="s">
        <v>181</v>
      </c>
    </row>
    <row r="8" spans="1:16" ht="15">
      <c r="A8" s="54" t="s">
        <v>55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17" ht="12.75">
      <c r="A9" s="19" t="s">
        <v>183</v>
      </c>
      <c r="B9" s="19" t="s">
        <v>184</v>
      </c>
      <c r="C9" s="19" t="s">
        <v>185</v>
      </c>
      <c r="D9" s="19" t="str">
        <f>"0,7268"</f>
        <v>0,7268</v>
      </c>
      <c r="E9" s="19" t="s">
        <v>28</v>
      </c>
      <c r="F9" s="19" t="s">
        <v>87</v>
      </c>
      <c r="G9" s="20" t="s">
        <v>94</v>
      </c>
      <c r="H9" s="21" t="s">
        <v>77</v>
      </c>
      <c r="I9" s="20" t="s">
        <v>81</v>
      </c>
      <c r="J9" s="20"/>
      <c r="K9" s="21" t="s">
        <v>93</v>
      </c>
      <c r="L9" s="21" t="s">
        <v>76</v>
      </c>
      <c r="M9" s="20" t="s">
        <v>81</v>
      </c>
      <c r="N9" s="20"/>
      <c r="O9" s="19" t="str">
        <f>"120,0"</f>
        <v>120,0</v>
      </c>
      <c r="P9" s="21" t="str">
        <f>"87,2160"</f>
        <v>87,2160</v>
      </c>
      <c r="Q9" s="19" t="s">
        <v>33</v>
      </c>
    </row>
    <row r="10" spans="1:17" ht="12.75">
      <c r="A10" s="25" t="s">
        <v>187</v>
      </c>
      <c r="B10" s="25" t="s">
        <v>188</v>
      </c>
      <c r="C10" s="25" t="s">
        <v>189</v>
      </c>
      <c r="D10" s="25" t="str">
        <f>"0,7408"</f>
        <v>0,7408</v>
      </c>
      <c r="E10" s="25" t="s">
        <v>28</v>
      </c>
      <c r="F10" s="25" t="s">
        <v>29</v>
      </c>
      <c r="G10" s="26" t="s">
        <v>93</v>
      </c>
      <c r="H10" s="27" t="s">
        <v>76</v>
      </c>
      <c r="I10" s="27" t="s">
        <v>94</v>
      </c>
      <c r="J10" s="26"/>
      <c r="K10" s="27" t="s">
        <v>117</v>
      </c>
      <c r="L10" s="27" t="s">
        <v>111</v>
      </c>
      <c r="M10" s="26" t="s">
        <v>61</v>
      </c>
      <c r="N10" s="26"/>
      <c r="O10" s="25" t="str">
        <f>"102,5"</f>
        <v>102,5</v>
      </c>
      <c r="P10" s="27" t="str">
        <f>"75,9320"</f>
        <v>75,9320</v>
      </c>
      <c r="Q10" s="25" t="s">
        <v>33</v>
      </c>
    </row>
    <row r="12" spans="1:16" ht="15">
      <c r="A12" s="54" t="s">
        <v>88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</row>
    <row r="13" spans="1:17" ht="12.75">
      <c r="A13" s="19" t="s">
        <v>191</v>
      </c>
      <c r="B13" s="19" t="s">
        <v>192</v>
      </c>
      <c r="C13" s="19" t="s">
        <v>193</v>
      </c>
      <c r="D13" s="19" t="str">
        <f>"0,6610"</f>
        <v>0,6610</v>
      </c>
      <c r="E13" s="19" t="s">
        <v>28</v>
      </c>
      <c r="F13" s="19" t="s">
        <v>194</v>
      </c>
      <c r="G13" s="21" t="s">
        <v>195</v>
      </c>
      <c r="H13" s="21" t="s">
        <v>426</v>
      </c>
      <c r="I13" s="20" t="s">
        <v>196</v>
      </c>
      <c r="J13" s="20"/>
      <c r="K13" s="21" t="s">
        <v>94</v>
      </c>
      <c r="L13" s="21" t="s">
        <v>81</v>
      </c>
      <c r="M13" s="21" t="s">
        <v>100</v>
      </c>
      <c r="N13" s="20"/>
      <c r="O13" s="19" t="s">
        <v>311</v>
      </c>
      <c r="P13" s="21" t="str">
        <f>"102,1245"</f>
        <v>102,1245</v>
      </c>
      <c r="Q13" s="19" t="s">
        <v>33</v>
      </c>
    </row>
    <row r="14" spans="1:17" ht="12.75">
      <c r="A14" s="25" t="s">
        <v>198</v>
      </c>
      <c r="B14" s="25" t="s">
        <v>199</v>
      </c>
      <c r="C14" s="25" t="s">
        <v>200</v>
      </c>
      <c r="D14" s="25" t="str">
        <f>"0,6209"</f>
        <v>0,6209</v>
      </c>
      <c r="E14" s="25" t="s">
        <v>106</v>
      </c>
      <c r="F14" s="25" t="s">
        <v>87</v>
      </c>
      <c r="G14" s="27" t="s">
        <v>101</v>
      </c>
      <c r="H14" s="27" t="s">
        <v>201</v>
      </c>
      <c r="I14" s="26" t="s">
        <v>202</v>
      </c>
      <c r="J14" s="26"/>
      <c r="K14" s="27" t="s">
        <v>94</v>
      </c>
      <c r="L14" s="27" t="s">
        <v>81</v>
      </c>
      <c r="M14" s="27" t="s">
        <v>101</v>
      </c>
      <c r="N14" s="26"/>
      <c r="O14" s="25" t="str">
        <f>"145,0"</f>
        <v>145,0</v>
      </c>
      <c r="P14" s="27" t="str">
        <f>"90,0305"</f>
        <v>90,0305</v>
      </c>
      <c r="Q14" s="25" t="s">
        <v>33</v>
      </c>
    </row>
    <row r="16" spans="1:16" ht="15">
      <c r="A16" s="54" t="s">
        <v>123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</row>
    <row r="17" spans="1:17" ht="12.75">
      <c r="A17" s="10" t="s">
        <v>125</v>
      </c>
      <c r="B17" s="10" t="s">
        <v>126</v>
      </c>
      <c r="C17" s="10" t="s">
        <v>127</v>
      </c>
      <c r="D17" s="10" t="str">
        <f>"0,5391"</f>
        <v>0,5391</v>
      </c>
      <c r="E17" s="10" t="s">
        <v>106</v>
      </c>
      <c r="F17" s="10" t="s">
        <v>87</v>
      </c>
      <c r="G17" s="12" t="s">
        <v>201</v>
      </c>
      <c r="H17" s="12" t="s">
        <v>30</v>
      </c>
      <c r="I17" s="11" t="s">
        <v>203</v>
      </c>
      <c r="J17" s="11"/>
      <c r="K17" s="12" t="s">
        <v>93</v>
      </c>
      <c r="L17" s="12" t="s">
        <v>94</v>
      </c>
      <c r="M17" s="12" t="s">
        <v>77</v>
      </c>
      <c r="N17" s="11"/>
      <c r="O17" s="10" t="str">
        <f>"147,5"</f>
        <v>147,5</v>
      </c>
      <c r="P17" s="12" t="str">
        <f>"79,5172"</f>
        <v>79,5172</v>
      </c>
      <c r="Q17" s="10" t="s">
        <v>33</v>
      </c>
    </row>
    <row r="19" ht="15">
      <c r="E19" s="8" t="s">
        <v>13</v>
      </c>
    </row>
    <row r="20" ht="15">
      <c r="E20" s="8" t="s">
        <v>14</v>
      </c>
    </row>
    <row r="21" ht="15">
      <c r="E21" s="8" t="s">
        <v>15</v>
      </c>
    </row>
    <row r="22" ht="15">
      <c r="E22" s="8" t="s">
        <v>16</v>
      </c>
    </row>
    <row r="23" ht="15">
      <c r="E23" s="8" t="s">
        <v>16</v>
      </c>
    </row>
    <row r="24" ht="15">
      <c r="E24" s="8" t="s">
        <v>17</v>
      </c>
    </row>
    <row r="25" ht="15">
      <c r="E25" s="8"/>
    </row>
    <row r="27" spans="1:2" ht="18">
      <c r="A27" s="9" t="s">
        <v>18</v>
      </c>
      <c r="B27" s="9"/>
    </row>
    <row r="28" spans="1:2" ht="15">
      <c r="A28" s="13" t="s">
        <v>133</v>
      </c>
      <c r="B28" s="13"/>
    </row>
    <row r="29" spans="1:2" ht="14.25">
      <c r="A29" s="15"/>
      <c r="B29" s="16" t="s">
        <v>204</v>
      </c>
    </row>
    <row r="30" spans="1:5" ht="15">
      <c r="A30" s="17" t="s">
        <v>36</v>
      </c>
      <c r="B30" s="17" t="s">
        <v>37</v>
      </c>
      <c r="C30" s="17" t="s">
        <v>38</v>
      </c>
      <c r="D30" s="17" t="s">
        <v>39</v>
      </c>
      <c r="E30" s="17" t="s">
        <v>40</v>
      </c>
    </row>
    <row r="31" spans="1:5" ht="12.75">
      <c r="A31" s="14" t="s">
        <v>174</v>
      </c>
      <c r="B31" s="4" t="s">
        <v>137</v>
      </c>
      <c r="C31" s="4" t="s">
        <v>134</v>
      </c>
      <c r="D31" s="4" t="s">
        <v>77</v>
      </c>
      <c r="E31" s="18" t="s">
        <v>205</v>
      </c>
    </row>
    <row r="34" spans="1:2" ht="15">
      <c r="A34" s="13" t="s">
        <v>34</v>
      </c>
      <c r="B34" s="13"/>
    </row>
    <row r="35" spans="1:2" ht="14.25">
      <c r="A35" s="15"/>
      <c r="B35" s="16" t="s">
        <v>35</v>
      </c>
    </row>
    <row r="36" spans="1:5" ht="15">
      <c r="A36" s="17" t="s">
        <v>36</v>
      </c>
      <c r="B36" s="17" t="s">
        <v>37</v>
      </c>
      <c r="C36" s="17" t="s">
        <v>38</v>
      </c>
      <c r="D36" s="17" t="s">
        <v>39</v>
      </c>
      <c r="E36" s="17" t="s">
        <v>40</v>
      </c>
    </row>
    <row r="37" spans="1:5" ht="12.75">
      <c r="A37" s="14" t="s">
        <v>190</v>
      </c>
      <c r="B37" s="4" t="s">
        <v>35</v>
      </c>
      <c r="C37" s="4" t="s">
        <v>138</v>
      </c>
      <c r="D37" s="4" t="s">
        <v>206</v>
      </c>
      <c r="E37" s="18" t="s">
        <v>207</v>
      </c>
    </row>
    <row r="38" spans="1:5" ht="12.75">
      <c r="A38" s="14" t="s">
        <v>197</v>
      </c>
      <c r="B38" s="4" t="s">
        <v>35</v>
      </c>
      <c r="C38" s="4" t="s">
        <v>138</v>
      </c>
      <c r="D38" s="4" t="s">
        <v>208</v>
      </c>
      <c r="E38" s="18" t="s">
        <v>209</v>
      </c>
    </row>
    <row r="39" spans="1:5" ht="12.75">
      <c r="A39" s="14" t="s">
        <v>182</v>
      </c>
      <c r="B39" s="4" t="s">
        <v>35</v>
      </c>
      <c r="C39" s="4" t="s">
        <v>140</v>
      </c>
      <c r="D39" s="4" t="s">
        <v>210</v>
      </c>
      <c r="E39" s="18" t="s">
        <v>211</v>
      </c>
    </row>
    <row r="40" spans="1:5" ht="12.75">
      <c r="A40" s="14" t="s">
        <v>124</v>
      </c>
      <c r="B40" s="4" t="s">
        <v>35</v>
      </c>
      <c r="C40" s="4" t="s">
        <v>148</v>
      </c>
      <c r="D40" s="4" t="s">
        <v>212</v>
      </c>
      <c r="E40" s="18" t="s">
        <v>213</v>
      </c>
    </row>
    <row r="41" spans="1:5" ht="12.75">
      <c r="A41" s="14" t="s">
        <v>186</v>
      </c>
      <c r="B41" s="4" t="s">
        <v>35</v>
      </c>
      <c r="C41" s="4" t="s">
        <v>140</v>
      </c>
      <c r="D41" s="4" t="s">
        <v>32</v>
      </c>
      <c r="E41" s="18" t="s">
        <v>214</v>
      </c>
    </row>
    <row r="46" spans="1:2" ht="18">
      <c r="A46" s="9" t="s">
        <v>159</v>
      </c>
      <c r="B46" s="9"/>
    </row>
    <row r="47" spans="1:3" ht="15">
      <c r="A47" s="17" t="s">
        <v>160</v>
      </c>
      <c r="B47" s="17" t="s">
        <v>161</v>
      </c>
      <c r="C47" s="17" t="s">
        <v>162</v>
      </c>
    </row>
    <row r="48" spans="1:3" ht="12.75">
      <c r="A48" s="4" t="s">
        <v>106</v>
      </c>
      <c r="B48" s="4" t="s">
        <v>167</v>
      </c>
      <c r="C48" s="4" t="s">
        <v>215</v>
      </c>
    </row>
    <row r="49" spans="1:3" ht="12.75">
      <c r="A49" s="4" t="s">
        <v>178</v>
      </c>
      <c r="B49" s="4" t="s">
        <v>216</v>
      </c>
      <c r="C49" s="4" t="s">
        <v>217</v>
      </c>
    </row>
  </sheetData>
  <sheetProtection/>
  <mergeCells count="16"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A16:P16"/>
    <mergeCell ref="O3:O4"/>
    <mergeCell ref="P3:P4"/>
    <mergeCell ref="Q3:Q4"/>
    <mergeCell ref="A5:P5"/>
    <mergeCell ref="A8:P8"/>
    <mergeCell ref="A12:P12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3">
      <selection activeCell="A1" sqref="A1:U2"/>
    </sheetView>
  </sheetViews>
  <sheetFormatPr defaultColWidth="9.00390625" defaultRowHeight="12.75"/>
  <cols>
    <col min="1" max="1" width="24.875" style="4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6.00390625" style="4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53" t="s">
        <v>171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10</v>
      </c>
      <c r="C3" s="48" t="s">
        <v>11</v>
      </c>
      <c r="D3" s="50" t="s">
        <v>21</v>
      </c>
      <c r="E3" s="50" t="s">
        <v>7</v>
      </c>
      <c r="F3" s="50" t="s">
        <v>12</v>
      </c>
      <c r="G3" s="50" t="s">
        <v>44</v>
      </c>
      <c r="H3" s="50"/>
      <c r="I3" s="50"/>
      <c r="J3" s="50"/>
      <c r="K3" s="50" t="s">
        <v>19</v>
      </c>
      <c r="L3" s="50" t="s">
        <v>6</v>
      </c>
      <c r="M3" s="38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8</v>
      </c>
      <c r="K4" s="49"/>
      <c r="L4" s="49"/>
      <c r="M4" s="39"/>
    </row>
    <row r="5" spans="1:12" ht="15">
      <c r="A5" s="51" t="s">
        <v>23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3" ht="12.75">
      <c r="A6" s="10" t="s">
        <v>25</v>
      </c>
      <c r="B6" s="10" t="s">
        <v>26</v>
      </c>
      <c r="C6" s="10" t="s">
        <v>27</v>
      </c>
      <c r="D6" s="10" t="str">
        <f>"0,6716"</f>
        <v>0,6716</v>
      </c>
      <c r="E6" s="10" t="s">
        <v>28</v>
      </c>
      <c r="F6" s="10" t="s">
        <v>29</v>
      </c>
      <c r="G6" s="11" t="s">
        <v>70</v>
      </c>
      <c r="H6" s="12" t="s">
        <v>94</v>
      </c>
      <c r="I6" s="11" t="s">
        <v>101</v>
      </c>
      <c r="J6" s="11"/>
      <c r="K6" s="10" t="str">
        <f>"60,0"</f>
        <v>60,0</v>
      </c>
      <c r="L6" s="12" t="str">
        <f>"40,2960"</f>
        <v>40,2960</v>
      </c>
      <c r="M6" s="10" t="s">
        <v>33</v>
      </c>
    </row>
    <row r="8" ht="15">
      <c r="E8" s="8" t="s">
        <v>13</v>
      </c>
    </row>
    <row r="9" ht="15">
      <c r="E9" s="8" t="s">
        <v>14</v>
      </c>
    </row>
    <row r="10" ht="15">
      <c r="E10" s="8" t="s">
        <v>15</v>
      </c>
    </row>
    <row r="11" ht="15">
      <c r="E11" s="8" t="s">
        <v>16</v>
      </c>
    </row>
    <row r="12" ht="15">
      <c r="E12" s="8" t="s">
        <v>16</v>
      </c>
    </row>
    <row r="13" ht="15">
      <c r="E13" s="8" t="s">
        <v>17</v>
      </c>
    </row>
    <row r="14" ht="15">
      <c r="E14" s="8"/>
    </row>
    <row r="16" spans="1:2" ht="18">
      <c r="A16" s="9" t="s">
        <v>18</v>
      </c>
      <c r="B16" s="9"/>
    </row>
    <row r="17" spans="1:2" ht="15">
      <c r="A17" s="13" t="s">
        <v>34</v>
      </c>
      <c r="B17" s="13"/>
    </row>
    <row r="18" spans="1:2" ht="14.25">
      <c r="A18" s="15"/>
      <c r="B18" s="16" t="s">
        <v>35</v>
      </c>
    </row>
    <row r="19" spans="1:5" ht="15">
      <c r="A19" s="17" t="s">
        <v>36</v>
      </c>
      <c r="B19" s="17" t="s">
        <v>37</v>
      </c>
      <c r="C19" s="17" t="s">
        <v>38</v>
      </c>
      <c r="D19" s="17" t="s">
        <v>39</v>
      </c>
      <c r="E19" s="17" t="s">
        <v>40</v>
      </c>
    </row>
    <row r="20" spans="1:5" ht="12.75">
      <c r="A20" s="14" t="s">
        <v>24</v>
      </c>
      <c r="B20" s="4" t="s">
        <v>35</v>
      </c>
      <c r="C20" s="4" t="s">
        <v>41</v>
      </c>
      <c r="D20" s="4" t="s">
        <v>94</v>
      </c>
      <c r="E20" s="18" t="s">
        <v>172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70">
      <selection activeCell="A1" sqref="A1:U2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22.625" style="4" customWidth="1"/>
    <col min="4" max="4" width="9.25390625" style="4" bestFit="1" customWidth="1"/>
    <col min="5" max="5" width="15.375" style="4" customWidth="1"/>
    <col min="6" max="6" width="32.2539062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2.875" style="4" bestFit="1" customWidth="1"/>
    <col min="14" max="16384" width="9.125" style="3" customWidth="1"/>
  </cols>
  <sheetData>
    <row r="1" spans="1:13" s="2" customFormat="1" ht="28.5" customHeight="1">
      <c r="A1" s="53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10</v>
      </c>
      <c r="C3" s="48" t="s">
        <v>11</v>
      </c>
      <c r="D3" s="50" t="s">
        <v>21</v>
      </c>
      <c r="E3" s="50" t="s">
        <v>7</v>
      </c>
      <c r="F3" s="50" t="s">
        <v>12</v>
      </c>
      <c r="G3" s="50" t="s">
        <v>44</v>
      </c>
      <c r="H3" s="50"/>
      <c r="I3" s="50"/>
      <c r="J3" s="50"/>
      <c r="K3" s="50" t="s">
        <v>19</v>
      </c>
      <c r="L3" s="50" t="s">
        <v>6</v>
      </c>
      <c r="M3" s="38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8</v>
      </c>
      <c r="K4" s="49"/>
      <c r="L4" s="49"/>
      <c r="M4" s="39"/>
    </row>
    <row r="5" spans="1:12" ht="15">
      <c r="A5" s="51" t="s">
        <v>45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3" ht="12.75">
      <c r="A6" s="10" t="s">
        <v>47</v>
      </c>
      <c r="B6" s="10" t="s">
        <v>48</v>
      </c>
      <c r="C6" s="10" t="s">
        <v>49</v>
      </c>
      <c r="D6" s="10" t="str">
        <f>"0,9256"</f>
        <v>0,9256</v>
      </c>
      <c r="E6" s="10" t="s">
        <v>28</v>
      </c>
      <c r="F6" s="10" t="s">
        <v>50</v>
      </c>
      <c r="G6" s="12" t="s">
        <v>51</v>
      </c>
      <c r="H6" s="12" t="s">
        <v>52</v>
      </c>
      <c r="I6" s="11" t="s">
        <v>53</v>
      </c>
      <c r="J6" s="11"/>
      <c r="K6" s="10" t="str">
        <f>"27,5"</f>
        <v>27,5</v>
      </c>
      <c r="L6" s="12" t="str">
        <f>"25,4540"</f>
        <v>25,4540</v>
      </c>
      <c r="M6" s="10" t="s">
        <v>54</v>
      </c>
    </row>
    <row r="8" spans="1:12" ht="15">
      <c r="A8" s="54" t="s">
        <v>55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3" ht="12.75">
      <c r="A9" s="10" t="s">
        <v>57</v>
      </c>
      <c r="B9" s="10" t="s">
        <v>58</v>
      </c>
      <c r="C9" s="10" t="s">
        <v>59</v>
      </c>
      <c r="D9" s="10" t="str">
        <f>"0,7503"</f>
        <v>0,7503</v>
      </c>
      <c r="E9" s="10" t="s">
        <v>28</v>
      </c>
      <c r="F9" s="10" t="s">
        <v>60</v>
      </c>
      <c r="G9" s="11" t="s">
        <v>61</v>
      </c>
      <c r="H9" s="12" t="s">
        <v>61</v>
      </c>
      <c r="I9" s="12" t="s">
        <v>62</v>
      </c>
      <c r="J9" s="11"/>
      <c r="K9" s="10" t="str">
        <f>"47,5"</f>
        <v>47,5</v>
      </c>
      <c r="L9" s="12" t="str">
        <f>"38,4904"</f>
        <v>38,4904</v>
      </c>
      <c r="M9" s="10" t="s">
        <v>63</v>
      </c>
    </row>
    <row r="11" spans="1:12" ht="15">
      <c r="A11" s="54" t="s">
        <v>23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3" ht="12.75">
      <c r="A12" s="19" t="s">
        <v>65</v>
      </c>
      <c r="B12" s="19" t="s">
        <v>66</v>
      </c>
      <c r="C12" s="19" t="s">
        <v>67</v>
      </c>
      <c r="D12" s="19" t="str">
        <f>"0,6645"</f>
        <v>0,6645</v>
      </c>
      <c r="E12" s="19" t="s">
        <v>68</v>
      </c>
      <c r="F12" s="19" t="s">
        <v>69</v>
      </c>
      <c r="G12" s="21" t="s">
        <v>61</v>
      </c>
      <c r="H12" s="21" t="s">
        <v>70</v>
      </c>
      <c r="I12" s="20" t="s">
        <v>71</v>
      </c>
      <c r="J12" s="20"/>
      <c r="K12" s="19" t="str">
        <f>"50,0"</f>
        <v>50,0</v>
      </c>
      <c r="L12" s="21" t="str">
        <f>"34,2217"</f>
        <v>34,2217</v>
      </c>
      <c r="M12" s="19" t="s">
        <v>72</v>
      </c>
    </row>
    <row r="13" spans="1:13" ht="12.75">
      <c r="A13" s="22" t="s">
        <v>74</v>
      </c>
      <c r="B13" s="22" t="s">
        <v>75</v>
      </c>
      <c r="C13" s="22" t="s">
        <v>67</v>
      </c>
      <c r="D13" s="22" t="str">
        <f>"0,6645"</f>
        <v>0,6645</v>
      </c>
      <c r="E13" s="22" t="s">
        <v>68</v>
      </c>
      <c r="F13" s="22" t="s">
        <v>69</v>
      </c>
      <c r="G13" s="24" t="s">
        <v>70</v>
      </c>
      <c r="H13" s="24" t="s">
        <v>76</v>
      </c>
      <c r="I13" s="23" t="s">
        <v>77</v>
      </c>
      <c r="J13" s="23"/>
      <c r="K13" s="22" t="str">
        <f>"57,5"</f>
        <v>57,5</v>
      </c>
      <c r="L13" s="24" t="str">
        <f>"38,2087"</f>
        <v>38,2087</v>
      </c>
      <c r="M13" s="22" t="s">
        <v>33</v>
      </c>
    </row>
    <row r="14" spans="1:13" ht="12.75">
      <c r="A14" s="22" t="s">
        <v>79</v>
      </c>
      <c r="B14" s="22" t="s">
        <v>80</v>
      </c>
      <c r="C14" s="22" t="s">
        <v>67</v>
      </c>
      <c r="D14" s="22" t="str">
        <f>"0,6645"</f>
        <v>0,6645</v>
      </c>
      <c r="E14" s="22" t="s">
        <v>68</v>
      </c>
      <c r="F14" s="22" t="s">
        <v>69</v>
      </c>
      <c r="G14" s="24" t="s">
        <v>70</v>
      </c>
      <c r="H14" s="24" t="s">
        <v>76</v>
      </c>
      <c r="I14" s="23" t="s">
        <v>81</v>
      </c>
      <c r="J14" s="23"/>
      <c r="K14" s="22" t="str">
        <f>"57,5"</f>
        <v>57,5</v>
      </c>
      <c r="L14" s="24" t="str">
        <f>"38,2087"</f>
        <v>38,2087</v>
      </c>
      <c r="M14" s="22" t="s">
        <v>33</v>
      </c>
    </row>
    <row r="15" spans="1:13" ht="12.75">
      <c r="A15" s="25" t="s">
        <v>83</v>
      </c>
      <c r="B15" s="25" t="s">
        <v>84</v>
      </c>
      <c r="C15" s="25" t="s">
        <v>85</v>
      </c>
      <c r="D15" s="25" t="str">
        <f>"0,6723"</f>
        <v>0,6723</v>
      </c>
      <c r="E15" s="25" t="s">
        <v>86</v>
      </c>
      <c r="F15" s="25" t="s">
        <v>87</v>
      </c>
      <c r="G15" s="27" t="s">
        <v>61</v>
      </c>
      <c r="H15" s="27" t="s">
        <v>71</v>
      </c>
      <c r="I15" s="26"/>
      <c r="J15" s="26"/>
      <c r="K15" s="25" t="str">
        <f>"52,5"</f>
        <v>52,5</v>
      </c>
      <c r="L15" s="27" t="str">
        <f>"35,2957"</f>
        <v>35,2957</v>
      </c>
      <c r="M15" s="25" t="s">
        <v>33</v>
      </c>
    </row>
    <row r="17" spans="1:12" ht="15">
      <c r="A17" s="54" t="s">
        <v>88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3" ht="12.75">
      <c r="A18" s="19" t="s">
        <v>90</v>
      </c>
      <c r="B18" s="19" t="s">
        <v>91</v>
      </c>
      <c r="C18" s="19" t="s">
        <v>92</v>
      </c>
      <c r="D18" s="19" t="str">
        <f>"0,6268"</f>
        <v>0,6268</v>
      </c>
      <c r="E18" s="19" t="s">
        <v>28</v>
      </c>
      <c r="F18" s="19" t="s">
        <v>60</v>
      </c>
      <c r="G18" s="21" t="s">
        <v>70</v>
      </c>
      <c r="H18" s="21" t="s">
        <v>93</v>
      </c>
      <c r="I18" s="21" t="s">
        <v>94</v>
      </c>
      <c r="J18" s="20"/>
      <c r="K18" s="19" t="str">
        <f>"60,0"</f>
        <v>60,0</v>
      </c>
      <c r="L18" s="21" t="str">
        <f>"42,4970"</f>
        <v>42,4970</v>
      </c>
      <c r="M18" s="19" t="s">
        <v>33</v>
      </c>
    </row>
    <row r="19" spans="1:13" ht="12.75">
      <c r="A19" s="22" t="s">
        <v>96</v>
      </c>
      <c r="B19" s="22" t="s">
        <v>97</v>
      </c>
      <c r="C19" s="22" t="s">
        <v>98</v>
      </c>
      <c r="D19" s="22" t="str">
        <f>"0,6214"</f>
        <v>0,6214</v>
      </c>
      <c r="E19" s="22" t="s">
        <v>28</v>
      </c>
      <c r="F19" s="22" t="s">
        <v>99</v>
      </c>
      <c r="G19" s="24" t="s">
        <v>77</v>
      </c>
      <c r="H19" s="24" t="s">
        <v>100</v>
      </c>
      <c r="I19" s="24" t="s">
        <v>101</v>
      </c>
      <c r="J19" s="23"/>
      <c r="K19" s="22" t="str">
        <f>"70,0"</f>
        <v>70,0</v>
      </c>
      <c r="L19" s="24" t="str">
        <f>"43,4980"</f>
        <v>43,4980</v>
      </c>
      <c r="M19" s="22" t="s">
        <v>33</v>
      </c>
    </row>
    <row r="20" spans="1:13" ht="12.75">
      <c r="A20" s="22" t="s">
        <v>103</v>
      </c>
      <c r="B20" s="22" t="s">
        <v>104</v>
      </c>
      <c r="C20" s="22" t="s">
        <v>105</v>
      </c>
      <c r="D20" s="22" t="str">
        <f>"0,6352"</f>
        <v>0,6352</v>
      </c>
      <c r="E20" s="22" t="s">
        <v>106</v>
      </c>
      <c r="F20" s="22" t="s">
        <v>87</v>
      </c>
      <c r="G20" s="24" t="s">
        <v>93</v>
      </c>
      <c r="H20" s="24" t="s">
        <v>77</v>
      </c>
      <c r="I20" s="24" t="s">
        <v>81</v>
      </c>
      <c r="J20" s="23"/>
      <c r="K20" s="22" t="str">
        <f>"65,0"</f>
        <v>65,0</v>
      </c>
      <c r="L20" s="24" t="str">
        <f>"41,2880"</f>
        <v>41,2880</v>
      </c>
      <c r="M20" s="22" t="s">
        <v>33</v>
      </c>
    </row>
    <row r="21" spans="1:13" ht="12.75">
      <c r="A21" s="22" t="s">
        <v>108</v>
      </c>
      <c r="B21" s="22" t="s">
        <v>109</v>
      </c>
      <c r="C21" s="22" t="s">
        <v>110</v>
      </c>
      <c r="D21" s="22" t="str">
        <f>"0,6219"</f>
        <v>0,6219</v>
      </c>
      <c r="E21" s="22" t="s">
        <v>28</v>
      </c>
      <c r="F21" s="22" t="s">
        <v>99</v>
      </c>
      <c r="G21" s="24" t="s">
        <v>111</v>
      </c>
      <c r="H21" s="24" t="s">
        <v>62</v>
      </c>
      <c r="I21" s="24" t="s">
        <v>71</v>
      </c>
      <c r="J21" s="23"/>
      <c r="K21" s="22" t="str">
        <f>"52,5"</f>
        <v>52,5</v>
      </c>
      <c r="L21" s="24" t="str">
        <f>"32,6498"</f>
        <v>32,6498</v>
      </c>
      <c r="M21" s="22" t="s">
        <v>33</v>
      </c>
    </row>
    <row r="22" spans="1:13" ht="12.75">
      <c r="A22" s="25" t="s">
        <v>113</v>
      </c>
      <c r="B22" s="25" t="s">
        <v>114</v>
      </c>
      <c r="C22" s="25" t="s">
        <v>115</v>
      </c>
      <c r="D22" s="25" t="str">
        <f>"0,6262"</f>
        <v>0,6262</v>
      </c>
      <c r="E22" s="25" t="s">
        <v>116</v>
      </c>
      <c r="F22" s="25" t="s">
        <v>69</v>
      </c>
      <c r="G22" s="27" t="s">
        <v>117</v>
      </c>
      <c r="H22" s="27" t="s">
        <v>62</v>
      </c>
      <c r="I22" s="26" t="s">
        <v>93</v>
      </c>
      <c r="J22" s="26"/>
      <c r="K22" s="25" t="str">
        <f>"47,5"</f>
        <v>47,5</v>
      </c>
      <c r="L22" s="27" t="str">
        <f>"29,7445"</f>
        <v>29,7445</v>
      </c>
      <c r="M22" s="25" t="s">
        <v>33</v>
      </c>
    </row>
    <row r="24" spans="1:12" ht="15">
      <c r="A24" s="54" t="s">
        <v>118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1:13" ht="12.75">
      <c r="A25" s="10" t="s">
        <v>120</v>
      </c>
      <c r="B25" s="10" t="s">
        <v>121</v>
      </c>
      <c r="C25" s="10" t="s">
        <v>122</v>
      </c>
      <c r="D25" s="10" t="str">
        <f>"0,5602"</f>
        <v>0,5602</v>
      </c>
      <c r="E25" s="10" t="s">
        <v>86</v>
      </c>
      <c r="F25" s="10" t="s">
        <v>87</v>
      </c>
      <c r="G25" s="12" t="s">
        <v>76</v>
      </c>
      <c r="H25" s="12" t="s">
        <v>77</v>
      </c>
      <c r="I25" s="11" t="s">
        <v>100</v>
      </c>
      <c r="J25" s="11"/>
      <c r="K25" s="10" t="str">
        <f>"62,5"</f>
        <v>62,5</v>
      </c>
      <c r="L25" s="12" t="str">
        <f>"36,0979"</f>
        <v>36,0979</v>
      </c>
      <c r="M25" s="10" t="s">
        <v>33</v>
      </c>
    </row>
    <row r="27" spans="1:12" ht="15">
      <c r="A27" s="54" t="s">
        <v>123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</row>
    <row r="28" spans="1:13" ht="12.75">
      <c r="A28" s="19" t="s">
        <v>125</v>
      </c>
      <c r="B28" s="19" t="s">
        <v>126</v>
      </c>
      <c r="C28" s="19" t="s">
        <v>127</v>
      </c>
      <c r="D28" s="19" t="str">
        <f>"0,5391"</f>
        <v>0,5391</v>
      </c>
      <c r="E28" s="19" t="s">
        <v>106</v>
      </c>
      <c r="F28" s="19" t="s">
        <v>87</v>
      </c>
      <c r="G28" s="21" t="s">
        <v>93</v>
      </c>
      <c r="H28" s="21" t="s">
        <v>94</v>
      </c>
      <c r="I28" s="21" t="s">
        <v>77</v>
      </c>
      <c r="J28" s="20"/>
      <c r="K28" s="19" t="str">
        <f>"62,5"</f>
        <v>62,5</v>
      </c>
      <c r="L28" s="21" t="str">
        <f>"33,6937"</f>
        <v>33,6937</v>
      </c>
      <c r="M28" s="19" t="s">
        <v>33</v>
      </c>
    </row>
    <row r="29" spans="1:13" ht="12.75">
      <c r="A29" s="25" t="s">
        <v>129</v>
      </c>
      <c r="B29" s="25" t="s">
        <v>130</v>
      </c>
      <c r="C29" s="25" t="s">
        <v>131</v>
      </c>
      <c r="D29" s="25" t="str">
        <f>"0,5410"</f>
        <v>0,5410</v>
      </c>
      <c r="E29" s="25" t="s">
        <v>28</v>
      </c>
      <c r="F29" s="25" t="s">
        <v>50</v>
      </c>
      <c r="G29" s="27" t="s">
        <v>77</v>
      </c>
      <c r="H29" s="27" t="s">
        <v>100</v>
      </c>
      <c r="I29" s="27" t="s">
        <v>132</v>
      </c>
      <c r="J29" s="26"/>
      <c r="K29" s="25" t="str">
        <f>"72,5"</f>
        <v>72,5</v>
      </c>
      <c r="L29" s="27" t="str">
        <f>"68,8355"</f>
        <v>68,8355</v>
      </c>
      <c r="M29" s="25" t="s">
        <v>33</v>
      </c>
    </row>
    <row r="31" ht="15">
      <c r="E31" s="8" t="s">
        <v>13</v>
      </c>
    </row>
    <row r="32" ht="15">
      <c r="E32" s="8" t="s">
        <v>14</v>
      </c>
    </row>
    <row r="33" ht="15">
      <c r="E33" s="8" t="s">
        <v>15</v>
      </c>
    </row>
    <row r="34" ht="15">
      <c r="E34" s="8" t="s">
        <v>16</v>
      </c>
    </row>
    <row r="35" ht="15">
      <c r="E35" s="8" t="s">
        <v>16</v>
      </c>
    </row>
    <row r="36" ht="15">
      <c r="E36" s="8" t="s">
        <v>17</v>
      </c>
    </row>
    <row r="37" ht="15">
      <c r="E37" s="8"/>
    </row>
    <row r="39" spans="1:2" ht="18">
      <c r="A39" s="9" t="s">
        <v>18</v>
      </c>
      <c r="B39" s="9"/>
    </row>
    <row r="40" spans="1:2" ht="15">
      <c r="A40" s="13" t="s">
        <v>133</v>
      </c>
      <c r="B40" s="13"/>
    </row>
    <row r="41" spans="1:2" ht="14.25">
      <c r="A41" s="15"/>
      <c r="B41" s="16" t="s">
        <v>35</v>
      </c>
    </row>
    <row r="42" spans="1:5" ht="15">
      <c r="A42" s="17" t="s">
        <v>36</v>
      </c>
      <c r="B42" s="17" t="s">
        <v>37</v>
      </c>
      <c r="C42" s="17" t="s">
        <v>38</v>
      </c>
      <c r="D42" s="17" t="s">
        <v>39</v>
      </c>
      <c r="E42" s="17" t="s">
        <v>40</v>
      </c>
    </row>
    <row r="43" spans="1:5" ht="12.75">
      <c r="A43" s="14" t="s">
        <v>46</v>
      </c>
      <c r="B43" s="4" t="s">
        <v>35</v>
      </c>
      <c r="C43" s="4" t="s">
        <v>134</v>
      </c>
      <c r="D43" s="4" t="s">
        <v>52</v>
      </c>
      <c r="E43" s="18" t="s">
        <v>135</v>
      </c>
    </row>
    <row r="46" spans="1:2" ht="15">
      <c r="A46" s="13" t="s">
        <v>34</v>
      </c>
      <c r="B46" s="13"/>
    </row>
    <row r="47" spans="1:2" ht="14.25">
      <c r="A47" s="15"/>
      <c r="B47" s="16" t="s">
        <v>136</v>
      </c>
    </row>
    <row r="48" spans="1:5" ht="15">
      <c r="A48" s="17" t="s">
        <v>36</v>
      </c>
      <c r="B48" s="17" t="s">
        <v>37</v>
      </c>
      <c r="C48" s="17" t="s">
        <v>38</v>
      </c>
      <c r="D48" s="17" t="s">
        <v>39</v>
      </c>
      <c r="E48" s="17" t="s">
        <v>40</v>
      </c>
    </row>
    <row r="49" spans="1:5" ht="12.75">
      <c r="A49" s="14" t="s">
        <v>89</v>
      </c>
      <c r="B49" s="4" t="s">
        <v>137</v>
      </c>
      <c r="C49" s="4" t="s">
        <v>138</v>
      </c>
      <c r="D49" s="4" t="s">
        <v>94</v>
      </c>
      <c r="E49" s="18" t="s">
        <v>139</v>
      </c>
    </row>
    <row r="50" spans="1:5" ht="12.75">
      <c r="A50" s="14" t="s">
        <v>56</v>
      </c>
      <c r="B50" s="4" t="s">
        <v>137</v>
      </c>
      <c r="C50" s="4" t="s">
        <v>140</v>
      </c>
      <c r="D50" s="4" t="s">
        <v>62</v>
      </c>
      <c r="E50" s="18" t="s">
        <v>141</v>
      </c>
    </row>
    <row r="52" spans="1:2" ht="14.25">
      <c r="A52" s="15"/>
      <c r="B52" s="16" t="s">
        <v>142</v>
      </c>
    </row>
    <row r="53" spans="1:5" ht="15">
      <c r="A53" s="17" t="s">
        <v>36</v>
      </c>
      <c r="B53" s="17" t="s">
        <v>37</v>
      </c>
      <c r="C53" s="17" t="s">
        <v>38</v>
      </c>
      <c r="D53" s="17" t="s">
        <v>39</v>
      </c>
      <c r="E53" s="17" t="s">
        <v>40</v>
      </c>
    </row>
    <row r="54" spans="1:5" ht="12.75">
      <c r="A54" s="14" t="s">
        <v>64</v>
      </c>
      <c r="B54" s="4" t="s">
        <v>143</v>
      </c>
      <c r="C54" s="4" t="s">
        <v>41</v>
      </c>
      <c r="D54" s="4" t="s">
        <v>70</v>
      </c>
      <c r="E54" s="18" t="s">
        <v>144</v>
      </c>
    </row>
    <row r="56" spans="1:2" ht="14.25">
      <c r="A56" s="15"/>
      <c r="B56" s="16" t="s">
        <v>35</v>
      </c>
    </row>
    <row r="57" spans="1:5" ht="15">
      <c r="A57" s="17" t="s">
        <v>36</v>
      </c>
      <c r="B57" s="17" t="s">
        <v>37</v>
      </c>
      <c r="C57" s="17" t="s">
        <v>38</v>
      </c>
      <c r="D57" s="17" t="s">
        <v>39</v>
      </c>
      <c r="E57" s="17" t="s">
        <v>40</v>
      </c>
    </row>
    <row r="58" spans="1:5" ht="12.75">
      <c r="A58" s="14" t="s">
        <v>95</v>
      </c>
      <c r="B58" s="4" t="s">
        <v>35</v>
      </c>
      <c r="C58" s="4" t="s">
        <v>138</v>
      </c>
      <c r="D58" s="4" t="s">
        <v>101</v>
      </c>
      <c r="E58" s="18" t="s">
        <v>145</v>
      </c>
    </row>
    <row r="59" spans="1:5" ht="12.75">
      <c r="A59" s="14" t="s">
        <v>102</v>
      </c>
      <c r="B59" s="4" t="s">
        <v>35</v>
      </c>
      <c r="C59" s="4" t="s">
        <v>138</v>
      </c>
      <c r="D59" s="4" t="s">
        <v>81</v>
      </c>
      <c r="E59" s="18" t="s">
        <v>146</v>
      </c>
    </row>
    <row r="60" spans="1:5" ht="12.75">
      <c r="A60" s="14" t="s">
        <v>78</v>
      </c>
      <c r="B60" s="4" t="s">
        <v>35</v>
      </c>
      <c r="C60" s="4" t="s">
        <v>41</v>
      </c>
      <c r="D60" s="4" t="s">
        <v>76</v>
      </c>
      <c r="E60" s="18" t="s">
        <v>147</v>
      </c>
    </row>
    <row r="61" spans="1:5" ht="12.75">
      <c r="A61" s="14" t="s">
        <v>73</v>
      </c>
      <c r="B61" s="4" t="s">
        <v>35</v>
      </c>
      <c r="C61" s="4" t="s">
        <v>41</v>
      </c>
      <c r="D61" s="4" t="s">
        <v>76</v>
      </c>
      <c r="E61" s="18" t="s">
        <v>147</v>
      </c>
    </row>
    <row r="62" spans="1:5" ht="12.75">
      <c r="A62" s="14" t="s">
        <v>124</v>
      </c>
      <c r="B62" s="4" t="s">
        <v>35</v>
      </c>
      <c r="C62" s="4" t="s">
        <v>148</v>
      </c>
      <c r="D62" s="4" t="s">
        <v>77</v>
      </c>
      <c r="E62" s="18" t="s">
        <v>149</v>
      </c>
    </row>
    <row r="63" spans="1:5" ht="12.75">
      <c r="A63" s="14" t="s">
        <v>107</v>
      </c>
      <c r="B63" s="4" t="s">
        <v>35</v>
      </c>
      <c r="C63" s="4" t="s">
        <v>138</v>
      </c>
      <c r="D63" s="4" t="s">
        <v>71</v>
      </c>
      <c r="E63" s="18" t="s">
        <v>150</v>
      </c>
    </row>
    <row r="64" spans="1:5" ht="12.75">
      <c r="A64" s="14" t="s">
        <v>112</v>
      </c>
      <c r="B64" s="4" t="s">
        <v>35</v>
      </c>
      <c r="C64" s="4" t="s">
        <v>138</v>
      </c>
      <c r="D64" s="4" t="s">
        <v>62</v>
      </c>
      <c r="E64" s="18" t="s">
        <v>151</v>
      </c>
    </row>
    <row r="66" spans="1:2" ht="14.25">
      <c r="A66" s="15"/>
      <c r="B66" s="16" t="s">
        <v>152</v>
      </c>
    </row>
    <row r="67" spans="1:5" ht="15">
      <c r="A67" s="17" t="s">
        <v>36</v>
      </c>
      <c r="B67" s="17" t="s">
        <v>37</v>
      </c>
      <c r="C67" s="17" t="s">
        <v>38</v>
      </c>
      <c r="D67" s="17" t="s">
        <v>39</v>
      </c>
      <c r="E67" s="17" t="s">
        <v>40</v>
      </c>
    </row>
    <row r="68" spans="1:5" ht="12.75">
      <c r="A68" s="14" t="s">
        <v>128</v>
      </c>
      <c r="B68" s="4" t="s">
        <v>153</v>
      </c>
      <c r="C68" s="4" t="s">
        <v>148</v>
      </c>
      <c r="D68" s="4" t="s">
        <v>132</v>
      </c>
      <c r="E68" s="18" t="s">
        <v>154</v>
      </c>
    </row>
    <row r="69" spans="1:5" ht="12.75">
      <c r="A69" s="14" t="s">
        <v>119</v>
      </c>
      <c r="B69" s="4" t="s">
        <v>155</v>
      </c>
      <c r="C69" s="4" t="s">
        <v>156</v>
      </c>
      <c r="D69" s="4" t="s">
        <v>77</v>
      </c>
      <c r="E69" s="18" t="s">
        <v>157</v>
      </c>
    </row>
    <row r="70" spans="1:5" ht="12.75">
      <c r="A70" s="14" t="s">
        <v>82</v>
      </c>
      <c r="B70" s="4" t="s">
        <v>155</v>
      </c>
      <c r="C70" s="4" t="s">
        <v>41</v>
      </c>
      <c r="D70" s="4" t="s">
        <v>71</v>
      </c>
      <c r="E70" s="18" t="s">
        <v>158</v>
      </c>
    </row>
    <row r="75" spans="1:2" ht="18">
      <c r="A75" s="9" t="s">
        <v>159</v>
      </c>
      <c r="B75" s="9"/>
    </row>
    <row r="76" spans="1:3" ht="15">
      <c r="A76" s="17" t="s">
        <v>160</v>
      </c>
      <c r="B76" s="17" t="s">
        <v>161</v>
      </c>
      <c r="C76" s="17" t="s">
        <v>162</v>
      </c>
    </row>
    <row r="77" spans="1:3" ht="12.75">
      <c r="A77" s="4" t="s">
        <v>68</v>
      </c>
      <c r="B77" s="4" t="s">
        <v>163</v>
      </c>
      <c r="C77" s="4" t="s">
        <v>164</v>
      </c>
    </row>
    <row r="78" spans="1:3" ht="12.75">
      <c r="A78" s="4" t="s">
        <v>86</v>
      </c>
      <c r="B78" s="4" t="s">
        <v>165</v>
      </c>
      <c r="C78" s="4" t="s">
        <v>166</v>
      </c>
    </row>
    <row r="79" spans="1:3" ht="12.75">
      <c r="A79" s="4" t="s">
        <v>106</v>
      </c>
      <c r="B79" s="4" t="s">
        <v>167</v>
      </c>
      <c r="C79" s="4" t="s">
        <v>168</v>
      </c>
    </row>
    <row r="80" spans="1:3" ht="12.75">
      <c r="A80" s="4" t="s">
        <v>116</v>
      </c>
      <c r="B80" s="4" t="s">
        <v>169</v>
      </c>
      <c r="C80" s="4" t="s">
        <v>170</v>
      </c>
    </row>
  </sheetData>
  <sheetProtection/>
  <mergeCells count="17"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A17:L17"/>
    <mergeCell ref="A24:L24"/>
    <mergeCell ref="A27:L27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2.375" style="4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875" style="4" bestFit="1" customWidth="1"/>
    <col min="7" max="8" width="4.625" style="3" bestFit="1" customWidth="1"/>
    <col min="9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53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10</v>
      </c>
      <c r="C3" s="48" t="s">
        <v>11</v>
      </c>
      <c r="D3" s="50" t="s">
        <v>21</v>
      </c>
      <c r="E3" s="50" t="s">
        <v>7</v>
      </c>
      <c r="F3" s="50" t="s">
        <v>12</v>
      </c>
      <c r="G3" s="50" t="s">
        <v>22</v>
      </c>
      <c r="H3" s="50"/>
      <c r="I3" s="50"/>
      <c r="J3" s="50"/>
      <c r="K3" s="50" t="s">
        <v>19</v>
      </c>
      <c r="L3" s="50" t="s">
        <v>6</v>
      </c>
      <c r="M3" s="38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8</v>
      </c>
      <c r="K4" s="49"/>
      <c r="L4" s="49"/>
      <c r="M4" s="39"/>
    </row>
    <row r="5" spans="1:12" ht="15">
      <c r="A5" s="51" t="s">
        <v>23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3" ht="12.75">
      <c r="A6" s="10" t="s">
        <v>25</v>
      </c>
      <c r="B6" s="10" t="s">
        <v>26</v>
      </c>
      <c r="C6" s="10" t="s">
        <v>27</v>
      </c>
      <c r="D6" s="10" t="str">
        <f>"0,6716"</f>
        <v>0,6716</v>
      </c>
      <c r="E6" s="10" t="s">
        <v>28</v>
      </c>
      <c r="F6" s="10" t="s">
        <v>29</v>
      </c>
      <c r="G6" s="12" t="s">
        <v>30</v>
      </c>
      <c r="H6" s="12" t="s">
        <v>31</v>
      </c>
      <c r="I6" s="12" t="s">
        <v>32</v>
      </c>
      <c r="J6" s="11"/>
      <c r="K6" s="10" t="str">
        <f>"102,5"</f>
        <v>102,5</v>
      </c>
      <c r="L6" s="12" t="str">
        <f>"68,8390"</f>
        <v>68,8390</v>
      </c>
      <c r="M6" s="10" t="s">
        <v>33</v>
      </c>
    </row>
    <row r="8" ht="15">
      <c r="E8" s="8" t="s">
        <v>13</v>
      </c>
    </row>
    <row r="9" ht="15">
      <c r="E9" s="8" t="s">
        <v>14</v>
      </c>
    </row>
    <row r="10" ht="15">
      <c r="E10" s="8" t="s">
        <v>15</v>
      </c>
    </row>
    <row r="11" ht="15">
      <c r="E11" s="8" t="s">
        <v>16</v>
      </c>
    </row>
    <row r="12" ht="15">
      <c r="E12" s="8" t="s">
        <v>16</v>
      </c>
    </row>
    <row r="13" ht="15">
      <c r="E13" s="8" t="s">
        <v>17</v>
      </c>
    </row>
    <row r="14" ht="15">
      <c r="E14" s="8"/>
    </row>
    <row r="16" spans="1:2" ht="18">
      <c r="A16" s="9" t="s">
        <v>18</v>
      </c>
      <c r="B16" s="9"/>
    </row>
    <row r="17" spans="1:2" ht="15">
      <c r="A17" s="13" t="s">
        <v>34</v>
      </c>
      <c r="B17" s="13"/>
    </row>
    <row r="18" spans="1:2" ht="14.25">
      <c r="A18" s="15"/>
      <c r="B18" s="16" t="s">
        <v>35</v>
      </c>
    </row>
    <row r="19" spans="1:5" ht="15">
      <c r="A19" s="17" t="s">
        <v>36</v>
      </c>
      <c r="B19" s="17" t="s">
        <v>37</v>
      </c>
      <c r="C19" s="17" t="s">
        <v>38</v>
      </c>
      <c r="D19" s="17" t="s">
        <v>39</v>
      </c>
      <c r="E19" s="17" t="s">
        <v>40</v>
      </c>
    </row>
    <row r="20" spans="1:5" ht="12.75">
      <c r="A20" s="14" t="s">
        <v>24</v>
      </c>
      <c r="B20" s="4" t="s">
        <v>35</v>
      </c>
      <c r="C20" s="4" t="s">
        <v>41</v>
      </c>
      <c r="D20" s="4" t="s">
        <v>32</v>
      </c>
      <c r="E20" s="18" t="s">
        <v>42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31.875" style="4" bestFit="1" customWidth="1"/>
    <col min="2" max="2" width="29.00390625" style="4" bestFit="1" customWidth="1"/>
    <col min="3" max="3" width="20.625" style="4" bestFit="1" customWidth="1"/>
    <col min="4" max="4" width="10.75390625" style="4" bestFit="1" customWidth="1"/>
    <col min="5" max="5" width="22.75390625" style="4" bestFit="1" customWidth="1"/>
    <col min="6" max="6" width="29.875" style="4" bestFit="1" customWidth="1"/>
    <col min="7" max="7" width="8.125" style="3" customWidth="1"/>
    <col min="8" max="8" width="8.875" style="29" customWidth="1"/>
    <col min="9" max="9" width="7.875" style="4" bestFit="1" customWidth="1"/>
    <col min="10" max="10" width="9.625" style="3" bestFit="1" customWidth="1"/>
    <col min="11" max="11" width="10.00390625" style="4" bestFit="1" customWidth="1"/>
    <col min="12" max="16384" width="9.125" style="3" customWidth="1"/>
  </cols>
  <sheetData>
    <row r="1" spans="1:11" s="2" customFormat="1" ht="28.5" customHeight="1">
      <c r="A1" s="53" t="s">
        <v>1316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10</v>
      </c>
      <c r="C3" s="48" t="s">
        <v>11</v>
      </c>
      <c r="D3" s="50" t="s">
        <v>1290</v>
      </c>
      <c r="E3" s="50" t="s">
        <v>7</v>
      </c>
      <c r="F3" s="50" t="s">
        <v>12</v>
      </c>
      <c r="G3" s="50" t="s">
        <v>1291</v>
      </c>
      <c r="H3" s="50"/>
      <c r="I3" s="50" t="s">
        <v>1142</v>
      </c>
      <c r="J3" s="50" t="s">
        <v>6</v>
      </c>
      <c r="K3" s="38" t="s">
        <v>5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7" t="s">
        <v>1140</v>
      </c>
      <c r="H4" s="28" t="s">
        <v>1141</v>
      </c>
      <c r="I4" s="49"/>
      <c r="J4" s="49"/>
      <c r="K4" s="39"/>
    </row>
    <row r="5" spans="1:10" ht="15">
      <c r="A5" s="51" t="s">
        <v>55</v>
      </c>
      <c r="B5" s="52"/>
      <c r="C5" s="52"/>
      <c r="D5" s="52"/>
      <c r="E5" s="52"/>
      <c r="F5" s="52"/>
      <c r="G5" s="52"/>
      <c r="H5" s="52"/>
      <c r="I5" s="52"/>
      <c r="J5" s="52"/>
    </row>
    <row r="6" spans="1:11" ht="12.75">
      <c r="A6" s="10" t="s">
        <v>617</v>
      </c>
      <c r="B6" s="10" t="s">
        <v>618</v>
      </c>
      <c r="C6" s="10" t="s">
        <v>619</v>
      </c>
      <c r="D6" s="10" t="str">
        <f>"0,9023"</f>
        <v>0,9023</v>
      </c>
      <c r="E6" s="10" t="s">
        <v>556</v>
      </c>
      <c r="F6" s="10" t="s">
        <v>29</v>
      </c>
      <c r="G6" s="12" t="s">
        <v>180</v>
      </c>
      <c r="H6" s="33" t="s">
        <v>1317</v>
      </c>
      <c r="I6" s="10" t="str">
        <f>"1657,5"</f>
        <v>1657,5</v>
      </c>
      <c r="J6" s="12" t="str">
        <f>"1495,5623"</f>
        <v>1495,5623</v>
      </c>
      <c r="K6" s="10" t="s">
        <v>33</v>
      </c>
    </row>
    <row r="8" spans="1:10" ht="15">
      <c r="A8" s="54" t="s">
        <v>405</v>
      </c>
      <c r="B8" s="55"/>
      <c r="C8" s="55"/>
      <c r="D8" s="55"/>
      <c r="E8" s="55"/>
      <c r="F8" s="55"/>
      <c r="G8" s="55"/>
      <c r="H8" s="55"/>
      <c r="I8" s="55"/>
      <c r="J8" s="55"/>
    </row>
    <row r="9" spans="1:11" ht="12.75">
      <c r="A9" s="10" t="s">
        <v>1319</v>
      </c>
      <c r="B9" s="10" t="s">
        <v>1320</v>
      </c>
      <c r="C9" s="10" t="s">
        <v>651</v>
      </c>
      <c r="D9" s="10" t="str">
        <f>"2,0800"</f>
        <v>2,0800</v>
      </c>
      <c r="E9" s="10" t="s">
        <v>178</v>
      </c>
      <c r="F9" s="10" t="s">
        <v>29</v>
      </c>
      <c r="G9" s="12" t="s">
        <v>1321</v>
      </c>
      <c r="H9" s="33" t="s">
        <v>1322</v>
      </c>
      <c r="I9" s="10" t="str">
        <f>"490,0"</f>
        <v>490,0</v>
      </c>
      <c r="J9" s="12" t="str">
        <f>"1019,2000"</f>
        <v>1019,2000</v>
      </c>
      <c r="K9" s="10" t="s">
        <v>1323</v>
      </c>
    </row>
    <row r="11" ht="15">
      <c r="E11" s="8" t="s">
        <v>13</v>
      </c>
    </row>
    <row r="12" ht="15">
      <c r="E12" s="8" t="s">
        <v>14</v>
      </c>
    </row>
    <row r="13" ht="15">
      <c r="E13" s="8" t="s">
        <v>15</v>
      </c>
    </row>
    <row r="14" ht="15">
      <c r="E14" s="8" t="s">
        <v>16</v>
      </c>
    </row>
    <row r="15" ht="15">
      <c r="E15" s="8" t="s">
        <v>16</v>
      </c>
    </row>
    <row r="16" ht="15">
      <c r="E16" s="8" t="s">
        <v>17</v>
      </c>
    </row>
    <row r="17" ht="15">
      <c r="E17" s="8"/>
    </row>
    <row r="19" spans="1:2" ht="18">
      <c r="A19" s="9" t="s">
        <v>18</v>
      </c>
      <c r="B19" s="9"/>
    </row>
    <row r="20" spans="1:2" ht="15">
      <c r="A20" s="13" t="s">
        <v>133</v>
      </c>
      <c r="B20" s="13"/>
    </row>
    <row r="21" spans="1:2" ht="14.25">
      <c r="A21" s="15"/>
      <c r="B21" s="16" t="s">
        <v>204</v>
      </c>
    </row>
    <row r="22" spans="1:5" ht="15">
      <c r="A22" s="17" t="s">
        <v>36</v>
      </c>
      <c r="B22" s="17" t="s">
        <v>37</v>
      </c>
      <c r="C22" s="17" t="s">
        <v>38</v>
      </c>
      <c r="D22" s="17" t="s">
        <v>39</v>
      </c>
      <c r="E22" s="17" t="s">
        <v>1304</v>
      </c>
    </row>
    <row r="23" spans="1:5" ht="12.75">
      <c r="A23" s="14" t="s">
        <v>616</v>
      </c>
      <c r="B23" s="4" t="s">
        <v>137</v>
      </c>
      <c r="C23" s="4" t="s">
        <v>140</v>
      </c>
      <c r="D23" s="4" t="s">
        <v>1324</v>
      </c>
      <c r="E23" s="18" t="s">
        <v>1325</v>
      </c>
    </row>
    <row r="26" spans="1:2" ht="15">
      <c r="A26" s="13" t="s">
        <v>34</v>
      </c>
      <c r="B26" s="13"/>
    </row>
    <row r="27" spans="1:2" ht="14.25">
      <c r="A27" s="15"/>
      <c r="B27" s="16" t="s">
        <v>136</v>
      </c>
    </row>
    <row r="28" spans="1:5" ht="15">
      <c r="A28" s="17" t="s">
        <v>36</v>
      </c>
      <c r="B28" s="17" t="s">
        <v>37</v>
      </c>
      <c r="C28" s="17" t="s">
        <v>38</v>
      </c>
      <c r="D28" s="17" t="s">
        <v>39</v>
      </c>
      <c r="E28" s="17" t="s">
        <v>1304</v>
      </c>
    </row>
    <row r="29" spans="1:5" ht="12.75">
      <c r="A29" s="14" t="s">
        <v>1318</v>
      </c>
      <c r="B29" s="4" t="s">
        <v>498</v>
      </c>
      <c r="C29" s="4" t="s">
        <v>496</v>
      </c>
      <c r="D29" s="4" t="s">
        <v>1326</v>
      </c>
      <c r="E29" s="18" t="s">
        <v>1327</v>
      </c>
    </row>
    <row r="34" spans="1:2" ht="18">
      <c r="A34" s="9" t="s">
        <v>159</v>
      </c>
      <c r="B34" s="9"/>
    </row>
    <row r="35" spans="1:3" ht="15">
      <c r="A35" s="17" t="s">
        <v>160</v>
      </c>
      <c r="B35" s="17" t="s">
        <v>161</v>
      </c>
      <c r="C35" s="17" t="s">
        <v>162</v>
      </c>
    </row>
    <row r="36" spans="1:3" ht="12.75">
      <c r="A36" s="4" t="s">
        <v>556</v>
      </c>
      <c r="B36" s="4" t="s">
        <v>216</v>
      </c>
      <c r="C36" s="4" t="s">
        <v>856</v>
      </c>
    </row>
    <row r="37" spans="1:3" ht="12.75">
      <c r="A37" s="4" t="s">
        <v>178</v>
      </c>
      <c r="B37" s="4" t="s">
        <v>216</v>
      </c>
      <c r="C37" s="4" t="s">
        <v>1328</v>
      </c>
    </row>
  </sheetData>
  <sheetProtection/>
  <mergeCells count="13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J5"/>
    <mergeCell ref="A8:J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5.75390625" style="4" customWidth="1"/>
    <col min="4" max="4" width="10.75390625" style="4" bestFit="1" customWidth="1"/>
    <col min="5" max="5" width="22.75390625" style="4" bestFit="1" customWidth="1"/>
    <col min="6" max="6" width="31.625" style="4" customWidth="1"/>
    <col min="7" max="7" width="10.125" style="3" customWidth="1"/>
    <col min="8" max="8" width="10.25390625" style="29" customWidth="1"/>
    <col min="9" max="9" width="7.875" style="4" bestFit="1" customWidth="1"/>
    <col min="10" max="10" width="9.625" style="3" bestFit="1" customWidth="1"/>
    <col min="11" max="11" width="15.25390625" style="4" bestFit="1" customWidth="1"/>
    <col min="12" max="16384" width="9.125" style="3" customWidth="1"/>
  </cols>
  <sheetData>
    <row r="1" spans="1:11" s="2" customFormat="1" ht="28.5" customHeight="1">
      <c r="A1" s="53" t="s">
        <v>1289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10</v>
      </c>
      <c r="C3" s="48" t="s">
        <v>11</v>
      </c>
      <c r="D3" s="50" t="s">
        <v>1290</v>
      </c>
      <c r="E3" s="50" t="s">
        <v>7</v>
      </c>
      <c r="F3" s="50" t="s">
        <v>12</v>
      </c>
      <c r="G3" s="50" t="s">
        <v>1291</v>
      </c>
      <c r="H3" s="50"/>
      <c r="I3" s="50" t="s">
        <v>1142</v>
      </c>
      <c r="J3" s="50" t="s">
        <v>6</v>
      </c>
      <c r="K3" s="38" t="s">
        <v>5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7" t="s">
        <v>1140</v>
      </c>
      <c r="H4" s="28" t="s">
        <v>1141</v>
      </c>
      <c r="I4" s="49"/>
      <c r="J4" s="49"/>
      <c r="K4" s="39"/>
    </row>
    <row r="5" spans="1:10" ht="15">
      <c r="A5" s="51" t="s">
        <v>88</v>
      </c>
      <c r="B5" s="52"/>
      <c r="C5" s="52"/>
      <c r="D5" s="52"/>
      <c r="E5" s="52"/>
      <c r="F5" s="52"/>
      <c r="G5" s="52"/>
      <c r="H5" s="52"/>
      <c r="I5" s="52"/>
      <c r="J5" s="52"/>
    </row>
    <row r="6" spans="1:11" ht="12.75">
      <c r="A6" s="19" t="s">
        <v>1292</v>
      </c>
      <c r="B6" s="19" t="s">
        <v>104</v>
      </c>
      <c r="C6" s="19" t="s">
        <v>105</v>
      </c>
      <c r="D6" s="19" t="str">
        <f>"0,7839"</f>
        <v>0,7839</v>
      </c>
      <c r="E6" s="19" t="s">
        <v>106</v>
      </c>
      <c r="F6" s="19" t="s">
        <v>87</v>
      </c>
      <c r="G6" s="21" t="s">
        <v>227</v>
      </c>
      <c r="H6" s="30" t="s">
        <v>1293</v>
      </c>
      <c r="I6" s="19" t="str">
        <f>"2640,0"</f>
        <v>2640,0</v>
      </c>
      <c r="J6" s="21" t="str">
        <f>"2069,4961"</f>
        <v>2069,4961</v>
      </c>
      <c r="K6" s="19" t="s">
        <v>33</v>
      </c>
    </row>
    <row r="7" spans="1:11" ht="12.75">
      <c r="A7" s="25" t="s">
        <v>1295</v>
      </c>
      <c r="B7" s="25" t="s">
        <v>1296</v>
      </c>
      <c r="C7" s="25" t="s">
        <v>1297</v>
      </c>
      <c r="D7" s="25" t="str">
        <f>"0,7647"</f>
        <v>0,7647</v>
      </c>
      <c r="E7" s="25" t="s">
        <v>410</v>
      </c>
      <c r="F7" s="25" t="s">
        <v>431</v>
      </c>
      <c r="G7" s="27" t="s">
        <v>195</v>
      </c>
      <c r="H7" s="31" t="s">
        <v>1298</v>
      </c>
      <c r="I7" s="25" t="str">
        <f>"2392,5"</f>
        <v>2392,5</v>
      </c>
      <c r="J7" s="27" t="str">
        <f>"1829,5447"</f>
        <v>1829,5447</v>
      </c>
      <c r="K7" s="25" t="s">
        <v>1299</v>
      </c>
    </row>
    <row r="9" spans="1:10" ht="15">
      <c r="A9" s="54" t="s">
        <v>219</v>
      </c>
      <c r="B9" s="55"/>
      <c r="C9" s="55"/>
      <c r="D9" s="55"/>
      <c r="E9" s="55"/>
      <c r="F9" s="55"/>
      <c r="G9" s="55"/>
      <c r="H9" s="55"/>
      <c r="I9" s="55"/>
      <c r="J9" s="55"/>
    </row>
    <row r="10" spans="1:11" ht="12.75">
      <c r="A10" s="19" t="s">
        <v>1300</v>
      </c>
      <c r="B10" s="19" t="s">
        <v>729</v>
      </c>
      <c r="C10" s="19" t="s">
        <v>357</v>
      </c>
      <c r="D10" s="19" t="str">
        <f>"0,7201"</f>
        <v>0,7201</v>
      </c>
      <c r="E10" s="19" t="s">
        <v>106</v>
      </c>
      <c r="F10" s="19" t="s">
        <v>87</v>
      </c>
      <c r="G10" s="21" t="s">
        <v>196</v>
      </c>
      <c r="H10" s="30" t="s">
        <v>1301</v>
      </c>
      <c r="I10" s="19" t="str">
        <f>"2160,0"</f>
        <v>2160,0</v>
      </c>
      <c r="J10" s="21" t="str">
        <f>"1555,4160"</f>
        <v>1555,4160</v>
      </c>
      <c r="K10" s="19" t="s">
        <v>33</v>
      </c>
    </row>
    <row r="11" spans="1:11" ht="12.75">
      <c r="A11" s="25" t="s">
        <v>1302</v>
      </c>
      <c r="B11" s="25" t="s">
        <v>737</v>
      </c>
      <c r="C11" s="25" t="s">
        <v>738</v>
      </c>
      <c r="D11" s="25" t="str">
        <f>"0,7177"</f>
        <v>0,7177</v>
      </c>
      <c r="E11" s="25" t="s">
        <v>106</v>
      </c>
      <c r="F11" s="25" t="s">
        <v>87</v>
      </c>
      <c r="G11" s="27" t="s">
        <v>196</v>
      </c>
      <c r="H11" s="31" t="s">
        <v>1303</v>
      </c>
      <c r="I11" s="25" t="str">
        <f>"1620,0"</f>
        <v>1620,0</v>
      </c>
      <c r="J11" s="27" t="str">
        <f>"1162,6740"</f>
        <v>1162,6740</v>
      </c>
      <c r="K11" s="25" t="s">
        <v>33</v>
      </c>
    </row>
    <row r="13" ht="15">
      <c r="E13" s="8" t="s">
        <v>13</v>
      </c>
    </row>
    <row r="14" ht="15">
      <c r="E14" s="8" t="s">
        <v>14</v>
      </c>
    </row>
    <row r="15" ht="15">
      <c r="E15" s="8" t="s">
        <v>15</v>
      </c>
    </row>
    <row r="16" ht="15">
      <c r="E16" s="8" t="s">
        <v>16</v>
      </c>
    </row>
    <row r="17" ht="15">
      <c r="E17" s="8" t="s">
        <v>16</v>
      </c>
    </row>
    <row r="18" ht="15">
      <c r="E18" s="8" t="s">
        <v>17</v>
      </c>
    </row>
    <row r="19" ht="15">
      <c r="E19" s="8"/>
    </row>
    <row r="21" spans="1:2" ht="18">
      <c r="A21" s="9" t="s">
        <v>18</v>
      </c>
      <c r="B21" s="9"/>
    </row>
    <row r="22" spans="1:2" ht="15">
      <c r="A22" s="13" t="s">
        <v>34</v>
      </c>
      <c r="B22" s="13"/>
    </row>
    <row r="23" spans="1:2" ht="14.25">
      <c r="A23" s="15"/>
      <c r="B23" s="16" t="s">
        <v>35</v>
      </c>
    </row>
    <row r="24" spans="1:5" ht="15">
      <c r="A24" s="17" t="s">
        <v>36</v>
      </c>
      <c r="B24" s="17" t="s">
        <v>37</v>
      </c>
      <c r="C24" s="17" t="s">
        <v>38</v>
      </c>
      <c r="D24" s="17" t="s">
        <v>39</v>
      </c>
      <c r="E24" s="17" t="s">
        <v>1304</v>
      </c>
    </row>
    <row r="25" spans="1:5" ht="12.75">
      <c r="A25" s="14" t="s">
        <v>102</v>
      </c>
      <c r="B25" s="4" t="s">
        <v>35</v>
      </c>
      <c r="C25" s="4" t="s">
        <v>138</v>
      </c>
      <c r="D25" s="4" t="s">
        <v>1305</v>
      </c>
      <c r="E25" s="18" t="s">
        <v>1306</v>
      </c>
    </row>
    <row r="26" spans="1:5" ht="12.75">
      <c r="A26" s="14" t="s">
        <v>1294</v>
      </c>
      <c r="B26" s="4" t="s">
        <v>35</v>
      </c>
      <c r="C26" s="4" t="s">
        <v>138</v>
      </c>
      <c r="D26" s="4" t="s">
        <v>1307</v>
      </c>
      <c r="E26" s="18" t="s">
        <v>1308</v>
      </c>
    </row>
    <row r="27" spans="1:5" ht="12.75">
      <c r="A27" s="14" t="s">
        <v>727</v>
      </c>
      <c r="B27" s="4" t="s">
        <v>35</v>
      </c>
      <c r="C27" s="4" t="s">
        <v>239</v>
      </c>
      <c r="D27" s="4" t="s">
        <v>1309</v>
      </c>
      <c r="E27" s="18" t="s">
        <v>1310</v>
      </c>
    </row>
    <row r="28" spans="1:5" ht="12.75">
      <c r="A28" s="14" t="s">
        <v>735</v>
      </c>
      <c r="B28" s="4" t="s">
        <v>35</v>
      </c>
      <c r="C28" s="4" t="s">
        <v>239</v>
      </c>
      <c r="D28" s="4" t="s">
        <v>1311</v>
      </c>
      <c r="E28" s="18" t="s">
        <v>1312</v>
      </c>
    </row>
    <row r="33" spans="1:2" ht="18">
      <c r="A33" s="9" t="s">
        <v>159</v>
      </c>
      <c r="B33" s="9"/>
    </row>
    <row r="34" spans="1:3" ht="15">
      <c r="A34" s="17" t="s">
        <v>160</v>
      </c>
      <c r="B34" s="17" t="s">
        <v>161</v>
      </c>
      <c r="C34" s="17" t="s">
        <v>162</v>
      </c>
    </row>
    <row r="35" spans="1:3" ht="12.75">
      <c r="A35" s="4" t="s">
        <v>106</v>
      </c>
      <c r="B35" s="4" t="s">
        <v>1313</v>
      </c>
      <c r="C35" s="4" t="s">
        <v>854</v>
      </c>
    </row>
    <row r="36" spans="1:3" ht="12.75">
      <c r="A36" s="4" t="s">
        <v>410</v>
      </c>
      <c r="B36" s="4" t="s">
        <v>1314</v>
      </c>
      <c r="C36" s="4" t="s">
        <v>1315</v>
      </c>
    </row>
  </sheetData>
  <sheetProtection/>
  <mergeCells count="13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J5"/>
    <mergeCell ref="A9:J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22.75390625" style="4" bestFit="1" customWidth="1"/>
    <col min="6" max="6" width="29.875" style="4" bestFit="1" customWidth="1"/>
    <col min="7" max="7" width="9.375" style="3" customWidth="1"/>
    <col min="8" max="8" width="10.75390625" style="29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3" t="s">
        <v>1283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10</v>
      </c>
      <c r="C3" s="48" t="s">
        <v>11</v>
      </c>
      <c r="D3" s="50" t="s">
        <v>1144</v>
      </c>
      <c r="E3" s="50" t="s">
        <v>7</v>
      </c>
      <c r="F3" s="50" t="s">
        <v>12</v>
      </c>
      <c r="G3" s="50" t="s">
        <v>1231</v>
      </c>
      <c r="H3" s="50"/>
      <c r="I3" s="50" t="s">
        <v>1142</v>
      </c>
      <c r="J3" s="50" t="s">
        <v>6</v>
      </c>
      <c r="K3" s="38" t="s">
        <v>5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7" t="s">
        <v>1140</v>
      </c>
      <c r="H4" s="28" t="s">
        <v>1141</v>
      </c>
      <c r="I4" s="49"/>
      <c r="J4" s="49"/>
      <c r="K4" s="39"/>
    </row>
    <row r="5" spans="1:10" ht="15">
      <c r="A5" s="51" t="s">
        <v>1146</v>
      </c>
      <c r="B5" s="52"/>
      <c r="C5" s="52"/>
      <c r="D5" s="52"/>
      <c r="E5" s="52"/>
      <c r="F5" s="52"/>
      <c r="G5" s="52"/>
      <c r="H5" s="52"/>
      <c r="I5" s="52"/>
      <c r="J5" s="52"/>
    </row>
    <row r="6" spans="1:11" ht="12.75">
      <c r="A6" s="10" t="s">
        <v>1285</v>
      </c>
      <c r="B6" s="10" t="s">
        <v>1286</v>
      </c>
      <c r="C6" s="10" t="s">
        <v>582</v>
      </c>
      <c r="D6" s="10" t="str">
        <f>"1,0000"</f>
        <v>1,0000</v>
      </c>
      <c r="E6" s="10" t="s">
        <v>28</v>
      </c>
      <c r="F6" s="10" t="s">
        <v>29</v>
      </c>
      <c r="G6" s="12" t="s">
        <v>266</v>
      </c>
      <c r="H6" s="33" t="s">
        <v>646</v>
      </c>
      <c r="I6" s="10" t="str">
        <f>"4000,0"</f>
        <v>4000,0</v>
      </c>
      <c r="J6" s="12" t="str">
        <f>"44,9438"</f>
        <v>44,9438</v>
      </c>
      <c r="K6" s="10" t="s">
        <v>33</v>
      </c>
    </row>
    <row r="8" ht="15">
      <c r="E8" s="8" t="s">
        <v>13</v>
      </c>
    </row>
    <row r="9" ht="15">
      <c r="E9" s="8" t="s">
        <v>14</v>
      </c>
    </row>
    <row r="10" ht="15">
      <c r="E10" s="8" t="s">
        <v>15</v>
      </c>
    </row>
    <row r="11" ht="15">
      <c r="E11" s="8" t="s">
        <v>16</v>
      </c>
    </row>
    <row r="12" ht="15">
      <c r="E12" s="8" t="s">
        <v>16</v>
      </c>
    </row>
    <row r="13" ht="15">
      <c r="E13" s="8" t="s">
        <v>17</v>
      </c>
    </row>
    <row r="14" ht="15">
      <c r="E14" s="8"/>
    </row>
    <row r="16" spans="1:2" ht="18">
      <c r="A16" s="9" t="s">
        <v>18</v>
      </c>
      <c r="B16" s="9"/>
    </row>
    <row r="17" spans="1:2" ht="15">
      <c r="A17" s="13" t="s">
        <v>34</v>
      </c>
      <c r="B17" s="13"/>
    </row>
    <row r="18" spans="1:2" ht="14.25">
      <c r="A18" s="15"/>
      <c r="B18" s="16" t="s">
        <v>35</v>
      </c>
    </row>
    <row r="19" spans="1:5" ht="15">
      <c r="A19" s="17" t="s">
        <v>36</v>
      </c>
      <c r="B19" s="17" t="s">
        <v>37</v>
      </c>
      <c r="C19" s="17" t="s">
        <v>38</v>
      </c>
      <c r="D19" s="17" t="s">
        <v>39</v>
      </c>
      <c r="E19" s="17" t="s">
        <v>1157</v>
      </c>
    </row>
    <row r="20" spans="1:5" ht="12.75">
      <c r="A20" s="14" t="s">
        <v>1284</v>
      </c>
      <c r="B20" s="4" t="s">
        <v>35</v>
      </c>
      <c r="C20" s="4" t="s">
        <v>1158</v>
      </c>
      <c r="D20" s="4" t="s">
        <v>1287</v>
      </c>
      <c r="E20" s="18" t="s">
        <v>1288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4.75390625" style="4" bestFit="1" customWidth="1"/>
    <col min="4" max="4" width="10.625" style="4" bestFit="1" customWidth="1"/>
    <col min="5" max="5" width="22.75390625" style="4" bestFit="1" customWidth="1"/>
    <col min="6" max="6" width="29.875" style="4" bestFit="1" customWidth="1"/>
    <col min="7" max="7" width="9.125" style="3" customWidth="1"/>
    <col min="8" max="8" width="12.125" style="29" customWidth="1"/>
    <col min="9" max="9" width="7.875" style="4" bestFit="1" customWidth="1"/>
    <col min="10" max="10" width="7.625" style="3" bestFit="1" customWidth="1"/>
    <col min="11" max="11" width="12.375" style="4" bestFit="1" customWidth="1"/>
    <col min="12" max="16384" width="9.125" style="3" customWidth="1"/>
  </cols>
  <sheetData>
    <row r="1" spans="1:11" s="2" customFormat="1" ht="28.5" customHeight="1">
      <c r="A1" s="53" t="s">
        <v>1267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10</v>
      </c>
      <c r="C3" s="48" t="s">
        <v>11</v>
      </c>
      <c r="D3" s="50" t="s">
        <v>1144</v>
      </c>
      <c r="E3" s="50" t="s">
        <v>7</v>
      </c>
      <c r="F3" s="50" t="s">
        <v>12</v>
      </c>
      <c r="G3" s="50" t="s">
        <v>1231</v>
      </c>
      <c r="H3" s="50"/>
      <c r="I3" s="50" t="s">
        <v>1142</v>
      </c>
      <c r="J3" s="50" t="s">
        <v>6</v>
      </c>
      <c r="K3" s="38" t="s">
        <v>5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7" t="s">
        <v>1140</v>
      </c>
      <c r="H4" s="28" t="s">
        <v>1141</v>
      </c>
      <c r="I4" s="49"/>
      <c r="J4" s="49"/>
      <c r="K4" s="39"/>
    </row>
    <row r="5" spans="1:10" ht="15">
      <c r="A5" s="51" t="s">
        <v>1146</v>
      </c>
      <c r="B5" s="52"/>
      <c r="C5" s="52"/>
      <c r="D5" s="52"/>
      <c r="E5" s="52"/>
      <c r="F5" s="52"/>
      <c r="G5" s="52"/>
      <c r="H5" s="52"/>
      <c r="I5" s="52"/>
      <c r="J5" s="52"/>
    </row>
    <row r="6" spans="1:11" ht="12.75">
      <c r="A6" s="19" t="s">
        <v>1269</v>
      </c>
      <c r="B6" s="19" t="s">
        <v>1270</v>
      </c>
      <c r="C6" s="19" t="s">
        <v>1271</v>
      </c>
      <c r="D6" s="19" t="str">
        <f>"1,0000"</f>
        <v>1,0000</v>
      </c>
      <c r="E6" s="19" t="s">
        <v>178</v>
      </c>
      <c r="F6" s="19" t="s">
        <v>29</v>
      </c>
      <c r="G6" s="21" t="s">
        <v>269</v>
      </c>
      <c r="H6" s="30" t="s">
        <v>1272</v>
      </c>
      <c r="I6" s="19" t="str">
        <f>"5550,0"</f>
        <v>5550,0</v>
      </c>
      <c r="J6" s="21" t="str">
        <f>"57,6323"</f>
        <v>57,6323</v>
      </c>
      <c r="K6" s="19" t="s">
        <v>33</v>
      </c>
    </row>
    <row r="7" spans="1:11" ht="12.75">
      <c r="A7" s="25" t="s">
        <v>1274</v>
      </c>
      <c r="B7" s="25" t="s">
        <v>1275</v>
      </c>
      <c r="C7" s="25" t="s">
        <v>731</v>
      </c>
      <c r="D7" s="25" t="str">
        <f>"1,0000"</f>
        <v>1,0000</v>
      </c>
      <c r="E7" s="25" t="s">
        <v>28</v>
      </c>
      <c r="F7" s="25" t="s">
        <v>29</v>
      </c>
      <c r="G7" s="27" t="s">
        <v>269</v>
      </c>
      <c r="H7" s="31" t="s">
        <v>1276</v>
      </c>
      <c r="I7" s="25" t="str">
        <f>"4800,0"</f>
        <v>4800,0</v>
      </c>
      <c r="J7" s="27" t="str">
        <f>"53,9932"</f>
        <v>53,9932</v>
      </c>
      <c r="K7" s="25" t="s">
        <v>1277</v>
      </c>
    </row>
    <row r="9" ht="15">
      <c r="E9" s="8" t="s">
        <v>13</v>
      </c>
    </row>
    <row r="10" ht="15">
      <c r="E10" s="8" t="s">
        <v>14</v>
      </c>
    </row>
    <row r="11" ht="15">
      <c r="E11" s="8" t="s">
        <v>15</v>
      </c>
    </row>
    <row r="12" ht="15">
      <c r="E12" s="8" t="s">
        <v>16</v>
      </c>
    </row>
    <row r="13" ht="15">
      <c r="E13" s="8" t="s">
        <v>16</v>
      </c>
    </row>
    <row r="14" ht="15">
      <c r="E14" s="8" t="s">
        <v>17</v>
      </c>
    </row>
    <row r="15" ht="15">
      <c r="E15" s="8"/>
    </row>
    <row r="17" spans="1:2" ht="18">
      <c r="A17" s="9" t="s">
        <v>18</v>
      </c>
      <c r="B17" s="9"/>
    </row>
    <row r="18" spans="1:2" ht="15">
      <c r="A18" s="13" t="s">
        <v>34</v>
      </c>
      <c r="B18" s="13"/>
    </row>
    <row r="19" spans="1:2" ht="14.25">
      <c r="A19" s="15"/>
      <c r="B19" s="16" t="s">
        <v>35</v>
      </c>
    </row>
    <row r="20" spans="1:5" ht="15">
      <c r="A20" s="17" t="s">
        <v>36</v>
      </c>
      <c r="B20" s="17" t="s">
        <v>37</v>
      </c>
      <c r="C20" s="17" t="s">
        <v>38</v>
      </c>
      <c r="D20" s="17" t="s">
        <v>39</v>
      </c>
      <c r="E20" s="17" t="s">
        <v>1157</v>
      </c>
    </row>
    <row r="21" spans="1:5" ht="12.75">
      <c r="A21" s="14" t="s">
        <v>1268</v>
      </c>
      <c r="B21" s="4" t="s">
        <v>35</v>
      </c>
      <c r="C21" s="4" t="s">
        <v>1158</v>
      </c>
      <c r="D21" s="4" t="s">
        <v>1278</v>
      </c>
      <c r="E21" s="18" t="s">
        <v>1279</v>
      </c>
    </row>
    <row r="22" spans="1:5" ht="12.75">
      <c r="A22" s="14" t="s">
        <v>1273</v>
      </c>
      <c r="B22" s="4" t="s">
        <v>35</v>
      </c>
      <c r="C22" s="4" t="s">
        <v>1158</v>
      </c>
      <c r="D22" s="4" t="s">
        <v>1280</v>
      </c>
      <c r="E22" s="18" t="s">
        <v>1281</v>
      </c>
    </row>
    <row r="27" spans="1:2" ht="18">
      <c r="A27" s="9" t="s">
        <v>159</v>
      </c>
      <c r="B27" s="9"/>
    </row>
    <row r="28" spans="1:3" ht="15">
      <c r="A28" s="17" t="s">
        <v>160</v>
      </c>
      <c r="B28" s="17" t="s">
        <v>161</v>
      </c>
      <c r="C28" s="17" t="s">
        <v>162</v>
      </c>
    </row>
    <row r="29" spans="1:3" ht="12.75">
      <c r="A29" s="4" t="s">
        <v>178</v>
      </c>
      <c r="B29" s="4" t="s">
        <v>216</v>
      </c>
      <c r="C29" s="4" t="s">
        <v>1282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38.25390625" style="4" bestFit="1" customWidth="1"/>
    <col min="7" max="7" width="11.375" style="3" customWidth="1"/>
    <col min="8" max="8" width="9.125" style="29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3" t="s">
        <v>1263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10</v>
      </c>
      <c r="C3" s="48" t="s">
        <v>11</v>
      </c>
      <c r="D3" s="50" t="s">
        <v>1144</v>
      </c>
      <c r="E3" s="50" t="s">
        <v>7</v>
      </c>
      <c r="F3" s="50" t="s">
        <v>12</v>
      </c>
      <c r="G3" s="50" t="s">
        <v>1231</v>
      </c>
      <c r="H3" s="50"/>
      <c r="I3" s="50" t="s">
        <v>1142</v>
      </c>
      <c r="J3" s="50" t="s">
        <v>6</v>
      </c>
      <c r="K3" s="38" t="s">
        <v>5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7" t="s">
        <v>1140</v>
      </c>
      <c r="H4" s="28" t="s">
        <v>1141</v>
      </c>
      <c r="I4" s="49"/>
      <c r="J4" s="49"/>
      <c r="K4" s="39"/>
    </row>
    <row r="5" spans="1:10" ht="15">
      <c r="A5" s="51" t="s">
        <v>1146</v>
      </c>
      <c r="B5" s="52"/>
      <c r="C5" s="52"/>
      <c r="D5" s="52"/>
      <c r="E5" s="52"/>
      <c r="F5" s="52"/>
      <c r="G5" s="52"/>
      <c r="H5" s="52"/>
      <c r="I5" s="52"/>
      <c r="J5" s="52"/>
    </row>
    <row r="6" spans="1:11" ht="12.75">
      <c r="A6" s="10" t="s">
        <v>418</v>
      </c>
      <c r="B6" s="10" t="s">
        <v>419</v>
      </c>
      <c r="C6" s="10" t="s">
        <v>1264</v>
      </c>
      <c r="D6" s="10" t="str">
        <f>"1,0000"</f>
        <v>1,0000</v>
      </c>
      <c r="E6" s="10" t="s">
        <v>28</v>
      </c>
      <c r="F6" s="10" t="s">
        <v>421</v>
      </c>
      <c r="G6" s="12" t="s">
        <v>203</v>
      </c>
      <c r="H6" s="33" t="s">
        <v>179</v>
      </c>
      <c r="I6" s="10" t="str">
        <f>"3500,0"</f>
        <v>3500,0</v>
      </c>
      <c r="J6" s="12" t="str">
        <f>"52,8700"</f>
        <v>52,8700</v>
      </c>
      <c r="K6" s="10" t="s">
        <v>33</v>
      </c>
    </row>
    <row r="8" ht="15">
      <c r="E8" s="8" t="s">
        <v>13</v>
      </c>
    </row>
    <row r="9" ht="15">
      <c r="E9" s="8" t="s">
        <v>14</v>
      </c>
    </row>
    <row r="10" ht="15">
      <c r="E10" s="8" t="s">
        <v>15</v>
      </c>
    </row>
    <row r="11" ht="15">
      <c r="E11" s="8" t="s">
        <v>16</v>
      </c>
    </row>
    <row r="12" ht="15">
      <c r="E12" s="8" t="s">
        <v>16</v>
      </c>
    </row>
    <row r="13" ht="15">
      <c r="E13" s="8" t="s">
        <v>17</v>
      </c>
    </row>
    <row r="14" ht="15">
      <c r="E14" s="8"/>
    </row>
    <row r="16" spans="1:2" ht="18">
      <c r="A16" s="9" t="s">
        <v>18</v>
      </c>
      <c r="B16" s="9"/>
    </row>
    <row r="17" spans="1:2" ht="15">
      <c r="A17" s="13" t="s">
        <v>34</v>
      </c>
      <c r="B17" s="13"/>
    </row>
    <row r="18" spans="1:2" ht="14.25">
      <c r="A18" s="15"/>
      <c r="B18" s="16" t="s">
        <v>152</v>
      </c>
    </row>
    <row r="19" spans="1:5" ht="15">
      <c r="A19" s="17" t="s">
        <v>36</v>
      </c>
      <c r="B19" s="17" t="s">
        <v>37</v>
      </c>
      <c r="C19" s="17" t="s">
        <v>38</v>
      </c>
      <c r="D19" s="17" t="s">
        <v>39</v>
      </c>
      <c r="E19" s="17" t="s">
        <v>1157</v>
      </c>
    </row>
    <row r="20" spans="1:5" ht="12.75">
      <c r="A20" s="14" t="s">
        <v>417</v>
      </c>
      <c r="B20" s="4" t="s">
        <v>518</v>
      </c>
      <c r="C20" s="4" t="s">
        <v>1158</v>
      </c>
      <c r="D20" s="4" t="s">
        <v>1265</v>
      </c>
      <c r="E20" s="18" t="s">
        <v>1266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7">
      <selection activeCell="A1" sqref="A1:U2"/>
    </sheetView>
  </sheetViews>
  <sheetFormatPr defaultColWidth="9.00390625" defaultRowHeight="12.75"/>
  <cols>
    <col min="1" max="1" width="31.875" style="4" bestFit="1" customWidth="1"/>
    <col min="2" max="2" width="28.375" style="4" bestFit="1" customWidth="1"/>
    <col min="3" max="3" width="18.00390625" style="4" customWidth="1"/>
    <col min="4" max="4" width="10.625" style="4" bestFit="1" customWidth="1"/>
    <col min="5" max="5" width="17.375" style="4" customWidth="1"/>
    <col min="6" max="6" width="29.875" style="4" bestFit="1" customWidth="1"/>
    <col min="7" max="7" width="8.875" style="3" customWidth="1"/>
    <col min="8" max="8" width="9.875" style="29" customWidth="1"/>
    <col min="9" max="9" width="7.875" style="4" bestFit="1" customWidth="1"/>
    <col min="10" max="10" width="7.625" style="3" bestFit="1" customWidth="1"/>
    <col min="11" max="11" width="11.625" style="4" bestFit="1" customWidth="1"/>
    <col min="12" max="16384" width="9.125" style="3" customWidth="1"/>
  </cols>
  <sheetData>
    <row r="1" spans="1:11" s="2" customFormat="1" ht="28.5" customHeight="1">
      <c r="A1" s="53" t="s">
        <v>1239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10</v>
      </c>
      <c r="C3" s="48" t="s">
        <v>11</v>
      </c>
      <c r="D3" s="50" t="s">
        <v>1144</v>
      </c>
      <c r="E3" s="50" t="s">
        <v>7</v>
      </c>
      <c r="F3" s="50" t="s">
        <v>12</v>
      </c>
      <c r="G3" s="50" t="s">
        <v>1231</v>
      </c>
      <c r="H3" s="50"/>
      <c r="I3" s="50" t="s">
        <v>1142</v>
      </c>
      <c r="J3" s="50" t="s">
        <v>6</v>
      </c>
      <c r="K3" s="38" t="s">
        <v>5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7" t="s">
        <v>1140</v>
      </c>
      <c r="H4" s="28" t="s">
        <v>1141</v>
      </c>
      <c r="I4" s="49"/>
      <c r="J4" s="49"/>
      <c r="K4" s="39"/>
    </row>
    <row r="5" spans="1:10" ht="15">
      <c r="A5" s="51" t="s">
        <v>1146</v>
      </c>
      <c r="B5" s="52"/>
      <c r="C5" s="52"/>
      <c r="D5" s="52"/>
      <c r="E5" s="52"/>
      <c r="F5" s="52"/>
      <c r="G5" s="52"/>
      <c r="H5" s="52"/>
      <c r="I5" s="52"/>
      <c r="J5" s="52"/>
    </row>
    <row r="6" spans="1:11" ht="12.75">
      <c r="A6" s="10" t="s">
        <v>1241</v>
      </c>
      <c r="B6" s="10" t="s">
        <v>1242</v>
      </c>
      <c r="C6" s="10" t="s">
        <v>1243</v>
      </c>
      <c r="D6" s="10" t="str">
        <f>"1,0000"</f>
        <v>1,0000</v>
      </c>
      <c r="E6" s="10" t="s">
        <v>28</v>
      </c>
      <c r="F6" s="10" t="s">
        <v>29</v>
      </c>
      <c r="G6" s="12" t="s">
        <v>203</v>
      </c>
      <c r="H6" s="33" t="s">
        <v>51</v>
      </c>
      <c r="I6" s="10" t="str">
        <f>"2500,0"</f>
        <v>2500,0</v>
      </c>
      <c r="J6" s="12" t="str">
        <f>"42,0168"</f>
        <v>42,0168</v>
      </c>
      <c r="K6" s="10" t="s">
        <v>1244</v>
      </c>
    </row>
    <row r="8" spans="1:10" ht="15">
      <c r="A8" s="54" t="s">
        <v>1146</v>
      </c>
      <c r="B8" s="55"/>
      <c r="C8" s="55"/>
      <c r="D8" s="55"/>
      <c r="E8" s="55"/>
      <c r="F8" s="55"/>
      <c r="G8" s="55"/>
      <c r="H8" s="55"/>
      <c r="I8" s="55"/>
      <c r="J8" s="55"/>
    </row>
    <row r="9" spans="1:11" ht="12.75">
      <c r="A9" s="19" t="s">
        <v>1246</v>
      </c>
      <c r="B9" s="19" t="s">
        <v>1247</v>
      </c>
      <c r="C9" s="19" t="s">
        <v>1248</v>
      </c>
      <c r="D9" s="19" t="str">
        <f>"1,0000"</f>
        <v>1,0000</v>
      </c>
      <c r="E9" s="19" t="s">
        <v>178</v>
      </c>
      <c r="F9" s="19" t="s">
        <v>29</v>
      </c>
      <c r="G9" s="21" t="s">
        <v>203</v>
      </c>
      <c r="H9" s="30" t="s">
        <v>81</v>
      </c>
      <c r="I9" s="19" t="str">
        <f>"6500,0"</f>
        <v>6500,0</v>
      </c>
      <c r="J9" s="21" t="str">
        <f>"87,2483"</f>
        <v>87,2483</v>
      </c>
      <c r="K9" s="19" t="s">
        <v>259</v>
      </c>
    </row>
    <row r="10" spans="1:11" ht="12.75">
      <c r="A10" s="22" t="s">
        <v>1250</v>
      </c>
      <c r="B10" s="22" t="s">
        <v>1251</v>
      </c>
      <c r="C10" s="22" t="s">
        <v>1252</v>
      </c>
      <c r="D10" s="22" t="str">
        <f>"1,0000"</f>
        <v>1,0000</v>
      </c>
      <c r="E10" s="22" t="s">
        <v>178</v>
      </c>
      <c r="F10" s="22" t="s">
        <v>29</v>
      </c>
      <c r="G10" s="24" t="s">
        <v>203</v>
      </c>
      <c r="H10" s="32" t="s">
        <v>1253</v>
      </c>
      <c r="I10" s="22" t="str">
        <f>"5400,0"</f>
        <v>5400,0</v>
      </c>
      <c r="J10" s="24" t="str">
        <f>"72,8744"</f>
        <v>72,8744</v>
      </c>
      <c r="K10" s="22" t="s">
        <v>259</v>
      </c>
    </row>
    <row r="11" spans="1:11" ht="12.75">
      <c r="A11" s="25" t="s">
        <v>1254</v>
      </c>
      <c r="B11" s="25" t="s">
        <v>114</v>
      </c>
      <c r="C11" s="25" t="s">
        <v>115</v>
      </c>
      <c r="D11" s="25" t="str">
        <f>"1,0000"</f>
        <v>1,0000</v>
      </c>
      <c r="E11" s="25" t="s">
        <v>116</v>
      </c>
      <c r="F11" s="25" t="s">
        <v>69</v>
      </c>
      <c r="G11" s="27" t="s">
        <v>203</v>
      </c>
      <c r="H11" s="31" t="s">
        <v>1173</v>
      </c>
      <c r="I11" s="25" t="str">
        <f>"4600,0"</f>
        <v>4600,0</v>
      </c>
      <c r="J11" s="27" t="str">
        <f>"56,6502"</f>
        <v>56,6502</v>
      </c>
      <c r="K11" s="25" t="s">
        <v>33</v>
      </c>
    </row>
    <row r="13" ht="15">
      <c r="E13" s="8" t="s">
        <v>13</v>
      </c>
    </row>
    <row r="14" ht="15">
      <c r="E14" s="8" t="s">
        <v>14</v>
      </c>
    </row>
    <row r="15" ht="15">
      <c r="E15" s="8" t="s">
        <v>15</v>
      </c>
    </row>
    <row r="16" ht="15">
      <c r="E16" s="8" t="s">
        <v>16</v>
      </c>
    </row>
    <row r="17" ht="15">
      <c r="E17" s="8" t="s">
        <v>16</v>
      </c>
    </row>
    <row r="18" ht="15">
      <c r="E18" s="8" t="s">
        <v>17</v>
      </c>
    </row>
    <row r="19" ht="15">
      <c r="E19" s="8"/>
    </row>
    <row r="21" spans="1:2" ht="18">
      <c r="A21" s="9" t="s">
        <v>18</v>
      </c>
      <c r="B21" s="9"/>
    </row>
    <row r="22" spans="1:2" ht="15">
      <c r="A22" s="13" t="s">
        <v>133</v>
      </c>
      <c r="B22" s="13"/>
    </row>
    <row r="23" spans="1:2" ht="14.25">
      <c r="A23" s="15"/>
      <c r="B23" s="16" t="s">
        <v>35</v>
      </c>
    </row>
    <row r="24" spans="1:5" ht="15">
      <c r="A24" s="17" t="s">
        <v>36</v>
      </c>
      <c r="B24" s="17" t="s">
        <v>37</v>
      </c>
      <c r="C24" s="17" t="s">
        <v>38</v>
      </c>
      <c r="D24" s="17" t="s">
        <v>39</v>
      </c>
      <c r="E24" s="17" t="s">
        <v>1157</v>
      </c>
    </row>
    <row r="25" spans="1:5" ht="12.75">
      <c r="A25" s="14" t="s">
        <v>1240</v>
      </c>
      <c r="B25" s="4" t="s">
        <v>35</v>
      </c>
      <c r="C25" s="4" t="s">
        <v>1158</v>
      </c>
      <c r="D25" s="4" t="s">
        <v>1169</v>
      </c>
      <c r="E25" s="18" t="s">
        <v>1255</v>
      </c>
    </row>
    <row r="28" spans="1:2" ht="15">
      <c r="A28" s="13" t="s">
        <v>34</v>
      </c>
      <c r="B28" s="13"/>
    </row>
    <row r="29" spans="1:2" ht="14.25">
      <c r="A29" s="15"/>
      <c r="B29" s="16" t="s">
        <v>142</v>
      </c>
    </row>
    <row r="30" spans="1:5" ht="15">
      <c r="A30" s="17" t="s">
        <v>36</v>
      </c>
      <c r="B30" s="17" t="s">
        <v>37</v>
      </c>
      <c r="C30" s="17" t="s">
        <v>38</v>
      </c>
      <c r="D30" s="17" t="s">
        <v>39</v>
      </c>
      <c r="E30" s="17" t="s">
        <v>1157</v>
      </c>
    </row>
    <row r="31" spans="1:5" ht="12.75">
      <c r="A31" s="14" t="s">
        <v>1245</v>
      </c>
      <c r="B31" s="4" t="s">
        <v>143</v>
      </c>
      <c r="C31" s="4" t="s">
        <v>1158</v>
      </c>
      <c r="D31" s="4" t="s">
        <v>1256</v>
      </c>
      <c r="E31" s="18" t="s">
        <v>1257</v>
      </c>
    </row>
    <row r="32" spans="1:5" ht="12.75">
      <c r="A32" s="14" t="s">
        <v>1249</v>
      </c>
      <c r="B32" s="4" t="s">
        <v>143</v>
      </c>
      <c r="C32" s="4" t="s">
        <v>1158</v>
      </c>
      <c r="D32" s="4" t="s">
        <v>1258</v>
      </c>
      <c r="E32" s="18" t="s">
        <v>1259</v>
      </c>
    </row>
    <row r="33" ht="15" customHeight="1"/>
    <row r="34" spans="1:2" ht="14.25">
      <c r="A34" s="15"/>
      <c r="B34" s="16" t="s">
        <v>35</v>
      </c>
    </row>
    <row r="35" spans="1:5" ht="15">
      <c r="A35" s="17" t="s">
        <v>36</v>
      </c>
      <c r="B35" s="17" t="s">
        <v>37</v>
      </c>
      <c r="C35" s="17" t="s">
        <v>38</v>
      </c>
      <c r="D35" s="17" t="s">
        <v>39</v>
      </c>
      <c r="E35" s="17" t="s">
        <v>1157</v>
      </c>
    </row>
    <row r="36" spans="1:5" ht="12.75">
      <c r="A36" s="14" t="s">
        <v>112</v>
      </c>
      <c r="B36" s="4" t="s">
        <v>35</v>
      </c>
      <c r="C36" s="4" t="s">
        <v>1158</v>
      </c>
      <c r="D36" s="4" t="s">
        <v>1260</v>
      </c>
      <c r="E36" s="18" t="s">
        <v>1261</v>
      </c>
    </row>
    <row r="41" spans="1:2" ht="18">
      <c r="A41" s="9" t="s">
        <v>159</v>
      </c>
      <c r="B41" s="9"/>
    </row>
    <row r="42" spans="1:3" ht="15">
      <c r="A42" s="17" t="s">
        <v>160</v>
      </c>
      <c r="B42" s="17" t="s">
        <v>161</v>
      </c>
      <c r="C42" s="17" t="s">
        <v>162</v>
      </c>
    </row>
    <row r="43" spans="1:3" ht="12.75">
      <c r="A43" s="4" t="s">
        <v>178</v>
      </c>
      <c r="B43" s="4" t="s">
        <v>1076</v>
      </c>
      <c r="C43" s="4" t="s">
        <v>1262</v>
      </c>
    </row>
    <row r="44" spans="1:3" ht="12.75">
      <c r="A44" s="4" t="s">
        <v>116</v>
      </c>
      <c r="B44" s="4" t="s">
        <v>216</v>
      </c>
      <c r="C44" s="4" t="s">
        <v>170</v>
      </c>
    </row>
  </sheetData>
  <sheetProtection/>
  <mergeCells count="13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J5"/>
    <mergeCell ref="A8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2019-10-22T15:52:25Z</dcterms:modified>
  <cp:category/>
  <cp:version/>
  <cp:contentType/>
  <cp:contentStatus/>
</cp:coreProperties>
</file>