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11" activeTab="14"/>
  </bookViews>
  <sheets>
    <sheet name="Русская тяга люб. 75 кг." sheetId="84" r:id="rId1"/>
    <sheet name="РБ Проф 50 кг." sheetId="81" r:id="rId2"/>
    <sheet name="РБ Проф 30 кг." sheetId="79" r:id="rId3"/>
    <sheet name="РЖ любители 55 кг." sheetId="72" r:id="rId4"/>
    <sheet name="РЖ любители 35 кг." sheetId="71" r:id="rId5"/>
    <sheet name="Пауэрспорт Профессионалы" sheetId="64" r:id="rId6"/>
    <sheet name="Пауэрспорт Любители" sheetId="63" r:id="rId7"/>
    <sheet name="Бицепс Профессионалы" sheetId="62" r:id="rId8"/>
    <sheet name="Бицепс Любители" sheetId="61" r:id="rId9"/>
    <sheet name="Любители В.Ж. м.повт. 1_2" sheetId="58" r:id="rId10"/>
    <sheet name="Проф. народный жим 1_2 вес" sheetId="52" r:id="rId11"/>
    <sheet name="Люб. народный жим 1_2 вес" sheetId="50" r:id="rId12"/>
    <sheet name="Роллинг Тандер" sheetId="48" r:id="rId13"/>
    <sheet name="Двоеборье люб" sheetId="44" r:id="rId14"/>
    <sheet name="Люб. тяга б.э." sheetId="32" r:id="rId15"/>
    <sheet name="ПРО жим софт мн.петельная" sheetId="27" r:id="rId16"/>
    <sheet name="ПРО жим софт 1 петельная" sheetId="25" r:id="rId17"/>
    <sheet name="ПРО жим б.э." sheetId="23" r:id="rId18"/>
    <sheet name="Люб. жим б.э." sheetId="22" r:id="rId19"/>
    <sheet name="СОВ жим" sheetId="19" r:id="rId20"/>
    <sheet name="Люб. Военный жим класс." sheetId="15" r:id="rId21"/>
    <sheet name="Люб. ПЛ. б.э." sheetId="11" r:id="rId22"/>
  </sheets>
  <calcPr calcId="162913" concurrentCalc="0"/>
</workbook>
</file>

<file path=xl/calcChain.xml><?xml version="1.0" encoding="utf-8"?>
<calcChain xmlns="http://schemas.openxmlformats.org/spreadsheetml/2006/main">
  <c r="D9" i="48" l="1"/>
  <c r="J9" i="58"/>
  <c r="I9" i="58"/>
  <c r="D12" i="48"/>
  <c r="D6" i="48"/>
  <c r="J6" i="84"/>
  <c r="I6" i="84"/>
  <c r="D6" i="84"/>
  <c r="J8" i="81"/>
  <c r="I8" i="81"/>
  <c r="D8" i="81"/>
  <c r="J7" i="81"/>
  <c r="I7" i="81"/>
  <c r="D7" i="81"/>
  <c r="J6" i="81"/>
  <c r="I6" i="81"/>
  <c r="D6" i="81"/>
  <c r="J6" i="79"/>
  <c r="I6" i="79"/>
  <c r="D6" i="79"/>
  <c r="J9" i="72"/>
  <c r="I9" i="72"/>
  <c r="D9" i="72"/>
  <c r="J8" i="72"/>
  <c r="I8" i="72"/>
  <c r="D8" i="72"/>
  <c r="J7" i="72"/>
  <c r="I7" i="72"/>
  <c r="D7" i="72"/>
  <c r="J6" i="72"/>
  <c r="I6" i="72"/>
  <c r="D6" i="72"/>
  <c r="J6" i="71"/>
  <c r="I6" i="71"/>
  <c r="D6" i="71"/>
  <c r="P6" i="64"/>
  <c r="O6" i="64"/>
  <c r="D6" i="64"/>
  <c r="P6" i="63"/>
  <c r="O6" i="63"/>
  <c r="D6" i="63"/>
  <c r="L9" i="62"/>
  <c r="K9" i="62"/>
  <c r="D9" i="62"/>
  <c r="L6" i="62"/>
  <c r="K6" i="62"/>
  <c r="D6" i="62"/>
  <c r="L33" i="61"/>
  <c r="K33" i="61"/>
  <c r="D33" i="61"/>
  <c r="L30" i="61"/>
  <c r="K30" i="61"/>
  <c r="D30" i="61"/>
  <c r="L29" i="61"/>
  <c r="K29" i="61"/>
  <c r="D29" i="61"/>
  <c r="L28" i="61"/>
  <c r="K28" i="61"/>
  <c r="D28" i="61"/>
  <c r="L25" i="61"/>
  <c r="K25" i="61"/>
  <c r="D25" i="61"/>
  <c r="L24" i="61"/>
  <c r="K24" i="61"/>
  <c r="D24" i="61"/>
  <c r="L23" i="61"/>
  <c r="K23" i="61"/>
  <c r="D23" i="61"/>
  <c r="L22" i="61"/>
  <c r="K22" i="61"/>
  <c r="D22" i="61"/>
  <c r="L19" i="61"/>
  <c r="K19" i="61"/>
  <c r="D19" i="61"/>
  <c r="L16" i="61"/>
  <c r="K16" i="61"/>
  <c r="D16" i="61"/>
  <c r="L13" i="61"/>
  <c r="K13" i="61"/>
  <c r="D13" i="61"/>
  <c r="L12" i="61"/>
  <c r="K12" i="61"/>
  <c r="D12" i="61"/>
  <c r="L9" i="61"/>
  <c r="K9" i="61"/>
  <c r="D9" i="61"/>
  <c r="L6" i="61"/>
  <c r="K6" i="61"/>
  <c r="D6" i="61"/>
  <c r="J10" i="58"/>
  <c r="I10" i="58"/>
  <c r="D10" i="58"/>
  <c r="D9" i="58"/>
  <c r="J6" i="58"/>
  <c r="I6" i="58"/>
  <c r="D6" i="58"/>
  <c r="J9" i="52"/>
  <c r="I9" i="52"/>
  <c r="D9" i="52"/>
  <c r="J6" i="52"/>
  <c r="I6" i="52"/>
  <c r="D6" i="52"/>
  <c r="J9" i="50"/>
  <c r="I9" i="50"/>
  <c r="D9" i="50"/>
  <c r="J6" i="50"/>
  <c r="I6" i="50"/>
  <c r="D6" i="50"/>
  <c r="P6" i="44"/>
  <c r="O6" i="44"/>
  <c r="D6" i="44"/>
  <c r="L15" i="32"/>
  <c r="K15" i="32"/>
  <c r="D15" i="32"/>
  <c r="L12" i="32"/>
  <c r="K12" i="32"/>
  <c r="D12" i="32"/>
  <c r="L9" i="32"/>
  <c r="K9" i="32"/>
  <c r="D9" i="32"/>
  <c r="L6" i="32"/>
  <c r="K6" i="32"/>
  <c r="D6" i="32"/>
  <c r="L6" i="27"/>
  <c r="K6" i="27"/>
  <c r="D6" i="27"/>
  <c r="L9" i="25"/>
  <c r="K9" i="25"/>
  <c r="D9" i="25"/>
  <c r="L6" i="25"/>
  <c r="K6" i="25"/>
  <c r="D6" i="25"/>
  <c r="L6" i="23"/>
  <c r="K6" i="23"/>
  <c r="D6" i="23"/>
  <c r="L13" i="22"/>
  <c r="K13" i="22"/>
  <c r="D13" i="22"/>
  <c r="L10" i="22"/>
  <c r="K10" i="22"/>
  <c r="D10" i="22"/>
  <c r="L9" i="22"/>
  <c r="K9" i="22"/>
  <c r="D9" i="22"/>
  <c r="L6" i="22"/>
  <c r="K6" i="22"/>
  <c r="D6" i="22"/>
  <c r="L6" i="19"/>
  <c r="K6" i="19"/>
  <c r="D6" i="19"/>
  <c r="L16" i="15"/>
  <c r="K16" i="15"/>
  <c r="D16" i="15"/>
  <c r="L13" i="15"/>
  <c r="K13" i="15"/>
  <c r="D13" i="15"/>
  <c r="L10" i="15"/>
  <c r="K10" i="15"/>
  <c r="D10" i="15"/>
  <c r="L9" i="15"/>
  <c r="K9" i="15"/>
  <c r="D9" i="15"/>
  <c r="L6" i="15"/>
  <c r="K6" i="15"/>
  <c r="D6" i="15"/>
  <c r="T12" i="11"/>
  <c r="S12" i="11"/>
  <c r="D12" i="11"/>
  <c r="T9" i="11"/>
  <c r="S9" i="11"/>
  <c r="D9" i="11"/>
  <c r="T6" i="11"/>
  <c r="S6" i="11"/>
  <c r="D6" i="11"/>
</calcChain>
</file>

<file path=xl/sharedStrings.xml><?xml version="1.0" encoding="utf-8"?>
<sst xmlns="http://schemas.openxmlformats.org/spreadsheetml/2006/main" count="1770" uniqueCount="450">
  <si>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</si>
  <si>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</si>
  <si>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</si>
  <si>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</si>
  <si>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</si>
  <si>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</si>
  <si>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</si>
  <si>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</si>
  <si>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</si>
  <si>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</si>
  <si>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</si>
  <si>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</si>
  <si>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</si>
  <si>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</si>
  <si>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</si>
  <si>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</si>
  <si>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</si>
  <si>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Национальный Кубок РОСИЧ
Любители пауэрлифтинг без экипировки
Волжский/Волгоградская область 7 - 8 августа 2021 г.</t>
  </si>
  <si>
    <t>Shv/Mel</t>
  </si>
  <si>
    <t>Приседание</t>
  </si>
  <si>
    <t>Жим лёжа</t>
  </si>
  <si>
    <t>Становая тяга</t>
  </si>
  <si>
    <t>ВЕСОВАЯ КАТЕГОРИЯ   82.5</t>
  </si>
  <si>
    <t>Ягодина Мария</t>
  </si>
  <si>
    <t>1. Ягодина Мария</t>
  </si>
  <si>
    <t>Открытая (15.06.1991)/30</t>
  </si>
  <si>
    <t>80,70</t>
  </si>
  <si>
    <t xml:space="preserve">лично </t>
  </si>
  <si>
    <t xml:space="preserve">Волгоград/Волгоградская область </t>
  </si>
  <si>
    <t>95,0</t>
  </si>
  <si>
    <t>105,0</t>
  </si>
  <si>
    <t>110,0</t>
  </si>
  <si>
    <t>72,5</t>
  </si>
  <si>
    <t>75,0</t>
  </si>
  <si>
    <t>145,0</t>
  </si>
  <si>
    <t>152,5</t>
  </si>
  <si>
    <t>157,5</t>
  </si>
  <si>
    <t xml:space="preserve">Шмадченко Александр </t>
  </si>
  <si>
    <t>Козлов Захар</t>
  </si>
  <si>
    <t>1. Козлов Захар</t>
  </si>
  <si>
    <t>Юноши 16 - 17 (24.06.2004)/17</t>
  </si>
  <si>
    <t>79,55</t>
  </si>
  <si>
    <t xml:space="preserve">Волжский/Волгоградская область </t>
  </si>
  <si>
    <t>100,0</t>
  </si>
  <si>
    <t>130,0</t>
  </si>
  <si>
    <t>85,0</t>
  </si>
  <si>
    <t>90,0</t>
  </si>
  <si>
    <t xml:space="preserve">Евтушенко В.А. </t>
  </si>
  <si>
    <t>ВЕСОВАЯ КАТЕГОРИЯ   100</t>
  </si>
  <si>
    <t>Иванов Никита</t>
  </si>
  <si>
    <t>1. Иванов Никита</t>
  </si>
  <si>
    <t>Юноши 16 - 17 (09.01.2004)/17</t>
  </si>
  <si>
    <t>97,50</t>
  </si>
  <si>
    <t>135,0</t>
  </si>
  <si>
    <t>150,0</t>
  </si>
  <si>
    <t>165,0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</si>
  <si>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</si>
  <si>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</si>
  <si>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</si>
  <si>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</si>
  <si>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</si>
  <si>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</si>
  <si>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</si>
  <si>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82.5</t>
  </si>
  <si>
    <t>337,5</t>
  </si>
  <si>
    <t>231,0019</t>
  </si>
  <si>
    <t xml:space="preserve">Мужчины </t>
  </si>
  <si>
    <t xml:space="preserve">Юноши </t>
  </si>
  <si>
    <t xml:space="preserve">Юноши 16 - 17 </t>
  </si>
  <si>
    <t>345,0</t>
  </si>
  <si>
    <t>236,7873</t>
  </si>
  <si>
    <t>100</t>
  </si>
  <si>
    <t>385,0</t>
  </si>
  <si>
    <t>233,0559</t>
  </si>
  <si>
    <t>Национальный Кубок РОСИЧ
Любители военный жим классический
Волжский/Волгоградская область 7 - 8 августа 2021 г.</t>
  </si>
  <si>
    <t>ВЕСОВАЯ КАТЕГОРИЯ   75</t>
  </si>
  <si>
    <t>Рогачев Юрий</t>
  </si>
  <si>
    <t>1. Рогачев Юрий</t>
  </si>
  <si>
    <t>Открытая (07.09.1989)/31</t>
  </si>
  <si>
    <t>73,00</t>
  </si>
  <si>
    <t xml:space="preserve">Фролово/Волгоградская область </t>
  </si>
  <si>
    <t>137,5</t>
  </si>
  <si>
    <t xml:space="preserve">Самостоятельно </t>
  </si>
  <si>
    <t>Тыщенко Сергей</t>
  </si>
  <si>
    <t>1. Тыщенко Сергей</t>
  </si>
  <si>
    <t>Мастера 40 - 44 (07.10.1976)/44</t>
  </si>
  <si>
    <t>81,40</t>
  </si>
  <si>
    <t xml:space="preserve">Олимп </t>
  </si>
  <si>
    <t>115,0</t>
  </si>
  <si>
    <t>120,0</t>
  </si>
  <si>
    <t>Хомутов Павел</t>
  </si>
  <si>
    <t>2. Хомутов Павел</t>
  </si>
  <si>
    <t>Мастера 40 - 44 (20.04.1980)/41</t>
  </si>
  <si>
    <t>82,40</t>
  </si>
  <si>
    <t xml:space="preserve">Сармат </t>
  </si>
  <si>
    <t>107,5</t>
  </si>
  <si>
    <t xml:space="preserve">Рогачев Юрий </t>
  </si>
  <si>
    <t>ВЕСОВАЯ КАТЕГОРИЯ   90</t>
  </si>
  <si>
    <t>Солопенко Александр</t>
  </si>
  <si>
    <t>1. Солопенко Александр</t>
  </si>
  <si>
    <t>Открытая (02.11.1987)/33</t>
  </si>
  <si>
    <t>88,00</t>
  </si>
  <si>
    <t>Попов Дмитрий</t>
  </si>
  <si>
    <t>1. Попов Дмитрий</t>
  </si>
  <si>
    <t>Открытая (17.01.1987)/34</t>
  </si>
  <si>
    <t>95,70</t>
  </si>
  <si>
    <t>102,5</t>
  </si>
  <si>
    <t xml:space="preserve">Результат </t>
  </si>
  <si>
    <t>75</t>
  </si>
  <si>
    <t>91,6515</t>
  </si>
  <si>
    <t>90</t>
  </si>
  <si>
    <t>65,2850</t>
  </si>
  <si>
    <t>57,9842</t>
  </si>
  <si>
    <t xml:space="preserve">Мастера </t>
  </si>
  <si>
    <t xml:space="preserve">Мастера 40 - 44 </t>
  </si>
  <si>
    <t>77,3374</t>
  </si>
  <si>
    <t>71,4908</t>
  </si>
  <si>
    <t>Результат</t>
  </si>
  <si>
    <t>Национальный Кубок РОСИЧ
СОВ жим лежа
Волжский/Волгоградская область 7 - 8 августа 2021 г.</t>
  </si>
  <si>
    <t>ВЕСОВАЯ КАТЕГОРИЯ   67.5</t>
  </si>
  <si>
    <t>Стецик Сергей</t>
  </si>
  <si>
    <t>1. Стецик Сергей</t>
  </si>
  <si>
    <t>Юноши 14-15 (23.01.2006)/15</t>
  </si>
  <si>
    <t>62,10</t>
  </si>
  <si>
    <t xml:space="preserve">Здоровая Нация </t>
  </si>
  <si>
    <t>50,0</t>
  </si>
  <si>
    <t>52,5</t>
  </si>
  <si>
    <t>55,0</t>
  </si>
  <si>
    <t xml:space="preserve">Горбачев Владимир </t>
  </si>
  <si>
    <t xml:space="preserve">Юноши 14-15 </t>
  </si>
  <si>
    <t>67.5</t>
  </si>
  <si>
    <t>48,6369</t>
  </si>
  <si>
    <t>Национальный Кубок РОСИЧ
Любители жим лежа без экипировки
Волжский/Волгоградская область 7 - 8 августа 2021 г.</t>
  </si>
  <si>
    <t>Аджибекирова Юлианна</t>
  </si>
  <si>
    <t>1. Аджибекирова Юлианна</t>
  </si>
  <si>
    <t>Юниорки 20 - 23 (01.06.2000)/21</t>
  </si>
  <si>
    <t>73,25</t>
  </si>
  <si>
    <t xml:space="preserve">Краснослободск/Волгоградская область </t>
  </si>
  <si>
    <t>45,0</t>
  </si>
  <si>
    <t xml:space="preserve">Жаденов В.Р. </t>
  </si>
  <si>
    <t>ВЕСОВАЯ КАТЕГОРИЯ   56</t>
  </si>
  <si>
    <t>Люлькин Никита</t>
  </si>
  <si>
    <t>1. Люлькин Никита</t>
  </si>
  <si>
    <t>Юноши 14-15 (14.03.2006)/15</t>
  </si>
  <si>
    <t>56,00</t>
  </si>
  <si>
    <t>60,0</t>
  </si>
  <si>
    <t>62,5</t>
  </si>
  <si>
    <t xml:space="preserve">Тыщенко Сергей </t>
  </si>
  <si>
    <t>Варавин Александр</t>
  </si>
  <si>
    <t>1. Варавин Александр</t>
  </si>
  <si>
    <t>Открытая (15.03.1985)/36</t>
  </si>
  <si>
    <t>54,50</t>
  </si>
  <si>
    <t>92,5</t>
  </si>
  <si>
    <t>97,5</t>
  </si>
  <si>
    <t xml:space="preserve">Баширов Дмитрий </t>
  </si>
  <si>
    <t>Колесников Денис</t>
  </si>
  <si>
    <t>1. Колесников Денис</t>
  </si>
  <si>
    <t>Открытая (22.03.1994)/27</t>
  </si>
  <si>
    <t>87,30</t>
  </si>
  <si>
    <t>155,0</t>
  </si>
  <si>
    <t>160,0</t>
  </si>
  <si>
    <t xml:space="preserve">Юниорки </t>
  </si>
  <si>
    <t xml:space="preserve">Юниоры 20 - 23 </t>
  </si>
  <si>
    <t>39,3218</t>
  </si>
  <si>
    <t>56</t>
  </si>
  <si>
    <t>64,5165</t>
  </si>
  <si>
    <t>92,4575</t>
  </si>
  <si>
    <t>83,3980</t>
  </si>
  <si>
    <t>Национальный Кубок РОСИЧ
ПРО жим лежа без экипировки
Волжский/Волгоградская область 7 - 8 августа 2021 г.</t>
  </si>
  <si>
    <t>Тыщенко Павел</t>
  </si>
  <si>
    <t>1. Тыщенко Павел</t>
  </si>
  <si>
    <t>Юноши 0-13 (06.10.2009)/11</t>
  </si>
  <si>
    <t>55,00</t>
  </si>
  <si>
    <t xml:space="preserve">Юноши 0-13 </t>
  </si>
  <si>
    <t>57,6267</t>
  </si>
  <si>
    <t>Национальный Кубок РОСИЧ
ПРО жим лежа Софт экипировка однопетельная
Волжский/Волгоградская область 7 - 8 августа 2021 г.</t>
  </si>
  <si>
    <t>Жаденов Владимир</t>
  </si>
  <si>
    <t>1. Жаденов Владимир</t>
  </si>
  <si>
    <t>Открытая (01.06.1987)/34</t>
  </si>
  <si>
    <t>77,30</t>
  </si>
  <si>
    <t>250,0</t>
  </si>
  <si>
    <t>260,0</t>
  </si>
  <si>
    <t>272,5</t>
  </si>
  <si>
    <t>Шмадченко Александр</t>
  </si>
  <si>
    <t>1. Шмадченко Александр</t>
  </si>
  <si>
    <t>Открытая (26.12.1986)/34</t>
  </si>
  <si>
    <t>83,70</t>
  </si>
  <si>
    <t>230,0</t>
  </si>
  <si>
    <t>255,0</t>
  </si>
  <si>
    <t>257,5</t>
  </si>
  <si>
    <t>176,9070</t>
  </si>
  <si>
    <t>141,0360</t>
  </si>
  <si>
    <t>Национальный Кубок РОСИЧ
ПРО жим лежа в Софт экипировка многопетельная
Волжский/Волгоградская область 7 - 8 августа 2021 г.</t>
  </si>
  <si>
    <t>ВЕСОВАЯ КАТЕГОРИЯ   125</t>
  </si>
  <si>
    <t>-. Хмелев Александр</t>
  </si>
  <si>
    <t>Мастера 45 - 49 (19.09.1971)/49</t>
  </si>
  <si>
    <t>122,55</t>
  </si>
  <si>
    <t>380,0</t>
  </si>
  <si>
    <t>390,0</t>
  </si>
  <si>
    <t>400,0</t>
  </si>
  <si>
    <t xml:space="preserve">Козырев О.В. </t>
  </si>
  <si>
    <t>Национальный Кубок РОСИЧ
Любители становая тяга без экипировки
Волжский/Волгоградская область 7 - 8 августа 2021 г.</t>
  </si>
  <si>
    <t>ВЕСОВАЯ КАТЕГОРИЯ   60</t>
  </si>
  <si>
    <t>Хмелева Ольга</t>
  </si>
  <si>
    <t>1. Хмелева Ольга</t>
  </si>
  <si>
    <t>Девушки 0-13 (07.05.2009)/12</t>
  </si>
  <si>
    <t>58,90</t>
  </si>
  <si>
    <t>70,0</t>
  </si>
  <si>
    <t>77,5</t>
  </si>
  <si>
    <t xml:space="preserve">Хмелев Александр </t>
  </si>
  <si>
    <t>127,5</t>
  </si>
  <si>
    <t>Воробьев Иван</t>
  </si>
  <si>
    <t>1. Воробьев Иван</t>
  </si>
  <si>
    <t>Открытая (10.08.1989)/31</t>
  </si>
  <si>
    <t>82,80</t>
  </si>
  <si>
    <t>177,5</t>
  </si>
  <si>
    <t xml:space="preserve">Девушки </t>
  </si>
  <si>
    <t>60</t>
  </si>
  <si>
    <t>80,6634</t>
  </si>
  <si>
    <t>95,4957</t>
  </si>
  <si>
    <t>104,3786</t>
  </si>
  <si>
    <t>101,9205</t>
  </si>
  <si>
    <t>Национальный Кубок РОСИЧ
Силовое двоеборье любители
Волжский/Волгоградская область 7 - 8 августа 2021 г.</t>
  </si>
  <si>
    <t>280,0</t>
  </si>
  <si>
    <t>166,1800</t>
  </si>
  <si>
    <t>Национальный Кубок РОСИЧ
Роллинг Тандер
Волжский/Волгоградская область 7 - 8 августа 2021 г.</t>
  </si>
  <si>
    <t>Тоннаж</t>
  </si>
  <si>
    <t>Национальный Кубок РОСИЧ
Любители народный жим (1/2 вес)
Волжский/Волгоградская область 7 - 8 августа 2021 г.</t>
  </si>
  <si>
    <t>НАП Н.Ж.</t>
  </si>
  <si>
    <t>Народный жим</t>
  </si>
  <si>
    <t>ВЕСОВАЯ КАТЕГОРИЯ   52</t>
  </si>
  <si>
    <t>Шестаков Михаил</t>
  </si>
  <si>
    <t>1. Шестаков Михаил</t>
  </si>
  <si>
    <t>Юноши 0-13 (07.02.2011)/10</t>
  </si>
  <si>
    <t>32,10</t>
  </si>
  <si>
    <t>20,0</t>
  </si>
  <si>
    <t>27,0</t>
  </si>
  <si>
    <t xml:space="preserve">Кайсин Александр </t>
  </si>
  <si>
    <t>Макаров Дмитрий</t>
  </si>
  <si>
    <t>1. Макаров Дмитрий</t>
  </si>
  <si>
    <t>84,50</t>
  </si>
  <si>
    <t>42,5</t>
  </si>
  <si>
    <t>62,0</t>
  </si>
  <si>
    <t xml:space="preserve">НАП Н.Ж. </t>
  </si>
  <si>
    <t>52</t>
  </si>
  <si>
    <t>540,0</t>
  </si>
  <si>
    <t>874,7460</t>
  </si>
  <si>
    <t xml:space="preserve">Мастера 45 - 49 </t>
  </si>
  <si>
    <t>2635,0</t>
  </si>
  <si>
    <t>2003,1271</t>
  </si>
  <si>
    <t>Национальный Кубок РОСИЧ
Профессионалы народный жим (1/2 вес)
Волжский/Волгоградская область 7 - 8 августа 2021 г.</t>
  </si>
  <si>
    <t>27,5</t>
  </si>
  <si>
    <t>35,0</t>
  </si>
  <si>
    <t>Проскурин Александр</t>
  </si>
  <si>
    <t>1. Проскурин Александр</t>
  </si>
  <si>
    <t>Юноши 16 - 17 (15.12.2004)/16</t>
  </si>
  <si>
    <t>83,35</t>
  </si>
  <si>
    <t>40,0</t>
  </si>
  <si>
    <t>1700,0</t>
  </si>
  <si>
    <t>1310,1900</t>
  </si>
  <si>
    <t>962,5</t>
  </si>
  <si>
    <t>932,1813</t>
  </si>
  <si>
    <t>Национальный Кубок РОСИЧ
Любители Военный жим многоповторный 1\2
Волжский/Волгоградская область 7 - 8 августа 2021 г.</t>
  </si>
  <si>
    <t>Мн.повт. жим</t>
  </si>
  <si>
    <t>Горбачев Владимир</t>
  </si>
  <si>
    <t>1. Горбачев Владимир</t>
  </si>
  <si>
    <t>Мастера 45 - 49 (07.07.1975)/46</t>
  </si>
  <si>
    <t>81,80</t>
  </si>
  <si>
    <t>65,0</t>
  </si>
  <si>
    <t>Гизетдинов Павел</t>
  </si>
  <si>
    <t>Юниоры 20 - 23 (31.08.1998)/22</t>
  </si>
  <si>
    <t>93,00</t>
  </si>
  <si>
    <t>47,5</t>
  </si>
  <si>
    <t>1. Гизетдинов Павел</t>
  </si>
  <si>
    <t>Открытая (31.08.1998)/22</t>
  </si>
  <si>
    <t>2375,0</t>
  </si>
  <si>
    <t>1690,0500</t>
  </si>
  <si>
    <t>2762,5</t>
  </si>
  <si>
    <t>2107,2349</t>
  </si>
  <si>
    <t>Национальный Кубок РОСИЧ
Одиночный подъём штанги на бицепс Любители
Волжский/Волгоградская область 7 - 8 августа 2021 г.</t>
  </si>
  <si>
    <t>Подъем на бицепс</t>
  </si>
  <si>
    <t>Адамович Елена</t>
  </si>
  <si>
    <t>1. Адамович Елена</t>
  </si>
  <si>
    <t>Мастера 40 - 44 (25.12.1980)/40</t>
  </si>
  <si>
    <t>50,75</t>
  </si>
  <si>
    <t>30,0</t>
  </si>
  <si>
    <t>32,5</t>
  </si>
  <si>
    <t>Серухина Софья</t>
  </si>
  <si>
    <t>1. Серухина Софья</t>
  </si>
  <si>
    <t>Девушки 0-13 (17.11.2009)/11</t>
  </si>
  <si>
    <t>62,60</t>
  </si>
  <si>
    <t>25,0</t>
  </si>
  <si>
    <t>37,5</t>
  </si>
  <si>
    <t>Михайлов Александр</t>
  </si>
  <si>
    <t>1. Михайлов Александр</t>
  </si>
  <si>
    <t>Открытая (14.04.1982)/39</t>
  </si>
  <si>
    <t>62,00</t>
  </si>
  <si>
    <t>57,5</t>
  </si>
  <si>
    <t>Захаров Андрей</t>
  </si>
  <si>
    <t>1. Захаров Андрей</t>
  </si>
  <si>
    <t>Открытая (17.03.1987)/34</t>
  </si>
  <si>
    <t>82,00</t>
  </si>
  <si>
    <t>Крылов Сергей</t>
  </si>
  <si>
    <t>2. Крылов Сергей</t>
  </si>
  <si>
    <t>Открытая (07.05.1986)/35</t>
  </si>
  <si>
    <t>80,75</t>
  </si>
  <si>
    <t xml:space="preserve">Кривэ Евгений </t>
  </si>
  <si>
    <t>Кривэ Евгений</t>
  </si>
  <si>
    <t>1. Кривэ Евгений</t>
  </si>
  <si>
    <t>Открытая (26.11.1986)/34</t>
  </si>
  <si>
    <t>83,85</t>
  </si>
  <si>
    <t>Агеев Владимир</t>
  </si>
  <si>
    <t>2. Агеев Владимир</t>
  </si>
  <si>
    <t>Открытая (28.06.1986)/35</t>
  </si>
  <si>
    <t>86,15</t>
  </si>
  <si>
    <t>Суняев Юрий</t>
  </si>
  <si>
    <t>1. Суняев Юрий</t>
  </si>
  <si>
    <t>Мастера 55 - 59 (06.04.1965)/56</t>
  </si>
  <si>
    <t>88,90</t>
  </si>
  <si>
    <t>Власов Андрей</t>
  </si>
  <si>
    <t>1. Власов Андрей</t>
  </si>
  <si>
    <t>Юноши 0-13 (23.04.2008)/13</t>
  </si>
  <si>
    <t>92,75</t>
  </si>
  <si>
    <t>28,1001</t>
  </si>
  <si>
    <t>32,1360</t>
  </si>
  <si>
    <t>39,4646</t>
  </si>
  <si>
    <t>38,7099</t>
  </si>
  <si>
    <t>24,7645</t>
  </si>
  <si>
    <t>47,3340</t>
  </si>
  <si>
    <t>47,1840</t>
  </si>
  <si>
    <t>44,1285</t>
  </si>
  <si>
    <t>43,5330</t>
  </si>
  <si>
    <t>42,8715</t>
  </si>
  <si>
    <t>42,1085</t>
  </si>
  <si>
    <t>37,7220</t>
  </si>
  <si>
    <t xml:space="preserve">Мастера 55 - 59 </t>
  </si>
  <si>
    <t>46,3799</t>
  </si>
  <si>
    <t>38,6687</t>
  </si>
  <si>
    <t>Национальный Кубок РОСИЧ
Одиночный подъём штанги на бицепс Профессионалы
Волжский/Волгоградская область 7 - 8 августа 2021 г.</t>
  </si>
  <si>
    <t>Адамович Александр</t>
  </si>
  <si>
    <t>1. Адамович Александр</t>
  </si>
  <si>
    <t>Мастера 50 - 54 (23.12.1970)/50</t>
  </si>
  <si>
    <t>80,95</t>
  </si>
  <si>
    <t>Васильев Алексей</t>
  </si>
  <si>
    <t>1. Васильев Алексей</t>
  </si>
  <si>
    <t>Открытая (18.01.1982)/39</t>
  </si>
  <si>
    <t>89,15</t>
  </si>
  <si>
    <t>80,0</t>
  </si>
  <si>
    <t>87,5</t>
  </si>
  <si>
    <t>51,5112</t>
  </si>
  <si>
    <t xml:space="preserve">Мастера 50 - 54 </t>
  </si>
  <si>
    <t>47,8514</t>
  </si>
  <si>
    <t>Национальный Кубок РОСИЧ
Пауэрспорт Любители
Волжский/Волгоградская область 7 - 8 августа 2021 г.</t>
  </si>
  <si>
    <t>Жим стоя</t>
  </si>
  <si>
    <t>Шабанов Денис</t>
  </si>
  <si>
    <t>1. Шабанов Денис</t>
  </si>
  <si>
    <t>Открытая (26.12.1989)/31</t>
  </si>
  <si>
    <t>81,20</t>
  </si>
  <si>
    <t>84,5370</t>
  </si>
  <si>
    <t>Национальный Кубок РОСИЧ
Пауэрспорт Профессионалы
Волжский/Волгоградская область 7 - 8 августа 2021 г.</t>
  </si>
  <si>
    <t>Митин Роман</t>
  </si>
  <si>
    <t>1. Митин Роман</t>
  </si>
  <si>
    <t>Открытая (30.06.1995)/26</t>
  </si>
  <si>
    <t>111,00</t>
  </si>
  <si>
    <t xml:space="preserve">Васильев Алексей </t>
  </si>
  <si>
    <t>125</t>
  </si>
  <si>
    <t>77,6185</t>
  </si>
  <si>
    <t>Национальный Кубок РОСИЧ
Русский жим любители 35 кг.
Волжский/Волгоградская область 7 - 8 августа 2021 г.</t>
  </si>
  <si>
    <t>Атлетизм</t>
  </si>
  <si>
    <t>Русский жим</t>
  </si>
  <si>
    <t>ВЕСОВАЯ КАТЕГОРИЯ   All</t>
  </si>
  <si>
    <t>102,0</t>
  </si>
  <si>
    <t xml:space="preserve">Атлетизм </t>
  </si>
  <si>
    <t>All</t>
  </si>
  <si>
    <t>2040,0</t>
  </si>
  <si>
    <t>32,5878</t>
  </si>
  <si>
    <t>Национальный Кубок РОСИЧ
Русский жим любители 55 кг.
Волжский/Волгоградская область 7 - 8 августа 2021 г.</t>
  </si>
  <si>
    <t>Комаров Александр</t>
  </si>
  <si>
    <t>2. Комаров Александр</t>
  </si>
  <si>
    <t>90,00</t>
  </si>
  <si>
    <t>63,0</t>
  </si>
  <si>
    <t>48,0</t>
  </si>
  <si>
    <t>1050,0</t>
  </si>
  <si>
    <t>11,3207</t>
  </si>
  <si>
    <t>4400,0</t>
  </si>
  <si>
    <t>60,2739</t>
  </si>
  <si>
    <t>3465,0</t>
  </si>
  <si>
    <t>38,5000</t>
  </si>
  <si>
    <t>2640,0</t>
  </si>
  <si>
    <t>29,6962</t>
  </si>
  <si>
    <t>Национальный Кубок РОСИЧ
Русский бицепс профессионалы 30 кг.
Волжский/Волгоградская область 7 - 8 августа 2021 г.</t>
  </si>
  <si>
    <t>Подъем на бицепс мн.повт.</t>
  </si>
  <si>
    <t>36,0</t>
  </si>
  <si>
    <t>1080,0</t>
  </si>
  <si>
    <t>21,2807</t>
  </si>
  <si>
    <t>Национальный Кубок РОСИЧ
Русский бицепс профессионалы 50 кг.
Волжский/Волгоградская область 7 - 8 августа 2021 г.</t>
  </si>
  <si>
    <t>Газарян Альберт</t>
  </si>
  <si>
    <t>1. Газарян Альберт</t>
  </si>
  <si>
    <t>Юноши 16 - 17 (01.08.2004)/17</t>
  </si>
  <si>
    <t>87,90</t>
  </si>
  <si>
    <t>18,0</t>
  </si>
  <si>
    <t>Тычков Владимир</t>
  </si>
  <si>
    <t>1. Тычков Владимир</t>
  </si>
  <si>
    <t>Мастера 50 - 54 (16.05.1971)/50</t>
  </si>
  <si>
    <t>98,50</t>
  </si>
  <si>
    <t>2. Адамович Александр</t>
  </si>
  <si>
    <t>900,0</t>
  </si>
  <si>
    <t>10,2389</t>
  </si>
  <si>
    <t>2250,0</t>
  </si>
  <si>
    <t>22,8426</t>
  </si>
  <si>
    <t>1750,0</t>
  </si>
  <si>
    <t>21,6182</t>
  </si>
  <si>
    <t>Национальный Кубок РОСИЧ
Русская станова тяга любители 75 кг.
Волжский/Волгоградская область 7 - 8 августа 2021 г.</t>
  </si>
  <si>
    <t>Русская становая</t>
  </si>
  <si>
    <t>1875,0</t>
  </si>
  <si>
    <t>25,5972</t>
  </si>
  <si>
    <t>Открытая (29.11.1974)/46</t>
  </si>
  <si>
    <t>Открытая</t>
  </si>
  <si>
    <t>Юниорки (17.11.2009)/11</t>
  </si>
  <si>
    <t>28,0</t>
  </si>
  <si>
    <t>="25,0"</t>
  </si>
  <si>
    <t>="26,9800"</t>
  </si>
  <si>
    <t>Юниоры (01.08.2004)/17</t>
  </si>
  <si>
    <t>53,0</t>
  </si>
  <si>
    <t>58,0</t>
  </si>
  <si>
    <t>="62,0"</t>
  </si>
  <si>
    <t>="40,0706"</t>
  </si>
  <si>
    <t>Мастера 40+ (07.07.1975)/46</t>
  </si>
  <si>
    <t>67,5</t>
  </si>
  <si>
    <t>="67,5"</t>
  </si>
  <si>
    <t>="45,4545"</t>
  </si>
  <si>
    <t xml:space="preserve">Wilks </t>
  </si>
  <si>
    <t xml:space="preserve">Юниоры </t>
  </si>
  <si>
    <t>70</t>
  </si>
  <si>
    <t>26,9800</t>
  </si>
  <si>
    <t>40,0706</t>
  </si>
  <si>
    <t xml:space="preserve">Мастера 40+ </t>
  </si>
  <si>
    <t>45,4545</t>
  </si>
  <si>
    <t>Евтушенко В.А.</t>
  </si>
  <si>
    <t>Аныкина Д.С.</t>
  </si>
  <si>
    <t>Харламов В.В.</t>
  </si>
  <si>
    <t>Самаркина Л.А.</t>
  </si>
  <si>
    <t>Блинкова Е.А.</t>
  </si>
  <si>
    <t>Сонин Е.В.</t>
  </si>
  <si>
    <t>Юниоры</t>
  </si>
  <si>
    <t>ВЕСОВАЯ КАТЕГОРИЯ   67,5</t>
  </si>
  <si>
    <t>ВЕСОВАЯ КАТЕГОРИЯ  82,5</t>
  </si>
  <si>
    <t>82,5</t>
  </si>
  <si>
    <t>Рекорд</t>
  </si>
  <si>
    <t>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</si>
</sst>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24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strike/>
      <sz val="10"/>
      <name val="Arial Cyr"/>
      <family val="2"/>
      <charset val="204"/>
    </font>
    <font>
      <i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indent="1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center"/>
    </xf>
    <xf numFmtId="49" fontId="0" fillId="3" borderId="13" xfId="0" applyNumberFormat="1" applyFon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7.140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13.7109375" style="4" bestFit="1" customWidth="1"/>
    <col min="12" max="16384" width="9.140625" style="3"/>
  </cols>
  <sheetData>
    <row r="1" spans="1:11" s="2" customFormat="1" ht="29.1" customHeight="1" x14ac:dyDescent="0.2">
      <c r="A1" s="68" t="s">
        <v>412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368</v>
      </c>
      <c r="E3" s="78" t="s">
        <v>4</v>
      </c>
      <c r="F3" s="78" t="s">
        <v>7</v>
      </c>
      <c r="G3" s="78" t="s">
        <v>413</v>
      </c>
      <c r="H3" s="78"/>
      <c r="I3" s="78" t="s">
        <v>226</v>
      </c>
      <c r="J3" s="78" t="s">
        <v>3</v>
      </c>
      <c r="K3" s="79" t="s">
        <v>2</v>
      </c>
    </row>
    <row r="4" spans="1:11" s="1" customFormat="1" ht="21" customHeight="1" thickBot="1" x14ac:dyDescent="0.25">
      <c r="A4" s="75"/>
      <c r="B4" s="77"/>
      <c r="C4" s="77"/>
      <c r="D4" s="77"/>
      <c r="E4" s="77"/>
      <c r="F4" s="77"/>
      <c r="G4" s="6" t="s">
        <v>8</v>
      </c>
      <c r="H4" s="6" t="s">
        <v>9</v>
      </c>
      <c r="I4" s="77"/>
      <c r="J4" s="77"/>
      <c r="K4" s="80"/>
    </row>
    <row r="5" spans="1:11" ht="15" x14ac:dyDescent="0.2">
      <c r="A5" s="66" t="s">
        <v>370</v>
      </c>
      <c r="B5" s="67"/>
      <c r="C5" s="67"/>
      <c r="D5" s="67"/>
      <c r="E5" s="67"/>
      <c r="F5" s="67"/>
      <c r="G5" s="67"/>
      <c r="H5" s="67"/>
    </row>
    <row r="6" spans="1:11" x14ac:dyDescent="0.2">
      <c r="A6" s="10" t="s">
        <v>134</v>
      </c>
      <c r="B6" s="10" t="s">
        <v>135</v>
      </c>
      <c r="C6" s="10" t="s">
        <v>136</v>
      </c>
      <c r="D6" s="10" t="str">
        <f>"1,0000"</f>
        <v>1,0000</v>
      </c>
      <c r="E6" s="10" t="s">
        <v>27</v>
      </c>
      <c r="F6" s="10" t="s">
        <v>137</v>
      </c>
      <c r="G6" s="11" t="s">
        <v>33</v>
      </c>
      <c r="H6" s="11" t="s">
        <v>291</v>
      </c>
      <c r="I6" s="13" t="str">
        <f>"1875,0"</f>
        <v>1875,0</v>
      </c>
      <c r="J6" s="14" t="str">
        <f>"25,5972"</f>
        <v>25,5972</v>
      </c>
      <c r="K6" s="10" t="s">
        <v>139</v>
      </c>
    </row>
    <row r="8" spans="1:11" ht="15" x14ac:dyDescent="0.2">
      <c r="E8" s="7" t="s">
        <v>11</v>
      </c>
      <c r="F8" s="39" t="s">
        <v>438</v>
      </c>
    </row>
    <row r="9" spans="1:11" ht="15" x14ac:dyDescent="0.2">
      <c r="E9" s="7" t="s">
        <v>12</v>
      </c>
      <c r="F9" s="39" t="s">
        <v>439</v>
      </c>
    </row>
    <row r="10" spans="1:11" ht="15" x14ac:dyDescent="0.2">
      <c r="E10" s="7" t="s">
        <v>13</v>
      </c>
      <c r="F10" s="39" t="s">
        <v>440</v>
      </c>
    </row>
    <row r="11" spans="1:11" ht="15" x14ac:dyDescent="0.2">
      <c r="E11" s="7" t="s">
        <v>14</v>
      </c>
      <c r="F11" s="39" t="s">
        <v>441</v>
      </c>
    </row>
    <row r="12" spans="1:11" ht="15" x14ac:dyDescent="0.2">
      <c r="E12" s="7" t="s">
        <v>14</v>
      </c>
      <c r="F12" s="39" t="s">
        <v>442</v>
      </c>
    </row>
    <row r="13" spans="1:11" ht="15" x14ac:dyDescent="0.2">
      <c r="E13" s="7" t="s">
        <v>15</v>
      </c>
      <c r="F13" s="36" t="s">
        <v>443</v>
      </c>
    </row>
    <row r="14" spans="1:11" ht="15" x14ac:dyDescent="0.2"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56</v>
      </c>
      <c r="B17" s="15"/>
    </row>
    <row r="18" spans="1:5" ht="14.25" x14ac:dyDescent="0.2">
      <c r="A18" s="17"/>
      <c r="B18" s="18" t="s">
        <v>161</v>
      </c>
    </row>
    <row r="19" spans="1:5" ht="15" x14ac:dyDescent="0.2">
      <c r="A19" s="19" t="s">
        <v>58</v>
      </c>
      <c r="B19" s="19" t="s">
        <v>59</v>
      </c>
      <c r="C19" s="19" t="s">
        <v>60</v>
      </c>
      <c r="D19" s="19" t="s">
        <v>107</v>
      </c>
      <c r="E19" s="19" t="s">
        <v>372</v>
      </c>
    </row>
    <row r="20" spans="1:5" x14ac:dyDescent="0.2">
      <c r="A20" s="16" t="s">
        <v>133</v>
      </c>
      <c r="B20" s="4" t="s">
        <v>162</v>
      </c>
      <c r="C20" s="4" t="s">
        <v>373</v>
      </c>
      <c r="D20" s="4" t="s">
        <v>414</v>
      </c>
      <c r="E20" s="8" t="s">
        <v>415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H9" sqref="H9:H1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9.5703125" style="2" bestFit="1" customWidth="1"/>
    <col min="11" max="11" width="9.5703125" style="2" customWidth="1"/>
    <col min="12" max="12" width="19.140625" style="4" bestFit="1" customWidth="1"/>
    <col min="13" max="16384" width="9.140625" style="3"/>
  </cols>
  <sheetData>
    <row r="1" spans="1:12" s="2" customFormat="1" ht="29.1" customHeight="1" x14ac:dyDescent="0.2">
      <c r="A1" s="68" t="s">
        <v>262</v>
      </c>
      <c r="B1" s="69"/>
      <c r="C1" s="69"/>
      <c r="D1" s="69"/>
      <c r="E1" s="69"/>
      <c r="F1" s="69"/>
      <c r="G1" s="69"/>
      <c r="H1" s="69"/>
      <c r="I1" s="69"/>
      <c r="J1" s="69"/>
      <c r="K1" s="81"/>
      <c r="L1" s="70"/>
    </row>
    <row r="2" spans="1:12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82"/>
      <c r="L2" s="73"/>
    </row>
    <row r="3" spans="1:12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228</v>
      </c>
      <c r="E3" s="78" t="s">
        <v>4</v>
      </c>
      <c r="F3" s="78" t="s">
        <v>7</v>
      </c>
      <c r="G3" s="78" t="s">
        <v>263</v>
      </c>
      <c r="H3" s="78"/>
      <c r="I3" s="78" t="s">
        <v>226</v>
      </c>
      <c r="J3" s="78" t="s">
        <v>3</v>
      </c>
      <c r="K3" s="83" t="s">
        <v>448</v>
      </c>
      <c r="L3" s="79" t="s">
        <v>2</v>
      </c>
    </row>
    <row r="4" spans="1:12" s="1" customFormat="1" ht="21" customHeight="1" thickBot="1" x14ac:dyDescent="0.25">
      <c r="A4" s="75"/>
      <c r="B4" s="77"/>
      <c r="C4" s="77"/>
      <c r="D4" s="77"/>
      <c r="E4" s="77"/>
      <c r="F4" s="77"/>
      <c r="G4" s="6" t="s">
        <v>8</v>
      </c>
      <c r="H4" s="6" t="s">
        <v>9</v>
      </c>
      <c r="I4" s="77"/>
      <c r="J4" s="77"/>
      <c r="K4" s="84"/>
      <c r="L4" s="80"/>
    </row>
    <row r="5" spans="1:12" ht="15" x14ac:dyDescent="0.2">
      <c r="A5" s="66" t="s">
        <v>22</v>
      </c>
      <c r="B5" s="67"/>
      <c r="C5" s="67"/>
      <c r="D5" s="67"/>
      <c r="E5" s="67"/>
      <c r="F5" s="67"/>
      <c r="G5" s="67"/>
      <c r="H5" s="67"/>
    </row>
    <row r="6" spans="1:12" x14ac:dyDescent="0.2">
      <c r="A6" s="10" t="s">
        <v>265</v>
      </c>
      <c r="B6" s="10" t="s">
        <v>266</v>
      </c>
      <c r="C6" s="10" t="s">
        <v>267</v>
      </c>
      <c r="D6" s="10" t="str">
        <f>"0,7628"</f>
        <v>0,7628</v>
      </c>
      <c r="E6" s="10" t="s">
        <v>27</v>
      </c>
      <c r="F6" s="10" t="s">
        <v>42</v>
      </c>
      <c r="G6" s="11" t="s">
        <v>241</v>
      </c>
      <c r="H6" s="50" t="s">
        <v>268</v>
      </c>
      <c r="I6" s="13" t="str">
        <f>"2762,5"</f>
        <v>2762,5</v>
      </c>
      <c r="J6" s="57" t="str">
        <f>"2107,2349"</f>
        <v>2107,2349</v>
      </c>
      <c r="K6" s="55" t="s">
        <v>449</v>
      </c>
      <c r="L6" s="10" t="s">
        <v>47</v>
      </c>
    </row>
    <row r="7" spans="1:12" x14ac:dyDescent="0.2">
      <c r="J7" s="58"/>
    </row>
    <row r="8" spans="1:12" ht="15" x14ac:dyDescent="0.2">
      <c r="A8" s="85" t="s">
        <v>48</v>
      </c>
      <c r="B8" s="86"/>
      <c r="C8" s="86"/>
      <c r="D8" s="86"/>
      <c r="E8" s="86"/>
      <c r="F8" s="86"/>
      <c r="G8" s="86"/>
      <c r="H8" s="86"/>
      <c r="J8" s="58"/>
    </row>
    <row r="9" spans="1:12" x14ac:dyDescent="0.2">
      <c r="A9" s="35" t="s">
        <v>273</v>
      </c>
      <c r="B9" s="10" t="s">
        <v>270</v>
      </c>
      <c r="C9" s="10" t="s">
        <v>271</v>
      </c>
      <c r="D9" s="10" t="str">
        <f>"0,7116"</f>
        <v>0,7116</v>
      </c>
      <c r="E9" s="10" t="s">
        <v>27</v>
      </c>
      <c r="F9" s="10" t="s">
        <v>42</v>
      </c>
      <c r="G9" s="11" t="s">
        <v>272</v>
      </c>
      <c r="H9" s="50" t="s">
        <v>125</v>
      </c>
      <c r="I9" s="13" t="str">
        <f>"2375,0"</f>
        <v>2375,0</v>
      </c>
      <c r="J9" s="57" t="str">
        <f>"1690,0500"</f>
        <v>1690,0500</v>
      </c>
      <c r="K9" s="55" t="s">
        <v>449</v>
      </c>
      <c r="L9" s="10" t="s">
        <v>128</v>
      </c>
    </row>
    <row r="10" spans="1:12" x14ac:dyDescent="0.2">
      <c r="A10" s="10" t="s">
        <v>273</v>
      </c>
      <c r="B10" s="35" t="s">
        <v>274</v>
      </c>
      <c r="C10" s="10" t="s">
        <v>271</v>
      </c>
      <c r="D10" s="10" t="str">
        <f>"0,7116"</f>
        <v>0,7116</v>
      </c>
      <c r="E10" s="10" t="s">
        <v>27</v>
      </c>
      <c r="F10" s="10" t="s">
        <v>42</v>
      </c>
      <c r="G10" s="11" t="s">
        <v>272</v>
      </c>
      <c r="H10" s="50" t="s">
        <v>125</v>
      </c>
      <c r="I10" s="13" t="str">
        <f>"2375,0"</f>
        <v>2375,0</v>
      </c>
      <c r="J10" s="57" t="str">
        <f>"1690,0500"</f>
        <v>1690,0500</v>
      </c>
      <c r="K10" s="55" t="s">
        <v>449</v>
      </c>
      <c r="L10" s="10" t="s">
        <v>128</v>
      </c>
    </row>
    <row r="12" spans="1:12" ht="15" x14ac:dyDescent="0.2">
      <c r="E12" s="7" t="s">
        <v>11</v>
      </c>
      <c r="F12" s="39" t="s">
        <v>438</v>
      </c>
    </row>
    <row r="13" spans="1:12" ht="15" x14ac:dyDescent="0.2">
      <c r="E13" s="7" t="s">
        <v>12</v>
      </c>
      <c r="F13" s="39" t="s">
        <v>439</v>
      </c>
    </row>
    <row r="14" spans="1:12" ht="15" x14ac:dyDescent="0.2">
      <c r="E14" s="7" t="s">
        <v>13</v>
      </c>
      <c r="F14" s="39" t="s">
        <v>440</v>
      </c>
    </row>
    <row r="15" spans="1:12" ht="15" x14ac:dyDescent="0.2">
      <c r="E15" s="7" t="s">
        <v>14</v>
      </c>
      <c r="F15" s="39" t="s">
        <v>441</v>
      </c>
    </row>
    <row r="16" spans="1:12" ht="15" x14ac:dyDescent="0.2">
      <c r="E16" s="7" t="s">
        <v>14</v>
      </c>
      <c r="F16" s="39" t="s">
        <v>442</v>
      </c>
    </row>
    <row r="17" spans="1:6" ht="15" x14ac:dyDescent="0.2">
      <c r="E17" s="7" t="s">
        <v>15</v>
      </c>
      <c r="F17" s="36" t="s">
        <v>443</v>
      </c>
    </row>
    <row r="18" spans="1:6" ht="15" x14ac:dyDescent="0.2">
      <c r="E18" s="7"/>
    </row>
    <row r="20" spans="1:6" ht="18" x14ac:dyDescent="0.25">
      <c r="A20" s="9" t="s">
        <v>16</v>
      </c>
      <c r="B20" s="9"/>
    </row>
    <row r="21" spans="1:6" ht="18" x14ac:dyDescent="0.25">
      <c r="A21" s="15" t="s">
        <v>66</v>
      </c>
      <c r="B21" s="9"/>
    </row>
    <row r="22" spans="1:6" ht="18" x14ac:dyDescent="0.25">
      <c r="A22" s="9"/>
      <c r="B22" s="18"/>
    </row>
    <row r="23" spans="1:6" ht="15" x14ac:dyDescent="0.2">
      <c r="A23" s="19" t="s">
        <v>58</v>
      </c>
      <c r="B23" s="18" t="s">
        <v>444</v>
      </c>
      <c r="C23" s="19" t="s">
        <v>60</v>
      </c>
      <c r="D23" s="19" t="s">
        <v>107</v>
      </c>
      <c r="E23" s="19" t="s">
        <v>243</v>
      </c>
    </row>
    <row r="24" spans="1:6" ht="15" x14ac:dyDescent="0.2">
      <c r="A24" s="16" t="s">
        <v>269</v>
      </c>
      <c r="B24" s="19" t="s">
        <v>59</v>
      </c>
      <c r="C24" s="4" t="s">
        <v>71</v>
      </c>
      <c r="D24" s="4" t="s">
        <v>275</v>
      </c>
      <c r="E24" s="8" t="s">
        <v>276</v>
      </c>
    </row>
    <row r="25" spans="1:6" x14ac:dyDescent="0.2">
      <c r="A25" s="3"/>
      <c r="B25" s="36" t="s">
        <v>444</v>
      </c>
    </row>
    <row r="26" spans="1:6" ht="15" x14ac:dyDescent="0.2">
      <c r="A26" s="17"/>
      <c r="B26" s="15"/>
    </row>
    <row r="27" spans="1:6" ht="15" x14ac:dyDescent="0.2">
      <c r="A27" s="19" t="s">
        <v>58</v>
      </c>
      <c r="B27" s="18" t="s">
        <v>57</v>
      </c>
      <c r="C27" s="19" t="s">
        <v>60</v>
      </c>
      <c r="D27" s="19" t="s">
        <v>107</v>
      </c>
      <c r="E27" s="19" t="s">
        <v>243</v>
      </c>
    </row>
    <row r="28" spans="1:6" ht="15" x14ac:dyDescent="0.2">
      <c r="A28" s="16" t="s">
        <v>269</v>
      </c>
      <c r="B28" s="19" t="s">
        <v>59</v>
      </c>
      <c r="C28" s="4" t="s">
        <v>71</v>
      </c>
      <c r="D28" s="4" t="s">
        <v>275</v>
      </c>
      <c r="E28" s="8" t="s">
        <v>276</v>
      </c>
    </row>
    <row r="29" spans="1:6" x14ac:dyDescent="0.2">
      <c r="B29" s="4" t="s">
        <v>57</v>
      </c>
    </row>
    <row r="30" spans="1:6" ht="14.25" x14ac:dyDescent="0.2">
      <c r="A30" s="17"/>
    </row>
    <row r="31" spans="1:6" ht="15" x14ac:dyDescent="0.2">
      <c r="A31" s="19" t="s">
        <v>58</v>
      </c>
      <c r="B31" s="18" t="s">
        <v>113</v>
      </c>
      <c r="C31" s="19" t="s">
        <v>60</v>
      </c>
      <c r="D31" s="19" t="s">
        <v>107</v>
      </c>
      <c r="E31" s="19" t="s">
        <v>243</v>
      </c>
    </row>
    <row r="32" spans="1:6" ht="15" x14ac:dyDescent="0.2">
      <c r="A32" s="16" t="s">
        <v>264</v>
      </c>
      <c r="B32" s="19" t="s">
        <v>59</v>
      </c>
      <c r="C32" s="4" t="s">
        <v>63</v>
      </c>
      <c r="D32" s="4" t="s">
        <v>277</v>
      </c>
      <c r="E32" s="8" t="s">
        <v>278</v>
      </c>
    </row>
    <row r="33" spans="2:2" x14ac:dyDescent="0.2">
      <c r="B33" s="4" t="s">
        <v>247</v>
      </c>
    </row>
  </sheetData>
  <mergeCells count="14">
    <mergeCell ref="A1:L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L3:L4"/>
    <mergeCell ref="A5:H5"/>
    <mergeCell ref="K3:K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2" workbookViewId="0">
      <selection activeCell="A24" sqref="A24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9.5703125" style="2" bestFit="1" customWidth="1"/>
    <col min="11" max="11" width="9.5703125" style="2" customWidth="1"/>
    <col min="12" max="12" width="19.140625" style="4" bestFit="1" customWidth="1"/>
    <col min="13" max="16384" width="9.140625" style="3"/>
  </cols>
  <sheetData>
    <row r="1" spans="1:12" s="2" customFormat="1" ht="29.1" customHeight="1" x14ac:dyDescent="0.2">
      <c r="A1" s="68" t="s">
        <v>250</v>
      </c>
      <c r="B1" s="69"/>
      <c r="C1" s="69"/>
      <c r="D1" s="69"/>
      <c r="E1" s="69"/>
      <c r="F1" s="69"/>
      <c r="G1" s="69"/>
      <c r="H1" s="69"/>
      <c r="I1" s="69"/>
      <c r="J1" s="69"/>
      <c r="K1" s="81"/>
      <c r="L1" s="70"/>
    </row>
    <row r="2" spans="1:12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82"/>
      <c r="L2" s="73"/>
    </row>
    <row r="3" spans="1:12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228</v>
      </c>
      <c r="E3" s="78" t="s">
        <v>4</v>
      </c>
      <c r="F3" s="78" t="s">
        <v>7</v>
      </c>
      <c r="G3" s="78" t="s">
        <v>229</v>
      </c>
      <c r="H3" s="78"/>
      <c r="I3" s="78" t="s">
        <v>226</v>
      </c>
      <c r="J3" s="78" t="s">
        <v>3</v>
      </c>
      <c r="K3" s="83" t="s">
        <v>448</v>
      </c>
      <c r="L3" s="79" t="s">
        <v>2</v>
      </c>
    </row>
    <row r="4" spans="1:12" s="1" customFormat="1" ht="21" customHeight="1" thickBot="1" x14ac:dyDescent="0.25">
      <c r="A4" s="75"/>
      <c r="B4" s="77"/>
      <c r="C4" s="77"/>
      <c r="D4" s="77"/>
      <c r="E4" s="77"/>
      <c r="F4" s="77"/>
      <c r="G4" s="6" t="s">
        <v>8</v>
      </c>
      <c r="H4" s="6" t="s">
        <v>9</v>
      </c>
      <c r="I4" s="77"/>
      <c r="J4" s="77"/>
      <c r="K4" s="84"/>
      <c r="L4" s="80"/>
    </row>
    <row r="5" spans="1:12" ht="15" x14ac:dyDescent="0.2">
      <c r="A5" s="66" t="s">
        <v>140</v>
      </c>
      <c r="B5" s="67"/>
      <c r="C5" s="67"/>
      <c r="D5" s="67"/>
      <c r="E5" s="67"/>
      <c r="F5" s="67"/>
      <c r="G5" s="67"/>
      <c r="H5" s="67"/>
    </row>
    <row r="6" spans="1:12" x14ac:dyDescent="0.2">
      <c r="A6" s="10" t="s">
        <v>170</v>
      </c>
      <c r="B6" s="10" t="s">
        <v>171</v>
      </c>
      <c r="C6" s="10" t="s">
        <v>172</v>
      </c>
      <c r="D6" s="10" t="str">
        <f>"0,9685"</f>
        <v>0,9685</v>
      </c>
      <c r="E6" s="10" t="s">
        <v>27</v>
      </c>
      <c r="F6" s="10" t="s">
        <v>80</v>
      </c>
      <c r="G6" s="65" t="s">
        <v>251</v>
      </c>
      <c r="H6" s="50" t="s">
        <v>252</v>
      </c>
      <c r="I6" s="13" t="str">
        <f>"962,5"</f>
        <v>962,5</v>
      </c>
      <c r="J6" s="57" t="str">
        <f>"932,1813"</f>
        <v>932,1813</v>
      </c>
      <c r="K6" s="55" t="s">
        <v>449</v>
      </c>
      <c r="L6" s="10" t="s">
        <v>147</v>
      </c>
    </row>
    <row r="7" spans="1:12" x14ac:dyDescent="0.2">
      <c r="J7" s="58"/>
    </row>
    <row r="8" spans="1:12" ht="15" x14ac:dyDescent="0.2">
      <c r="A8" s="85" t="s">
        <v>97</v>
      </c>
      <c r="B8" s="86"/>
      <c r="C8" s="86"/>
      <c r="D8" s="86"/>
      <c r="E8" s="86"/>
      <c r="F8" s="86"/>
      <c r="G8" s="86"/>
      <c r="H8" s="86"/>
      <c r="J8" s="58"/>
    </row>
    <row r="9" spans="1:12" x14ac:dyDescent="0.2">
      <c r="A9" s="10" t="s">
        <v>254</v>
      </c>
      <c r="B9" s="10" t="s">
        <v>255</v>
      </c>
      <c r="C9" s="10" t="s">
        <v>256</v>
      </c>
      <c r="D9" s="10" t="str">
        <f>"0,7707"</f>
        <v>0,7707</v>
      </c>
      <c r="E9" s="10" t="s">
        <v>27</v>
      </c>
      <c r="F9" s="10" t="s">
        <v>42</v>
      </c>
      <c r="G9" s="11" t="s">
        <v>241</v>
      </c>
      <c r="H9" s="50" t="s">
        <v>257</v>
      </c>
      <c r="I9" s="13" t="str">
        <f>"1700,0"</f>
        <v>1700,0</v>
      </c>
      <c r="J9" s="57" t="str">
        <f>"1310,1900"</f>
        <v>1310,1900</v>
      </c>
      <c r="K9" s="55" t="s">
        <v>449</v>
      </c>
      <c r="L9" s="10" t="s">
        <v>128</v>
      </c>
    </row>
    <row r="11" spans="1:12" ht="15" x14ac:dyDescent="0.2">
      <c r="E11" s="7" t="s">
        <v>11</v>
      </c>
      <c r="F11" s="39" t="s">
        <v>438</v>
      </c>
    </row>
    <row r="12" spans="1:12" ht="15" x14ac:dyDescent="0.2">
      <c r="E12" s="7" t="s">
        <v>12</v>
      </c>
      <c r="F12" s="39" t="s">
        <v>439</v>
      </c>
    </row>
    <row r="13" spans="1:12" ht="15" x14ac:dyDescent="0.2">
      <c r="E13" s="7" t="s">
        <v>13</v>
      </c>
      <c r="F13" s="39" t="s">
        <v>440</v>
      </c>
    </row>
    <row r="14" spans="1:12" ht="15" x14ac:dyDescent="0.2">
      <c r="E14" s="7" t="s">
        <v>14</v>
      </c>
      <c r="F14" s="39" t="s">
        <v>441</v>
      </c>
    </row>
    <row r="15" spans="1:12" ht="15" x14ac:dyDescent="0.2">
      <c r="E15" s="7" t="s">
        <v>14</v>
      </c>
      <c r="F15" s="39" t="s">
        <v>442</v>
      </c>
    </row>
    <row r="16" spans="1:12" ht="15" x14ac:dyDescent="0.2">
      <c r="E16" s="7" t="s">
        <v>15</v>
      </c>
      <c r="F16" s="36" t="s">
        <v>443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66</v>
      </c>
      <c r="B20" s="15"/>
    </row>
    <row r="21" spans="1:5" ht="14.25" x14ac:dyDescent="0.2">
      <c r="A21" s="17"/>
      <c r="B21" s="18" t="s">
        <v>67</v>
      </c>
    </row>
    <row r="22" spans="1:5" ht="15" x14ac:dyDescent="0.2">
      <c r="A22" s="19" t="s">
        <v>58</v>
      </c>
      <c r="B22" s="19" t="s">
        <v>59</v>
      </c>
      <c r="C22" s="19" t="s">
        <v>60</v>
      </c>
      <c r="D22" s="19" t="s">
        <v>107</v>
      </c>
      <c r="E22" s="19" t="s">
        <v>243</v>
      </c>
    </row>
    <row r="23" spans="1:5" x14ac:dyDescent="0.2">
      <c r="A23" s="16" t="s">
        <v>253</v>
      </c>
      <c r="B23" s="4" t="s">
        <v>68</v>
      </c>
      <c r="C23" s="4" t="s">
        <v>110</v>
      </c>
      <c r="D23" s="4" t="s">
        <v>258</v>
      </c>
      <c r="E23" s="8" t="s">
        <v>259</v>
      </c>
    </row>
    <row r="24" spans="1:5" x14ac:dyDescent="0.2">
      <c r="A24" s="16" t="s">
        <v>169</v>
      </c>
      <c r="B24" s="4" t="s">
        <v>173</v>
      </c>
      <c r="C24" s="4" t="s">
        <v>164</v>
      </c>
      <c r="D24" s="4" t="s">
        <v>260</v>
      </c>
      <c r="E24" s="8" t="s">
        <v>261</v>
      </c>
    </row>
  </sheetData>
  <mergeCells count="14">
    <mergeCell ref="A1:L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L3:L4"/>
    <mergeCell ref="A5:H5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9" sqref="H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9.5703125" style="2" bestFit="1" customWidth="1"/>
    <col min="11" max="11" width="9.5703125" style="2" customWidth="1"/>
    <col min="12" max="12" width="19.140625" style="4" bestFit="1" customWidth="1"/>
    <col min="13" max="16384" width="9.140625" style="3"/>
  </cols>
  <sheetData>
    <row r="1" spans="1:12" s="2" customFormat="1" ht="29.1" customHeight="1" x14ac:dyDescent="0.2">
      <c r="A1" s="68" t="s">
        <v>227</v>
      </c>
      <c r="B1" s="69"/>
      <c r="C1" s="69"/>
      <c r="D1" s="69"/>
      <c r="E1" s="69"/>
      <c r="F1" s="69"/>
      <c r="G1" s="69"/>
      <c r="H1" s="69"/>
      <c r="I1" s="69"/>
      <c r="J1" s="69"/>
      <c r="K1" s="81"/>
      <c r="L1" s="70"/>
    </row>
    <row r="2" spans="1:12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82"/>
      <c r="L2" s="73"/>
    </row>
    <row r="3" spans="1:12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228</v>
      </c>
      <c r="E3" s="78" t="s">
        <v>4</v>
      </c>
      <c r="F3" s="78" t="s">
        <v>7</v>
      </c>
      <c r="G3" s="78" t="s">
        <v>229</v>
      </c>
      <c r="H3" s="78"/>
      <c r="I3" s="78" t="s">
        <v>226</v>
      </c>
      <c r="J3" s="78" t="s">
        <v>3</v>
      </c>
      <c r="K3" s="83" t="s">
        <v>448</v>
      </c>
      <c r="L3" s="79" t="s">
        <v>2</v>
      </c>
    </row>
    <row r="4" spans="1:12" s="1" customFormat="1" ht="21" customHeight="1" thickBot="1" x14ac:dyDescent="0.25">
      <c r="A4" s="75"/>
      <c r="B4" s="77"/>
      <c r="C4" s="77"/>
      <c r="D4" s="77"/>
      <c r="E4" s="77"/>
      <c r="F4" s="77"/>
      <c r="G4" s="6" t="s">
        <v>8</v>
      </c>
      <c r="H4" s="6" t="s">
        <v>9</v>
      </c>
      <c r="I4" s="77"/>
      <c r="J4" s="77"/>
      <c r="K4" s="84"/>
      <c r="L4" s="80"/>
    </row>
    <row r="5" spans="1:12" ht="15" x14ac:dyDescent="0.2">
      <c r="A5" s="66" t="s">
        <v>230</v>
      </c>
      <c r="B5" s="67"/>
      <c r="C5" s="67"/>
      <c r="D5" s="67"/>
      <c r="E5" s="67"/>
      <c r="F5" s="67"/>
      <c r="G5" s="67"/>
      <c r="H5" s="67"/>
    </row>
    <row r="6" spans="1:12" x14ac:dyDescent="0.2">
      <c r="A6" s="10" t="s">
        <v>232</v>
      </c>
      <c r="B6" s="10" t="s">
        <v>233</v>
      </c>
      <c r="C6" s="10" t="s">
        <v>234</v>
      </c>
      <c r="D6" s="10" t="str">
        <f>"1,6199"</f>
        <v>1,6199</v>
      </c>
      <c r="E6" s="10" t="s">
        <v>27</v>
      </c>
      <c r="F6" s="10" t="s">
        <v>42</v>
      </c>
      <c r="G6" s="11" t="s">
        <v>235</v>
      </c>
      <c r="H6" s="11" t="s">
        <v>236</v>
      </c>
      <c r="I6" s="13" t="str">
        <f>"540,0"</f>
        <v>540,0</v>
      </c>
      <c r="J6" s="14" t="str">
        <f>"874,7460"</f>
        <v>874,7460</v>
      </c>
      <c r="K6" s="14"/>
      <c r="L6" s="10" t="s">
        <v>237</v>
      </c>
    </row>
    <row r="8" spans="1:12" ht="15" x14ac:dyDescent="0.2">
      <c r="A8" s="85" t="s">
        <v>97</v>
      </c>
      <c r="B8" s="86"/>
      <c r="C8" s="86"/>
      <c r="D8" s="86"/>
      <c r="E8" s="86"/>
      <c r="F8" s="86"/>
      <c r="G8" s="86"/>
      <c r="H8" s="86"/>
    </row>
    <row r="9" spans="1:12" x14ac:dyDescent="0.2">
      <c r="A9" s="10" t="s">
        <v>239</v>
      </c>
      <c r="B9" s="35" t="s">
        <v>416</v>
      </c>
      <c r="C9" s="10" t="s">
        <v>240</v>
      </c>
      <c r="D9" s="10" t="str">
        <f>"0,7602"</f>
        <v>0,7602</v>
      </c>
      <c r="E9" s="10" t="s">
        <v>124</v>
      </c>
      <c r="F9" s="10" t="s">
        <v>42</v>
      </c>
      <c r="G9" s="11" t="s">
        <v>241</v>
      </c>
      <c r="H9" s="50" t="s">
        <v>242</v>
      </c>
      <c r="I9" s="13" t="str">
        <f>"2635,0"</f>
        <v>2635,0</v>
      </c>
      <c r="J9" s="57" t="str">
        <f>"2003,1271"</f>
        <v>2003,1271</v>
      </c>
      <c r="K9" s="55" t="s">
        <v>449</v>
      </c>
      <c r="L9" s="10" t="s">
        <v>128</v>
      </c>
    </row>
    <row r="11" spans="1:12" ht="15" x14ac:dyDescent="0.2">
      <c r="E11" s="7" t="s">
        <v>11</v>
      </c>
      <c r="F11" s="39" t="s">
        <v>438</v>
      </c>
    </row>
    <row r="12" spans="1:12" ht="15" x14ac:dyDescent="0.2">
      <c r="E12" s="7" t="s">
        <v>12</v>
      </c>
      <c r="F12" s="39" t="s">
        <v>439</v>
      </c>
    </row>
    <row r="13" spans="1:12" ht="15" x14ac:dyDescent="0.2">
      <c r="E13" s="7" t="s">
        <v>13</v>
      </c>
      <c r="F13" s="39" t="s">
        <v>440</v>
      </c>
    </row>
    <row r="14" spans="1:12" ht="15" x14ac:dyDescent="0.2">
      <c r="E14" s="7" t="s">
        <v>14</v>
      </c>
      <c r="F14" s="39" t="s">
        <v>441</v>
      </c>
    </row>
    <row r="15" spans="1:12" ht="15" x14ac:dyDescent="0.2">
      <c r="E15" s="7" t="s">
        <v>14</v>
      </c>
      <c r="F15" s="39" t="s">
        <v>442</v>
      </c>
    </row>
    <row r="16" spans="1:12" ht="15" x14ac:dyDescent="0.2">
      <c r="E16" s="7" t="s">
        <v>15</v>
      </c>
      <c r="F16" s="36" t="s">
        <v>443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66</v>
      </c>
      <c r="B20" s="15"/>
    </row>
    <row r="21" spans="1:5" ht="14.25" x14ac:dyDescent="0.2">
      <c r="A21" s="17"/>
      <c r="B21" s="18" t="s">
        <v>67</v>
      </c>
    </row>
    <row r="22" spans="1:5" ht="15" x14ac:dyDescent="0.2">
      <c r="A22" s="19" t="s">
        <v>58</v>
      </c>
      <c r="B22" s="19" t="s">
        <v>59</v>
      </c>
      <c r="C22" s="19" t="s">
        <v>60</v>
      </c>
      <c r="D22" s="19" t="s">
        <v>107</v>
      </c>
      <c r="E22" s="19" t="s">
        <v>243</v>
      </c>
    </row>
    <row r="23" spans="1:5" x14ac:dyDescent="0.2">
      <c r="A23" s="16" t="s">
        <v>231</v>
      </c>
      <c r="B23" s="4" t="s">
        <v>173</v>
      </c>
      <c r="C23" s="4" t="s">
        <v>244</v>
      </c>
      <c r="D23" s="4" t="s">
        <v>245</v>
      </c>
      <c r="E23" s="8" t="s">
        <v>246</v>
      </c>
    </row>
    <row r="25" spans="1:5" ht="14.25" x14ac:dyDescent="0.2">
      <c r="A25" s="17"/>
      <c r="B25" s="18" t="s">
        <v>417</v>
      </c>
    </row>
    <row r="26" spans="1:5" ht="15" x14ac:dyDescent="0.2">
      <c r="A26" s="19" t="s">
        <v>58</v>
      </c>
      <c r="B26" s="19" t="s">
        <v>59</v>
      </c>
      <c r="C26" s="19" t="s">
        <v>60</v>
      </c>
      <c r="D26" s="19" t="s">
        <v>107</v>
      </c>
      <c r="E26" s="19" t="s">
        <v>243</v>
      </c>
    </row>
    <row r="27" spans="1:5" x14ac:dyDescent="0.2">
      <c r="A27" s="16" t="s">
        <v>238</v>
      </c>
      <c r="B27" s="36" t="s">
        <v>417</v>
      </c>
      <c r="C27" s="4" t="s">
        <v>110</v>
      </c>
      <c r="D27" s="4" t="s">
        <v>248</v>
      </c>
      <c r="E27" s="8" t="s">
        <v>249</v>
      </c>
    </row>
  </sheetData>
  <mergeCells count="14">
    <mergeCell ref="A1:L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L3:L4"/>
    <mergeCell ref="A5:H5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K12" sqref="K1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1.7109375" style="4" customWidth="1"/>
    <col min="6" max="6" width="22" style="4" customWidth="1"/>
    <col min="7" max="7" width="8.140625" style="3" customWidth="1"/>
    <col min="8" max="8" width="6.7109375" style="3" customWidth="1"/>
    <col min="9" max="9" width="6" style="3" customWidth="1"/>
    <col min="10" max="10" width="8" style="3" customWidth="1"/>
    <col min="11" max="11" width="11.28515625" style="8" customWidth="1"/>
    <col min="12" max="13" width="11.5703125" style="2" customWidth="1"/>
    <col min="14" max="14" width="21.140625" style="4" customWidth="1"/>
    <col min="15" max="16384" width="9.140625" style="3"/>
  </cols>
  <sheetData>
    <row r="1" spans="1:14" s="2" customFormat="1" ht="29.1" customHeight="1" x14ac:dyDescent="0.2">
      <c r="A1" s="68" t="s">
        <v>225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81"/>
      <c r="N1" s="70"/>
    </row>
    <row r="2" spans="1:14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82"/>
      <c r="N2" s="73"/>
    </row>
    <row r="3" spans="1:14" s="1" customFormat="1" ht="12.75" customHeight="1" x14ac:dyDescent="0.2">
      <c r="A3" s="74" t="s">
        <v>0</v>
      </c>
      <c r="B3" s="76" t="s">
        <v>6</v>
      </c>
      <c r="C3" s="76" t="s">
        <v>10</v>
      </c>
      <c r="D3" s="78"/>
      <c r="E3" s="78" t="s">
        <v>4</v>
      </c>
      <c r="F3" s="78" t="s">
        <v>7</v>
      </c>
      <c r="G3" s="78"/>
      <c r="H3" s="78"/>
      <c r="I3" s="78"/>
      <c r="J3" s="78"/>
      <c r="K3" s="78" t="s">
        <v>117</v>
      </c>
      <c r="L3" s="78" t="s">
        <v>3</v>
      </c>
      <c r="M3" s="83" t="s">
        <v>448</v>
      </c>
      <c r="N3" s="79" t="s">
        <v>2</v>
      </c>
    </row>
    <row r="4" spans="1:14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4"/>
      <c r="N4" s="80"/>
    </row>
    <row r="5" spans="1:14" ht="15" x14ac:dyDescent="0.2">
      <c r="A5" s="66" t="s">
        <v>445</v>
      </c>
      <c r="B5" s="67"/>
      <c r="C5" s="67"/>
      <c r="D5" s="67"/>
      <c r="E5" s="67"/>
      <c r="F5" s="67"/>
      <c r="G5" s="67"/>
      <c r="H5" s="67"/>
      <c r="I5" s="67"/>
      <c r="J5" s="67"/>
      <c r="K5" s="5"/>
      <c r="L5" s="5"/>
      <c r="M5" s="5"/>
      <c r="N5" s="5"/>
    </row>
    <row r="6" spans="1:14" x14ac:dyDescent="0.2">
      <c r="A6" s="13" t="s">
        <v>288</v>
      </c>
      <c r="B6" s="37" t="s">
        <v>418</v>
      </c>
      <c r="C6" s="37" t="s">
        <v>290</v>
      </c>
      <c r="D6" s="37" t="str">
        <f>"1,0792"</f>
        <v>1,0792</v>
      </c>
      <c r="E6" s="38" t="s">
        <v>27</v>
      </c>
      <c r="F6" s="38" t="s">
        <v>42</v>
      </c>
      <c r="G6" s="37" t="s">
        <v>235</v>
      </c>
      <c r="H6" s="37" t="s">
        <v>291</v>
      </c>
      <c r="I6" s="12" t="s">
        <v>419</v>
      </c>
      <c r="J6" s="12" t="s">
        <v>419</v>
      </c>
      <c r="K6" s="49" t="s">
        <v>420</v>
      </c>
      <c r="L6" s="63" t="s">
        <v>421</v>
      </c>
      <c r="M6" s="49" t="s">
        <v>449</v>
      </c>
      <c r="N6" s="37" t="s">
        <v>128</v>
      </c>
    </row>
    <row r="7" spans="1:14" x14ac:dyDescent="0.2">
      <c r="A7" s="8"/>
      <c r="B7" s="5"/>
      <c r="C7" s="5"/>
      <c r="D7" s="5"/>
      <c r="E7" s="39"/>
      <c r="F7" s="39"/>
      <c r="G7" s="5"/>
      <c r="H7" s="5"/>
      <c r="I7" s="5"/>
      <c r="J7" s="5"/>
      <c r="K7" s="5"/>
      <c r="L7" s="64"/>
      <c r="M7" s="5"/>
      <c r="N7" s="5"/>
    </row>
    <row r="8" spans="1:14" ht="15" x14ac:dyDescent="0.2">
      <c r="A8" s="85" t="s">
        <v>446</v>
      </c>
      <c r="B8" s="87"/>
      <c r="C8" s="87"/>
      <c r="D8" s="87"/>
      <c r="E8" s="87"/>
      <c r="F8" s="87"/>
      <c r="G8" s="87"/>
      <c r="H8" s="87"/>
      <c r="I8" s="87"/>
      <c r="J8" s="87"/>
      <c r="K8" s="5"/>
      <c r="L8" s="64"/>
      <c r="M8" s="5"/>
      <c r="N8" s="5"/>
    </row>
    <row r="9" spans="1:14" x14ac:dyDescent="0.2">
      <c r="A9" s="13" t="s">
        <v>265</v>
      </c>
      <c r="B9" s="37" t="s">
        <v>427</v>
      </c>
      <c r="C9" s="37" t="s">
        <v>267</v>
      </c>
      <c r="D9" s="37" t="str">
        <f>"0,6734"</f>
        <v>0,6734</v>
      </c>
      <c r="E9" s="38" t="s">
        <v>27</v>
      </c>
      <c r="F9" s="38" t="s">
        <v>42</v>
      </c>
      <c r="G9" s="37" t="s">
        <v>127</v>
      </c>
      <c r="H9" s="37" t="s">
        <v>145</v>
      </c>
      <c r="I9" s="37" t="s">
        <v>380</v>
      </c>
      <c r="J9" s="37" t="s">
        <v>428</v>
      </c>
      <c r="K9" s="37" t="s">
        <v>429</v>
      </c>
      <c r="L9" s="63" t="s">
        <v>430</v>
      </c>
      <c r="M9" s="37"/>
      <c r="N9" s="37" t="s">
        <v>47</v>
      </c>
    </row>
    <row r="10" spans="1:14" x14ac:dyDescent="0.2">
      <c r="A10" s="8"/>
      <c r="B10" s="5"/>
      <c r="C10" s="5"/>
      <c r="D10" s="5"/>
      <c r="E10" s="39"/>
      <c r="F10" s="39"/>
      <c r="G10" s="5"/>
      <c r="H10" s="5"/>
      <c r="I10" s="5"/>
      <c r="J10" s="5"/>
      <c r="K10" s="5"/>
      <c r="L10" s="64"/>
      <c r="M10" s="5"/>
      <c r="N10" s="5"/>
    </row>
    <row r="11" spans="1:14" ht="15" x14ac:dyDescent="0.2">
      <c r="A11" s="85" t="s">
        <v>97</v>
      </c>
      <c r="B11" s="86"/>
      <c r="C11" s="86"/>
      <c r="D11" s="86"/>
      <c r="E11" s="86"/>
      <c r="F11" s="86"/>
      <c r="G11" s="86"/>
      <c r="H11" s="86"/>
      <c r="I11" s="86"/>
      <c r="J11" s="86"/>
      <c r="K11" s="5"/>
      <c r="L11" s="64"/>
      <c r="M11" s="5"/>
      <c r="N11" s="5"/>
    </row>
    <row r="12" spans="1:14" x14ac:dyDescent="0.2">
      <c r="A12" s="13" t="s">
        <v>397</v>
      </c>
      <c r="B12" s="37" t="s">
        <v>422</v>
      </c>
      <c r="C12" s="37" t="s">
        <v>399</v>
      </c>
      <c r="D12" s="37" t="str">
        <f>"0,6463"</f>
        <v>0,6463</v>
      </c>
      <c r="E12" s="38" t="s">
        <v>124</v>
      </c>
      <c r="F12" s="38" t="s">
        <v>42</v>
      </c>
      <c r="G12" s="37" t="s">
        <v>423</v>
      </c>
      <c r="H12" s="37" t="s">
        <v>424</v>
      </c>
      <c r="I12" s="37" t="s">
        <v>145</v>
      </c>
      <c r="J12" s="37" t="s">
        <v>242</v>
      </c>
      <c r="K12" s="49" t="s">
        <v>425</v>
      </c>
      <c r="L12" s="63" t="s">
        <v>426</v>
      </c>
      <c r="M12" s="49" t="s">
        <v>449</v>
      </c>
      <c r="N12" s="37" t="s">
        <v>128</v>
      </c>
    </row>
    <row r="13" spans="1:14" x14ac:dyDescent="0.2">
      <c r="A13" s="8"/>
      <c r="B13" s="5"/>
      <c r="C13" s="5"/>
      <c r="D13" s="5"/>
      <c r="E13" s="39"/>
      <c r="F13" s="39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 s="8"/>
      <c r="B14" s="5"/>
      <c r="C14" s="5"/>
      <c r="D14" s="5"/>
      <c r="E14" s="39"/>
      <c r="F14" s="39"/>
      <c r="G14" s="5"/>
      <c r="H14" s="5"/>
      <c r="I14" s="5"/>
      <c r="J14" s="5"/>
      <c r="K14" s="5"/>
      <c r="L14" s="5"/>
      <c r="M14" s="5"/>
      <c r="N14" s="5"/>
    </row>
    <row r="15" spans="1:14" ht="15" x14ac:dyDescent="0.2">
      <c r="A15" s="8"/>
      <c r="B15" s="5"/>
      <c r="C15" s="5"/>
      <c r="D15" s="5"/>
      <c r="E15" s="7" t="s">
        <v>11</v>
      </c>
      <c r="F15" s="39" t="s">
        <v>438</v>
      </c>
      <c r="G15" s="5"/>
      <c r="H15" s="5"/>
      <c r="I15" s="5"/>
      <c r="J15" s="5"/>
      <c r="K15" s="5"/>
      <c r="L15" s="5"/>
      <c r="M15" s="5"/>
      <c r="N15" s="5"/>
    </row>
    <row r="16" spans="1:14" ht="15" x14ac:dyDescent="0.2">
      <c r="A16" s="8"/>
      <c r="B16" s="5"/>
      <c r="C16" s="5"/>
      <c r="D16" s="5"/>
      <c r="E16" s="7" t="s">
        <v>12</v>
      </c>
      <c r="F16" s="39" t="s">
        <v>439</v>
      </c>
      <c r="G16" s="5"/>
      <c r="H16" s="5"/>
      <c r="I16" s="5"/>
      <c r="J16" s="5"/>
      <c r="K16" s="5"/>
      <c r="L16" s="5"/>
      <c r="M16" s="5"/>
      <c r="N16" s="5"/>
    </row>
    <row r="17" spans="1:14" ht="15" x14ac:dyDescent="0.2">
      <c r="A17" s="8"/>
      <c r="B17" s="5"/>
      <c r="C17" s="5"/>
      <c r="D17" s="5"/>
      <c r="E17" s="7" t="s">
        <v>13</v>
      </c>
      <c r="F17" s="39" t="s">
        <v>440</v>
      </c>
      <c r="G17" s="5"/>
      <c r="H17" s="5"/>
      <c r="I17" s="5"/>
      <c r="J17" s="5"/>
      <c r="K17" s="5"/>
      <c r="L17" s="5"/>
      <c r="M17" s="5"/>
      <c r="N17" s="5"/>
    </row>
    <row r="18" spans="1:14" ht="15" x14ac:dyDescent="0.2">
      <c r="A18" s="8"/>
      <c r="B18" s="5"/>
      <c r="C18" s="5"/>
      <c r="D18" s="5"/>
      <c r="E18" s="7" t="s">
        <v>14</v>
      </c>
      <c r="F18" s="39" t="s">
        <v>441</v>
      </c>
      <c r="G18" s="5"/>
      <c r="H18" s="5"/>
      <c r="I18" s="5"/>
      <c r="J18" s="5"/>
      <c r="K18" s="5"/>
      <c r="L18" s="5"/>
      <c r="M18" s="5"/>
      <c r="N18" s="5"/>
    </row>
    <row r="19" spans="1:14" ht="15" x14ac:dyDescent="0.2">
      <c r="A19" s="8"/>
      <c r="B19" s="5"/>
      <c r="C19" s="5"/>
      <c r="D19" s="5"/>
      <c r="E19" s="7" t="s">
        <v>14</v>
      </c>
      <c r="F19" s="39" t="s">
        <v>442</v>
      </c>
      <c r="G19" s="5"/>
      <c r="H19" s="5"/>
      <c r="I19" s="5"/>
      <c r="J19" s="5"/>
      <c r="K19" s="5"/>
      <c r="L19" s="5"/>
      <c r="M19" s="5"/>
      <c r="N19" s="5"/>
    </row>
    <row r="20" spans="1:14" ht="15" x14ac:dyDescent="0.2">
      <c r="A20" s="8"/>
      <c r="B20" s="5"/>
      <c r="C20" s="5"/>
      <c r="D20" s="5"/>
      <c r="E20" s="7" t="s">
        <v>15</v>
      </c>
      <c r="F20" s="36" t="s">
        <v>443</v>
      </c>
      <c r="G20" s="5"/>
      <c r="H20" s="5"/>
      <c r="I20" s="5"/>
      <c r="J20" s="5"/>
      <c r="K20" s="5"/>
      <c r="L20" s="5"/>
      <c r="M20" s="5"/>
      <c r="N20" s="5"/>
    </row>
    <row r="21" spans="1:14" ht="15" x14ac:dyDescent="0.2">
      <c r="A21" s="8"/>
      <c r="B21" s="5"/>
      <c r="C21" s="5"/>
      <c r="D21" s="5"/>
      <c r="E21" s="7"/>
      <c r="F21" s="39"/>
      <c r="G21" s="5"/>
      <c r="H21" s="5"/>
      <c r="I21" s="5"/>
      <c r="J21" s="5"/>
      <c r="K21" s="5"/>
      <c r="L21" s="5"/>
      <c r="M21" s="5"/>
      <c r="N21" s="5"/>
    </row>
    <row r="22" spans="1:14" x14ac:dyDescent="0.2">
      <c r="A22" s="8"/>
      <c r="B22" s="5"/>
      <c r="C22" s="5"/>
      <c r="D22" s="5"/>
      <c r="E22" s="39"/>
      <c r="F22" s="39"/>
      <c r="G22" s="5"/>
      <c r="H22" s="5"/>
      <c r="I22" s="5"/>
      <c r="J22" s="5"/>
      <c r="K22" s="5"/>
      <c r="L22" s="5"/>
      <c r="M22" s="5"/>
      <c r="N22" s="5"/>
    </row>
    <row r="23" spans="1:14" ht="18" x14ac:dyDescent="0.25">
      <c r="A23" s="40" t="s">
        <v>16</v>
      </c>
      <c r="B23" s="41"/>
      <c r="C23" s="5"/>
      <c r="D23" s="5"/>
      <c r="E23" s="39"/>
      <c r="F23" s="39"/>
      <c r="G23" s="5"/>
      <c r="H23" s="5"/>
      <c r="I23" s="5"/>
      <c r="J23" s="5"/>
      <c r="K23" s="5"/>
      <c r="L23" s="5"/>
      <c r="M23" s="5"/>
      <c r="N23" s="5"/>
    </row>
    <row r="24" spans="1:14" ht="15" x14ac:dyDescent="0.2">
      <c r="A24" s="42" t="s">
        <v>56</v>
      </c>
      <c r="B24" s="43"/>
      <c r="C24" s="5"/>
      <c r="D24" s="5"/>
      <c r="E24" s="39"/>
      <c r="F24" s="39"/>
      <c r="G24" s="5"/>
      <c r="H24" s="5"/>
      <c r="I24" s="5"/>
      <c r="J24" s="5"/>
      <c r="K24" s="5"/>
      <c r="L24" s="5"/>
      <c r="M24" s="5"/>
      <c r="N24" s="5"/>
    </row>
    <row r="25" spans="1:14" ht="14.25" x14ac:dyDescent="0.2">
      <c r="A25" s="44"/>
      <c r="B25" s="45" t="s">
        <v>161</v>
      </c>
      <c r="C25" s="5"/>
      <c r="D25" s="5"/>
      <c r="E25" s="39"/>
      <c r="F25" s="39"/>
      <c r="G25" s="5"/>
      <c r="H25" s="5"/>
      <c r="I25" s="5"/>
      <c r="J25" s="5"/>
      <c r="K25" s="5"/>
      <c r="L25" s="5"/>
      <c r="M25" s="5"/>
      <c r="N25" s="5"/>
    </row>
    <row r="26" spans="1:14" ht="15" x14ac:dyDescent="0.2">
      <c r="A26" s="19" t="s">
        <v>58</v>
      </c>
      <c r="B26" s="19" t="s">
        <v>59</v>
      </c>
      <c r="C26" s="19" t="s">
        <v>60</v>
      </c>
      <c r="D26" s="19" t="s">
        <v>107</v>
      </c>
      <c r="E26" s="19" t="s">
        <v>431</v>
      </c>
      <c r="F26" s="39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46" t="s">
        <v>287</v>
      </c>
      <c r="B27" s="5" t="s">
        <v>432</v>
      </c>
      <c r="C27" s="5" t="s">
        <v>433</v>
      </c>
      <c r="D27" s="5" t="s">
        <v>291</v>
      </c>
      <c r="E27" s="8" t="s">
        <v>434</v>
      </c>
      <c r="F27" s="39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8"/>
      <c r="B28" s="5"/>
      <c r="C28" s="5"/>
      <c r="D28" s="5"/>
      <c r="E28" s="39"/>
      <c r="F28" s="39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8"/>
      <c r="B29" s="5"/>
      <c r="C29" s="5"/>
      <c r="D29" s="5"/>
      <c r="E29" s="39"/>
      <c r="F29" s="39"/>
      <c r="G29" s="5"/>
      <c r="H29" s="5"/>
      <c r="I29" s="5"/>
      <c r="J29" s="5"/>
      <c r="K29" s="5"/>
      <c r="L29" s="5"/>
      <c r="M29" s="5"/>
      <c r="N29" s="5"/>
    </row>
    <row r="30" spans="1:14" ht="15" x14ac:dyDescent="0.2">
      <c r="A30" s="42" t="s">
        <v>66</v>
      </c>
      <c r="B30" s="43"/>
      <c r="C30" s="5"/>
      <c r="D30" s="5"/>
      <c r="E30" s="39"/>
      <c r="F30" s="39"/>
      <c r="G30" s="5"/>
      <c r="H30" s="5"/>
      <c r="I30" s="5"/>
      <c r="J30" s="5"/>
      <c r="K30" s="5"/>
      <c r="L30" s="5"/>
      <c r="M30" s="5"/>
      <c r="N30" s="5"/>
    </row>
    <row r="31" spans="1:14" ht="14.25" x14ac:dyDescent="0.2">
      <c r="A31" s="44"/>
      <c r="B31" s="45" t="s">
        <v>432</v>
      </c>
      <c r="C31" s="5"/>
      <c r="D31" s="5"/>
      <c r="E31" s="39"/>
      <c r="F31" s="39"/>
      <c r="G31" s="5"/>
      <c r="H31" s="5"/>
      <c r="I31" s="5"/>
      <c r="J31" s="5"/>
      <c r="K31" s="5"/>
      <c r="L31" s="5"/>
      <c r="M31" s="5"/>
      <c r="N31" s="5"/>
    </row>
    <row r="32" spans="1:14" ht="15" x14ac:dyDescent="0.2">
      <c r="A32" s="19" t="s">
        <v>58</v>
      </c>
      <c r="B32" s="19" t="s">
        <v>59</v>
      </c>
      <c r="C32" s="19" t="s">
        <v>60</v>
      </c>
      <c r="D32" s="19" t="s">
        <v>107</v>
      </c>
      <c r="E32" s="19" t="s">
        <v>431</v>
      </c>
      <c r="F32" s="39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46" t="s">
        <v>396</v>
      </c>
      <c r="B33" s="5" t="s">
        <v>432</v>
      </c>
      <c r="C33" s="5" t="s">
        <v>110</v>
      </c>
      <c r="D33" s="5" t="s">
        <v>242</v>
      </c>
      <c r="E33" s="8" t="s">
        <v>435</v>
      </c>
      <c r="F33" s="39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8"/>
      <c r="B34" s="5"/>
      <c r="C34" s="5"/>
      <c r="D34" s="5"/>
      <c r="E34" s="39"/>
      <c r="F34" s="39"/>
      <c r="G34" s="5"/>
      <c r="H34" s="5"/>
      <c r="I34" s="5"/>
      <c r="J34" s="5"/>
      <c r="K34" s="5"/>
      <c r="L34" s="5"/>
      <c r="M34" s="5"/>
      <c r="N34" s="5"/>
    </row>
    <row r="35" spans="1:14" ht="14.25" x14ac:dyDescent="0.2">
      <c r="A35" s="44"/>
      <c r="B35" s="45" t="s">
        <v>113</v>
      </c>
      <c r="C35" s="5"/>
      <c r="D35" s="5"/>
      <c r="E35" s="39"/>
      <c r="F35" s="39"/>
      <c r="G35" s="5"/>
      <c r="H35" s="5"/>
      <c r="I35" s="5"/>
      <c r="J35" s="5"/>
      <c r="K35" s="5"/>
      <c r="L35" s="5"/>
      <c r="M35" s="5"/>
      <c r="N35" s="5"/>
    </row>
    <row r="36" spans="1:14" ht="15" x14ac:dyDescent="0.2">
      <c r="A36" s="19" t="s">
        <v>58</v>
      </c>
      <c r="B36" s="19" t="s">
        <v>59</v>
      </c>
      <c r="C36" s="19" t="s">
        <v>60</v>
      </c>
      <c r="D36" s="19" t="s">
        <v>107</v>
      </c>
      <c r="E36" s="19" t="s">
        <v>431</v>
      </c>
      <c r="F36" s="39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46" t="s">
        <v>264</v>
      </c>
      <c r="B37" s="5" t="s">
        <v>436</v>
      </c>
      <c r="C37" s="5" t="s">
        <v>447</v>
      </c>
      <c r="D37" s="5" t="s">
        <v>428</v>
      </c>
      <c r="E37" s="8" t="s">
        <v>437</v>
      </c>
      <c r="F37" s="39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8"/>
      <c r="B38" s="5"/>
      <c r="C38" s="5"/>
      <c r="D38" s="5"/>
      <c r="E38" s="39"/>
      <c r="F38" s="39"/>
      <c r="G38" s="5"/>
      <c r="H38" s="5"/>
      <c r="I38" s="5"/>
      <c r="J38" s="5"/>
      <c r="K38" s="5"/>
      <c r="L38" s="5"/>
      <c r="M38" s="5"/>
      <c r="N38" s="5"/>
    </row>
  </sheetData>
  <mergeCells count="15">
    <mergeCell ref="A1:N2"/>
    <mergeCell ref="A3:A4"/>
    <mergeCell ref="B3:B4"/>
    <mergeCell ref="C3:C4"/>
    <mergeCell ref="D3:D4"/>
    <mergeCell ref="E3:E4"/>
    <mergeCell ref="F3:F4"/>
    <mergeCell ref="G3:J3"/>
    <mergeCell ref="A11:J11"/>
    <mergeCell ref="K3:K4"/>
    <mergeCell ref="L3:L4"/>
    <mergeCell ref="N3:N4"/>
    <mergeCell ref="A5:J5"/>
    <mergeCell ref="M3:M4"/>
    <mergeCell ref="A8:J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20" sqref="A20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8" bestFit="1" customWidth="1"/>
    <col min="16" max="16" width="8.5703125" style="2" bestFit="1" customWidth="1"/>
    <col min="17" max="17" width="21.7109375" style="4" bestFit="1" customWidth="1"/>
    <col min="18" max="16384" width="9.140625" style="3"/>
  </cols>
  <sheetData>
    <row r="1" spans="1:17" s="2" customFormat="1" ht="29.1" customHeight="1" x14ac:dyDescent="0.2">
      <c r="A1" s="68" t="s">
        <v>222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</row>
    <row r="2" spans="1:17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17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20</v>
      </c>
      <c r="H3" s="78"/>
      <c r="I3" s="78"/>
      <c r="J3" s="78"/>
      <c r="K3" s="78" t="s">
        <v>21</v>
      </c>
      <c r="L3" s="78"/>
      <c r="M3" s="78"/>
      <c r="N3" s="78"/>
      <c r="O3" s="78" t="s">
        <v>1</v>
      </c>
      <c r="P3" s="78" t="s">
        <v>3</v>
      </c>
      <c r="Q3" s="79" t="s">
        <v>2</v>
      </c>
    </row>
    <row r="4" spans="1:17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77"/>
      <c r="P4" s="77"/>
      <c r="Q4" s="80"/>
    </row>
    <row r="5" spans="1:17" ht="15" x14ac:dyDescent="0.2">
      <c r="A5" s="66" t="s">
        <v>97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 x14ac:dyDescent="0.2">
      <c r="A6" s="10" t="s">
        <v>99</v>
      </c>
      <c r="B6" s="10" t="s">
        <v>100</v>
      </c>
      <c r="C6" s="10" t="s">
        <v>101</v>
      </c>
      <c r="D6" s="10" t="str">
        <f>"0,5935"</f>
        <v>0,5935</v>
      </c>
      <c r="E6" s="10" t="s">
        <v>27</v>
      </c>
      <c r="F6" s="10" t="s">
        <v>28</v>
      </c>
      <c r="G6" s="11" t="s">
        <v>30</v>
      </c>
      <c r="H6" s="11" t="s">
        <v>88</v>
      </c>
      <c r="I6" s="12" t="s">
        <v>89</v>
      </c>
      <c r="J6" s="12"/>
      <c r="K6" s="11" t="s">
        <v>44</v>
      </c>
      <c r="L6" s="11" t="s">
        <v>54</v>
      </c>
      <c r="M6" s="11" t="s">
        <v>55</v>
      </c>
      <c r="N6" s="12"/>
      <c r="O6" s="13" t="str">
        <f>"280,0"</f>
        <v>280,0</v>
      </c>
      <c r="P6" s="14" t="str">
        <f>"166,1800"</f>
        <v>166,1800</v>
      </c>
      <c r="Q6" s="10" t="s">
        <v>37</v>
      </c>
    </row>
    <row r="8" spans="1:17" ht="15" x14ac:dyDescent="0.2">
      <c r="E8" s="7" t="s">
        <v>11</v>
      </c>
      <c r="F8" s="39" t="s">
        <v>438</v>
      </c>
    </row>
    <row r="9" spans="1:17" ht="15" x14ac:dyDescent="0.2">
      <c r="E9" s="7" t="s">
        <v>12</v>
      </c>
      <c r="F9" s="39" t="s">
        <v>439</v>
      </c>
    </row>
    <row r="10" spans="1:17" ht="15" x14ac:dyDescent="0.2">
      <c r="E10" s="7" t="s">
        <v>13</v>
      </c>
      <c r="F10" s="39" t="s">
        <v>440</v>
      </c>
    </row>
    <row r="11" spans="1:17" ht="15" x14ac:dyDescent="0.2">
      <c r="E11" s="7" t="s">
        <v>14</v>
      </c>
      <c r="F11" s="39" t="s">
        <v>441</v>
      </c>
    </row>
    <row r="12" spans="1:17" ht="15" x14ac:dyDescent="0.2">
      <c r="E12" s="7" t="s">
        <v>14</v>
      </c>
      <c r="F12" s="39" t="s">
        <v>442</v>
      </c>
    </row>
    <row r="13" spans="1:17" ht="15" x14ac:dyDescent="0.2">
      <c r="E13" s="7" t="s">
        <v>15</v>
      </c>
      <c r="F13" s="36" t="s">
        <v>443</v>
      </c>
    </row>
    <row r="14" spans="1:17" ht="15" x14ac:dyDescent="0.2">
      <c r="E14" s="7"/>
    </row>
    <row r="16" spans="1:17" ht="18" x14ac:dyDescent="0.25">
      <c r="A16" s="9" t="s">
        <v>16</v>
      </c>
      <c r="B16" s="9"/>
    </row>
    <row r="17" spans="1:5" ht="15" x14ac:dyDescent="0.2">
      <c r="A17" s="15" t="s">
        <v>66</v>
      </c>
      <c r="B17" s="15"/>
    </row>
    <row r="18" spans="1:5" ht="14.25" x14ac:dyDescent="0.2">
      <c r="A18" s="17"/>
      <c r="B18" s="18" t="s">
        <v>57</v>
      </c>
    </row>
    <row r="19" spans="1:5" ht="15" x14ac:dyDescent="0.2">
      <c r="A19" s="19" t="s">
        <v>58</v>
      </c>
      <c r="B19" s="19" t="s">
        <v>59</v>
      </c>
      <c r="C19" s="19" t="s">
        <v>60</v>
      </c>
      <c r="D19" s="19" t="s">
        <v>61</v>
      </c>
      <c r="E19" s="19" t="s">
        <v>62</v>
      </c>
    </row>
    <row r="20" spans="1:5" x14ac:dyDescent="0.2">
      <c r="A20" s="16" t="s">
        <v>98</v>
      </c>
      <c r="B20" s="4" t="s">
        <v>57</v>
      </c>
      <c r="C20" s="4" t="s">
        <v>110</v>
      </c>
      <c r="D20" s="4" t="s">
        <v>223</v>
      </c>
      <c r="E20" s="8" t="s">
        <v>224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M15" sqref="M15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7.140625" style="4" bestFit="1" customWidth="1"/>
    <col min="7" max="9" width="5.5703125" style="3" customWidth="1"/>
    <col min="10" max="10" width="4.85546875" style="3" customWidth="1"/>
    <col min="11" max="11" width="11.42578125" style="8" customWidth="1"/>
    <col min="12" max="12" width="8.5703125" style="2" bestFit="1" customWidth="1"/>
    <col min="13" max="13" width="8.5703125" style="2" customWidth="1"/>
    <col min="14" max="14" width="21.7109375" style="4" bestFit="1" customWidth="1"/>
    <col min="15" max="16384" width="9.140625" style="3"/>
  </cols>
  <sheetData>
    <row r="1" spans="1:14" s="2" customFormat="1" ht="29.1" customHeight="1" x14ac:dyDescent="0.2">
      <c r="A1" s="68" t="s">
        <v>201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81"/>
      <c r="N1" s="70"/>
    </row>
    <row r="2" spans="1:14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82"/>
      <c r="N2" s="73"/>
    </row>
    <row r="3" spans="1:14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21</v>
      </c>
      <c r="H3" s="78"/>
      <c r="I3" s="78"/>
      <c r="J3" s="78"/>
      <c r="K3" s="78" t="s">
        <v>117</v>
      </c>
      <c r="L3" s="78" t="s">
        <v>3</v>
      </c>
      <c r="M3" s="83" t="s">
        <v>448</v>
      </c>
      <c r="N3" s="79" t="s">
        <v>2</v>
      </c>
    </row>
    <row r="4" spans="1:14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4"/>
      <c r="N4" s="80"/>
    </row>
    <row r="5" spans="1:14" ht="15" x14ac:dyDescent="0.2">
      <c r="A5" s="66" t="s">
        <v>202</v>
      </c>
      <c r="B5" s="67"/>
      <c r="C5" s="67"/>
      <c r="D5" s="67"/>
      <c r="E5" s="67"/>
      <c r="F5" s="67"/>
      <c r="G5" s="67"/>
      <c r="H5" s="67"/>
      <c r="I5" s="67"/>
      <c r="J5" s="67"/>
    </row>
    <row r="6" spans="1:14" x14ac:dyDescent="0.2">
      <c r="A6" s="10" t="s">
        <v>204</v>
      </c>
      <c r="B6" s="10" t="s">
        <v>205</v>
      </c>
      <c r="C6" s="10" t="s">
        <v>206</v>
      </c>
      <c r="D6" s="10" t="str">
        <f>"0,8744"</f>
        <v>0,8744</v>
      </c>
      <c r="E6" s="10" t="s">
        <v>27</v>
      </c>
      <c r="F6" s="10" t="s">
        <v>42</v>
      </c>
      <c r="G6" s="11" t="s">
        <v>207</v>
      </c>
      <c r="H6" s="11" t="s">
        <v>32</v>
      </c>
      <c r="I6" s="11" t="s">
        <v>33</v>
      </c>
      <c r="J6" s="50" t="s">
        <v>208</v>
      </c>
      <c r="K6" s="13" t="str">
        <f>"75,0"</f>
        <v>75,0</v>
      </c>
      <c r="L6" s="14" t="str">
        <f>"80,6634"</f>
        <v>80,6634</v>
      </c>
      <c r="M6" s="55" t="s">
        <v>449</v>
      </c>
      <c r="N6" s="10" t="s">
        <v>209</v>
      </c>
    </row>
    <row r="8" spans="1:14" ht="15" x14ac:dyDescent="0.2">
      <c r="A8" s="85" t="s">
        <v>75</v>
      </c>
      <c r="B8" s="86"/>
      <c r="C8" s="86"/>
      <c r="D8" s="86"/>
      <c r="E8" s="86"/>
      <c r="F8" s="86"/>
      <c r="G8" s="86"/>
      <c r="H8" s="86"/>
      <c r="I8" s="86"/>
      <c r="J8" s="86"/>
    </row>
    <row r="9" spans="1:14" x14ac:dyDescent="0.2">
      <c r="A9" s="10" t="s">
        <v>134</v>
      </c>
      <c r="B9" s="10" t="s">
        <v>135</v>
      </c>
      <c r="C9" s="10" t="s">
        <v>136</v>
      </c>
      <c r="D9" s="10" t="str">
        <f>"0,7343"</f>
        <v>0,7343</v>
      </c>
      <c r="E9" s="10" t="s">
        <v>27</v>
      </c>
      <c r="F9" s="10" t="s">
        <v>137</v>
      </c>
      <c r="G9" s="11" t="s">
        <v>89</v>
      </c>
      <c r="H9" s="11" t="s">
        <v>210</v>
      </c>
      <c r="I9" s="12"/>
      <c r="J9" s="12"/>
      <c r="K9" s="13" t="str">
        <f>"127,5"</f>
        <v>127,5</v>
      </c>
      <c r="L9" s="14" t="str">
        <f>"95,4957"</f>
        <v>95,4957</v>
      </c>
      <c r="M9" s="14"/>
      <c r="N9" s="10" t="s">
        <v>139</v>
      </c>
    </row>
    <row r="11" spans="1:14" ht="15" x14ac:dyDescent="0.2">
      <c r="A11" s="85" t="s">
        <v>22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4" x14ac:dyDescent="0.2">
      <c r="A12" s="10" t="s">
        <v>24</v>
      </c>
      <c r="B12" s="10" t="s">
        <v>25</v>
      </c>
      <c r="C12" s="10" t="s">
        <v>26</v>
      </c>
      <c r="D12" s="10" t="str">
        <f>"0,6844"</f>
        <v>0,6844</v>
      </c>
      <c r="E12" s="10" t="s">
        <v>27</v>
      </c>
      <c r="F12" s="10" t="s">
        <v>28</v>
      </c>
      <c r="G12" s="11" t="s">
        <v>34</v>
      </c>
      <c r="H12" s="11" t="s">
        <v>35</v>
      </c>
      <c r="I12" s="12" t="s">
        <v>36</v>
      </c>
      <c r="J12" s="12"/>
      <c r="K12" s="13" t="str">
        <f>"152,5"</f>
        <v>152,5</v>
      </c>
      <c r="L12" s="14" t="str">
        <f>"104,3786"</f>
        <v>104,3786</v>
      </c>
      <c r="M12" s="14"/>
      <c r="N12" s="10" t="s">
        <v>37</v>
      </c>
    </row>
    <row r="14" spans="1:14" ht="15" x14ac:dyDescent="0.2">
      <c r="A14" s="85" t="s">
        <v>97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14" x14ac:dyDescent="0.2">
      <c r="A15" s="10" t="s">
        <v>212</v>
      </c>
      <c r="B15" s="10" t="s">
        <v>213</v>
      </c>
      <c r="C15" s="10" t="s">
        <v>214</v>
      </c>
      <c r="D15" s="10" t="str">
        <f>"0,6177"</f>
        <v>0,6177</v>
      </c>
      <c r="E15" s="10" t="s">
        <v>27</v>
      </c>
      <c r="F15" s="10" t="s">
        <v>42</v>
      </c>
      <c r="G15" s="11" t="s">
        <v>160</v>
      </c>
      <c r="H15" s="11" t="s">
        <v>55</v>
      </c>
      <c r="I15" s="12" t="s">
        <v>215</v>
      </c>
      <c r="J15" s="12"/>
      <c r="K15" s="13" t="str">
        <f>"165,0"</f>
        <v>165,0</v>
      </c>
      <c r="L15" s="14" t="str">
        <f>"101,9205"</f>
        <v>101,9205</v>
      </c>
      <c r="M15" s="14"/>
      <c r="N15" s="10" t="s">
        <v>82</v>
      </c>
    </row>
    <row r="17" spans="1:6" ht="15" x14ac:dyDescent="0.2">
      <c r="E17" s="7" t="s">
        <v>11</v>
      </c>
      <c r="F17" s="39" t="s">
        <v>438</v>
      </c>
    </row>
    <row r="18" spans="1:6" ht="15" x14ac:dyDescent="0.2">
      <c r="E18" s="7" t="s">
        <v>12</v>
      </c>
      <c r="F18" s="39" t="s">
        <v>439</v>
      </c>
    </row>
    <row r="19" spans="1:6" ht="15" x14ac:dyDescent="0.2">
      <c r="E19" s="7" t="s">
        <v>13</v>
      </c>
      <c r="F19" s="39" t="s">
        <v>440</v>
      </c>
    </row>
    <row r="20" spans="1:6" ht="15" x14ac:dyDescent="0.2">
      <c r="E20" s="7" t="s">
        <v>14</v>
      </c>
      <c r="F20" s="39" t="s">
        <v>441</v>
      </c>
    </row>
    <row r="21" spans="1:6" ht="15" x14ac:dyDescent="0.2">
      <c r="E21" s="7" t="s">
        <v>14</v>
      </c>
      <c r="F21" s="39" t="s">
        <v>442</v>
      </c>
    </row>
    <row r="22" spans="1:6" ht="15" x14ac:dyDescent="0.2">
      <c r="E22" s="7" t="s">
        <v>15</v>
      </c>
      <c r="F22" s="36" t="s">
        <v>443</v>
      </c>
    </row>
    <row r="23" spans="1:6" ht="15" x14ac:dyDescent="0.2">
      <c r="E23" s="7"/>
    </row>
    <row r="25" spans="1:6" ht="18" x14ac:dyDescent="0.25">
      <c r="A25" s="9" t="s">
        <v>16</v>
      </c>
      <c r="B25" s="9"/>
    </row>
    <row r="26" spans="1:6" ht="15" x14ac:dyDescent="0.2">
      <c r="A26" s="15" t="s">
        <v>56</v>
      </c>
      <c r="B26" s="15"/>
    </row>
    <row r="27" spans="1:6" ht="14.25" x14ac:dyDescent="0.2">
      <c r="A27" s="17"/>
      <c r="B27" s="18" t="s">
        <v>216</v>
      </c>
    </row>
    <row r="28" spans="1:6" ht="15" x14ac:dyDescent="0.2">
      <c r="A28" s="19" t="s">
        <v>58</v>
      </c>
      <c r="B28" s="19" t="s">
        <v>59</v>
      </c>
      <c r="C28" s="19" t="s">
        <v>60</v>
      </c>
      <c r="D28" s="19" t="s">
        <v>107</v>
      </c>
      <c r="E28" s="19" t="s">
        <v>62</v>
      </c>
    </row>
    <row r="29" spans="1:6" x14ac:dyDescent="0.2">
      <c r="A29" s="16" t="s">
        <v>203</v>
      </c>
      <c r="B29" s="4" t="s">
        <v>173</v>
      </c>
      <c r="C29" s="4" t="s">
        <v>217</v>
      </c>
      <c r="D29" s="4" t="s">
        <v>33</v>
      </c>
      <c r="E29" s="8" t="s">
        <v>218</v>
      </c>
    </row>
    <row r="31" spans="1:6" ht="14.25" x14ac:dyDescent="0.2">
      <c r="A31" s="17"/>
      <c r="B31" s="18" t="s">
        <v>161</v>
      </c>
    </row>
    <row r="32" spans="1:6" ht="15" x14ac:dyDescent="0.2">
      <c r="A32" s="19" t="s">
        <v>58</v>
      </c>
      <c r="B32" s="19" t="s">
        <v>59</v>
      </c>
      <c r="C32" s="19" t="s">
        <v>60</v>
      </c>
      <c r="D32" s="19" t="s">
        <v>107</v>
      </c>
      <c r="E32" s="19" t="s">
        <v>62</v>
      </c>
    </row>
    <row r="33" spans="1:5" x14ac:dyDescent="0.2">
      <c r="A33" s="16" t="s">
        <v>133</v>
      </c>
      <c r="B33" s="4" t="s">
        <v>162</v>
      </c>
      <c r="C33" s="4" t="s">
        <v>108</v>
      </c>
      <c r="D33" s="4" t="s">
        <v>210</v>
      </c>
      <c r="E33" s="8" t="s">
        <v>219</v>
      </c>
    </row>
    <row r="35" spans="1:5" ht="14.25" x14ac:dyDescent="0.2">
      <c r="A35" s="17"/>
      <c r="B35" s="18" t="s">
        <v>57</v>
      </c>
    </row>
    <row r="36" spans="1:5" ht="15" x14ac:dyDescent="0.2">
      <c r="A36" s="19" t="s">
        <v>58</v>
      </c>
      <c r="B36" s="19" t="s">
        <v>59</v>
      </c>
      <c r="C36" s="19" t="s">
        <v>60</v>
      </c>
      <c r="D36" s="19" t="s">
        <v>107</v>
      </c>
      <c r="E36" s="19" t="s">
        <v>62</v>
      </c>
    </row>
    <row r="37" spans="1:5" x14ac:dyDescent="0.2">
      <c r="A37" s="16" t="s">
        <v>23</v>
      </c>
      <c r="B37" s="4" t="s">
        <v>57</v>
      </c>
      <c r="C37" s="4" t="s">
        <v>63</v>
      </c>
      <c r="D37" s="4" t="s">
        <v>35</v>
      </c>
      <c r="E37" s="8" t="s">
        <v>220</v>
      </c>
    </row>
    <row r="40" spans="1:5" ht="15" x14ac:dyDescent="0.2">
      <c r="A40" s="15" t="s">
        <v>66</v>
      </c>
      <c r="B40" s="15"/>
    </row>
    <row r="41" spans="1:5" ht="14.25" x14ac:dyDescent="0.2">
      <c r="A41" s="17"/>
      <c r="B41" s="18" t="s">
        <v>57</v>
      </c>
    </row>
    <row r="42" spans="1:5" ht="15" x14ac:dyDescent="0.2">
      <c r="A42" s="19" t="s">
        <v>58</v>
      </c>
      <c r="B42" s="19" t="s">
        <v>59</v>
      </c>
      <c r="C42" s="19" t="s">
        <v>60</v>
      </c>
      <c r="D42" s="19" t="s">
        <v>107</v>
      </c>
      <c r="E42" s="19" t="s">
        <v>62</v>
      </c>
    </row>
    <row r="43" spans="1:5" x14ac:dyDescent="0.2">
      <c r="A43" s="16" t="s">
        <v>211</v>
      </c>
      <c r="B43" s="4" t="s">
        <v>57</v>
      </c>
      <c r="C43" s="4" t="s">
        <v>110</v>
      </c>
      <c r="D43" s="4" t="s">
        <v>55</v>
      </c>
      <c r="E43" s="8" t="s">
        <v>221</v>
      </c>
    </row>
  </sheetData>
  <mergeCells count="16">
    <mergeCell ref="N3:N4"/>
    <mergeCell ref="A5:J5"/>
    <mergeCell ref="A1:N2"/>
    <mergeCell ref="A3:A4"/>
    <mergeCell ref="B3:B4"/>
    <mergeCell ref="C3:C4"/>
    <mergeCell ref="D3:D4"/>
    <mergeCell ref="E3:E4"/>
    <mergeCell ref="F3:F4"/>
    <mergeCell ref="G3:J3"/>
    <mergeCell ref="M3:M4"/>
    <mergeCell ref="A8:J8"/>
    <mergeCell ref="A11:J11"/>
    <mergeCell ref="A14:J14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6.5703125" style="2" bestFit="1" customWidth="1"/>
    <col min="13" max="13" width="13.42578125" style="4" bestFit="1" customWidth="1"/>
    <col min="14" max="16384" width="9.140625" style="3"/>
  </cols>
  <sheetData>
    <row r="1" spans="1:13" s="2" customFormat="1" ht="29.1" customHeight="1" x14ac:dyDescent="0.2">
      <c r="A1" s="68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20</v>
      </c>
      <c r="H3" s="78"/>
      <c r="I3" s="78"/>
      <c r="J3" s="78"/>
      <c r="K3" s="78" t="s">
        <v>117</v>
      </c>
      <c r="L3" s="78" t="s">
        <v>3</v>
      </c>
      <c r="M3" s="79" t="s">
        <v>2</v>
      </c>
    </row>
    <row r="4" spans="1:13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0"/>
    </row>
    <row r="5" spans="1:13" ht="15" x14ac:dyDescent="0.2">
      <c r="A5" s="66" t="s">
        <v>193</v>
      </c>
      <c r="B5" s="67"/>
      <c r="C5" s="67"/>
      <c r="D5" s="67"/>
      <c r="E5" s="67"/>
      <c r="F5" s="67"/>
      <c r="G5" s="67"/>
      <c r="H5" s="67"/>
      <c r="I5" s="67"/>
      <c r="J5" s="67"/>
    </row>
    <row r="6" spans="1:13" x14ac:dyDescent="0.2">
      <c r="A6" s="10" t="s">
        <v>194</v>
      </c>
      <c r="B6" s="10" t="s">
        <v>195</v>
      </c>
      <c r="C6" s="10" t="s">
        <v>196</v>
      </c>
      <c r="D6" s="10" t="str">
        <f>"0,5242"</f>
        <v>0,5242</v>
      </c>
      <c r="E6" s="10" t="s">
        <v>27</v>
      </c>
      <c r="F6" s="10" t="s">
        <v>42</v>
      </c>
      <c r="G6" s="12" t="s">
        <v>197</v>
      </c>
      <c r="H6" s="12" t="s">
        <v>198</v>
      </c>
      <c r="I6" s="12" t="s">
        <v>199</v>
      </c>
      <c r="J6" s="12"/>
      <c r="K6" s="13" t="str">
        <f>"0.00"</f>
        <v>0.00</v>
      </c>
      <c r="L6" s="14" t="str">
        <f>"0,0000"</f>
        <v>0,0000</v>
      </c>
      <c r="M6" s="10" t="s">
        <v>200</v>
      </c>
    </row>
    <row r="8" spans="1:13" ht="15" x14ac:dyDescent="0.2">
      <c r="E8" s="7" t="s">
        <v>11</v>
      </c>
      <c r="F8" s="39" t="s">
        <v>438</v>
      </c>
    </row>
    <row r="9" spans="1:13" ht="15" x14ac:dyDescent="0.2">
      <c r="E9" s="7" t="s">
        <v>12</v>
      </c>
      <c r="F9" s="39" t="s">
        <v>439</v>
      </c>
    </row>
    <row r="10" spans="1:13" ht="15" x14ac:dyDescent="0.2">
      <c r="E10" s="7" t="s">
        <v>13</v>
      </c>
      <c r="F10" s="39" t="s">
        <v>440</v>
      </c>
    </row>
    <row r="11" spans="1:13" ht="15" x14ac:dyDescent="0.2">
      <c r="E11" s="7" t="s">
        <v>14</v>
      </c>
      <c r="F11" s="39" t="s">
        <v>441</v>
      </c>
    </row>
    <row r="12" spans="1:13" ht="15" x14ac:dyDescent="0.2">
      <c r="E12" s="7" t="s">
        <v>14</v>
      </c>
      <c r="F12" s="39" t="s">
        <v>442</v>
      </c>
    </row>
    <row r="13" spans="1:13" ht="15" x14ac:dyDescent="0.2">
      <c r="E13" s="7" t="s">
        <v>15</v>
      </c>
      <c r="F13" s="36" t="s">
        <v>443</v>
      </c>
    </row>
    <row r="14" spans="1:13" ht="15" x14ac:dyDescent="0.2">
      <c r="E14" s="7"/>
    </row>
    <row r="16" spans="1:13" ht="18" x14ac:dyDescent="0.25">
      <c r="A16" s="9" t="s">
        <v>16</v>
      </c>
      <c r="B16" s="9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16" sqref="K1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2" bestFit="1" customWidth="1"/>
    <col min="13" max="13" width="11" style="2" customWidth="1"/>
    <col min="14" max="14" width="15.7109375" style="4" bestFit="1" customWidth="1"/>
    <col min="15" max="16384" width="9.140625" style="3"/>
  </cols>
  <sheetData>
    <row r="1" spans="1:14" s="2" customFormat="1" ht="29.1" customHeight="1" x14ac:dyDescent="0.2">
      <c r="A1" s="68" t="s">
        <v>175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81"/>
      <c r="N1" s="70"/>
    </row>
    <row r="2" spans="1:14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82"/>
      <c r="N2" s="73"/>
    </row>
    <row r="3" spans="1:14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20</v>
      </c>
      <c r="H3" s="78"/>
      <c r="I3" s="78"/>
      <c r="J3" s="78"/>
      <c r="K3" s="78" t="s">
        <v>117</v>
      </c>
      <c r="L3" s="78" t="s">
        <v>3</v>
      </c>
      <c r="M3" s="83" t="s">
        <v>448</v>
      </c>
      <c r="N3" s="79" t="s">
        <v>2</v>
      </c>
    </row>
    <row r="4" spans="1:14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4"/>
      <c r="N4" s="80"/>
    </row>
    <row r="5" spans="1:14" ht="15" x14ac:dyDescent="0.2">
      <c r="A5" s="66" t="s">
        <v>22</v>
      </c>
      <c r="B5" s="67"/>
      <c r="C5" s="67"/>
      <c r="D5" s="67"/>
      <c r="E5" s="67"/>
      <c r="F5" s="67"/>
      <c r="G5" s="67"/>
      <c r="H5" s="67"/>
      <c r="I5" s="67"/>
      <c r="J5" s="67"/>
    </row>
    <row r="6" spans="1:14" x14ac:dyDescent="0.2">
      <c r="A6" s="10" t="s">
        <v>177</v>
      </c>
      <c r="B6" s="10" t="s">
        <v>178</v>
      </c>
      <c r="C6" s="10" t="s">
        <v>179</v>
      </c>
      <c r="D6" s="10" t="str">
        <f>"0,6492"</f>
        <v>0,6492</v>
      </c>
      <c r="E6" s="10" t="s">
        <v>27</v>
      </c>
      <c r="F6" s="10" t="s">
        <v>28</v>
      </c>
      <c r="G6" s="11" t="s">
        <v>180</v>
      </c>
      <c r="H6" s="11" t="s">
        <v>181</v>
      </c>
      <c r="I6" s="11" t="s">
        <v>182</v>
      </c>
      <c r="J6" s="12"/>
      <c r="K6" s="51" t="str">
        <f>"272,5"</f>
        <v>272,5</v>
      </c>
      <c r="L6" s="14" t="str">
        <f>"176,9070"</f>
        <v>176,9070</v>
      </c>
      <c r="M6" s="55" t="s">
        <v>449</v>
      </c>
      <c r="N6" s="10" t="s">
        <v>82</v>
      </c>
    </row>
    <row r="8" spans="1:14" ht="15" x14ac:dyDescent="0.2">
      <c r="A8" s="85" t="s">
        <v>97</v>
      </c>
      <c r="B8" s="86"/>
      <c r="C8" s="86"/>
      <c r="D8" s="86"/>
      <c r="E8" s="86"/>
      <c r="F8" s="86"/>
      <c r="G8" s="86"/>
      <c r="H8" s="86"/>
      <c r="I8" s="86"/>
      <c r="J8" s="86"/>
    </row>
    <row r="9" spans="1:14" x14ac:dyDescent="0.2">
      <c r="A9" s="10" t="s">
        <v>184</v>
      </c>
      <c r="B9" s="10" t="s">
        <v>185</v>
      </c>
      <c r="C9" s="10" t="s">
        <v>186</v>
      </c>
      <c r="D9" s="10" t="str">
        <f>"0,6132"</f>
        <v>0,6132</v>
      </c>
      <c r="E9" s="10" t="s">
        <v>27</v>
      </c>
      <c r="F9" s="10" t="s">
        <v>28</v>
      </c>
      <c r="G9" s="11" t="s">
        <v>187</v>
      </c>
      <c r="H9" s="12" t="s">
        <v>188</v>
      </c>
      <c r="I9" s="12" t="s">
        <v>189</v>
      </c>
      <c r="J9" s="12"/>
      <c r="K9" s="13" t="str">
        <f>"230,0"</f>
        <v>230,0</v>
      </c>
      <c r="L9" s="14" t="str">
        <f>"141,0360"</f>
        <v>141,0360</v>
      </c>
      <c r="M9" s="14"/>
      <c r="N9" s="10" t="s">
        <v>82</v>
      </c>
    </row>
    <row r="11" spans="1:14" ht="15" x14ac:dyDescent="0.2">
      <c r="E11" s="7" t="s">
        <v>11</v>
      </c>
      <c r="F11" s="39" t="s">
        <v>438</v>
      </c>
    </row>
    <row r="12" spans="1:14" ht="15" x14ac:dyDescent="0.2">
      <c r="E12" s="7" t="s">
        <v>12</v>
      </c>
      <c r="F12" s="39" t="s">
        <v>439</v>
      </c>
    </row>
    <row r="13" spans="1:14" ht="15" x14ac:dyDescent="0.2">
      <c r="E13" s="7" t="s">
        <v>13</v>
      </c>
      <c r="F13" s="39" t="s">
        <v>440</v>
      </c>
    </row>
    <row r="14" spans="1:14" ht="15" x14ac:dyDescent="0.2">
      <c r="E14" s="7" t="s">
        <v>14</v>
      </c>
      <c r="F14" s="39" t="s">
        <v>441</v>
      </c>
    </row>
    <row r="15" spans="1:14" ht="15" x14ac:dyDescent="0.2">
      <c r="E15" s="7" t="s">
        <v>14</v>
      </c>
      <c r="F15" s="39" t="s">
        <v>442</v>
      </c>
    </row>
    <row r="16" spans="1:14" ht="15" x14ac:dyDescent="0.2">
      <c r="E16" s="7" t="s">
        <v>15</v>
      </c>
      <c r="F16" s="36" t="s">
        <v>443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66</v>
      </c>
      <c r="B20" s="15"/>
    </row>
    <row r="21" spans="1:5" ht="14.25" x14ac:dyDescent="0.2">
      <c r="A21" s="17"/>
      <c r="B21" s="18" t="s">
        <v>57</v>
      </c>
    </row>
    <row r="22" spans="1:5" ht="15" x14ac:dyDescent="0.2">
      <c r="A22" s="19" t="s">
        <v>58</v>
      </c>
      <c r="B22" s="19" t="s">
        <v>59</v>
      </c>
      <c r="C22" s="19" t="s">
        <v>60</v>
      </c>
      <c r="D22" s="19" t="s">
        <v>107</v>
      </c>
      <c r="E22" s="19" t="s">
        <v>62</v>
      </c>
    </row>
    <row r="23" spans="1:5" x14ac:dyDescent="0.2">
      <c r="A23" s="16" t="s">
        <v>176</v>
      </c>
      <c r="B23" s="4" t="s">
        <v>57</v>
      </c>
      <c r="C23" s="4" t="s">
        <v>63</v>
      </c>
      <c r="D23" s="4" t="s">
        <v>182</v>
      </c>
      <c r="E23" s="8" t="s">
        <v>190</v>
      </c>
    </row>
    <row r="24" spans="1:5" x14ac:dyDescent="0.2">
      <c r="A24" s="16" t="s">
        <v>183</v>
      </c>
      <c r="B24" s="4" t="s">
        <v>57</v>
      </c>
      <c r="C24" s="4" t="s">
        <v>110</v>
      </c>
      <c r="D24" s="4" t="s">
        <v>187</v>
      </c>
      <c r="E24" s="8" t="s">
        <v>191</v>
      </c>
    </row>
  </sheetData>
  <mergeCells count="14">
    <mergeCell ref="A1:N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N3:N4"/>
    <mergeCell ref="A5:J5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0" sqref="A20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42578125" style="4" bestFit="1" customWidth="1"/>
    <col min="7" max="9" width="4.5703125" style="3" customWidth="1"/>
    <col min="10" max="10" width="4.85546875" style="3" customWidth="1"/>
    <col min="11" max="11" width="7.85546875" style="8" bestFit="1" customWidth="1"/>
    <col min="12" max="12" width="7.5703125" style="2" bestFit="1" customWidth="1"/>
    <col min="13" max="13" width="16.140625" style="4" bestFit="1" customWidth="1"/>
    <col min="14" max="16384" width="9.140625" style="3"/>
  </cols>
  <sheetData>
    <row r="1" spans="1:13" s="2" customFormat="1" ht="29.1" customHeight="1" x14ac:dyDescent="0.2">
      <c r="A1" s="68" t="s">
        <v>168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20</v>
      </c>
      <c r="H3" s="78"/>
      <c r="I3" s="78"/>
      <c r="J3" s="78"/>
      <c r="K3" s="78" t="s">
        <v>117</v>
      </c>
      <c r="L3" s="78" t="s">
        <v>3</v>
      </c>
      <c r="M3" s="79" t="s">
        <v>2</v>
      </c>
    </row>
    <row r="4" spans="1:13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0"/>
    </row>
    <row r="5" spans="1:13" ht="15" x14ac:dyDescent="0.2">
      <c r="A5" s="66" t="s">
        <v>140</v>
      </c>
      <c r="B5" s="67"/>
      <c r="C5" s="67"/>
      <c r="D5" s="67"/>
      <c r="E5" s="67"/>
      <c r="F5" s="67"/>
      <c r="G5" s="67"/>
      <c r="H5" s="67"/>
      <c r="I5" s="67"/>
      <c r="J5" s="67"/>
    </row>
    <row r="6" spans="1:13" x14ac:dyDescent="0.2">
      <c r="A6" s="10" t="s">
        <v>170</v>
      </c>
      <c r="B6" s="10" t="s">
        <v>171</v>
      </c>
      <c r="C6" s="10" t="s">
        <v>172</v>
      </c>
      <c r="D6" s="10" t="str">
        <f>"0,8924"</f>
        <v>0,8924</v>
      </c>
      <c r="E6" s="10" t="s">
        <v>27</v>
      </c>
      <c r="F6" s="10" t="s">
        <v>80</v>
      </c>
      <c r="G6" s="11" t="s">
        <v>138</v>
      </c>
      <c r="H6" s="11" t="s">
        <v>125</v>
      </c>
      <c r="I6" s="11" t="s">
        <v>126</v>
      </c>
      <c r="J6" s="12"/>
      <c r="K6" s="13" t="str">
        <f>"52,5"</f>
        <v>52,5</v>
      </c>
      <c r="L6" s="14" t="str">
        <f>"57,6267"</f>
        <v>57,6267</v>
      </c>
      <c r="M6" s="10" t="s">
        <v>147</v>
      </c>
    </row>
    <row r="8" spans="1:13" ht="15" x14ac:dyDescent="0.2">
      <c r="E8" s="7" t="s">
        <v>11</v>
      </c>
      <c r="F8" s="39" t="s">
        <v>438</v>
      </c>
    </row>
    <row r="9" spans="1:13" ht="15" x14ac:dyDescent="0.2">
      <c r="E9" s="7" t="s">
        <v>12</v>
      </c>
      <c r="F9" s="39" t="s">
        <v>439</v>
      </c>
    </row>
    <row r="10" spans="1:13" ht="15" x14ac:dyDescent="0.2">
      <c r="E10" s="7" t="s">
        <v>13</v>
      </c>
      <c r="F10" s="39" t="s">
        <v>440</v>
      </c>
    </row>
    <row r="11" spans="1:13" ht="15" x14ac:dyDescent="0.2">
      <c r="E11" s="7" t="s">
        <v>14</v>
      </c>
      <c r="F11" s="39" t="s">
        <v>441</v>
      </c>
    </row>
    <row r="12" spans="1:13" ht="15" x14ac:dyDescent="0.2">
      <c r="E12" s="7" t="s">
        <v>14</v>
      </c>
      <c r="F12" s="39" t="s">
        <v>442</v>
      </c>
    </row>
    <row r="13" spans="1:13" ht="15" x14ac:dyDescent="0.2">
      <c r="E13" s="7" t="s">
        <v>15</v>
      </c>
      <c r="F13" s="36" t="s">
        <v>443</v>
      </c>
    </row>
    <row r="14" spans="1:13" ht="15" x14ac:dyDescent="0.2">
      <c r="E14" s="7"/>
    </row>
    <row r="16" spans="1:13" ht="18" x14ac:dyDescent="0.25">
      <c r="A16" s="9" t="s">
        <v>16</v>
      </c>
      <c r="B16" s="9"/>
    </row>
    <row r="17" spans="1:5" ht="15" x14ac:dyDescent="0.2">
      <c r="A17" s="15" t="s">
        <v>66</v>
      </c>
      <c r="B17" s="15"/>
    </row>
    <row r="18" spans="1:5" ht="14.25" x14ac:dyDescent="0.2">
      <c r="A18" s="17"/>
      <c r="B18" s="18" t="s">
        <v>67</v>
      </c>
    </row>
    <row r="19" spans="1:5" ht="15" x14ac:dyDescent="0.2">
      <c r="A19" s="19" t="s">
        <v>58</v>
      </c>
      <c r="B19" s="19" t="s">
        <v>59</v>
      </c>
      <c r="C19" s="19" t="s">
        <v>60</v>
      </c>
      <c r="D19" s="19" t="s">
        <v>107</v>
      </c>
      <c r="E19" s="19" t="s">
        <v>62</v>
      </c>
    </row>
    <row r="20" spans="1:5" x14ac:dyDescent="0.2">
      <c r="A20" s="16" t="s">
        <v>169</v>
      </c>
      <c r="B20" s="4" t="s">
        <v>173</v>
      </c>
      <c r="C20" s="4" t="s">
        <v>164</v>
      </c>
      <c r="D20" s="4" t="s">
        <v>126</v>
      </c>
      <c r="E20" s="8" t="s">
        <v>174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M9" sqref="M9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7.1406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2" bestFit="1" customWidth="1"/>
    <col min="13" max="13" width="17.5703125" style="4" bestFit="1" customWidth="1"/>
    <col min="14" max="16384" width="9.140625" style="3"/>
  </cols>
  <sheetData>
    <row r="1" spans="1:13" s="2" customFormat="1" ht="29.1" customHeight="1" x14ac:dyDescent="0.2">
      <c r="A1" s="68" t="s">
        <v>132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20</v>
      </c>
      <c r="H3" s="78"/>
      <c r="I3" s="78"/>
      <c r="J3" s="78"/>
      <c r="K3" s="78" t="s">
        <v>117</v>
      </c>
      <c r="L3" s="78" t="s">
        <v>3</v>
      </c>
      <c r="M3" s="79" t="s">
        <v>2</v>
      </c>
    </row>
    <row r="4" spans="1:13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0"/>
    </row>
    <row r="5" spans="1:13" ht="15" x14ac:dyDescent="0.2">
      <c r="A5" s="66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3" x14ac:dyDescent="0.2">
      <c r="A6" s="10" t="s">
        <v>134</v>
      </c>
      <c r="B6" s="10" t="s">
        <v>135</v>
      </c>
      <c r="C6" s="10" t="s">
        <v>136</v>
      </c>
      <c r="D6" s="10" t="str">
        <f>"0,7343"</f>
        <v>0,7343</v>
      </c>
      <c r="E6" s="10" t="s">
        <v>27</v>
      </c>
      <c r="F6" s="10" t="s">
        <v>137</v>
      </c>
      <c r="G6" s="11" t="s">
        <v>138</v>
      </c>
      <c r="H6" s="11" t="s">
        <v>125</v>
      </c>
      <c r="I6" s="11" t="s">
        <v>126</v>
      </c>
      <c r="J6" s="12"/>
      <c r="K6" s="13" t="str">
        <f>"52,5"</f>
        <v>52,5</v>
      </c>
      <c r="L6" s="14" t="str">
        <f>"39,3218"</f>
        <v>39,3218</v>
      </c>
      <c r="M6" s="10" t="s">
        <v>139</v>
      </c>
    </row>
    <row r="8" spans="1:13" ht="15" x14ac:dyDescent="0.2">
      <c r="A8" s="85" t="s">
        <v>140</v>
      </c>
      <c r="B8" s="86"/>
      <c r="C8" s="86"/>
      <c r="D8" s="86"/>
      <c r="E8" s="86"/>
      <c r="F8" s="86"/>
      <c r="G8" s="86"/>
      <c r="H8" s="86"/>
      <c r="I8" s="86"/>
      <c r="J8" s="86"/>
    </row>
    <row r="9" spans="1:13" x14ac:dyDescent="0.2">
      <c r="A9" s="20" t="s">
        <v>142</v>
      </c>
      <c r="B9" s="20" t="s">
        <v>143</v>
      </c>
      <c r="C9" s="20" t="s">
        <v>144</v>
      </c>
      <c r="D9" s="20" t="str">
        <f>"0,8748"</f>
        <v>0,8748</v>
      </c>
      <c r="E9" s="20" t="s">
        <v>87</v>
      </c>
      <c r="F9" s="20" t="s">
        <v>80</v>
      </c>
      <c r="G9" s="22" t="s">
        <v>127</v>
      </c>
      <c r="H9" s="22" t="s">
        <v>145</v>
      </c>
      <c r="I9" s="22" t="s">
        <v>146</v>
      </c>
      <c r="J9" s="21"/>
      <c r="K9" s="26" t="str">
        <f>"62,5"</f>
        <v>62,5</v>
      </c>
      <c r="L9" s="27" t="str">
        <f>"64,5165"</f>
        <v>64,5165</v>
      </c>
      <c r="M9" s="20" t="s">
        <v>147</v>
      </c>
    </row>
    <row r="10" spans="1:13" x14ac:dyDescent="0.2">
      <c r="A10" s="23" t="s">
        <v>149</v>
      </c>
      <c r="B10" s="23" t="s">
        <v>150</v>
      </c>
      <c r="C10" s="23" t="s">
        <v>151</v>
      </c>
      <c r="D10" s="23" t="str">
        <f>"0,9016"</f>
        <v>0,9016</v>
      </c>
      <c r="E10" s="23" t="s">
        <v>27</v>
      </c>
      <c r="F10" s="23" t="s">
        <v>28</v>
      </c>
      <c r="G10" s="25" t="s">
        <v>152</v>
      </c>
      <c r="H10" s="24" t="s">
        <v>153</v>
      </c>
      <c r="I10" s="24" t="s">
        <v>153</v>
      </c>
      <c r="J10" s="24"/>
      <c r="K10" s="28" t="str">
        <f>"92,5"</f>
        <v>92,5</v>
      </c>
      <c r="L10" s="29" t="str">
        <f>"83,3980"</f>
        <v>83,3980</v>
      </c>
      <c r="M10" s="23" t="s">
        <v>154</v>
      </c>
    </row>
    <row r="12" spans="1:13" ht="15" x14ac:dyDescent="0.2">
      <c r="A12" s="85" t="s">
        <v>97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3" x14ac:dyDescent="0.2">
      <c r="A13" s="10" t="s">
        <v>156</v>
      </c>
      <c r="B13" s="10" t="s">
        <v>157</v>
      </c>
      <c r="C13" s="10" t="s">
        <v>158</v>
      </c>
      <c r="D13" s="10" t="str">
        <f>"0,5965"</f>
        <v>0,5965</v>
      </c>
      <c r="E13" s="10" t="s">
        <v>27</v>
      </c>
      <c r="F13" s="10" t="s">
        <v>28</v>
      </c>
      <c r="G13" s="11" t="s">
        <v>159</v>
      </c>
      <c r="H13" s="12" t="s">
        <v>160</v>
      </c>
      <c r="I13" s="12" t="s">
        <v>160</v>
      </c>
      <c r="J13" s="12"/>
      <c r="K13" s="13" t="str">
        <f>"155,0"</f>
        <v>155,0</v>
      </c>
      <c r="L13" s="14" t="str">
        <f>"92,4575"</f>
        <v>92,4575</v>
      </c>
      <c r="M13" s="10" t="s">
        <v>82</v>
      </c>
    </row>
    <row r="15" spans="1:13" ht="15" x14ac:dyDescent="0.2">
      <c r="E15" s="7" t="s">
        <v>11</v>
      </c>
      <c r="F15" s="39" t="s">
        <v>438</v>
      </c>
    </row>
    <row r="16" spans="1:13" ht="15" x14ac:dyDescent="0.2">
      <c r="E16" s="7" t="s">
        <v>12</v>
      </c>
      <c r="F16" s="39" t="s">
        <v>439</v>
      </c>
    </row>
    <row r="17" spans="1:6" ht="15" x14ac:dyDescent="0.2">
      <c r="E17" s="7" t="s">
        <v>13</v>
      </c>
      <c r="F17" s="39" t="s">
        <v>440</v>
      </c>
    </row>
    <row r="18" spans="1:6" ht="15" x14ac:dyDescent="0.2">
      <c r="E18" s="7" t="s">
        <v>14</v>
      </c>
      <c r="F18" s="39" t="s">
        <v>441</v>
      </c>
    </row>
    <row r="19" spans="1:6" ht="15" x14ac:dyDescent="0.2">
      <c r="E19" s="7" t="s">
        <v>14</v>
      </c>
      <c r="F19" s="39" t="s">
        <v>442</v>
      </c>
    </row>
    <row r="20" spans="1:6" ht="15" x14ac:dyDescent="0.2">
      <c r="E20" s="7" t="s">
        <v>15</v>
      </c>
      <c r="F20" s="36" t="s">
        <v>443</v>
      </c>
    </row>
    <row r="21" spans="1:6" ht="15" x14ac:dyDescent="0.2">
      <c r="E21" s="7"/>
    </row>
    <row r="23" spans="1:6" ht="18" x14ac:dyDescent="0.25">
      <c r="A23" s="9" t="s">
        <v>16</v>
      </c>
      <c r="B23" s="9"/>
    </row>
    <row r="24" spans="1:6" ht="15" x14ac:dyDescent="0.2">
      <c r="A24" s="15" t="s">
        <v>56</v>
      </c>
      <c r="B24" s="15"/>
    </row>
    <row r="25" spans="1:6" ht="14.25" x14ac:dyDescent="0.2">
      <c r="A25" s="17"/>
      <c r="B25" s="18" t="s">
        <v>161</v>
      </c>
    </row>
    <row r="26" spans="1:6" ht="15" x14ac:dyDescent="0.2">
      <c r="A26" s="19" t="s">
        <v>58</v>
      </c>
      <c r="B26" s="19" t="s">
        <v>59</v>
      </c>
      <c r="C26" s="19" t="s">
        <v>60</v>
      </c>
      <c r="D26" s="19" t="s">
        <v>107</v>
      </c>
      <c r="E26" s="19" t="s">
        <v>62</v>
      </c>
    </row>
    <row r="27" spans="1:6" x14ac:dyDescent="0.2">
      <c r="A27" s="16" t="s">
        <v>133</v>
      </c>
      <c r="B27" s="4" t="s">
        <v>162</v>
      </c>
      <c r="C27" s="4" t="s">
        <v>108</v>
      </c>
      <c r="D27" s="4" t="s">
        <v>126</v>
      </c>
      <c r="E27" s="8" t="s">
        <v>163</v>
      </c>
    </row>
    <row r="30" spans="1:6" ht="15" x14ac:dyDescent="0.2">
      <c r="A30" s="15" t="s">
        <v>66</v>
      </c>
      <c r="B30" s="15"/>
    </row>
    <row r="31" spans="1:6" ht="14.25" x14ac:dyDescent="0.2">
      <c r="A31" s="17"/>
      <c r="B31" s="18" t="s">
        <v>67</v>
      </c>
    </row>
    <row r="32" spans="1:6" ht="15" x14ac:dyDescent="0.2">
      <c r="A32" s="19" t="s">
        <v>58</v>
      </c>
      <c r="B32" s="19" t="s">
        <v>59</v>
      </c>
      <c r="C32" s="19" t="s">
        <v>60</v>
      </c>
      <c r="D32" s="19" t="s">
        <v>107</v>
      </c>
      <c r="E32" s="19" t="s">
        <v>62</v>
      </c>
    </row>
    <row r="33" spans="1:5" x14ac:dyDescent="0.2">
      <c r="A33" s="16" t="s">
        <v>141</v>
      </c>
      <c r="B33" s="4" t="s">
        <v>129</v>
      </c>
      <c r="C33" s="4" t="s">
        <v>164</v>
      </c>
      <c r="D33" s="4" t="s">
        <v>146</v>
      </c>
      <c r="E33" s="8" t="s">
        <v>165</v>
      </c>
    </row>
    <row r="35" spans="1:5" ht="14.25" x14ac:dyDescent="0.2">
      <c r="A35" s="17"/>
      <c r="B35" s="18" t="s">
        <v>57</v>
      </c>
    </row>
    <row r="36" spans="1:5" ht="15" x14ac:dyDescent="0.2">
      <c r="A36" s="19" t="s">
        <v>58</v>
      </c>
      <c r="B36" s="19" t="s">
        <v>59</v>
      </c>
      <c r="C36" s="19" t="s">
        <v>60</v>
      </c>
      <c r="D36" s="19" t="s">
        <v>107</v>
      </c>
      <c r="E36" s="19" t="s">
        <v>62</v>
      </c>
    </row>
    <row r="37" spans="1:5" x14ac:dyDescent="0.2">
      <c r="A37" s="16" t="s">
        <v>155</v>
      </c>
      <c r="B37" s="4" t="s">
        <v>57</v>
      </c>
      <c r="C37" s="4" t="s">
        <v>110</v>
      </c>
      <c r="D37" s="4" t="s">
        <v>159</v>
      </c>
      <c r="E37" s="8" t="s">
        <v>166</v>
      </c>
    </row>
    <row r="38" spans="1:5" x14ac:dyDescent="0.2">
      <c r="A38" s="16" t="s">
        <v>148</v>
      </c>
      <c r="B38" s="4" t="s">
        <v>57</v>
      </c>
      <c r="C38" s="4" t="s">
        <v>164</v>
      </c>
      <c r="D38" s="4" t="s">
        <v>152</v>
      </c>
      <c r="E38" s="8" t="s">
        <v>167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19" sqref="B1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11" style="2" customWidth="1"/>
    <col min="12" max="12" width="19.140625" style="4" bestFit="1" customWidth="1"/>
    <col min="13" max="16384" width="9.140625" style="3"/>
  </cols>
  <sheetData>
    <row r="1" spans="1:12" s="2" customFormat="1" ht="29.1" customHeight="1" x14ac:dyDescent="0.2">
      <c r="A1" s="68" t="s">
        <v>395</v>
      </c>
      <c r="B1" s="69"/>
      <c r="C1" s="69"/>
      <c r="D1" s="69"/>
      <c r="E1" s="69"/>
      <c r="F1" s="69"/>
      <c r="G1" s="69"/>
      <c r="H1" s="69"/>
      <c r="I1" s="69"/>
      <c r="J1" s="69"/>
      <c r="K1" s="81"/>
      <c r="L1" s="70"/>
    </row>
    <row r="2" spans="1:12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82"/>
      <c r="L2" s="73"/>
    </row>
    <row r="3" spans="1:12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368</v>
      </c>
      <c r="E3" s="78" t="s">
        <v>4</v>
      </c>
      <c r="F3" s="78" t="s">
        <v>7</v>
      </c>
      <c r="G3" s="78" t="s">
        <v>391</v>
      </c>
      <c r="H3" s="78"/>
      <c r="I3" s="78" t="s">
        <v>226</v>
      </c>
      <c r="J3" s="78" t="s">
        <v>3</v>
      </c>
      <c r="K3" s="83" t="s">
        <v>448</v>
      </c>
      <c r="L3" s="79" t="s">
        <v>2</v>
      </c>
    </row>
    <row r="4" spans="1:12" s="1" customFormat="1" ht="21" customHeight="1" thickBot="1" x14ac:dyDescent="0.25">
      <c r="A4" s="75"/>
      <c r="B4" s="77"/>
      <c r="C4" s="77"/>
      <c r="D4" s="77"/>
      <c r="E4" s="77"/>
      <c r="F4" s="77"/>
      <c r="G4" s="6" t="s">
        <v>8</v>
      </c>
      <c r="H4" s="6" t="s">
        <v>9</v>
      </c>
      <c r="I4" s="77"/>
      <c r="J4" s="77"/>
      <c r="K4" s="84"/>
      <c r="L4" s="80"/>
    </row>
    <row r="5" spans="1:12" ht="15" x14ac:dyDescent="0.2">
      <c r="A5" s="66" t="s">
        <v>370</v>
      </c>
      <c r="B5" s="67"/>
      <c r="C5" s="67"/>
      <c r="D5" s="67"/>
      <c r="E5" s="67"/>
      <c r="F5" s="67"/>
      <c r="G5" s="67"/>
      <c r="H5" s="67"/>
    </row>
    <row r="6" spans="1:12" x14ac:dyDescent="0.2">
      <c r="A6" s="20" t="s">
        <v>397</v>
      </c>
      <c r="B6" s="20" t="s">
        <v>398</v>
      </c>
      <c r="C6" s="20" t="s">
        <v>399</v>
      </c>
      <c r="D6" s="20" t="str">
        <f>"1,0000"</f>
        <v>1,0000</v>
      </c>
      <c r="E6" s="20" t="s">
        <v>124</v>
      </c>
      <c r="F6" s="20" t="s">
        <v>42</v>
      </c>
      <c r="G6" s="22" t="s">
        <v>125</v>
      </c>
      <c r="H6" s="52" t="s">
        <v>400</v>
      </c>
      <c r="I6" s="26" t="str">
        <f>"900,0"</f>
        <v>900,0</v>
      </c>
      <c r="J6" s="59" t="str">
        <f>"10,2389"</f>
        <v>10,2389</v>
      </c>
      <c r="K6" s="56" t="s">
        <v>449</v>
      </c>
      <c r="L6" s="20" t="s">
        <v>128</v>
      </c>
    </row>
    <row r="7" spans="1:12" x14ac:dyDescent="0.2">
      <c r="A7" s="30" t="s">
        <v>402</v>
      </c>
      <c r="B7" s="30" t="s">
        <v>403</v>
      </c>
      <c r="C7" s="30" t="s">
        <v>404</v>
      </c>
      <c r="D7" s="30" t="str">
        <f>"1,0000"</f>
        <v>1,0000</v>
      </c>
      <c r="E7" s="30" t="s">
        <v>27</v>
      </c>
      <c r="F7" s="30" t="s">
        <v>42</v>
      </c>
      <c r="G7" s="32" t="s">
        <v>125</v>
      </c>
      <c r="H7" s="53" t="s">
        <v>138</v>
      </c>
      <c r="I7" s="33" t="str">
        <f>"2250,0"</f>
        <v>2250,0</v>
      </c>
      <c r="J7" s="60" t="str">
        <f>"22,8426"</f>
        <v>22,8426</v>
      </c>
      <c r="K7" s="56" t="s">
        <v>449</v>
      </c>
      <c r="L7" s="30" t="s">
        <v>47</v>
      </c>
    </row>
    <row r="8" spans="1:12" x14ac:dyDescent="0.2">
      <c r="A8" s="23" t="s">
        <v>405</v>
      </c>
      <c r="B8" s="23" t="s">
        <v>341</v>
      </c>
      <c r="C8" s="23" t="s">
        <v>342</v>
      </c>
      <c r="D8" s="23" t="str">
        <f>"1,0000"</f>
        <v>1,0000</v>
      </c>
      <c r="E8" s="23" t="s">
        <v>124</v>
      </c>
      <c r="F8" s="23" t="s">
        <v>28</v>
      </c>
      <c r="G8" s="25" t="s">
        <v>125</v>
      </c>
      <c r="H8" s="54" t="s">
        <v>252</v>
      </c>
      <c r="I8" s="28" t="str">
        <f>"1750,0"</f>
        <v>1750,0</v>
      </c>
      <c r="J8" s="61" t="str">
        <f>"21,6182"</f>
        <v>21,6182</v>
      </c>
      <c r="K8" s="56" t="s">
        <v>449</v>
      </c>
      <c r="L8" s="23" t="s">
        <v>128</v>
      </c>
    </row>
    <row r="10" spans="1:12" ht="15" x14ac:dyDescent="0.2">
      <c r="E10" s="7" t="s">
        <v>11</v>
      </c>
      <c r="F10" s="39" t="s">
        <v>438</v>
      </c>
    </row>
    <row r="11" spans="1:12" ht="15" x14ac:dyDescent="0.2">
      <c r="E11" s="7" t="s">
        <v>12</v>
      </c>
      <c r="F11" s="39" t="s">
        <v>439</v>
      </c>
    </row>
    <row r="12" spans="1:12" ht="15" x14ac:dyDescent="0.2">
      <c r="E12" s="7" t="s">
        <v>13</v>
      </c>
      <c r="F12" s="39" t="s">
        <v>440</v>
      </c>
    </row>
    <row r="13" spans="1:12" ht="15" x14ac:dyDescent="0.2">
      <c r="E13" s="7" t="s">
        <v>14</v>
      </c>
      <c r="F13" s="39" t="s">
        <v>441</v>
      </c>
    </row>
    <row r="14" spans="1:12" ht="15" x14ac:dyDescent="0.2">
      <c r="E14" s="7" t="s">
        <v>14</v>
      </c>
      <c r="F14" s="39" t="s">
        <v>442</v>
      </c>
    </row>
    <row r="15" spans="1:12" ht="15" x14ac:dyDescent="0.2">
      <c r="E15" s="7" t="s">
        <v>15</v>
      </c>
      <c r="F15" s="36" t="s">
        <v>443</v>
      </c>
    </row>
    <row r="16" spans="1:12" ht="15" x14ac:dyDescent="0.2">
      <c r="E16" s="7"/>
    </row>
    <row r="18" spans="1:5" ht="18" x14ac:dyDescent="0.25">
      <c r="A18" s="9" t="s">
        <v>16</v>
      </c>
      <c r="B18" s="9"/>
    </row>
    <row r="19" spans="1:5" ht="15" x14ac:dyDescent="0.2">
      <c r="A19" s="15" t="s">
        <v>66</v>
      </c>
      <c r="B19" s="15"/>
    </row>
    <row r="20" spans="1:5" ht="14.25" x14ac:dyDescent="0.2">
      <c r="A20" s="17"/>
      <c r="B20" s="18" t="s">
        <v>67</v>
      </c>
    </row>
    <row r="21" spans="1:5" ht="15" x14ac:dyDescent="0.2">
      <c r="A21" s="19" t="s">
        <v>58</v>
      </c>
      <c r="B21" s="19" t="s">
        <v>59</v>
      </c>
      <c r="C21" s="19" t="s">
        <v>60</v>
      </c>
      <c r="D21" s="19" t="s">
        <v>107</v>
      </c>
      <c r="E21" s="19" t="s">
        <v>372</v>
      </c>
    </row>
    <row r="22" spans="1:5" x14ac:dyDescent="0.2">
      <c r="A22" s="16" t="s">
        <v>396</v>
      </c>
      <c r="B22" s="4" t="s">
        <v>68</v>
      </c>
      <c r="C22" s="4" t="s">
        <v>373</v>
      </c>
      <c r="D22" s="4" t="s">
        <v>406</v>
      </c>
      <c r="E22" s="8" t="s">
        <v>407</v>
      </c>
    </row>
    <row r="24" spans="1:5" ht="14.25" x14ac:dyDescent="0.2">
      <c r="A24" s="17"/>
      <c r="B24" s="18" t="s">
        <v>113</v>
      </c>
    </row>
    <row r="25" spans="1:5" ht="15" x14ac:dyDescent="0.2">
      <c r="A25" s="19" t="s">
        <v>58</v>
      </c>
      <c r="B25" s="19" t="s">
        <v>59</v>
      </c>
      <c r="C25" s="19" t="s">
        <v>60</v>
      </c>
      <c r="D25" s="19" t="s">
        <v>107</v>
      </c>
      <c r="E25" s="19" t="s">
        <v>372</v>
      </c>
    </row>
    <row r="26" spans="1:5" x14ac:dyDescent="0.2">
      <c r="A26" s="16" t="s">
        <v>401</v>
      </c>
      <c r="B26" s="4" t="s">
        <v>350</v>
      </c>
      <c r="C26" s="4" t="s">
        <v>373</v>
      </c>
      <c r="D26" s="4" t="s">
        <v>408</v>
      </c>
      <c r="E26" s="8" t="s">
        <v>409</v>
      </c>
    </row>
    <row r="27" spans="1:5" x14ac:dyDescent="0.2">
      <c r="A27" s="16" t="s">
        <v>339</v>
      </c>
      <c r="B27" s="4" t="s">
        <v>350</v>
      </c>
      <c r="C27" s="4" t="s">
        <v>373</v>
      </c>
      <c r="D27" s="4" t="s">
        <v>410</v>
      </c>
      <c r="E27" s="8" t="s">
        <v>411</v>
      </c>
    </row>
  </sheetData>
  <mergeCells count="13">
    <mergeCell ref="A5:H5"/>
    <mergeCell ref="A1:L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L3:L4"/>
    <mergeCell ref="K3:K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6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9" width="4.5703125" style="3" customWidth="1"/>
    <col min="10" max="10" width="4.85546875" style="3" customWidth="1"/>
    <col min="11" max="11" width="7.85546875" style="8" bestFit="1" customWidth="1"/>
    <col min="12" max="12" width="7.5703125" style="2" bestFit="1" customWidth="1"/>
    <col min="13" max="13" width="19.140625" style="4" bestFit="1" customWidth="1"/>
    <col min="14" max="16384" width="9.140625" style="3"/>
  </cols>
  <sheetData>
    <row r="1" spans="1:13" s="2" customFormat="1" ht="29.1" customHeight="1" x14ac:dyDescent="0.2">
      <c r="A1" s="68" t="s">
        <v>118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20</v>
      </c>
      <c r="H3" s="78"/>
      <c r="I3" s="78"/>
      <c r="J3" s="78"/>
      <c r="K3" s="78" t="s">
        <v>117</v>
      </c>
      <c r="L3" s="78" t="s">
        <v>3</v>
      </c>
      <c r="M3" s="79" t="s">
        <v>2</v>
      </c>
    </row>
    <row r="4" spans="1:13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0"/>
    </row>
    <row r="5" spans="1:13" ht="15" x14ac:dyDescent="0.2">
      <c r="A5" s="66" t="s">
        <v>119</v>
      </c>
      <c r="B5" s="67"/>
      <c r="C5" s="67"/>
      <c r="D5" s="67"/>
      <c r="E5" s="67"/>
      <c r="F5" s="67"/>
      <c r="G5" s="67"/>
      <c r="H5" s="67"/>
      <c r="I5" s="67"/>
      <c r="J5" s="67"/>
    </row>
    <row r="6" spans="1:13" x14ac:dyDescent="0.2">
      <c r="A6" s="10" t="s">
        <v>121</v>
      </c>
      <c r="B6" s="10" t="s">
        <v>122</v>
      </c>
      <c r="C6" s="10" t="s">
        <v>123</v>
      </c>
      <c r="D6" s="10" t="str">
        <f>"0,7851"</f>
        <v>0,7851</v>
      </c>
      <c r="E6" s="10" t="s">
        <v>124</v>
      </c>
      <c r="F6" s="10" t="s">
        <v>42</v>
      </c>
      <c r="G6" s="11" t="s">
        <v>125</v>
      </c>
      <c r="H6" s="11" t="s">
        <v>126</v>
      </c>
      <c r="I6" s="12" t="s">
        <v>127</v>
      </c>
      <c r="J6" s="12"/>
      <c r="K6" s="13" t="str">
        <f>"52,5"</f>
        <v>52,5</v>
      </c>
      <c r="L6" s="14" t="str">
        <f>"48,6369"</f>
        <v>48,6369</v>
      </c>
      <c r="M6" s="10" t="s">
        <v>128</v>
      </c>
    </row>
    <row r="8" spans="1:13" ht="15" x14ac:dyDescent="0.2">
      <c r="E8" s="7" t="s">
        <v>11</v>
      </c>
      <c r="F8" s="39" t="s">
        <v>438</v>
      </c>
    </row>
    <row r="9" spans="1:13" ht="15" x14ac:dyDescent="0.2">
      <c r="E9" s="7" t="s">
        <v>12</v>
      </c>
      <c r="F9" s="39" t="s">
        <v>439</v>
      </c>
    </row>
    <row r="10" spans="1:13" ht="15" x14ac:dyDescent="0.2">
      <c r="E10" s="7" t="s">
        <v>13</v>
      </c>
      <c r="F10" s="39" t="s">
        <v>440</v>
      </c>
    </row>
    <row r="11" spans="1:13" ht="15" x14ac:dyDescent="0.2">
      <c r="E11" s="7" t="s">
        <v>14</v>
      </c>
      <c r="F11" s="39" t="s">
        <v>441</v>
      </c>
    </row>
    <row r="12" spans="1:13" ht="15" x14ac:dyDescent="0.2">
      <c r="E12" s="7" t="s">
        <v>14</v>
      </c>
      <c r="F12" s="39" t="s">
        <v>442</v>
      </c>
    </row>
    <row r="13" spans="1:13" ht="15" x14ac:dyDescent="0.2">
      <c r="E13" s="7" t="s">
        <v>15</v>
      </c>
      <c r="F13" s="36" t="s">
        <v>443</v>
      </c>
    </row>
    <row r="14" spans="1:13" ht="15" x14ac:dyDescent="0.2">
      <c r="E14" s="7"/>
    </row>
    <row r="16" spans="1:13" ht="18" x14ac:dyDescent="0.25">
      <c r="A16" s="9" t="s">
        <v>16</v>
      </c>
      <c r="B16" s="9"/>
    </row>
    <row r="17" spans="1:5" ht="15" x14ac:dyDescent="0.2">
      <c r="A17" s="15" t="s">
        <v>66</v>
      </c>
      <c r="B17" s="15"/>
    </row>
    <row r="18" spans="1:5" ht="14.25" x14ac:dyDescent="0.2">
      <c r="A18" s="17"/>
      <c r="B18" s="18" t="s">
        <v>67</v>
      </c>
    </row>
    <row r="19" spans="1:5" ht="15" x14ac:dyDescent="0.2">
      <c r="A19" s="19" t="s">
        <v>58</v>
      </c>
      <c r="B19" s="19" t="s">
        <v>59</v>
      </c>
      <c r="C19" s="19" t="s">
        <v>60</v>
      </c>
      <c r="D19" s="19" t="s">
        <v>107</v>
      </c>
      <c r="E19" s="19" t="s">
        <v>62</v>
      </c>
    </row>
    <row r="20" spans="1:5" x14ac:dyDescent="0.2">
      <c r="A20" s="16" t="s">
        <v>120</v>
      </c>
      <c r="B20" s="4" t="s">
        <v>129</v>
      </c>
      <c r="C20" s="4" t="s">
        <v>130</v>
      </c>
      <c r="D20" s="4" t="s">
        <v>126</v>
      </c>
      <c r="E20" s="8" t="s">
        <v>131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C23" sqref="C2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7.5703125" style="2" bestFit="1" customWidth="1"/>
    <col min="13" max="13" width="21.7109375" style="4" bestFit="1" customWidth="1"/>
    <col min="14" max="16384" width="9.140625" style="3"/>
  </cols>
  <sheetData>
    <row r="1" spans="1:13" s="2" customFormat="1" ht="29.1" customHeight="1" x14ac:dyDescent="0.2">
      <c r="A1" s="68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20</v>
      </c>
      <c r="H3" s="78"/>
      <c r="I3" s="78"/>
      <c r="J3" s="78"/>
      <c r="K3" s="78" t="s">
        <v>117</v>
      </c>
      <c r="L3" s="78" t="s">
        <v>3</v>
      </c>
      <c r="M3" s="79" t="s">
        <v>2</v>
      </c>
    </row>
    <row r="4" spans="1:13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0"/>
    </row>
    <row r="5" spans="1:13" ht="15" x14ac:dyDescent="0.2">
      <c r="A5" s="66" t="s">
        <v>75</v>
      </c>
      <c r="B5" s="67"/>
      <c r="C5" s="67"/>
      <c r="D5" s="67"/>
      <c r="E5" s="67"/>
      <c r="F5" s="67"/>
      <c r="G5" s="67"/>
      <c r="H5" s="67"/>
      <c r="I5" s="67"/>
      <c r="J5" s="67"/>
    </row>
    <row r="6" spans="1:13" x14ac:dyDescent="0.2">
      <c r="A6" s="10" t="s">
        <v>77</v>
      </c>
      <c r="B6" s="10" t="s">
        <v>78</v>
      </c>
      <c r="C6" s="10" t="s">
        <v>79</v>
      </c>
      <c r="D6" s="10" t="str">
        <f>"0,6789"</f>
        <v>0,6789</v>
      </c>
      <c r="E6" s="10" t="s">
        <v>27</v>
      </c>
      <c r="F6" s="10" t="s">
        <v>80</v>
      </c>
      <c r="G6" s="11" t="s">
        <v>44</v>
      </c>
      <c r="H6" s="11" t="s">
        <v>53</v>
      </c>
      <c r="I6" s="12" t="s">
        <v>81</v>
      </c>
      <c r="J6" s="12"/>
      <c r="K6" s="13" t="str">
        <f>"135,0"</f>
        <v>135,0</v>
      </c>
      <c r="L6" s="14" t="str">
        <f>"91,6515"</f>
        <v>91,6515</v>
      </c>
      <c r="M6" s="10" t="s">
        <v>82</v>
      </c>
    </row>
    <row r="8" spans="1:13" ht="15" x14ac:dyDescent="0.2">
      <c r="A8" s="85" t="s">
        <v>22</v>
      </c>
      <c r="B8" s="86"/>
      <c r="C8" s="86"/>
      <c r="D8" s="86"/>
      <c r="E8" s="86"/>
      <c r="F8" s="86"/>
      <c r="G8" s="86"/>
      <c r="H8" s="86"/>
      <c r="I8" s="86"/>
      <c r="J8" s="86"/>
    </row>
    <row r="9" spans="1:13" x14ac:dyDescent="0.2">
      <c r="A9" s="20" t="s">
        <v>84</v>
      </c>
      <c r="B9" s="20" t="s">
        <v>85</v>
      </c>
      <c r="C9" s="20" t="s">
        <v>86</v>
      </c>
      <c r="D9" s="20" t="str">
        <f>"0,6251"</f>
        <v>0,6251</v>
      </c>
      <c r="E9" s="20" t="s">
        <v>87</v>
      </c>
      <c r="F9" s="20" t="s">
        <v>80</v>
      </c>
      <c r="G9" s="22" t="s">
        <v>31</v>
      </c>
      <c r="H9" s="22" t="s">
        <v>88</v>
      </c>
      <c r="I9" s="22" t="s">
        <v>89</v>
      </c>
      <c r="J9" s="21"/>
      <c r="K9" s="26" t="str">
        <f>"120,0"</f>
        <v>120,0</v>
      </c>
      <c r="L9" s="27" t="str">
        <f>"77,3374"</f>
        <v>77,3374</v>
      </c>
      <c r="M9" s="20" t="s">
        <v>82</v>
      </c>
    </row>
    <row r="10" spans="1:13" x14ac:dyDescent="0.2">
      <c r="A10" s="23" t="s">
        <v>91</v>
      </c>
      <c r="B10" s="23" t="s">
        <v>92</v>
      </c>
      <c r="C10" s="23" t="s">
        <v>93</v>
      </c>
      <c r="D10" s="23" t="str">
        <f>"0,6198"</f>
        <v>0,6198</v>
      </c>
      <c r="E10" s="23" t="s">
        <v>94</v>
      </c>
      <c r="F10" s="23" t="s">
        <v>28</v>
      </c>
      <c r="G10" s="25" t="s">
        <v>43</v>
      </c>
      <c r="H10" s="25" t="s">
        <v>95</v>
      </c>
      <c r="I10" s="25" t="s">
        <v>88</v>
      </c>
      <c r="J10" s="24"/>
      <c r="K10" s="28" t="str">
        <f>"115,0"</f>
        <v>115,0</v>
      </c>
      <c r="L10" s="29" t="str">
        <f>"71,4908"</f>
        <v>71,4908</v>
      </c>
      <c r="M10" s="23" t="s">
        <v>96</v>
      </c>
    </row>
    <row r="12" spans="1:13" ht="15" x14ac:dyDescent="0.2">
      <c r="A12" s="85" t="s">
        <v>97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3" x14ac:dyDescent="0.2">
      <c r="A13" s="10" t="s">
        <v>99</v>
      </c>
      <c r="B13" s="10" t="s">
        <v>100</v>
      </c>
      <c r="C13" s="10" t="s">
        <v>101</v>
      </c>
      <c r="D13" s="10" t="str">
        <f>"0,5935"</f>
        <v>0,5935</v>
      </c>
      <c r="E13" s="10" t="s">
        <v>27</v>
      </c>
      <c r="F13" s="10" t="s">
        <v>28</v>
      </c>
      <c r="G13" s="11" t="s">
        <v>29</v>
      </c>
      <c r="H13" s="11" t="s">
        <v>31</v>
      </c>
      <c r="I13" s="12" t="s">
        <v>88</v>
      </c>
      <c r="J13" s="12"/>
      <c r="K13" s="13" t="str">
        <f>"110,0"</f>
        <v>110,0</v>
      </c>
      <c r="L13" s="14" t="str">
        <f>"65,2850"</f>
        <v>65,2850</v>
      </c>
      <c r="M13" s="10" t="s">
        <v>37</v>
      </c>
    </row>
    <row r="15" spans="1:13" ht="15" x14ac:dyDescent="0.2">
      <c r="A15" s="85" t="s">
        <v>48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3" x14ac:dyDescent="0.2">
      <c r="A16" s="10" t="s">
        <v>103</v>
      </c>
      <c r="B16" s="10" t="s">
        <v>104</v>
      </c>
      <c r="C16" s="10" t="s">
        <v>105</v>
      </c>
      <c r="D16" s="10" t="str">
        <f>"0,5657"</f>
        <v>0,5657</v>
      </c>
      <c r="E16" s="10" t="s">
        <v>94</v>
      </c>
      <c r="F16" s="10" t="s">
        <v>28</v>
      </c>
      <c r="G16" s="11" t="s">
        <v>46</v>
      </c>
      <c r="H16" s="12" t="s">
        <v>106</v>
      </c>
      <c r="I16" s="11" t="s">
        <v>106</v>
      </c>
      <c r="J16" s="12"/>
      <c r="K16" s="13" t="str">
        <f>"102,5"</f>
        <v>102,5</v>
      </c>
      <c r="L16" s="14" t="str">
        <f>"57,9842"</f>
        <v>57,9842</v>
      </c>
      <c r="M16" s="10" t="s">
        <v>96</v>
      </c>
    </row>
    <row r="18" spans="1:6" ht="15" x14ac:dyDescent="0.2">
      <c r="E18" s="7" t="s">
        <v>11</v>
      </c>
      <c r="F18" s="39" t="s">
        <v>438</v>
      </c>
    </row>
    <row r="19" spans="1:6" ht="15" x14ac:dyDescent="0.2">
      <c r="E19" s="7" t="s">
        <v>12</v>
      </c>
      <c r="F19" s="39" t="s">
        <v>439</v>
      </c>
    </row>
    <row r="20" spans="1:6" ht="15" x14ac:dyDescent="0.2">
      <c r="E20" s="7" t="s">
        <v>13</v>
      </c>
      <c r="F20" s="39" t="s">
        <v>440</v>
      </c>
    </row>
    <row r="21" spans="1:6" ht="15" x14ac:dyDescent="0.2">
      <c r="E21" s="7" t="s">
        <v>14</v>
      </c>
      <c r="F21" s="39" t="s">
        <v>441</v>
      </c>
    </row>
    <row r="22" spans="1:6" ht="15" x14ac:dyDescent="0.2">
      <c r="E22" s="7" t="s">
        <v>14</v>
      </c>
      <c r="F22" s="39" t="s">
        <v>442</v>
      </c>
    </row>
    <row r="23" spans="1:6" ht="15" x14ac:dyDescent="0.2">
      <c r="E23" s="7" t="s">
        <v>15</v>
      </c>
      <c r="F23" s="36" t="s">
        <v>443</v>
      </c>
    </row>
    <row r="24" spans="1:6" ht="15" x14ac:dyDescent="0.2">
      <c r="E24" s="7"/>
    </row>
    <row r="26" spans="1:6" ht="18" x14ac:dyDescent="0.25">
      <c r="A26" s="9" t="s">
        <v>16</v>
      </c>
      <c r="B26" s="9"/>
    </row>
    <row r="27" spans="1:6" ht="15" x14ac:dyDescent="0.2">
      <c r="A27" s="15" t="s">
        <v>66</v>
      </c>
      <c r="B27" s="15"/>
    </row>
    <row r="28" spans="1:6" ht="14.25" x14ac:dyDescent="0.2">
      <c r="A28" s="17"/>
      <c r="B28" s="18" t="s">
        <v>57</v>
      </c>
    </row>
    <row r="29" spans="1:6" ht="15" x14ac:dyDescent="0.2">
      <c r="A29" s="19" t="s">
        <v>58</v>
      </c>
      <c r="B29" s="19" t="s">
        <v>59</v>
      </c>
      <c r="C29" s="19" t="s">
        <v>60</v>
      </c>
      <c r="D29" s="19" t="s">
        <v>107</v>
      </c>
      <c r="E29" s="19" t="s">
        <v>62</v>
      </c>
    </row>
    <row r="30" spans="1:6" x14ac:dyDescent="0.2">
      <c r="A30" s="16" t="s">
        <v>76</v>
      </c>
      <c r="B30" s="4" t="s">
        <v>57</v>
      </c>
      <c r="C30" s="4" t="s">
        <v>108</v>
      </c>
      <c r="D30" s="4" t="s">
        <v>53</v>
      </c>
      <c r="E30" s="8" t="s">
        <v>109</v>
      </c>
    </row>
    <row r="31" spans="1:6" x14ac:dyDescent="0.2">
      <c r="A31" s="16" t="s">
        <v>98</v>
      </c>
      <c r="B31" s="4" t="s">
        <v>57</v>
      </c>
      <c r="C31" s="4" t="s">
        <v>110</v>
      </c>
      <c r="D31" s="4" t="s">
        <v>31</v>
      </c>
      <c r="E31" s="8" t="s">
        <v>111</v>
      </c>
    </row>
    <row r="32" spans="1:6" x14ac:dyDescent="0.2">
      <c r="A32" s="16" t="s">
        <v>102</v>
      </c>
      <c r="B32" s="4" t="s">
        <v>57</v>
      </c>
      <c r="C32" s="4" t="s">
        <v>71</v>
      </c>
      <c r="D32" s="4" t="s">
        <v>106</v>
      </c>
      <c r="E32" s="8" t="s">
        <v>112</v>
      </c>
    </row>
    <row r="34" spans="1:5" ht="14.25" x14ac:dyDescent="0.2">
      <c r="A34" s="17"/>
      <c r="B34" s="18" t="s">
        <v>113</v>
      </c>
    </row>
    <row r="35" spans="1:5" ht="15" x14ac:dyDescent="0.2">
      <c r="A35" s="19" t="s">
        <v>58</v>
      </c>
      <c r="B35" s="19" t="s">
        <v>59</v>
      </c>
      <c r="C35" s="19" t="s">
        <v>60</v>
      </c>
      <c r="D35" s="19" t="s">
        <v>107</v>
      </c>
      <c r="E35" s="19" t="s">
        <v>62</v>
      </c>
    </row>
    <row r="36" spans="1:5" x14ac:dyDescent="0.2">
      <c r="A36" s="16" t="s">
        <v>83</v>
      </c>
      <c r="B36" s="4" t="s">
        <v>114</v>
      </c>
      <c r="C36" s="4" t="s">
        <v>63</v>
      </c>
      <c r="D36" s="4" t="s">
        <v>89</v>
      </c>
      <c r="E36" s="8" t="s">
        <v>115</v>
      </c>
    </row>
    <row r="37" spans="1:5" x14ac:dyDescent="0.2">
      <c r="A37" s="16" t="s">
        <v>90</v>
      </c>
      <c r="B37" s="4" t="s">
        <v>114</v>
      </c>
      <c r="C37" s="4" t="s">
        <v>63</v>
      </c>
      <c r="D37" s="4" t="s">
        <v>88</v>
      </c>
      <c r="E37" s="8" t="s">
        <v>116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A15:J15"/>
    <mergeCell ref="K3:K4"/>
    <mergeCell ref="L3:L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A12" sqref="A1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8" bestFit="1" customWidth="1"/>
    <col min="20" max="20" width="8.5703125" style="2" bestFit="1" customWidth="1"/>
    <col min="21" max="21" width="21.7109375" style="4" bestFit="1" customWidth="1"/>
    <col min="22" max="16384" width="9.140625" style="3"/>
  </cols>
  <sheetData>
    <row r="1" spans="1:21" s="2" customFormat="1" ht="29.1" customHeight="1" x14ac:dyDescent="0.2">
      <c r="A1" s="68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19</v>
      </c>
      <c r="H3" s="78"/>
      <c r="I3" s="78"/>
      <c r="J3" s="78"/>
      <c r="K3" s="78" t="s">
        <v>20</v>
      </c>
      <c r="L3" s="78"/>
      <c r="M3" s="78"/>
      <c r="N3" s="78"/>
      <c r="O3" s="78" t="s">
        <v>21</v>
      </c>
      <c r="P3" s="78"/>
      <c r="Q3" s="78"/>
      <c r="R3" s="78"/>
      <c r="S3" s="78" t="s">
        <v>1</v>
      </c>
      <c r="T3" s="78" t="s">
        <v>3</v>
      </c>
      <c r="U3" s="79" t="s">
        <v>2</v>
      </c>
    </row>
    <row r="4" spans="1:21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77"/>
      <c r="T4" s="77"/>
      <c r="U4" s="80"/>
    </row>
    <row r="5" spans="1:21" ht="15" x14ac:dyDescent="0.2">
      <c r="A5" s="66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 x14ac:dyDescent="0.2">
      <c r="A6" s="10" t="s">
        <v>24</v>
      </c>
      <c r="B6" s="10" t="s">
        <v>25</v>
      </c>
      <c r="C6" s="10" t="s">
        <v>26</v>
      </c>
      <c r="D6" s="10" t="str">
        <f>"0,6844"</f>
        <v>0,6844</v>
      </c>
      <c r="E6" s="10" t="s">
        <v>27</v>
      </c>
      <c r="F6" s="10" t="s">
        <v>28</v>
      </c>
      <c r="G6" s="11" t="s">
        <v>29</v>
      </c>
      <c r="H6" s="11" t="s">
        <v>30</v>
      </c>
      <c r="I6" s="11" t="s">
        <v>31</v>
      </c>
      <c r="J6" s="12"/>
      <c r="K6" s="11" t="s">
        <v>32</v>
      </c>
      <c r="L6" s="11" t="s">
        <v>33</v>
      </c>
      <c r="M6" s="12"/>
      <c r="N6" s="12"/>
      <c r="O6" s="11" t="s">
        <v>34</v>
      </c>
      <c r="P6" s="11" t="s">
        <v>35</v>
      </c>
      <c r="Q6" s="12" t="s">
        <v>36</v>
      </c>
      <c r="R6" s="12"/>
      <c r="S6" s="13" t="str">
        <f>"337,5"</f>
        <v>337,5</v>
      </c>
      <c r="T6" s="14" t="str">
        <f>"231,0019"</f>
        <v>231,0019</v>
      </c>
      <c r="U6" s="10" t="s">
        <v>37</v>
      </c>
    </row>
    <row r="8" spans="1:21" ht="15" x14ac:dyDescent="0.2">
      <c r="A8" s="85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21" x14ac:dyDescent="0.2">
      <c r="A9" s="10" t="s">
        <v>39</v>
      </c>
      <c r="B9" s="10" t="s">
        <v>40</v>
      </c>
      <c r="C9" s="10" t="s">
        <v>41</v>
      </c>
      <c r="D9" s="10" t="str">
        <f>"0,6355"</f>
        <v>0,6355</v>
      </c>
      <c r="E9" s="10" t="s">
        <v>27</v>
      </c>
      <c r="F9" s="10" t="s">
        <v>42</v>
      </c>
      <c r="G9" s="11" t="s">
        <v>43</v>
      </c>
      <c r="H9" s="11" t="s">
        <v>31</v>
      </c>
      <c r="I9" s="12" t="s">
        <v>44</v>
      </c>
      <c r="J9" s="12"/>
      <c r="K9" s="11" t="s">
        <v>45</v>
      </c>
      <c r="L9" s="11" t="s">
        <v>46</v>
      </c>
      <c r="M9" s="12" t="s">
        <v>29</v>
      </c>
      <c r="N9" s="12"/>
      <c r="O9" s="11" t="s">
        <v>31</v>
      </c>
      <c r="P9" s="11" t="s">
        <v>44</v>
      </c>
      <c r="Q9" s="11" t="s">
        <v>34</v>
      </c>
      <c r="R9" s="12"/>
      <c r="S9" s="13" t="str">
        <f>"345,0"</f>
        <v>345,0</v>
      </c>
      <c r="T9" s="14" t="str">
        <f>"236,7873"</f>
        <v>236,7873</v>
      </c>
      <c r="U9" s="10" t="s">
        <v>47</v>
      </c>
    </row>
    <row r="11" spans="1:21" ht="15" x14ac:dyDescent="0.2">
      <c r="A11" s="85" t="s">
        <v>48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21" x14ac:dyDescent="0.2">
      <c r="A12" s="10" t="s">
        <v>50</v>
      </c>
      <c r="B12" s="10" t="s">
        <v>51</v>
      </c>
      <c r="C12" s="10" t="s">
        <v>52</v>
      </c>
      <c r="D12" s="10" t="str">
        <f>"0,5605"</f>
        <v>0,5605</v>
      </c>
      <c r="E12" s="10" t="s">
        <v>27</v>
      </c>
      <c r="F12" s="10" t="s">
        <v>42</v>
      </c>
      <c r="G12" s="11" t="s">
        <v>43</v>
      </c>
      <c r="H12" s="11" t="s">
        <v>31</v>
      </c>
      <c r="I12" s="11" t="s">
        <v>53</v>
      </c>
      <c r="J12" s="12"/>
      <c r="K12" s="11" t="s">
        <v>45</v>
      </c>
      <c r="L12" s="12" t="s">
        <v>46</v>
      </c>
      <c r="M12" s="12" t="s">
        <v>29</v>
      </c>
      <c r="N12" s="12"/>
      <c r="O12" s="11" t="s">
        <v>53</v>
      </c>
      <c r="P12" s="11" t="s">
        <v>54</v>
      </c>
      <c r="Q12" s="11" t="s">
        <v>55</v>
      </c>
      <c r="R12" s="12"/>
      <c r="S12" s="13" t="str">
        <f>"385,0"</f>
        <v>385,0</v>
      </c>
      <c r="T12" s="14" t="str">
        <f>"233,0559"</f>
        <v>233,0559</v>
      </c>
      <c r="U12" s="10" t="s">
        <v>47</v>
      </c>
    </row>
    <row r="14" spans="1:21" ht="15" x14ac:dyDescent="0.2">
      <c r="E14" s="7" t="s">
        <v>11</v>
      </c>
      <c r="F14" s="39" t="s">
        <v>438</v>
      </c>
    </row>
    <row r="15" spans="1:21" ht="15" x14ac:dyDescent="0.2">
      <c r="E15" s="7" t="s">
        <v>12</v>
      </c>
      <c r="F15" s="39" t="s">
        <v>439</v>
      </c>
    </row>
    <row r="16" spans="1:21" ht="15" x14ac:dyDescent="0.2">
      <c r="E16" s="7" t="s">
        <v>13</v>
      </c>
      <c r="F16" s="39" t="s">
        <v>440</v>
      </c>
    </row>
    <row r="17" spans="1:6" ht="15" x14ac:dyDescent="0.2">
      <c r="E17" s="7" t="s">
        <v>14</v>
      </c>
      <c r="F17" s="39" t="s">
        <v>441</v>
      </c>
    </row>
    <row r="18" spans="1:6" ht="15" x14ac:dyDescent="0.2">
      <c r="E18" s="7" t="s">
        <v>14</v>
      </c>
      <c r="F18" s="39" t="s">
        <v>442</v>
      </c>
    </row>
    <row r="19" spans="1:6" ht="15" x14ac:dyDescent="0.2">
      <c r="E19" s="7" t="s">
        <v>15</v>
      </c>
      <c r="F19" s="36" t="s">
        <v>443</v>
      </c>
    </row>
    <row r="20" spans="1:6" ht="15" x14ac:dyDescent="0.2">
      <c r="E20" s="7"/>
    </row>
    <row r="22" spans="1:6" ht="18" x14ac:dyDescent="0.25">
      <c r="A22" s="9" t="s">
        <v>16</v>
      </c>
      <c r="B22" s="9"/>
    </row>
    <row r="23" spans="1:6" ht="15" x14ac:dyDescent="0.2">
      <c r="A23" s="15" t="s">
        <v>56</v>
      </c>
      <c r="B23" s="15"/>
    </row>
    <row r="24" spans="1:6" ht="14.25" x14ac:dyDescent="0.2">
      <c r="A24" s="17"/>
      <c r="B24" s="18" t="s">
        <v>57</v>
      </c>
    </row>
    <row r="25" spans="1:6" ht="15" x14ac:dyDescent="0.2">
      <c r="A25" s="19" t="s">
        <v>58</v>
      </c>
      <c r="B25" s="19" t="s">
        <v>59</v>
      </c>
      <c r="C25" s="19" t="s">
        <v>60</v>
      </c>
      <c r="D25" s="19" t="s">
        <v>61</v>
      </c>
      <c r="E25" s="19" t="s">
        <v>62</v>
      </c>
    </row>
    <row r="26" spans="1:6" x14ac:dyDescent="0.2">
      <c r="A26" s="16" t="s">
        <v>23</v>
      </c>
      <c r="B26" s="4" t="s">
        <v>57</v>
      </c>
      <c r="C26" s="4" t="s">
        <v>63</v>
      </c>
      <c r="D26" s="4" t="s">
        <v>64</v>
      </c>
      <c r="E26" s="8" t="s">
        <v>65</v>
      </c>
    </row>
    <row r="29" spans="1:6" ht="15" x14ac:dyDescent="0.2">
      <c r="A29" s="15" t="s">
        <v>66</v>
      </c>
      <c r="B29" s="15"/>
    </row>
    <row r="30" spans="1:6" ht="14.25" x14ac:dyDescent="0.2">
      <c r="A30" s="17"/>
      <c r="B30" s="18" t="s">
        <v>67</v>
      </c>
    </row>
    <row r="31" spans="1:6" ht="15" x14ac:dyDescent="0.2">
      <c r="A31" s="19" t="s">
        <v>58</v>
      </c>
      <c r="B31" s="19" t="s">
        <v>59</v>
      </c>
      <c r="C31" s="19" t="s">
        <v>60</v>
      </c>
      <c r="D31" s="19" t="s">
        <v>61</v>
      </c>
      <c r="E31" s="19" t="s">
        <v>62</v>
      </c>
    </row>
    <row r="32" spans="1:6" x14ac:dyDescent="0.2">
      <c r="A32" s="16" t="s">
        <v>38</v>
      </c>
      <c r="B32" s="4" t="s">
        <v>68</v>
      </c>
      <c r="C32" s="4" t="s">
        <v>63</v>
      </c>
      <c r="D32" s="4" t="s">
        <v>69</v>
      </c>
      <c r="E32" s="8" t="s">
        <v>70</v>
      </c>
    </row>
    <row r="33" spans="1:5" x14ac:dyDescent="0.2">
      <c r="A33" s="16" t="s">
        <v>49</v>
      </c>
      <c r="B33" s="4" t="s">
        <v>68</v>
      </c>
      <c r="C33" s="4" t="s">
        <v>71</v>
      </c>
      <c r="D33" s="4" t="s">
        <v>72</v>
      </c>
      <c r="E33" s="8" t="s">
        <v>73</v>
      </c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S3:S4"/>
    <mergeCell ref="T3:T4"/>
    <mergeCell ref="U3:U4"/>
    <mergeCell ref="A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G13" sqref="G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10.85546875" style="2" customWidth="1"/>
    <col min="12" max="12" width="19.140625" style="4" bestFit="1" customWidth="1"/>
    <col min="13" max="16384" width="9.140625" style="3"/>
  </cols>
  <sheetData>
    <row r="1" spans="1:12" s="2" customFormat="1" ht="29.1" customHeight="1" x14ac:dyDescent="0.2">
      <c r="A1" s="68" t="s">
        <v>390</v>
      </c>
      <c r="B1" s="69"/>
      <c r="C1" s="69"/>
      <c r="D1" s="69"/>
      <c r="E1" s="69"/>
      <c r="F1" s="69"/>
      <c r="G1" s="69"/>
      <c r="H1" s="69"/>
      <c r="I1" s="69"/>
      <c r="J1" s="69"/>
      <c r="K1" s="81"/>
      <c r="L1" s="70"/>
    </row>
    <row r="2" spans="1:12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82"/>
      <c r="L2" s="73"/>
    </row>
    <row r="3" spans="1:12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368</v>
      </c>
      <c r="E3" s="78" t="s">
        <v>4</v>
      </c>
      <c r="F3" s="78" t="s">
        <v>7</v>
      </c>
      <c r="G3" s="78" t="s">
        <v>391</v>
      </c>
      <c r="H3" s="78"/>
      <c r="I3" s="78" t="s">
        <v>226</v>
      </c>
      <c r="J3" s="78" t="s">
        <v>3</v>
      </c>
      <c r="K3" s="83" t="s">
        <v>448</v>
      </c>
      <c r="L3" s="79" t="s">
        <v>2</v>
      </c>
    </row>
    <row r="4" spans="1:12" s="1" customFormat="1" ht="21" customHeight="1" thickBot="1" x14ac:dyDescent="0.25">
      <c r="A4" s="75"/>
      <c r="B4" s="77"/>
      <c r="C4" s="77"/>
      <c r="D4" s="77"/>
      <c r="E4" s="77"/>
      <c r="F4" s="77"/>
      <c r="G4" s="6" t="s">
        <v>8</v>
      </c>
      <c r="H4" s="6" t="s">
        <v>9</v>
      </c>
      <c r="I4" s="77"/>
      <c r="J4" s="77"/>
      <c r="K4" s="84"/>
      <c r="L4" s="80"/>
    </row>
    <row r="5" spans="1:12" ht="15" x14ac:dyDescent="0.2">
      <c r="A5" s="66" t="s">
        <v>370</v>
      </c>
      <c r="B5" s="67"/>
      <c r="C5" s="67"/>
      <c r="D5" s="67"/>
      <c r="E5" s="67"/>
      <c r="F5" s="67"/>
      <c r="G5" s="67"/>
      <c r="H5" s="67"/>
    </row>
    <row r="6" spans="1:12" x14ac:dyDescent="0.2">
      <c r="A6" s="10" t="s">
        <v>282</v>
      </c>
      <c r="B6" s="10" t="s">
        <v>283</v>
      </c>
      <c r="C6" s="10" t="s">
        <v>284</v>
      </c>
      <c r="D6" s="10" t="str">
        <f>"1,0000"</f>
        <v>1,0000</v>
      </c>
      <c r="E6" s="10" t="s">
        <v>27</v>
      </c>
      <c r="F6" s="10" t="s">
        <v>28</v>
      </c>
      <c r="G6" s="11" t="s">
        <v>285</v>
      </c>
      <c r="H6" s="50" t="s">
        <v>392</v>
      </c>
      <c r="I6" s="13" t="str">
        <f>"1080,0"</f>
        <v>1080,0</v>
      </c>
      <c r="J6" s="57" t="str">
        <f>"21,2807"</f>
        <v>21,2807</v>
      </c>
      <c r="K6" s="55" t="s">
        <v>449</v>
      </c>
      <c r="L6" s="10" t="s">
        <v>128</v>
      </c>
    </row>
    <row r="8" spans="1:12" ht="15" x14ac:dyDescent="0.2">
      <c r="E8" s="7" t="s">
        <v>11</v>
      </c>
      <c r="F8" s="39" t="s">
        <v>438</v>
      </c>
    </row>
    <row r="9" spans="1:12" ht="15" x14ac:dyDescent="0.2">
      <c r="E9" s="7" t="s">
        <v>12</v>
      </c>
      <c r="F9" s="39" t="s">
        <v>439</v>
      </c>
    </row>
    <row r="10" spans="1:12" ht="15" x14ac:dyDescent="0.2">
      <c r="E10" s="7" t="s">
        <v>13</v>
      </c>
      <c r="F10" s="39" t="s">
        <v>440</v>
      </c>
    </row>
    <row r="11" spans="1:12" ht="15" x14ac:dyDescent="0.2">
      <c r="E11" s="7" t="s">
        <v>14</v>
      </c>
      <c r="F11" s="39" t="s">
        <v>441</v>
      </c>
    </row>
    <row r="12" spans="1:12" ht="15" x14ac:dyDescent="0.2">
      <c r="E12" s="7" t="s">
        <v>14</v>
      </c>
      <c r="F12" s="39" t="s">
        <v>442</v>
      </c>
    </row>
    <row r="13" spans="1:12" ht="15" x14ac:dyDescent="0.2">
      <c r="E13" s="7" t="s">
        <v>15</v>
      </c>
      <c r="F13" s="36" t="s">
        <v>443</v>
      </c>
    </row>
    <row r="14" spans="1:12" ht="15" x14ac:dyDescent="0.2">
      <c r="E14" s="7"/>
    </row>
    <row r="16" spans="1:12" ht="18" x14ac:dyDescent="0.25">
      <c r="A16" s="9" t="s">
        <v>16</v>
      </c>
      <c r="B16" s="9"/>
    </row>
    <row r="17" spans="1:5" ht="15" x14ac:dyDescent="0.2">
      <c r="A17" s="15" t="s">
        <v>56</v>
      </c>
      <c r="B17" s="15"/>
    </row>
    <row r="18" spans="1:5" ht="14.25" x14ac:dyDescent="0.2">
      <c r="A18" s="17"/>
      <c r="B18" s="18" t="s">
        <v>113</v>
      </c>
    </row>
    <row r="19" spans="1:5" ht="15" x14ac:dyDescent="0.2">
      <c r="A19" s="19" t="s">
        <v>58</v>
      </c>
      <c r="B19" s="19" t="s">
        <v>59</v>
      </c>
      <c r="C19" s="19" t="s">
        <v>60</v>
      </c>
      <c r="D19" s="19" t="s">
        <v>107</v>
      </c>
      <c r="E19" s="19" t="s">
        <v>372</v>
      </c>
    </row>
    <row r="20" spans="1:5" x14ac:dyDescent="0.2">
      <c r="A20" s="16" t="s">
        <v>281</v>
      </c>
      <c r="B20" s="4" t="s">
        <v>114</v>
      </c>
      <c r="C20" s="4" t="s">
        <v>373</v>
      </c>
      <c r="D20" s="4" t="s">
        <v>393</v>
      </c>
      <c r="E20" s="8" t="s">
        <v>394</v>
      </c>
    </row>
  </sheetData>
  <mergeCells count="13">
    <mergeCell ref="A5:H5"/>
    <mergeCell ref="A1:L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L3:L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16" sqref="F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9.85546875" style="2" customWidth="1"/>
    <col min="12" max="12" width="19.140625" style="4" bestFit="1" customWidth="1"/>
    <col min="13" max="16384" width="9.140625" style="3"/>
  </cols>
  <sheetData>
    <row r="1" spans="1:12" s="2" customFormat="1" ht="29.1" customHeight="1" x14ac:dyDescent="0.2">
      <c r="A1" s="68" t="s">
        <v>376</v>
      </c>
      <c r="B1" s="69"/>
      <c r="C1" s="69"/>
      <c r="D1" s="69"/>
      <c r="E1" s="69"/>
      <c r="F1" s="69"/>
      <c r="G1" s="69"/>
      <c r="H1" s="69"/>
      <c r="I1" s="69"/>
      <c r="J1" s="69"/>
      <c r="K1" s="81"/>
      <c r="L1" s="70"/>
    </row>
    <row r="2" spans="1:12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82"/>
      <c r="L2" s="73"/>
    </row>
    <row r="3" spans="1:12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368</v>
      </c>
      <c r="E3" s="78" t="s">
        <v>4</v>
      </c>
      <c r="F3" s="78" t="s">
        <v>7</v>
      </c>
      <c r="G3" s="78" t="s">
        <v>369</v>
      </c>
      <c r="H3" s="78"/>
      <c r="I3" s="78" t="s">
        <v>226</v>
      </c>
      <c r="J3" s="78" t="s">
        <v>3</v>
      </c>
      <c r="K3" s="83" t="s">
        <v>448</v>
      </c>
      <c r="L3" s="79" t="s">
        <v>2</v>
      </c>
    </row>
    <row r="4" spans="1:12" s="1" customFormat="1" ht="21" customHeight="1" thickBot="1" x14ac:dyDescent="0.25">
      <c r="A4" s="75"/>
      <c r="B4" s="77"/>
      <c r="C4" s="77"/>
      <c r="D4" s="77"/>
      <c r="E4" s="77"/>
      <c r="F4" s="77"/>
      <c r="G4" s="6" t="s">
        <v>8</v>
      </c>
      <c r="H4" s="6" t="s">
        <v>9</v>
      </c>
      <c r="I4" s="77"/>
      <c r="J4" s="77"/>
      <c r="K4" s="84"/>
      <c r="L4" s="80"/>
    </row>
    <row r="5" spans="1:12" ht="15" x14ac:dyDescent="0.2">
      <c r="A5" s="66" t="s">
        <v>370</v>
      </c>
      <c r="B5" s="67"/>
      <c r="C5" s="67"/>
      <c r="D5" s="67"/>
      <c r="E5" s="67"/>
      <c r="F5" s="67"/>
      <c r="G5" s="67"/>
      <c r="H5" s="67"/>
    </row>
    <row r="6" spans="1:12" x14ac:dyDescent="0.2">
      <c r="A6" s="20" t="s">
        <v>320</v>
      </c>
      <c r="B6" s="20" t="s">
        <v>321</v>
      </c>
      <c r="C6" s="20" t="s">
        <v>322</v>
      </c>
      <c r="D6" s="20" t="str">
        <f>"1,0000"</f>
        <v>1,0000</v>
      </c>
      <c r="E6" s="20" t="s">
        <v>124</v>
      </c>
      <c r="F6" s="20" t="s">
        <v>42</v>
      </c>
      <c r="G6" s="48" t="s">
        <v>252</v>
      </c>
      <c r="H6" s="52" t="s">
        <v>285</v>
      </c>
      <c r="I6" s="26" t="str">
        <f>"1050,0"</f>
        <v>1050,0</v>
      </c>
      <c r="J6" s="59" t="str">
        <f>"11,3207"</f>
        <v>11,3207</v>
      </c>
      <c r="K6" s="56" t="s">
        <v>449</v>
      </c>
      <c r="L6" s="20" t="s">
        <v>128</v>
      </c>
    </row>
    <row r="7" spans="1:12" x14ac:dyDescent="0.2">
      <c r="A7" s="30" t="s">
        <v>77</v>
      </c>
      <c r="B7" s="30" t="s">
        <v>78</v>
      </c>
      <c r="C7" s="30" t="s">
        <v>79</v>
      </c>
      <c r="D7" s="30" t="str">
        <f>"1,0000"</f>
        <v>1,0000</v>
      </c>
      <c r="E7" s="30" t="s">
        <v>27</v>
      </c>
      <c r="F7" s="30" t="s">
        <v>80</v>
      </c>
      <c r="G7" s="32" t="s">
        <v>127</v>
      </c>
      <c r="H7" s="32" t="s">
        <v>347</v>
      </c>
      <c r="I7" s="33" t="str">
        <f>"4400,0"</f>
        <v>4400,0</v>
      </c>
      <c r="J7" s="34" t="str">
        <f>"60,2739"</f>
        <v>60,2739</v>
      </c>
      <c r="K7" s="34"/>
      <c r="L7" s="30" t="s">
        <v>82</v>
      </c>
    </row>
    <row r="8" spans="1:12" x14ac:dyDescent="0.2">
      <c r="A8" s="30" t="s">
        <v>378</v>
      </c>
      <c r="B8" s="30" t="s">
        <v>300</v>
      </c>
      <c r="C8" s="30" t="s">
        <v>379</v>
      </c>
      <c r="D8" s="30" t="str">
        <f>"1,0000"</f>
        <v>1,0000</v>
      </c>
      <c r="E8" s="30" t="s">
        <v>27</v>
      </c>
      <c r="F8" s="30" t="s">
        <v>42</v>
      </c>
      <c r="G8" s="32" t="s">
        <v>127</v>
      </c>
      <c r="H8" s="32" t="s">
        <v>380</v>
      </c>
      <c r="I8" s="33" t="str">
        <f>"3465,0"</f>
        <v>3465,0</v>
      </c>
      <c r="J8" s="34" t="str">
        <f>"38,5000"</f>
        <v>38,5000</v>
      </c>
      <c r="K8" s="34"/>
      <c r="L8" s="30" t="s">
        <v>47</v>
      </c>
    </row>
    <row r="9" spans="1:12" x14ac:dyDescent="0.2">
      <c r="A9" s="23" t="s">
        <v>316</v>
      </c>
      <c r="B9" s="23" t="s">
        <v>317</v>
      </c>
      <c r="C9" s="23" t="s">
        <v>318</v>
      </c>
      <c r="D9" s="23" t="str">
        <f>"1,0000"</f>
        <v>1,0000</v>
      </c>
      <c r="E9" s="23" t="s">
        <v>87</v>
      </c>
      <c r="F9" s="23" t="s">
        <v>80</v>
      </c>
      <c r="G9" s="25" t="s">
        <v>127</v>
      </c>
      <c r="H9" s="25" t="s">
        <v>381</v>
      </c>
      <c r="I9" s="28" t="str">
        <f>"2640,0"</f>
        <v>2640,0</v>
      </c>
      <c r="J9" s="29" t="str">
        <f>"29,6962"</f>
        <v>29,6962</v>
      </c>
      <c r="K9" s="29"/>
      <c r="L9" s="23" t="s">
        <v>128</v>
      </c>
    </row>
    <row r="11" spans="1:12" ht="15" x14ac:dyDescent="0.2">
      <c r="E11" s="7" t="s">
        <v>11</v>
      </c>
      <c r="F11" s="39" t="s">
        <v>438</v>
      </c>
    </row>
    <row r="12" spans="1:12" ht="15" x14ac:dyDescent="0.2">
      <c r="E12" s="7" t="s">
        <v>12</v>
      </c>
      <c r="F12" s="39" t="s">
        <v>439</v>
      </c>
    </row>
    <row r="13" spans="1:12" ht="15" x14ac:dyDescent="0.2">
      <c r="E13" s="7" t="s">
        <v>13</v>
      </c>
      <c r="F13" s="39" t="s">
        <v>440</v>
      </c>
    </row>
    <row r="14" spans="1:12" ht="15" x14ac:dyDescent="0.2">
      <c r="E14" s="7" t="s">
        <v>14</v>
      </c>
      <c r="F14" s="39" t="s">
        <v>441</v>
      </c>
    </row>
    <row r="15" spans="1:12" ht="15" x14ac:dyDescent="0.2">
      <c r="E15" s="7" t="s">
        <v>14</v>
      </c>
      <c r="F15" s="39" t="s">
        <v>442</v>
      </c>
    </row>
    <row r="16" spans="1:12" ht="15" x14ac:dyDescent="0.2">
      <c r="E16" s="7" t="s">
        <v>15</v>
      </c>
      <c r="F16" s="36" t="s">
        <v>443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66</v>
      </c>
      <c r="B20" s="15"/>
    </row>
    <row r="21" spans="1:5" ht="14.25" x14ac:dyDescent="0.2">
      <c r="A21" s="17"/>
      <c r="B21" s="18" t="s">
        <v>67</v>
      </c>
    </row>
    <row r="22" spans="1:5" ht="15" x14ac:dyDescent="0.2">
      <c r="A22" s="19" t="s">
        <v>58</v>
      </c>
      <c r="B22" s="19" t="s">
        <v>59</v>
      </c>
      <c r="C22" s="19" t="s">
        <v>60</v>
      </c>
      <c r="D22" s="19" t="s">
        <v>107</v>
      </c>
      <c r="E22" s="19" t="s">
        <v>372</v>
      </c>
    </row>
    <row r="23" spans="1:5" x14ac:dyDescent="0.2">
      <c r="A23" s="16" t="s">
        <v>319</v>
      </c>
      <c r="B23" s="4" t="s">
        <v>173</v>
      </c>
      <c r="C23" s="4" t="s">
        <v>373</v>
      </c>
      <c r="D23" s="4" t="s">
        <v>382</v>
      </c>
      <c r="E23" s="8" t="s">
        <v>383</v>
      </c>
    </row>
    <row r="25" spans="1:5" ht="14.25" x14ac:dyDescent="0.2">
      <c r="A25" s="17"/>
      <c r="B25" s="18" t="s">
        <v>57</v>
      </c>
    </row>
    <row r="26" spans="1:5" ht="15" x14ac:dyDescent="0.2">
      <c r="A26" s="19" t="s">
        <v>58</v>
      </c>
      <c r="B26" s="19" t="s">
        <v>59</v>
      </c>
      <c r="C26" s="19" t="s">
        <v>60</v>
      </c>
      <c r="D26" s="19" t="s">
        <v>107</v>
      </c>
      <c r="E26" s="19" t="s">
        <v>372</v>
      </c>
    </row>
    <row r="27" spans="1:5" x14ac:dyDescent="0.2">
      <c r="A27" s="16" t="s">
        <v>76</v>
      </c>
      <c r="B27" s="4" t="s">
        <v>57</v>
      </c>
      <c r="C27" s="4" t="s">
        <v>373</v>
      </c>
      <c r="D27" s="4" t="s">
        <v>384</v>
      </c>
      <c r="E27" s="8" t="s">
        <v>385</v>
      </c>
    </row>
    <row r="28" spans="1:5" x14ac:dyDescent="0.2">
      <c r="A28" s="16" t="s">
        <v>377</v>
      </c>
      <c r="B28" s="4" t="s">
        <v>57</v>
      </c>
      <c r="C28" s="4" t="s">
        <v>373</v>
      </c>
      <c r="D28" s="4" t="s">
        <v>386</v>
      </c>
      <c r="E28" s="8" t="s">
        <v>387</v>
      </c>
    </row>
    <row r="30" spans="1:5" ht="14.25" x14ac:dyDescent="0.2">
      <c r="A30" s="17"/>
      <c r="B30" s="18" t="s">
        <v>113</v>
      </c>
    </row>
    <row r="31" spans="1:5" ht="15" x14ac:dyDescent="0.2">
      <c r="A31" s="19" t="s">
        <v>58</v>
      </c>
      <c r="B31" s="19" t="s">
        <v>59</v>
      </c>
      <c r="C31" s="19" t="s">
        <v>60</v>
      </c>
      <c r="D31" s="19" t="s">
        <v>107</v>
      </c>
      <c r="E31" s="19" t="s">
        <v>372</v>
      </c>
    </row>
    <row r="32" spans="1:5" x14ac:dyDescent="0.2">
      <c r="A32" s="16" t="s">
        <v>315</v>
      </c>
      <c r="B32" s="4" t="s">
        <v>335</v>
      </c>
      <c r="C32" s="4" t="s">
        <v>373</v>
      </c>
      <c r="D32" s="4" t="s">
        <v>388</v>
      </c>
      <c r="E32" s="8" t="s">
        <v>389</v>
      </c>
    </row>
  </sheetData>
  <mergeCells count="13">
    <mergeCell ref="A5:H5"/>
    <mergeCell ref="A1:L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L3:L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H6" sqref="H6"/>
    </sheetView>
  </sheetViews>
  <sheetFormatPr defaultRowHeight="12.75" x14ac:dyDescent="0.2"/>
  <cols>
    <col min="1" max="1" width="26" style="4" bestFit="1" customWidth="1"/>
    <col min="2" max="2" width="26.855468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7" width="5" style="3" customWidth="1"/>
    <col min="8" max="8" width="10.42578125" style="3" customWidth="1"/>
    <col min="9" max="9" width="7.85546875" style="8" bestFit="1" customWidth="1"/>
    <col min="10" max="10" width="7.5703125" style="2" bestFit="1" customWidth="1"/>
    <col min="11" max="11" width="11.42578125" style="2" customWidth="1"/>
    <col min="12" max="12" width="19.140625" style="4" bestFit="1" customWidth="1"/>
    <col min="13" max="16384" width="9.140625" style="3"/>
  </cols>
  <sheetData>
    <row r="1" spans="1:12" s="2" customFormat="1" ht="29.1" customHeight="1" x14ac:dyDescent="0.2">
      <c r="A1" s="68" t="s">
        <v>367</v>
      </c>
      <c r="B1" s="69"/>
      <c r="C1" s="69"/>
      <c r="D1" s="69"/>
      <c r="E1" s="69"/>
      <c r="F1" s="69"/>
      <c r="G1" s="69"/>
      <c r="H1" s="69"/>
      <c r="I1" s="69"/>
      <c r="J1" s="69"/>
      <c r="K1" s="81"/>
      <c r="L1" s="70"/>
    </row>
    <row r="2" spans="1:12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82"/>
      <c r="L2" s="73"/>
    </row>
    <row r="3" spans="1:12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368</v>
      </c>
      <c r="E3" s="78" t="s">
        <v>4</v>
      </c>
      <c r="F3" s="78" t="s">
        <v>7</v>
      </c>
      <c r="G3" s="78" t="s">
        <v>369</v>
      </c>
      <c r="H3" s="78"/>
      <c r="I3" s="78" t="s">
        <v>226</v>
      </c>
      <c r="J3" s="78" t="s">
        <v>3</v>
      </c>
      <c r="K3" s="83" t="s">
        <v>448</v>
      </c>
      <c r="L3" s="79" t="s">
        <v>2</v>
      </c>
    </row>
    <row r="4" spans="1:12" s="1" customFormat="1" ht="21" customHeight="1" thickBot="1" x14ac:dyDescent="0.25">
      <c r="A4" s="75"/>
      <c r="B4" s="77"/>
      <c r="C4" s="77"/>
      <c r="D4" s="77"/>
      <c r="E4" s="77"/>
      <c r="F4" s="77"/>
      <c r="G4" s="6" t="s">
        <v>8</v>
      </c>
      <c r="H4" s="6" t="s">
        <v>9</v>
      </c>
      <c r="I4" s="77"/>
      <c r="J4" s="77"/>
      <c r="K4" s="84"/>
      <c r="L4" s="80"/>
    </row>
    <row r="5" spans="1:12" ht="15" x14ac:dyDescent="0.2">
      <c r="A5" s="66" t="s">
        <v>370</v>
      </c>
      <c r="B5" s="67"/>
      <c r="C5" s="67"/>
      <c r="D5" s="67"/>
      <c r="E5" s="67"/>
      <c r="F5" s="67"/>
      <c r="G5" s="67"/>
      <c r="H5" s="67"/>
    </row>
    <row r="6" spans="1:12" x14ac:dyDescent="0.2">
      <c r="A6" s="10" t="s">
        <v>288</v>
      </c>
      <c r="B6" s="10" t="s">
        <v>289</v>
      </c>
      <c r="C6" s="10" t="s">
        <v>290</v>
      </c>
      <c r="D6" s="10" t="str">
        <f>"1,0000"</f>
        <v>1,0000</v>
      </c>
      <c r="E6" s="10" t="s">
        <v>27</v>
      </c>
      <c r="F6" s="10" t="s">
        <v>42</v>
      </c>
      <c r="G6" s="47" t="s">
        <v>235</v>
      </c>
      <c r="H6" s="50" t="s">
        <v>371</v>
      </c>
      <c r="I6" s="13" t="str">
        <f>"2040,0"</f>
        <v>2040,0</v>
      </c>
      <c r="J6" s="57" t="str">
        <f>"32,5878"</f>
        <v>32,5878</v>
      </c>
      <c r="K6" s="55" t="s">
        <v>449</v>
      </c>
      <c r="L6" s="10" t="s">
        <v>128</v>
      </c>
    </row>
    <row r="8" spans="1:12" ht="15" x14ac:dyDescent="0.2">
      <c r="E8" s="7" t="s">
        <v>11</v>
      </c>
      <c r="F8" s="39" t="s">
        <v>438</v>
      </c>
    </row>
    <row r="9" spans="1:12" ht="15" x14ac:dyDescent="0.2">
      <c r="E9" s="7" t="s">
        <v>12</v>
      </c>
      <c r="F9" s="39" t="s">
        <v>439</v>
      </c>
    </row>
    <row r="10" spans="1:12" ht="15" x14ac:dyDescent="0.2">
      <c r="E10" s="7" t="s">
        <v>13</v>
      </c>
      <c r="F10" s="39" t="s">
        <v>440</v>
      </c>
    </row>
    <row r="11" spans="1:12" ht="15" x14ac:dyDescent="0.2">
      <c r="E11" s="7" t="s">
        <v>14</v>
      </c>
      <c r="F11" s="39" t="s">
        <v>441</v>
      </c>
    </row>
    <row r="12" spans="1:12" ht="15" x14ac:dyDescent="0.2">
      <c r="E12" s="7" t="s">
        <v>14</v>
      </c>
      <c r="F12" s="39" t="s">
        <v>442</v>
      </c>
    </row>
    <row r="13" spans="1:12" ht="15" x14ac:dyDescent="0.2">
      <c r="E13" s="7" t="s">
        <v>15</v>
      </c>
      <c r="F13" s="36" t="s">
        <v>443</v>
      </c>
    </row>
    <row r="14" spans="1:12" ht="15" x14ac:dyDescent="0.2">
      <c r="E14" s="7"/>
    </row>
    <row r="16" spans="1:12" ht="18" x14ac:dyDescent="0.25">
      <c r="A16" s="9" t="s">
        <v>16</v>
      </c>
      <c r="B16" s="9"/>
    </row>
    <row r="17" spans="1:5" ht="15" x14ac:dyDescent="0.2">
      <c r="A17" s="15" t="s">
        <v>56</v>
      </c>
      <c r="B17" s="15"/>
    </row>
    <row r="18" spans="1:5" ht="14.25" x14ac:dyDescent="0.2">
      <c r="A18" s="17"/>
      <c r="B18" s="18" t="s">
        <v>216</v>
      </c>
    </row>
    <row r="19" spans="1:5" ht="15" x14ac:dyDescent="0.2">
      <c r="A19" s="19" t="s">
        <v>58</v>
      </c>
      <c r="B19" s="19" t="s">
        <v>59</v>
      </c>
      <c r="C19" s="19" t="s">
        <v>60</v>
      </c>
      <c r="D19" s="19" t="s">
        <v>107</v>
      </c>
      <c r="E19" s="19" t="s">
        <v>372</v>
      </c>
    </row>
    <row r="20" spans="1:5" x14ac:dyDescent="0.2">
      <c r="A20" s="16" t="s">
        <v>287</v>
      </c>
      <c r="B20" s="4" t="s">
        <v>173</v>
      </c>
      <c r="C20" s="4" t="s">
        <v>373</v>
      </c>
      <c r="D20" s="4" t="s">
        <v>374</v>
      </c>
      <c r="E20" s="8" t="s">
        <v>375</v>
      </c>
    </row>
  </sheetData>
  <mergeCells count="13">
    <mergeCell ref="A5:H5"/>
    <mergeCell ref="A1:L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L3:L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8" sqref="F8: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8" bestFit="1" customWidth="1"/>
    <col min="16" max="16" width="7.5703125" style="2" bestFit="1" customWidth="1"/>
    <col min="17" max="17" width="17.85546875" style="4" bestFit="1" customWidth="1"/>
    <col min="18" max="16384" width="9.140625" style="3"/>
  </cols>
  <sheetData>
    <row r="1" spans="1:17" s="2" customFormat="1" ht="29.1" customHeight="1" x14ac:dyDescent="0.2">
      <c r="A1" s="68" t="s">
        <v>359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</row>
    <row r="2" spans="1:17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17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353</v>
      </c>
      <c r="H3" s="78"/>
      <c r="I3" s="78"/>
      <c r="J3" s="78"/>
      <c r="K3" s="78" t="s">
        <v>280</v>
      </c>
      <c r="L3" s="78"/>
      <c r="M3" s="78"/>
      <c r="N3" s="78"/>
      <c r="O3" s="78" t="s">
        <v>1</v>
      </c>
      <c r="P3" s="78" t="s">
        <v>3</v>
      </c>
      <c r="Q3" s="79" t="s">
        <v>2</v>
      </c>
    </row>
    <row r="4" spans="1:17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77"/>
      <c r="P4" s="77"/>
      <c r="Q4" s="80"/>
    </row>
    <row r="5" spans="1:17" ht="15" x14ac:dyDescent="0.2">
      <c r="A5" s="66" t="s">
        <v>193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 x14ac:dyDescent="0.2">
      <c r="A6" s="10" t="s">
        <v>361</v>
      </c>
      <c r="B6" s="10" t="s">
        <v>362</v>
      </c>
      <c r="C6" s="10" t="s">
        <v>363</v>
      </c>
      <c r="D6" s="10" t="str">
        <f>"0,5353"</f>
        <v>0,5353</v>
      </c>
      <c r="E6" s="10" t="s">
        <v>27</v>
      </c>
      <c r="F6" s="10" t="s">
        <v>28</v>
      </c>
      <c r="G6" s="11" t="s">
        <v>207</v>
      </c>
      <c r="H6" s="11" t="s">
        <v>33</v>
      </c>
      <c r="I6" s="12" t="s">
        <v>347</v>
      </c>
      <c r="J6" s="12"/>
      <c r="K6" s="11" t="s">
        <v>145</v>
      </c>
      <c r="L6" s="11" t="s">
        <v>207</v>
      </c>
      <c r="M6" s="12" t="s">
        <v>33</v>
      </c>
      <c r="N6" s="12"/>
      <c r="O6" s="13" t="str">
        <f>"145,0"</f>
        <v>145,0</v>
      </c>
      <c r="P6" s="14" t="str">
        <f>"77,6185"</f>
        <v>77,6185</v>
      </c>
      <c r="Q6" s="10" t="s">
        <v>364</v>
      </c>
    </row>
    <row r="8" spans="1:17" ht="15" x14ac:dyDescent="0.2">
      <c r="E8" s="7" t="s">
        <v>11</v>
      </c>
      <c r="F8" s="39" t="s">
        <v>438</v>
      </c>
    </row>
    <row r="9" spans="1:17" ht="15" x14ac:dyDescent="0.2">
      <c r="E9" s="7" t="s">
        <v>12</v>
      </c>
      <c r="F9" s="39" t="s">
        <v>439</v>
      </c>
    </row>
    <row r="10" spans="1:17" ht="15" x14ac:dyDescent="0.2">
      <c r="E10" s="7" t="s">
        <v>13</v>
      </c>
      <c r="F10" s="39" t="s">
        <v>440</v>
      </c>
    </row>
    <row r="11" spans="1:17" ht="15" x14ac:dyDescent="0.2">
      <c r="E11" s="7" t="s">
        <v>14</v>
      </c>
      <c r="F11" s="39" t="s">
        <v>441</v>
      </c>
    </row>
    <row r="12" spans="1:17" ht="15" x14ac:dyDescent="0.2">
      <c r="E12" s="7" t="s">
        <v>14</v>
      </c>
      <c r="F12" s="39" t="s">
        <v>442</v>
      </c>
    </row>
    <row r="13" spans="1:17" ht="15" x14ac:dyDescent="0.2">
      <c r="E13" s="7" t="s">
        <v>15</v>
      </c>
      <c r="F13" s="36" t="s">
        <v>443</v>
      </c>
    </row>
    <row r="14" spans="1:17" ht="15" x14ac:dyDescent="0.2">
      <c r="E14" s="7"/>
    </row>
    <row r="16" spans="1:17" ht="18" x14ac:dyDescent="0.25">
      <c r="A16" s="9" t="s">
        <v>16</v>
      </c>
      <c r="B16" s="9"/>
    </row>
    <row r="17" spans="1:5" ht="15" x14ac:dyDescent="0.2">
      <c r="A17" s="15" t="s">
        <v>66</v>
      </c>
      <c r="B17" s="15"/>
    </row>
    <row r="18" spans="1:5" ht="14.25" x14ac:dyDescent="0.2">
      <c r="A18" s="17"/>
      <c r="B18" s="18" t="s">
        <v>57</v>
      </c>
    </row>
    <row r="19" spans="1:5" ht="15" x14ac:dyDescent="0.2">
      <c r="A19" s="19" t="s">
        <v>58</v>
      </c>
      <c r="B19" s="19" t="s">
        <v>59</v>
      </c>
      <c r="C19" s="19" t="s">
        <v>60</v>
      </c>
      <c r="D19" s="19" t="s">
        <v>61</v>
      </c>
      <c r="E19" s="19" t="s">
        <v>62</v>
      </c>
    </row>
    <row r="20" spans="1:5" x14ac:dyDescent="0.2">
      <c r="A20" s="16" t="s">
        <v>360</v>
      </c>
      <c r="B20" s="4" t="s">
        <v>57</v>
      </c>
      <c r="C20" s="4" t="s">
        <v>365</v>
      </c>
      <c r="D20" s="4" t="s">
        <v>34</v>
      </c>
      <c r="E20" s="8" t="s">
        <v>366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18" sqref="F18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8" bestFit="1" customWidth="1"/>
    <col min="16" max="16" width="7.5703125" style="2" bestFit="1" customWidth="1"/>
    <col min="17" max="17" width="19.140625" style="4" bestFit="1" customWidth="1"/>
    <col min="18" max="16384" width="9.140625" style="3"/>
  </cols>
  <sheetData>
    <row r="1" spans="1:17" s="2" customFormat="1" ht="29.1" customHeight="1" x14ac:dyDescent="0.2">
      <c r="A1" s="68" t="s">
        <v>352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</row>
    <row r="2" spans="1:17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1:17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353</v>
      </c>
      <c r="H3" s="78"/>
      <c r="I3" s="78"/>
      <c r="J3" s="78"/>
      <c r="K3" s="78" t="s">
        <v>280</v>
      </c>
      <c r="L3" s="78"/>
      <c r="M3" s="78"/>
      <c r="N3" s="78"/>
      <c r="O3" s="78" t="s">
        <v>1</v>
      </c>
      <c r="P3" s="78" t="s">
        <v>3</v>
      </c>
      <c r="Q3" s="79" t="s">
        <v>2</v>
      </c>
    </row>
    <row r="4" spans="1:17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77"/>
      <c r="P4" s="77"/>
      <c r="Q4" s="80"/>
    </row>
    <row r="5" spans="1:17" ht="15" x14ac:dyDescent="0.2">
      <c r="A5" s="66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 x14ac:dyDescent="0.2">
      <c r="A6" s="10" t="s">
        <v>355</v>
      </c>
      <c r="B6" s="10" t="s">
        <v>356</v>
      </c>
      <c r="C6" s="10" t="s">
        <v>357</v>
      </c>
      <c r="D6" s="10" t="str">
        <f>"0,6262"</f>
        <v>0,6262</v>
      </c>
      <c r="E6" s="10" t="s">
        <v>124</v>
      </c>
      <c r="F6" s="10" t="s">
        <v>42</v>
      </c>
      <c r="G6" s="12" t="s">
        <v>32</v>
      </c>
      <c r="H6" s="11" t="s">
        <v>32</v>
      </c>
      <c r="I6" s="11" t="s">
        <v>33</v>
      </c>
      <c r="J6" s="12"/>
      <c r="K6" s="11" t="s">
        <v>126</v>
      </c>
      <c r="L6" s="11" t="s">
        <v>127</v>
      </c>
      <c r="M6" s="11" t="s">
        <v>145</v>
      </c>
      <c r="N6" s="12"/>
      <c r="O6" s="13" t="str">
        <f>"135,0"</f>
        <v>135,0</v>
      </c>
      <c r="P6" s="14" t="str">
        <f>"84,5370"</f>
        <v>84,5370</v>
      </c>
      <c r="Q6" s="10" t="s">
        <v>128</v>
      </c>
    </row>
    <row r="8" spans="1:17" ht="15" x14ac:dyDescent="0.2">
      <c r="E8" s="7" t="s">
        <v>11</v>
      </c>
      <c r="F8" s="39" t="s">
        <v>438</v>
      </c>
    </row>
    <row r="9" spans="1:17" ht="15" x14ac:dyDescent="0.2">
      <c r="E9" s="7" t="s">
        <v>12</v>
      </c>
      <c r="F9" s="39" t="s">
        <v>439</v>
      </c>
    </row>
    <row r="10" spans="1:17" ht="15" x14ac:dyDescent="0.2">
      <c r="E10" s="7" t="s">
        <v>13</v>
      </c>
      <c r="F10" s="39" t="s">
        <v>440</v>
      </c>
    </row>
    <row r="11" spans="1:17" ht="15" x14ac:dyDescent="0.2">
      <c r="E11" s="7" t="s">
        <v>14</v>
      </c>
      <c r="F11" s="39" t="s">
        <v>441</v>
      </c>
    </row>
    <row r="12" spans="1:17" ht="15" x14ac:dyDescent="0.2">
      <c r="E12" s="7" t="s">
        <v>14</v>
      </c>
      <c r="F12" s="39" t="s">
        <v>442</v>
      </c>
    </row>
    <row r="13" spans="1:17" ht="15" x14ac:dyDescent="0.2">
      <c r="E13" s="7" t="s">
        <v>15</v>
      </c>
      <c r="F13" s="36" t="s">
        <v>443</v>
      </c>
    </row>
    <row r="14" spans="1:17" ht="15" x14ac:dyDescent="0.2">
      <c r="E14" s="7"/>
    </row>
    <row r="16" spans="1:17" ht="18" x14ac:dyDescent="0.25">
      <c r="A16" s="9" t="s">
        <v>16</v>
      </c>
      <c r="B16" s="9"/>
    </row>
    <row r="17" spans="1:5" ht="15" x14ac:dyDescent="0.2">
      <c r="A17" s="15" t="s">
        <v>66</v>
      </c>
      <c r="B17" s="15"/>
    </row>
    <row r="18" spans="1:5" ht="14.25" x14ac:dyDescent="0.2">
      <c r="A18" s="17"/>
      <c r="B18" s="18" t="s">
        <v>57</v>
      </c>
    </row>
    <row r="19" spans="1:5" ht="15" x14ac:dyDescent="0.2">
      <c r="A19" s="19" t="s">
        <v>58</v>
      </c>
      <c r="B19" s="19" t="s">
        <v>59</v>
      </c>
      <c r="C19" s="19" t="s">
        <v>60</v>
      </c>
      <c r="D19" s="19" t="s">
        <v>61</v>
      </c>
      <c r="E19" s="19" t="s">
        <v>62</v>
      </c>
    </row>
    <row r="20" spans="1:5" x14ac:dyDescent="0.2">
      <c r="A20" s="16" t="s">
        <v>354</v>
      </c>
      <c r="B20" s="4" t="s">
        <v>57</v>
      </c>
      <c r="C20" s="4" t="s">
        <v>63</v>
      </c>
      <c r="D20" s="4" t="s">
        <v>53</v>
      </c>
      <c r="E20" s="8" t="s">
        <v>358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K6" sqref="K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4.5703125" style="3" customWidth="1"/>
    <col min="10" max="10" width="4.85546875" style="3" customWidth="1"/>
    <col min="11" max="11" width="12.5703125" style="8" customWidth="1"/>
    <col min="12" max="12" width="7.5703125" style="2" bestFit="1" customWidth="1"/>
    <col min="13" max="13" width="12.42578125" style="2" customWidth="1"/>
    <col min="14" max="14" width="19.140625" style="4" bestFit="1" customWidth="1"/>
    <col min="15" max="16384" width="9.140625" style="3"/>
  </cols>
  <sheetData>
    <row r="1" spans="1:14" s="2" customFormat="1" ht="29.1" customHeight="1" x14ac:dyDescent="0.2">
      <c r="A1" s="68" t="s">
        <v>338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81"/>
      <c r="N1" s="70"/>
    </row>
    <row r="2" spans="1:14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82"/>
      <c r="N2" s="73"/>
    </row>
    <row r="3" spans="1:14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280</v>
      </c>
      <c r="H3" s="78"/>
      <c r="I3" s="78"/>
      <c r="J3" s="78"/>
      <c r="K3" s="78" t="s">
        <v>117</v>
      </c>
      <c r="L3" s="78" t="s">
        <v>3</v>
      </c>
      <c r="M3" s="83" t="s">
        <v>448</v>
      </c>
      <c r="N3" s="79" t="s">
        <v>2</v>
      </c>
    </row>
    <row r="4" spans="1:14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4"/>
      <c r="N4" s="80"/>
    </row>
    <row r="5" spans="1:14" ht="15" x14ac:dyDescent="0.2">
      <c r="A5" s="66" t="s">
        <v>22</v>
      </c>
      <c r="B5" s="67"/>
      <c r="C5" s="67"/>
      <c r="D5" s="67"/>
      <c r="E5" s="67"/>
      <c r="F5" s="67"/>
      <c r="G5" s="67"/>
      <c r="H5" s="67"/>
      <c r="I5" s="67"/>
      <c r="J5" s="67"/>
    </row>
    <row r="6" spans="1:14" x14ac:dyDescent="0.2">
      <c r="A6" s="10" t="s">
        <v>340</v>
      </c>
      <c r="B6" s="10" t="s">
        <v>341</v>
      </c>
      <c r="C6" s="10" t="s">
        <v>342</v>
      </c>
      <c r="D6" s="10" t="str">
        <f>"0,6276"</f>
        <v>0,6276</v>
      </c>
      <c r="E6" s="10" t="s">
        <v>124</v>
      </c>
      <c r="F6" s="10" t="s">
        <v>28</v>
      </c>
      <c r="G6" s="11" t="s">
        <v>146</v>
      </c>
      <c r="H6" s="12" t="s">
        <v>268</v>
      </c>
      <c r="I6" s="11" t="s">
        <v>268</v>
      </c>
      <c r="J6" s="12"/>
      <c r="K6" s="51" t="str">
        <f>"65,0"</f>
        <v>65,0</v>
      </c>
      <c r="L6" s="14" t="str">
        <f>"47,8514"</f>
        <v>47,8514</v>
      </c>
      <c r="M6" s="55" t="s">
        <v>449</v>
      </c>
      <c r="N6" s="10" t="s">
        <v>128</v>
      </c>
    </row>
    <row r="8" spans="1:14" ht="15" x14ac:dyDescent="0.2">
      <c r="A8" s="85" t="s">
        <v>97</v>
      </c>
      <c r="B8" s="86"/>
      <c r="C8" s="86"/>
      <c r="D8" s="86"/>
      <c r="E8" s="86"/>
      <c r="F8" s="86"/>
      <c r="G8" s="86"/>
      <c r="H8" s="86"/>
      <c r="I8" s="86"/>
      <c r="J8" s="86"/>
    </row>
    <row r="9" spans="1:14" x14ac:dyDescent="0.2">
      <c r="A9" s="10" t="s">
        <v>344</v>
      </c>
      <c r="B9" s="10" t="s">
        <v>345</v>
      </c>
      <c r="C9" s="10" t="s">
        <v>346</v>
      </c>
      <c r="D9" s="10" t="str">
        <f>"0,5887"</f>
        <v>0,5887</v>
      </c>
      <c r="E9" s="10" t="s">
        <v>27</v>
      </c>
      <c r="F9" s="10" t="s">
        <v>28</v>
      </c>
      <c r="G9" s="11" t="s">
        <v>33</v>
      </c>
      <c r="H9" s="11" t="s">
        <v>347</v>
      </c>
      <c r="I9" s="11" t="s">
        <v>348</v>
      </c>
      <c r="J9" s="12" t="s">
        <v>46</v>
      </c>
      <c r="K9" s="13" t="str">
        <f>"87,5"</f>
        <v>87,5</v>
      </c>
      <c r="L9" s="14" t="str">
        <f>"51,5112"</f>
        <v>51,5112</v>
      </c>
      <c r="M9" s="14"/>
      <c r="N9" s="10" t="s">
        <v>82</v>
      </c>
    </row>
    <row r="11" spans="1:14" ht="15" x14ac:dyDescent="0.2">
      <c r="E11" s="7" t="s">
        <v>11</v>
      </c>
      <c r="F11" s="39" t="s">
        <v>438</v>
      </c>
    </row>
    <row r="12" spans="1:14" ht="15" x14ac:dyDescent="0.2">
      <c r="E12" s="7" t="s">
        <v>12</v>
      </c>
      <c r="F12" s="39" t="s">
        <v>439</v>
      </c>
    </row>
    <row r="13" spans="1:14" ht="15" x14ac:dyDescent="0.2">
      <c r="E13" s="7" t="s">
        <v>13</v>
      </c>
      <c r="F13" s="39" t="s">
        <v>440</v>
      </c>
    </row>
    <row r="14" spans="1:14" ht="15" x14ac:dyDescent="0.2">
      <c r="E14" s="7" t="s">
        <v>14</v>
      </c>
      <c r="F14" s="39" t="s">
        <v>441</v>
      </c>
    </row>
    <row r="15" spans="1:14" ht="15" x14ac:dyDescent="0.2">
      <c r="E15" s="7" t="s">
        <v>14</v>
      </c>
      <c r="F15" s="39" t="s">
        <v>442</v>
      </c>
    </row>
    <row r="16" spans="1:14" ht="15" x14ac:dyDescent="0.2">
      <c r="E16" s="7" t="s">
        <v>15</v>
      </c>
      <c r="F16" s="36" t="s">
        <v>443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66</v>
      </c>
      <c r="B20" s="15"/>
    </row>
    <row r="21" spans="1:5" ht="14.25" x14ac:dyDescent="0.2">
      <c r="A21" s="17"/>
      <c r="B21" s="18" t="s">
        <v>57</v>
      </c>
    </row>
    <row r="22" spans="1:5" ht="15" x14ac:dyDescent="0.2">
      <c r="A22" s="19" t="s">
        <v>58</v>
      </c>
      <c r="B22" s="19" t="s">
        <v>59</v>
      </c>
      <c r="C22" s="19" t="s">
        <v>60</v>
      </c>
      <c r="D22" s="19" t="s">
        <v>107</v>
      </c>
      <c r="E22" s="19" t="s">
        <v>62</v>
      </c>
    </row>
    <row r="23" spans="1:5" x14ac:dyDescent="0.2">
      <c r="A23" s="16" t="s">
        <v>343</v>
      </c>
      <c r="B23" s="4" t="s">
        <v>57</v>
      </c>
      <c r="C23" s="4" t="s">
        <v>110</v>
      </c>
      <c r="D23" s="4" t="s">
        <v>348</v>
      </c>
      <c r="E23" s="8" t="s">
        <v>349</v>
      </c>
    </row>
    <row r="25" spans="1:5" ht="14.25" x14ac:dyDescent="0.2">
      <c r="A25" s="17"/>
      <c r="B25" s="18" t="s">
        <v>113</v>
      </c>
    </row>
    <row r="26" spans="1:5" ht="15" x14ac:dyDescent="0.2">
      <c r="A26" s="19" t="s">
        <v>58</v>
      </c>
      <c r="B26" s="19" t="s">
        <v>59</v>
      </c>
      <c r="C26" s="19" t="s">
        <v>60</v>
      </c>
      <c r="D26" s="19" t="s">
        <v>107</v>
      </c>
      <c r="E26" s="19" t="s">
        <v>62</v>
      </c>
    </row>
    <row r="27" spans="1:5" x14ac:dyDescent="0.2">
      <c r="A27" s="16" t="s">
        <v>339</v>
      </c>
      <c r="B27" s="4" t="s">
        <v>350</v>
      </c>
      <c r="C27" s="4" t="s">
        <v>63</v>
      </c>
      <c r="D27" s="4" t="s">
        <v>268</v>
      </c>
      <c r="E27" s="8" t="s">
        <v>351</v>
      </c>
    </row>
  </sheetData>
  <mergeCells count="14">
    <mergeCell ref="A1:N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N3:N4"/>
    <mergeCell ref="A5:J5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7" workbookViewId="0">
      <selection activeCell="K22" sqref="K2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4.5703125" style="3" customWidth="1"/>
    <col min="10" max="10" width="4.85546875" style="3" customWidth="1"/>
    <col min="11" max="11" width="11.28515625" style="8" customWidth="1"/>
    <col min="12" max="12" width="7.5703125" style="2" bestFit="1" customWidth="1"/>
    <col min="13" max="13" width="11" style="2" customWidth="1"/>
    <col min="14" max="14" width="19.140625" style="4" bestFit="1" customWidth="1"/>
    <col min="15" max="16384" width="9.140625" style="3"/>
  </cols>
  <sheetData>
    <row r="1" spans="1:14" s="2" customFormat="1" ht="29.1" customHeight="1" x14ac:dyDescent="0.2">
      <c r="A1" s="68" t="s">
        <v>279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81"/>
      <c r="N1" s="70"/>
    </row>
    <row r="2" spans="1:14" s="2" customFormat="1" ht="62.1" customHeight="1" thickBo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82"/>
      <c r="N2" s="73"/>
    </row>
    <row r="3" spans="1:14" s="1" customFormat="1" ht="12.75" customHeight="1" x14ac:dyDescent="0.2">
      <c r="A3" s="74" t="s">
        <v>0</v>
      </c>
      <c r="B3" s="76" t="s">
        <v>6</v>
      </c>
      <c r="C3" s="76" t="s">
        <v>10</v>
      </c>
      <c r="D3" s="78" t="s">
        <v>18</v>
      </c>
      <c r="E3" s="78" t="s">
        <v>4</v>
      </c>
      <c r="F3" s="78" t="s">
        <v>7</v>
      </c>
      <c r="G3" s="78" t="s">
        <v>280</v>
      </c>
      <c r="H3" s="78"/>
      <c r="I3" s="78"/>
      <c r="J3" s="78"/>
      <c r="K3" s="78" t="s">
        <v>117</v>
      </c>
      <c r="L3" s="78" t="s">
        <v>3</v>
      </c>
      <c r="M3" s="83" t="s">
        <v>448</v>
      </c>
      <c r="N3" s="79" t="s">
        <v>2</v>
      </c>
    </row>
    <row r="4" spans="1:14" s="1" customFormat="1" ht="21" customHeight="1" thickBot="1" x14ac:dyDescent="0.25">
      <c r="A4" s="75"/>
      <c r="B4" s="77"/>
      <c r="C4" s="77"/>
      <c r="D4" s="77"/>
      <c r="E4" s="77"/>
      <c r="F4" s="77"/>
      <c r="G4" s="6">
        <v>1</v>
      </c>
      <c r="H4" s="6">
        <v>2</v>
      </c>
      <c r="I4" s="6">
        <v>3</v>
      </c>
      <c r="J4" s="6" t="s">
        <v>5</v>
      </c>
      <c r="K4" s="77"/>
      <c r="L4" s="77"/>
      <c r="M4" s="84"/>
      <c r="N4" s="80"/>
    </row>
    <row r="5" spans="1:14" ht="15" x14ac:dyDescent="0.2">
      <c r="A5" s="66" t="s">
        <v>230</v>
      </c>
      <c r="B5" s="67"/>
      <c r="C5" s="67"/>
      <c r="D5" s="67"/>
      <c r="E5" s="67"/>
      <c r="F5" s="67"/>
      <c r="G5" s="67"/>
      <c r="H5" s="67"/>
      <c r="I5" s="67"/>
      <c r="J5" s="67"/>
    </row>
    <row r="6" spans="1:14" x14ac:dyDescent="0.2">
      <c r="A6" s="10" t="s">
        <v>282</v>
      </c>
      <c r="B6" s="10" t="s">
        <v>283</v>
      </c>
      <c r="C6" s="10" t="s">
        <v>284</v>
      </c>
      <c r="D6" s="10" t="str">
        <f>"0,9888"</f>
        <v>0,9888</v>
      </c>
      <c r="E6" s="10" t="s">
        <v>27</v>
      </c>
      <c r="F6" s="10" t="s">
        <v>28</v>
      </c>
      <c r="G6" s="11" t="s">
        <v>285</v>
      </c>
      <c r="H6" s="11" t="s">
        <v>286</v>
      </c>
      <c r="I6" s="12" t="s">
        <v>252</v>
      </c>
      <c r="J6" s="12"/>
      <c r="K6" s="51" t="str">
        <f>"32,5"</f>
        <v>32,5</v>
      </c>
      <c r="L6" s="14" t="str">
        <f>"32,1360"</f>
        <v>32,1360</v>
      </c>
      <c r="M6" s="55" t="s">
        <v>449</v>
      </c>
      <c r="N6" s="10" t="s">
        <v>128</v>
      </c>
    </row>
    <row r="7" spans="1:14" x14ac:dyDescent="0.2">
      <c r="K7" s="62"/>
    </row>
    <row r="8" spans="1:14" ht="15" x14ac:dyDescent="0.2">
      <c r="A8" s="85" t="s">
        <v>119</v>
      </c>
      <c r="B8" s="86"/>
      <c r="C8" s="86"/>
      <c r="D8" s="86"/>
      <c r="E8" s="86"/>
      <c r="F8" s="86"/>
      <c r="G8" s="86"/>
      <c r="H8" s="86"/>
      <c r="I8" s="86"/>
      <c r="J8" s="86"/>
      <c r="K8" s="62"/>
    </row>
    <row r="9" spans="1:14" x14ac:dyDescent="0.2">
      <c r="A9" s="10" t="s">
        <v>288</v>
      </c>
      <c r="B9" s="10" t="s">
        <v>289</v>
      </c>
      <c r="C9" s="10" t="s">
        <v>290</v>
      </c>
      <c r="D9" s="10" t="str">
        <f>"0,8307"</f>
        <v>0,8307</v>
      </c>
      <c r="E9" s="10" t="s">
        <v>27</v>
      </c>
      <c r="F9" s="10" t="s">
        <v>42</v>
      </c>
      <c r="G9" s="11" t="s">
        <v>291</v>
      </c>
      <c r="H9" s="11" t="s">
        <v>251</v>
      </c>
      <c r="I9" s="12" t="s">
        <v>285</v>
      </c>
      <c r="J9" s="12"/>
      <c r="K9" s="51" t="str">
        <f>"27,5"</f>
        <v>27,5</v>
      </c>
      <c r="L9" s="14" t="str">
        <f>"28,1001"</f>
        <v>28,1001</v>
      </c>
      <c r="M9" s="55" t="s">
        <v>449</v>
      </c>
      <c r="N9" s="10" t="s">
        <v>128</v>
      </c>
    </row>
    <row r="11" spans="1:14" ht="15" x14ac:dyDescent="0.2">
      <c r="A11" s="85" t="s">
        <v>140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4" x14ac:dyDescent="0.2">
      <c r="A12" s="20" t="s">
        <v>142</v>
      </c>
      <c r="B12" s="20" t="s">
        <v>143</v>
      </c>
      <c r="C12" s="20" t="s">
        <v>144</v>
      </c>
      <c r="D12" s="20" t="str">
        <f>"0,8748"</f>
        <v>0,8748</v>
      </c>
      <c r="E12" s="20" t="s">
        <v>87</v>
      </c>
      <c r="F12" s="20" t="s">
        <v>80</v>
      </c>
      <c r="G12" s="22" t="s">
        <v>285</v>
      </c>
      <c r="H12" s="22" t="s">
        <v>252</v>
      </c>
      <c r="I12" s="22" t="s">
        <v>292</v>
      </c>
      <c r="J12" s="21"/>
      <c r="K12" s="26" t="str">
        <f>"37,5"</f>
        <v>37,5</v>
      </c>
      <c r="L12" s="27" t="str">
        <f>"38,7099"</f>
        <v>38,7099</v>
      </c>
      <c r="M12" s="27"/>
      <c r="N12" s="20" t="s">
        <v>147</v>
      </c>
    </row>
    <row r="13" spans="1:14" x14ac:dyDescent="0.2">
      <c r="A13" s="23" t="s">
        <v>149</v>
      </c>
      <c r="B13" s="23" t="s">
        <v>150</v>
      </c>
      <c r="C13" s="23" t="s">
        <v>151</v>
      </c>
      <c r="D13" s="23" t="str">
        <f>"0,9016"</f>
        <v>0,9016</v>
      </c>
      <c r="E13" s="23" t="s">
        <v>27</v>
      </c>
      <c r="F13" s="23" t="s">
        <v>28</v>
      </c>
      <c r="G13" s="25" t="s">
        <v>292</v>
      </c>
      <c r="H13" s="25" t="s">
        <v>241</v>
      </c>
      <c r="I13" s="25" t="s">
        <v>126</v>
      </c>
      <c r="J13" s="24" t="s">
        <v>145</v>
      </c>
      <c r="K13" s="28" t="str">
        <f>"52,5"</f>
        <v>52,5</v>
      </c>
      <c r="L13" s="29" t="str">
        <f>"47,3340"</f>
        <v>47,3340</v>
      </c>
      <c r="M13" s="29"/>
      <c r="N13" s="23" t="s">
        <v>154</v>
      </c>
    </row>
    <row r="15" spans="1:14" ht="15" x14ac:dyDescent="0.2">
      <c r="A15" s="85" t="s">
        <v>119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4" x14ac:dyDescent="0.2">
      <c r="A16" s="10" t="s">
        <v>294</v>
      </c>
      <c r="B16" s="10" t="s">
        <v>295</v>
      </c>
      <c r="C16" s="10" t="s">
        <v>296</v>
      </c>
      <c r="D16" s="10" t="str">
        <f>"0,7864"</f>
        <v>0,7864</v>
      </c>
      <c r="E16" s="10" t="s">
        <v>124</v>
      </c>
      <c r="F16" s="10" t="s">
        <v>28</v>
      </c>
      <c r="G16" s="11" t="s">
        <v>125</v>
      </c>
      <c r="H16" s="11" t="s">
        <v>127</v>
      </c>
      <c r="I16" s="11" t="s">
        <v>145</v>
      </c>
      <c r="J16" s="12"/>
      <c r="K16" s="13" t="str">
        <f>"60,0"</f>
        <v>60,0</v>
      </c>
      <c r="L16" s="14" t="str">
        <f>"47,1840"</f>
        <v>47,1840</v>
      </c>
      <c r="M16" s="14"/>
      <c r="N16" s="10" t="s">
        <v>128</v>
      </c>
    </row>
    <row r="18" spans="1:14" ht="15" x14ac:dyDescent="0.2">
      <c r="A18" s="85" t="s">
        <v>75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4" x14ac:dyDescent="0.2">
      <c r="A19" s="10" t="s">
        <v>77</v>
      </c>
      <c r="B19" s="10" t="s">
        <v>78</v>
      </c>
      <c r="C19" s="10" t="s">
        <v>79</v>
      </c>
      <c r="D19" s="10" t="str">
        <f>"0,6789"</f>
        <v>0,6789</v>
      </c>
      <c r="E19" s="10" t="s">
        <v>27</v>
      </c>
      <c r="F19" s="10" t="s">
        <v>80</v>
      </c>
      <c r="G19" s="11" t="s">
        <v>127</v>
      </c>
      <c r="H19" s="11" t="s">
        <v>268</v>
      </c>
      <c r="I19" s="12"/>
      <c r="J19" s="12"/>
      <c r="K19" s="13" t="str">
        <f>"65,0"</f>
        <v>65,0</v>
      </c>
      <c r="L19" s="14" t="str">
        <f>"44,1285"</f>
        <v>44,1285</v>
      </c>
      <c r="M19" s="14"/>
      <c r="N19" s="10" t="s">
        <v>82</v>
      </c>
    </row>
    <row r="21" spans="1:14" ht="15" x14ac:dyDescent="0.2">
      <c r="A21" s="85" t="s">
        <v>22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4" x14ac:dyDescent="0.2">
      <c r="A22" s="20" t="s">
        <v>39</v>
      </c>
      <c r="B22" s="20" t="s">
        <v>40</v>
      </c>
      <c r="C22" s="20" t="s">
        <v>41</v>
      </c>
      <c r="D22" s="20" t="str">
        <f>"0,6355"</f>
        <v>0,6355</v>
      </c>
      <c r="E22" s="20" t="s">
        <v>27</v>
      </c>
      <c r="F22" s="20" t="s">
        <v>42</v>
      </c>
      <c r="G22" s="22" t="s">
        <v>138</v>
      </c>
      <c r="H22" s="22" t="s">
        <v>126</v>
      </c>
      <c r="I22" s="22" t="s">
        <v>297</v>
      </c>
      <c r="J22" s="21"/>
      <c r="K22" s="26" t="str">
        <f>"57,5"</f>
        <v>57,5</v>
      </c>
      <c r="L22" s="27" t="str">
        <f>"39,4646"</f>
        <v>39,4646</v>
      </c>
      <c r="M22" s="27"/>
      <c r="N22" s="20" t="s">
        <v>47</v>
      </c>
    </row>
    <row r="23" spans="1:14" x14ac:dyDescent="0.2">
      <c r="A23" s="30" t="s">
        <v>299</v>
      </c>
      <c r="B23" s="30" t="s">
        <v>300</v>
      </c>
      <c r="C23" s="30" t="s">
        <v>301</v>
      </c>
      <c r="D23" s="30" t="str">
        <f>"0,6219"</f>
        <v>0,6219</v>
      </c>
      <c r="E23" s="30" t="s">
        <v>27</v>
      </c>
      <c r="F23" s="30" t="s">
        <v>42</v>
      </c>
      <c r="G23" s="32" t="s">
        <v>297</v>
      </c>
      <c r="H23" s="32" t="s">
        <v>268</v>
      </c>
      <c r="I23" s="32" t="s">
        <v>207</v>
      </c>
      <c r="J23" s="31"/>
      <c r="K23" s="33" t="str">
        <f>"70,0"</f>
        <v>70,0</v>
      </c>
      <c r="L23" s="34" t="str">
        <f>"43,5330"</f>
        <v>43,5330</v>
      </c>
      <c r="M23" s="34"/>
      <c r="N23" s="30" t="s">
        <v>47</v>
      </c>
    </row>
    <row r="24" spans="1:14" x14ac:dyDescent="0.2">
      <c r="A24" s="30" t="s">
        <v>303</v>
      </c>
      <c r="B24" s="30" t="s">
        <v>304</v>
      </c>
      <c r="C24" s="30" t="s">
        <v>305</v>
      </c>
      <c r="D24" s="30" t="str">
        <f>"0,6287"</f>
        <v>0,6287</v>
      </c>
      <c r="E24" s="30" t="s">
        <v>27</v>
      </c>
      <c r="F24" s="30" t="s">
        <v>28</v>
      </c>
      <c r="G24" s="31" t="s">
        <v>126</v>
      </c>
      <c r="H24" s="32" t="s">
        <v>297</v>
      </c>
      <c r="I24" s="32" t="s">
        <v>145</v>
      </c>
      <c r="J24" s="31"/>
      <c r="K24" s="33" t="str">
        <f>"60,0"</f>
        <v>60,0</v>
      </c>
      <c r="L24" s="34" t="str">
        <f>"37,7220"</f>
        <v>37,7220</v>
      </c>
      <c r="M24" s="34"/>
      <c r="N24" s="30" t="s">
        <v>306</v>
      </c>
    </row>
    <row r="25" spans="1:14" x14ac:dyDescent="0.2">
      <c r="A25" s="23" t="s">
        <v>84</v>
      </c>
      <c r="B25" s="23" t="s">
        <v>85</v>
      </c>
      <c r="C25" s="23" t="s">
        <v>86</v>
      </c>
      <c r="D25" s="23" t="str">
        <f>"0,6251"</f>
        <v>0,6251</v>
      </c>
      <c r="E25" s="23" t="s">
        <v>87</v>
      </c>
      <c r="F25" s="23" t="s">
        <v>80</v>
      </c>
      <c r="G25" s="25" t="s">
        <v>126</v>
      </c>
      <c r="H25" s="25" t="s">
        <v>297</v>
      </c>
      <c r="I25" s="25" t="s">
        <v>145</v>
      </c>
      <c r="J25" s="24"/>
      <c r="K25" s="28" t="str">
        <f>"60,0"</f>
        <v>60,0</v>
      </c>
      <c r="L25" s="29" t="str">
        <f>"38,6687"</f>
        <v>38,6687</v>
      </c>
      <c r="M25" s="29"/>
      <c r="N25" s="23" t="s">
        <v>82</v>
      </c>
    </row>
    <row r="27" spans="1:14" ht="15" x14ac:dyDescent="0.2">
      <c r="A27" s="85" t="s">
        <v>97</v>
      </c>
      <c r="B27" s="86"/>
      <c r="C27" s="86"/>
      <c r="D27" s="86"/>
      <c r="E27" s="86"/>
      <c r="F27" s="86"/>
      <c r="G27" s="86"/>
      <c r="H27" s="86"/>
      <c r="I27" s="86"/>
      <c r="J27" s="86"/>
    </row>
    <row r="28" spans="1:14" x14ac:dyDescent="0.2">
      <c r="A28" s="20" t="s">
        <v>308</v>
      </c>
      <c r="B28" s="20" t="s">
        <v>309</v>
      </c>
      <c r="C28" s="20" t="s">
        <v>310</v>
      </c>
      <c r="D28" s="20" t="str">
        <f>"0,6125"</f>
        <v>0,6125</v>
      </c>
      <c r="E28" s="20" t="s">
        <v>27</v>
      </c>
      <c r="F28" s="20" t="s">
        <v>28</v>
      </c>
      <c r="G28" s="22" t="s">
        <v>268</v>
      </c>
      <c r="H28" s="22" t="s">
        <v>207</v>
      </c>
      <c r="I28" s="21" t="s">
        <v>208</v>
      </c>
      <c r="J28" s="21"/>
      <c r="K28" s="26" t="str">
        <f>"70,0"</f>
        <v>70,0</v>
      </c>
      <c r="L28" s="27" t="str">
        <f>"42,8715"</f>
        <v>42,8715</v>
      </c>
      <c r="M28" s="27"/>
      <c r="N28" s="20" t="s">
        <v>82</v>
      </c>
    </row>
    <row r="29" spans="1:14" x14ac:dyDescent="0.2">
      <c r="A29" s="30" t="s">
        <v>312</v>
      </c>
      <c r="B29" s="30" t="s">
        <v>313</v>
      </c>
      <c r="C29" s="30" t="s">
        <v>314</v>
      </c>
      <c r="D29" s="30" t="str">
        <f>"0,6015"</f>
        <v>0,6015</v>
      </c>
      <c r="E29" s="30" t="s">
        <v>124</v>
      </c>
      <c r="F29" s="30" t="s">
        <v>42</v>
      </c>
      <c r="G29" s="32" t="s">
        <v>145</v>
      </c>
      <c r="H29" s="32" t="s">
        <v>268</v>
      </c>
      <c r="I29" s="32" t="s">
        <v>207</v>
      </c>
      <c r="J29" s="31"/>
      <c r="K29" s="33" t="str">
        <f>"70,0"</f>
        <v>70,0</v>
      </c>
      <c r="L29" s="34" t="str">
        <f>"42,1085"</f>
        <v>42,1085</v>
      </c>
      <c r="M29" s="34"/>
      <c r="N29" s="30" t="s">
        <v>128</v>
      </c>
    </row>
    <row r="30" spans="1:14" x14ac:dyDescent="0.2">
      <c r="A30" s="23" t="s">
        <v>316</v>
      </c>
      <c r="B30" s="23" t="s">
        <v>317</v>
      </c>
      <c r="C30" s="23" t="s">
        <v>318</v>
      </c>
      <c r="D30" s="23" t="str">
        <f>"0,5897"</f>
        <v>0,5897</v>
      </c>
      <c r="E30" s="23" t="s">
        <v>87</v>
      </c>
      <c r="F30" s="23" t="s">
        <v>80</v>
      </c>
      <c r="G30" s="25" t="s">
        <v>125</v>
      </c>
      <c r="H30" s="25" t="s">
        <v>127</v>
      </c>
      <c r="I30" s="24" t="s">
        <v>297</v>
      </c>
      <c r="J30" s="24"/>
      <c r="K30" s="28" t="str">
        <f>"55,0"</f>
        <v>55,0</v>
      </c>
      <c r="L30" s="29" t="str">
        <f>"46,3799"</f>
        <v>46,3799</v>
      </c>
      <c r="M30" s="29"/>
      <c r="N30" s="23" t="s">
        <v>128</v>
      </c>
    </row>
    <row r="32" spans="1:14" ht="15" x14ac:dyDescent="0.2">
      <c r="A32" s="85" t="s">
        <v>48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4" x14ac:dyDescent="0.2">
      <c r="A33" s="10" t="s">
        <v>320</v>
      </c>
      <c r="B33" s="10" t="s">
        <v>321</v>
      </c>
      <c r="C33" s="10" t="s">
        <v>322</v>
      </c>
      <c r="D33" s="10" t="str">
        <f>"0,5753"</f>
        <v>0,5753</v>
      </c>
      <c r="E33" s="10" t="s">
        <v>124</v>
      </c>
      <c r="F33" s="10" t="s">
        <v>42</v>
      </c>
      <c r="G33" s="11" t="s">
        <v>285</v>
      </c>
      <c r="H33" s="11" t="s">
        <v>286</v>
      </c>
      <c r="I33" s="11" t="s">
        <v>252</v>
      </c>
      <c r="J33" s="12"/>
      <c r="K33" s="51" t="str">
        <f>"35,0"</f>
        <v>35,0</v>
      </c>
      <c r="L33" s="14" t="str">
        <f>"24,7645"</f>
        <v>24,7645</v>
      </c>
      <c r="M33" s="55" t="s">
        <v>449</v>
      </c>
      <c r="N33" s="10" t="s">
        <v>128</v>
      </c>
    </row>
    <row r="35" spans="1:14" ht="15" x14ac:dyDescent="0.2">
      <c r="E35" s="7" t="s">
        <v>11</v>
      </c>
      <c r="F35" s="39" t="s">
        <v>438</v>
      </c>
    </row>
    <row r="36" spans="1:14" ht="15" x14ac:dyDescent="0.2">
      <c r="E36" s="7" t="s">
        <v>12</v>
      </c>
      <c r="F36" s="39" t="s">
        <v>439</v>
      </c>
    </row>
    <row r="37" spans="1:14" ht="15" x14ac:dyDescent="0.2">
      <c r="E37" s="7" t="s">
        <v>13</v>
      </c>
      <c r="F37" s="39" t="s">
        <v>440</v>
      </c>
    </row>
    <row r="38" spans="1:14" ht="15" x14ac:dyDescent="0.2">
      <c r="E38" s="7" t="s">
        <v>14</v>
      </c>
      <c r="F38" s="39" t="s">
        <v>441</v>
      </c>
    </row>
    <row r="39" spans="1:14" ht="15" x14ac:dyDescent="0.2">
      <c r="E39" s="7" t="s">
        <v>14</v>
      </c>
      <c r="F39" s="39" t="s">
        <v>442</v>
      </c>
    </row>
    <row r="40" spans="1:14" ht="15" x14ac:dyDescent="0.2">
      <c r="E40" s="7" t="s">
        <v>15</v>
      </c>
      <c r="F40" s="36" t="s">
        <v>443</v>
      </c>
    </row>
    <row r="41" spans="1:14" ht="15" x14ac:dyDescent="0.2">
      <c r="E41" s="7"/>
    </row>
    <row r="43" spans="1:14" ht="18" x14ac:dyDescent="0.25">
      <c r="A43" s="9" t="s">
        <v>16</v>
      </c>
      <c r="B43" s="9"/>
    </row>
    <row r="44" spans="1:14" ht="15" x14ac:dyDescent="0.2">
      <c r="A44" s="15" t="s">
        <v>56</v>
      </c>
      <c r="B44" s="15"/>
    </row>
    <row r="45" spans="1:14" ht="14.25" x14ac:dyDescent="0.2">
      <c r="A45" s="17"/>
      <c r="B45" s="18" t="s">
        <v>216</v>
      </c>
    </row>
    <row r="46" spans="1:14" ht="15" x14ac:dyDescent="0.2">
      <c r="A46" s="19" t="s">
        <v>58</v>
      </c>
      <c r="B46" s="19" t="s">
        <v>59</v>
      </c>
      <c r="C46" s="19" t="s">
        <v>60</v>
      </c>
      <c r="D46" s="19" t="s">
        <v>107</v>
      </c>
      <c r="E46" s="19" t="s">
        <v>62</v>
      </c>
    </row>
    <row r="47" spans="1:14" x14ac:dyDescent="0.2">
      <c r="A47" s="16" t="s">
        <v>287</v>
      </c>
      <c r="B47" s="4" t="s">
        <v>173</v>
      </c>
      <c r="C47" s="4" t="s">
        <v>130</v>
      </c>
      <c r="D47" s="4" t="s">
        <v>251</v>
      </c>
      <c r="E47" s="8" t="s">
        <v>323</v>
      </c>
    </row>
    <row r="49" spans="1:5" ht="14.25" x14ac:dyDescent="0.2">
      <c r="A49" s="17"/>
      <c r="B49" s="18" t="s">
        <v>113</v>
      </c>
    </row>
    <row r="50" spans="1:5" ht="15" x14ac:dyDescent="0.2">
      <c r="A50" s="19" t="s">
        <v>58</v>
      </c>
      <c r="B50" s="19" t="s">
        <v>59</v>
      </c>
      <c r="C50" s="19" t="s">
        <v>60</v>
      </c>
      <c r="D50" s="19" t="s">
        <v>107</v>
      </c>
      <c r="E50" s="19" t="s">
        <v>62</v>
      </c>
    </row>
    <row r="51" spans="1:5" x14ac:dyDescent="0.2">
      <c r="A51" s="16" t="s">
        <v>281</v>
      </c>
      <c r="B51" s="4" t="s">
        <v>114</v>
      </c>
      <c r="C51" s="4" t="s">
        <v>244</v>
      </c>
      <c r="D51" s="4" t="s">
        <v>286</v>
      </c>
      <c r="E51" s="8" t="s">
        <v>324</v>
      </c>
    </row>
    <row r="54" spans="1:5" ht="15" x14ac:dyDescent="0.2">
      <c r="A54" s="15" t="s">
        <v>66</v>
      </c>
      <c r="B54" s="15"/>
    </row>
    <row r="55" spans="1:5" ht="14.25" x14ac:dyDescent="0.2">
      <c r="A55" s="17"/>
      <c r="B55" s="18" t="s">
        <v>67</v>
      </c>
    </row>
    <row r="56" spans="1:5" ht="15" x14ac:dyDescent="0.2">
      <c r="A56" s="19" t="s">
        <v>58</v>
      </c>
      <c r="B56" s="19" t="s">
        <v>59</v>
      </c>
      <c r="C56" s="19" t="s">
        <v>60</v>
      </c>
      <c r="D56" s="19" t="s">
        <v>107</v>
      </c>
      <c r="E56" s="19" t="s">
        <v>62</v>
      </c>
    </row>
    <row r="57" spans="1:5" x14ac:dyDescent="0.2">
      <c r="A57" s="16" t="s">
        <v>38</v>
      </c>
      <c r="B57" s="4" t="s">
        <v>68</v>
      </c>
      <c r="C57" s="4" t="s">
        <v>63</v>
      </c>
      <c r="D57" s="4" t="s">
        <v>297</v>
      </c>
      <c r="E57" s="8" t="s">
        <v>325</v>
      </c>
    </row>
    <row r="58" spans="1:5" x14ac:dyDescent="0.2">
      <c r="A58" s="16" t="s">
        <v>141</v>
      </c>
      <c r="B58" s="4" t="s">
        <v>129</v>
      </c>
      <c r="C58" s="4" t="s">
        <v>164</v>
      </c>
      <c r="D58" s="4" t="s">
        <v>292</v>
      </c>
      <c r="E58" s="8" t="s">
        <v>326</v>
      </c>
    </row>
    <row r="59" spans="1:5" x14ac:dyDescent="0.2">
      <c r="A59" s="16" t="s">
        <v>319</v>
      </c>
      <c r="B59" s="4" t="s">
        <v>173</v>
      </c>
      <c r="C59" s="4" t="s">
        <v>71</v>
      </c>
      <c r="D59" s="4" t="s">
        <v>252</v>
      </c>
      <c r="E59" s="8" t="s">
        <v>327</v>
      </c>
    </row>
    <row r="61" spans="1:5" ht="14.25" x14ac:dyDescent="0.2">
      <c r="A61" s="17"/>
      <c r="B61" s="18" t="s">
        <v>57</v>
      </c>
    </row>
    <row r="62" spans="1:5" ht="15" x14ac:dyDescent="0.2">
      <c r="A62" s="19" t="s">
        <v>58</v>
      </c>
      <c r="B62" s="19" t="s">
        <v>59</v>
      </c>
      <c r="C62" s="19" t="s">
        <v>60</v>
      </c>
      <c r="D62" s="19" t="s">
        <v>107</v>
      </c>
      <c r="E62" s="19" t="s">
        <v>62</v>
      </c>
    </row>
    <row r="63" spans="1:5" x14ac:dyDescent="0.2">
      <c r="A63" s="16" t="s">
        <v>148</v>
      </c>
      <c r="B63" s="4" t="s">
        <v>57</v>
      </c>
      <c r="C63" s="4" t="s">
        <v>164</v>
      </c>
      <c r="D63" s="4" t="s">
        <v>126</v>
      </c>
      <c r="E63" s="8" t="s">
        <v>328</v>
      </c>
    </row>
    <row r="64" spans="1:5" x14ac:dyDescent="0.2">
      <c r="A64" s="16" t="s">
        <v>293</v>
      </c>
      <c r="B64" s="4" t="s">
        <v>57</v>
      </c>
      <c r="C64" s="4" t="s">
        <v>130</v>
      </c>
      <c r="D64" s="4" t="s">
        <v>145</v>
      </c>
      <c r="E64" s="8" t="s">
        <v>329</v>
      </c>
    </row>
    <row r="65" spans="1:5" x14ac:dyDescent="0.2">
      <c r="A65" s="16" t="s">
        <v>76</v>
      </c>
      <c r="B65" s="4" t="s">
        <v>57</v>
      </c>
      <c r="C65" s="4" t="s">
        <v>108</v>
      </c>
      <c r="D65" s="4" t="s">
        <v>268</v>
      </c>
      <c r="E65" s="8" t="s">
        <v>330</v>
      </c>
    </row>
    <row r="66" spans="1:5" x14ac:dyDescent="0.2">
      <c r="A66" s="16" t="s">
        <v>298</v>
      </c>
      <c r="B66" s="4" t="s">
        <v>57</v>
      </c>
      <c r="C66" s="4" t="s">
        <v>63</v>
      </c>
      <c r="D66" s="4" t="s">
        <v>207</v>
      </c>
      <c r="E66" s="8" t="s">
        <v>331</v>
      </c>
    </row>
    <row r="67" spans="1:5" x14ac:dyDescent="0.2">
      <c r="A67" s="16" t="s">
        <v>307</v>
      </c>
      <c r="B67" s="4" t="s">
        <v>57</v>
      </c>
      <c r="C67" s="4" t="s">
        <v>110</v>
      </c>
      <c r="D67" s="4" t="s">
        <v>207</v>
      </c>
      <c r="E67" s="8" t="s">
        <v>332</v>
      </c>
    </row>
    <row r="68" spans="1:5" x14ac:dyDescent="0.2">
      <c r="A68" s="16" t="s">
        <v>311</v>
      </c>
      <c r="B68" s="4" t="s">
        <v>57</v>
      </c>
      <c r="C68" s="4" t="s">
        <v>110</v>
      </c>
      <c r="D68" s="4" t="s">
        <v>207</v>
      </c>
      <c r="E68" s="8" t="s">
        <v>333</v>
      </c>
    </row>
    <row r="69" spans="1:5" x14ac:dyDescent="0.2">
      <c r="A69" s="16" t="s">
        <v>302</v>
      </c>
      <c r="B69" s="4" t="s">
        <v>57</v>
      </c>
      <c r="C69" s="4" t="s">
        <v>63</v>
      </c>
      <c r="D69" s="4" t="s">
        <v>145</v>
      </c>
      <c r="E69" s="8" t="s">
        <v>334</v>
      </c>
    </row>
    <row r="71" spans="1:5" ht="14.25" x14ac:dyDescent="0.2">
      <c r="A71" s="17"/>
      <c r="B71" s="18" t="s">
        <v>113</v>
      </c>
    </row>
    <row r="72" spans="1:5" ht="15" x14ac:dyDescent="0.2">
      <c r="A72" s="19" t="s">
        <v>58</v>
      </c>
      <c r="B72" s="19" t="s">
        <v>59</v>
      </c>
      <c r="C72" s="19" t="s">
        <v>60</v>
      </c>
      <c r="D72" s="19" t="s">
        <v>107</v>
      </c>
      <c r="E72" s="19" t="s">
        <v>62</v>
      </c>
    </row>
    <row r="73" spans="1:5" x14ac:dyDescent="0.2">
      <c r="A73" s="16" t="s">
        <v>315</v>
      </c>
      <c r="B73" s="4" t="s">
        <v>335</v>
      </c>
      <c r="C73" s="4" t="s">
        <v>110</v>
      </c>
      <c r="D73" s="4" t="s">
        <v>127</v>
      </c>
      <c r="E73" s="8" t="s">
        <v>336</v>
      </c>
    </row>
    <row r="74" spans="1:5" x14ac:dyDescent="0.2">
      <c r="A74" s="16" t="s">
        <v>83</v>
      </c>
      <c r="B74" s="4" t="s">
        <v>114</v>
      </c>
      <c r="C74" s="4" t="s">
        <v>63</v>
      </c>
      <c r="D74" s="4" t="s">
        <v>145</v>
      </c>
      <c r="E74" s="8" t="s">
        <v>337</v>
      </c>
    </row>
  </sheetData>
  <mergeCells count="20">
    <mergeCell ref="K3:K4"/>
    <mergeCell ref="L3:L4"/>
    <mergeCell ref="N3:N4"/>
    <mergeCell ref="A5:J5"/>
    <mergeCell ref="A1:N2"/>
    <mergeCell ref="A3:A4"/>
    <mergeCell ref="B3:B4"/>
    <mergeCell ref="C3:C4"/>
    <mergeCell ref="D3:D4"/>
    <mergeCell ref="E3:E4"/>
    <mergeCell ref="F3:F4"/>
    <mergeCell ref="G3:J3"/>
    <mergeCell ref="M3:M4"/>
    <mergeCell ref="A32:J32"/>
    <mergeCell ref="A8:J8"/>
    <mergeCell ref="A11:J11"/>
    <mergeCell ref="A15:J15"/>
    <mergeCell ref="A18:J18"/>
    <mergeCell ref="A21:J21"/>
    <mergeCell ref="A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Русская тяга люб. 75 кг.</vt:lpstr>
      <vt:lpstr>РБ Проф 50 кг.</vt:lpstr>
      <vt:lpstr>РБ Проф 30 кг.</vt:lpstr>
      <vt:lpstr>РЖ любители 55 кг.</vt:lpstr>
      <vt:lpstr>РЖ любители 35 кг.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Любители В.Ж. м.повт. 1_2</vt:lpstr>
      <vt:lpstr>Проф. народный жим 1_2 вес</vt:lpstr>
      <vt:lpstr>Люб. народный жим 1_2 вес</vt:lpstr>
      <vt:lpstr>Роллинг Тандер</vt:lpstr>
      <vt:lpstr>Двоеборье люб</vt:lpstr>
      <vt:lpstr>Люб. тяга б.э.</vt:lpstr>
      <vt:lpstr>ПРО жим софт мн.петельная</vt:lpstr>
      <vt:lpstr>ПРО жим софт 1 петельная</vt:lpstr>
      <vt:lpstr>ПРО жим б.э.</vt:lpstr>
      <vt:lpstr>Люб. жим б.э.</vt:lpstr>
      <vt:lpstr>СОВ жим</vt:lpstr>
      <vt:lpstr>Люб. Военный жим класс.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2021-08-31T14:25:36Z</dcterms:modified>
</cp:coreProperties>
</file>