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480" yWindow="15" windowWidth="11340" windowHeight="9690"/>
  </bookViews>
  <sheets>
    <sheet name="Люб. тяга софт экип." sheetId="22" r:id="rId1"/>
    <sheet name="Люб. жим софт экип." sheetId="21" r:id="rId2"/>
    <sheet name="Люб. ПЛ. софт экип." sheetId="20" r:id="rId3"/>
    <sheet name="Люб. тяга 1.слой" sheetId="19" r:id="rId4"/>
    <sheet name="Люб. присед б.э." sheetId="18" r:id="rId5"/>
    <sheet name="Люб. жим 1.слой" sheetId="17" r:id="rId6"/>
    <sheet name="Люб. тяга б.э." sheetId="16" r:id="rId7"/>
    <sheet name="Люб. жим б.э." sheetId="15" r:id="rId8"/>
    <sheet name="Люб. ПЛ. б.э." sheetId="14" r:id="rId9"/>
    <sheet name="ПРО жим софт экип." sheetId="13" r:id="rId10"/>
    <sheet name="ПРО ПЛ. софт экип." sheetId="12" r:id="rId11"/>
    <sheet name="ПРО жим 1.слой" sheetId="10" r:id="rId12"/>
    <sheet name="ПРО тяга б.э." sheetId="9" r:id="rId13"/>
    <sheet name="ПРО жим б.э." sheetId="8" r:id="rId14"/>
    <sheet name="ПРО ПЛ. б.э." sheetId="7" r:id="rId15"/>
    <sheet name="СОВ тяга" sheetId="6" r:id="rId16"/>
    <sheet name="СОВ ПЛ." sheetId="5" r:id="rId17"/>
    <sheet name="НЖ Любители с.вес" sheetId="25" r:id="rId18"/>
    <sheet name="НЖ ПРО с.вес" sheetId="26" r:id="rId19"/>
    <sheet name="Пауэрспорт Любители" sheetId="27" r:id="rId20"/>
    <sheet name="РЖ ПРО 55 кг" sheetId="28" r:id="rId21"/>
    <sheet name="РЖ Любители 55 кг" sheetId="29" r:id="rId22"/>
    <sheet name="РЖ Любители 35 кг" sheetId="30" r:id="rId23"/>
  </sheets>
  <definedNames>
    <definedName name="_xlnm._FilterDatabase" localSheetId="16" hidden="1">'СОВ ПЛ.'!$A$1:$S$3</definedName>
  </definedNames>
  <calcPr calcId="124519" refMode="R1C1"/>
</workbook>
</file>

<file path=xl/calcChain.xml><?xml version="1.0" encoding="utf-8"?>
<calcChain xmlns="http://schemas.openxmlformats.org/spreadsheetml/2006/main">
  <c r="J7" i="30"/>
  <c r="I7"/>
  <c r="D7"/>
  <c r="J6"/>
  <c r="I6"/>
  <c r="D6"/>
  <c r="J6" i="29"/>
  <c r="I6"/>
  <c r="D6"/>
  <c r="J7" i="28"/>
  <c r="I7"/>
  <c r="D7"/>
  <c r="J6"/>
  <c r="I6"/>
  <c r="D6"/>
  <c r="P12" i="27"/>
  <c r="O12"/>
  <c r="D12"/>
  <c r="P9"/>
  <c r="O9"/>
  <c r="D9"/>
  <c r="P7"/>
  <c r="O7"/>
  <c r="D7"/>
  <c r="P6"/>
  <c r="O6"/>
  <c r="D6"/>
  <c r="J15" i="26"/>
  <c r="I15"/>
  <c r="D15"/>
  <c r="J14"/>
  <c r="I14"/>
  <c r="D14"/>
  <c r="J11"/>
  <c r="I11"/>
  <c r="D11"/>
  <c r="J10"/>
  <c r="I10"/>
  <c r="D10"/>
  <c r="J9"/>
  <c r="I9"/>
  <c r="D9"/>
  <c r="J6"/>
  <c r="I6"/>
  <c r="D6"/>
  <c r="J9" i="25"/>
  <c r="I9"/>
  <c r="D9"/>
  <c r="J6"/>
  <c r="I6"/>
  <c r="D6"/>
  <c r="L16" i="9"/>
  <c r="K16"/>
  <c r="D16"/>
  <c r="L6" i="22"/>
  <c r="K6"/>
  <c r="D6"/>
  <c r="L9" i="21"/>
  <c r="K9"/>
  <c r="D9"/>
  <c r="L6"/>
  <c r="K6"/>
  <c r="D6"/>
  <c r="T10" i="20"/>
  <c r="S10"/>
  <c r="D10"/>
  <c r="T9"/>
  <c r="S9"/>
  <c r="D9"/>
  <c r="T6"/>
  <c r="S6"/>
  <c r="D6"/>
  <c r="L12" i="19"/>
  <c r="K12"/>
  <c r="D12"/>
  <c r="L9"/>
  <c r="K9"/>
  <c r="D9"/>
  <c r="L6"/>
  <c r="K6"/>
  <c r="D6"/>
  <c r="L9" i="18"/>
  <c r="K9"/>
  <c r="D9"/>
  <c r="L6"/>
  <c r="K6"/>
  <c r="D6"/>
  <c r="L14" i="17"/>
  <c r="K14"/>
  <c r="D14"/>
  <c r="L13"/>
  <c r="K13"/>
  <c r="D13"/>
  <c r="L12"/>
  <c r="K12"/>
  <c r="D12"/>
  <c r="L9"/>
  <c r="K9"/>
  <c r="D9"/>
  <c r="L6"/>
  <c r="K6"/>
  <c r="D6"/>
  <c r="L51" i="16"/>
  <c r="K51"/>
  <c r="D51"/>
  <c r="L50"/>
  <c r="K50"/>
  <c r="D50"/>
  <c r="L47"/>
  <c r="K47"/>
  <c r="D47"/>
  <c r="L46"/>
  <c r="K46"/>
  <c r="D46"/>
  <c r="L43"/>
  <c r="K43"/>
  <c r="D43"/>
  <c r="L40"/>
  <c r="K40"/>
  <c r="D40"/>
  <c r="L39"/>
  <c r="K39"/>
  <c r="D39"/>
  <c r="L38"/>
  <c r="K38"/>
  <c r="D38"/>
  <c r="L37"/>
  <c r="K37"/>
  <c r="D37"/>
  <c r="L34"/>
  <c r="K34"/>
  <c r="D34"/>
  <c r="L33"/>
  <c r="K33"/>
  <c r="D33"/>
  <c r="L30"/>
  <c r="K30"/>
  <c r="D30"/>
  <c r="L27"/>
  <c r="K27"/>
  <c r="D27"/>
  <c r="L26"/>
  <c r="K26"/>
  <c r="D26"/>
  <c r="L23"/>
  <c r="K23"/>
  <c r="D23"/>
  <c r="L20"/>
  <c r="K20"/>
  <c r="D20"/>
  <c r="L17"/>
  <c r="K17"/>
  <c r="D17"/>
  <c r="L14"/>
  <c r="K14"/>
  <c r="D14"/>
  <c r="L13"/>
  <c r="K13"/>
  <c r="D13"/>
  <c r="L10"/>
  <c r="K10"/>
  <c r="D10"/>
  <c r="L9"/>
  <c r="K9"/>
  <c r="D9"/>
  <c r="L6"/>
  <c r="K6"/>
  <c r="D6"/>
  <c r="L79" i="15"/>
  <c r="K79"/>
  <c r="D79"/>
  <c r="L78"/>
  <c r="K78"/>
  <c r="D78"/>
  <c r="L77"/>
  <c r="K77"/>
  <c r="D77"/>
  <c r="L76"/>
  <c r="K76"/>
  <c r="D76"/>
  <c r="L73"/>
  <c r="K73"/>
  <c r="D73"/>
  <c r="L72"/>
  <c r="K72"/>
  <c r="D72"/>
  <c r="L71"/>
  <c r="K71"/>
  <c r="D71"/>
  <c r="L70"/>
  <c r="K70"/>
  <c r="D70"/>
  <c r="L69"/>
  <c r="K69"/>
  <c r="D69"/>
  <c r="L68"/>
  <c r="K68"/>
  <c r="D68"/>
  <c r="L65"/>
  <c r="K65"/>
  <c r="D65"/>
  <c r="L64"/>
  <c r="K64"/>
  <c r="D64"/>
  <c r="L63"/>
  <c r="K63"/>
  <c r="D63"/>
  <c r="L62"/>
  <c r="K62"/>
  <c r="D62"/>
  <c r="L61"/>
  <c r="K61"/>
  <c r="D61"/>
  <c r="L60"/>
  <c r="K60"/>
  <c r="D60"/>
  <c r="L57"/>
  <c r="K57"/>
  <c r="D57"/>
  <c r="L56"/>
  <c r="K56"/>
  <c r="D56"/>
  <c r="L55"/>
  <c r="K55"/>
  <c r="D55"/>
  <c r="L54"/>
  <c r="K54"/>
  <c r="D54"/>
  <c r="L53"/>
  <c r="K53"/>
  <c r="D53"/>
  <c r="L52"/>
  <c r="K52"/>
  <c r="D52"/>
  <c r="L51"/>
  <c r="K51"/>
  <c r="D51"/>
  <c r="L50"/>
  <c r="K50"/>
  <c r="D50"/>
  <c r="L49"/>
  <c r="K49"/>
  <c r="D49"/>
  <c r="L48"/>
  <c r="K48"/>
  <c r="D48"/>
  <c r="L47"/>
  <c r="K47"/>
  <c r="D47"/>
  <c r="L44"/>
  <c r="K44"/>
  <c r="D44"/>
  <c r="L43"/>
  <c r="K43"/>
  <c r="D43"/>
  <c r="L42"/>
  <c r="K42"/>
  <c r="D42"/>
  <c r="L39"/>
  <c r="K39"/>
  <c r="D39"/>
  <c r="L38"/>
  <c r="K38"/>
  <c r="D38"/>
  <c r="L37"/>
  <c r="K37"/>
  <c r="D37"/>
  <c r="L36"/>
  <c r="K36"/>
  <c r="D36"/>
  <c r="L35"/>
  <c r="K35"/>
  <c r="D35"/>
  <c r="L34"/>
  <c r="K34"/>
  <c r="D34"/>
  <c r="L33"/>
  <c r="K33"/>
  <c r="D33"/>
  <c r="L32"/>
  <c r="K32"/>
  <c r="D32"/>
  <c r="L29"/>
  <c r="K29"/>
  <c r="D29"/>
  <c r="L28"/>
  <c r="K28"/>
  <c r="D28"/>
  <c r="L27"/>
  <c r="K27"/>
  <c r="D27"/>
  <c r="L26"/>
  <c r="K26"/>
  <c r="D26"/>
  <c r="L25"/>
  <c r="K25"/>
  <c r="D25"/>
  <c r="L24"/>
  <c r="K24"/>
  <c r="D24"/>
  <c r="L21"/>
  <c r="K21"/>
  <c r="D21"/>
  <c r="L20"/>
  <c r="K20"/>
  <c r="D20"/>
  <c r="L19"/>
  <c r="K19"/>
  <c r="D19"/>
  <c r="L16"/>
  <c r="K16"/>
  <c r="D16"/>
  <c r="L15"/>
  <c r="K15"/>
  <c r="D15"/>
  <c r="L14"/>
  <c r="K14"/>
  <c r="D14"/>
  <c r="L13"/>
  <c r="K13"/>
  <c r="D13"/>
  <c r="L10"/>
  <c r="K10"/>
  <c r="D10"/>
  <c r="L9"/>
  <c r="K9"/>
  <c r="D9"/>
  <c r="L6"/>
  <c r="K6"/>
  <c r="D6"/>
  <c r="T36" i="14"/>
  <c r="S36"/>
  <c r="D36"/>
  <c r="T33"/>
  <c r="S33"/>
  <c r="D33"/>
  <c r="T32"/>
  <c r="S32"/>
  <c r="D32"/>
  <c r="T29"/>
  <c r="S29"/>
  <c r="D29"/>
  <c r="T26"/>
  <c r="S26"/>
  <c r="D26"/>
  <c r="T25"/>
  <c r="S25"/>
  <c r="D25"/>
  <c r="T24"/>
  <c r="S24"/>
  <c r="D24"/>
  <c r="T23"/>
  <c r="S23"/>
  <c r="D23"/>
  <c r="T22"/>
  <c r="S22"/>
  <c r="D22"/>
  <c r="T19"/>
  <c r="S19"/>
  <c r="D19"/>
  <c r="T16"/>
  <c r="S16"/>
  <c r="D16"/>
  <c r="T13"/>
  <c r="S13"/>
  <c r="D13"/>
  <c r="T10"/>
  <c r="S10"/>
  <c r="D10"/>
  <c r="T9"/>
  <c r="S9"/>
  <c r="D9"/>
  <c r="T6"/>
  <c r="S6"/>
  <c r="D6"/>
  <c r="L15" i="13"/>
  <c r="K15"/>
  <c r="D15"/>
  <c r="L12"/>
  <c r="K12"/>
  <c r="D12"/>
  <c r="L9"/>
  <c r="K9"/>
  <c r="D9"/>
  <c r="L6"/>
  <c r="K6"/>
  <c r="D6"/>
  <c r="T6" i="12"/>
  <c r="S6"/>
  <c r="D6"/>
  <c r="L9" i="10"/>
  <c r="K9"/>
  <c r="D9"/>
  <c r="L6"/>
  <c r="K6"/>
  <c r="D6"/>
  <c r="L23" i="9"/>
  <c r="K23"/>
  <c r="D23"/>
  <c r="L20"/>
  <c r="K20"/>
  <c r="D20"/>
  <c r="L19"/>
  <c r="K19"/>
  <c r="D19"/>
  <c r="L18"/>
  <c r="K18"/>
  <c r="D18"/>
  <c r="L15"/>
  <c r="K15"/>
  <c r="D15"/>
  <c r="L12"/>
  <c r="K12"/>
  <c r="D12"/>
  <c r="L9"/>
  <c r="K9"/>
  <c r="D9"/>
  <c r="L6"/>
  <c r="K6"/>
  <c r="D6"/>
  <c r="L26" i="8"/>
  <c r="K26"/>
  <c r="D26"/>
  <c r="L23"/>
  <c r="K23"/>
  <c r="D23"/>
  <c r="L20"/>
  <c r="K20"/>
  <c r="D20"/>
  <c r="L19"/>
  <c r="K19"/>
  <c r="D19"/>
  <c r="L16"/>
  <c r="K16"/>
  <c r="D16"/>
  <c r="L13"/>
  <c r="K13"/>
  <c r="D13"/>
  <c r="L12"/>
  <c r="K12"/>
  <c r="D12"/>
  <c r="L9"/>
  <c r="K9"/>
  <c r="D9"/>
  <c r="L6"/>
  <c r="K6"/>
  <c r="D6"/>
  <c r="T6" i="7"/>
  <c r="S6"/>
  <c r="D6"/>
  <c r="L9" i="6"/>
  <c r="K9"/>
  <c r="D9"/>
  <c r="L6"/>
  <c r="K6"/>
  <c r="D6"/>
  <c r="T9" i="5"/>
  <c r="S9"/>
  <c r="D9"/>
  <c r="T6"/>
  <c r="S6"/>
  <c r="D6"/>
</calcChain>
</file>

<file path=xl/sharedStrings.xml><?xml version="1.0" encoding="utf-8"?>
<sst xmlns="http://schemas.openxmlformats.org/spreadsheetml/2006/main" count="3560" uniqueCount="988">
  <si>
    <t>ФИО</t>
  </si>
  <si>
    <t>Присед</t>
  </si>
  <si>
    <t>Жим</t>
  </si>
  <si>
    <t>Тяга</t>
  </si>
  <si>
    <t>Сумма</t>
  </si>
  <si>
    <t>Тренер</t>
  </si>
  <si>
    <t>Очки</t>
  </si>
  <si>
    <t>Команда</t>
  </si>
  <si>
    <t>Рек</t>
  </si>
  <si>
    <t>Возр груп
Год. р./Возраст</t>
  </si>
  <si>
    <t>Город/область</t>
  </si>
  <si>
    <t>Соб.
Вес</t>
  </si>
  <si>
    <t>Shv/Mel</t>
  </si>
  <si>
    <t>ВЕСОВАЯ КАТЕГОРИЯ   75</t>
  </si>
  <si>
    <t>Папанов Алексей</t>
  </si>
  <si>
    <t>1. Папанов Алексей</t>
  </si>
  <si>
    <t>Открытая (14.09.1985)/31</t>
  </si>
  <si>
    <t>71,00</t>
  </si>
  <si>
    <t xml:space="preserve">Лично </t>
  </si>
  <si>
    <t xml:space="preserve">Белгород/Белгородская область </t>
  </si>
  <si>
    <t>40,0</t>
  </si>
  <si>
    <t>50,0</t>
  </si>
  <si>
    <t>60,0</t>
  </si>
  <si>
    <t>47,5</t>
  </si>
  <si>
    <t>80,0</t>
  </si>
  <si>
    <t>90,0</t>
  </si>
  <si>
    <t>102,5</t>
  </si>
  <si>
    <t xml:space="preserve"> </t>
  </si>
  <si>
    <t>ВЕСОВАЯ КАТЕГОРИЯ   82.5</t>
  </si>
  <si>
    <t>Новиков Денис</t>
  </si>
  <si>
    <t>1. Новиков Денис</t>
  </si>
  <si>
    <t>Юноши 18 - 19 (25.09.1997)/19</t>
  </si>
  <si>
    <t>80,95</t>
  </si>
  <si>
    <t xml:space="preserve">Курск/Курская область </t>
  </si>
  <si>
    <t>160,0</t>
  </si>
  <si>
    <t>170,0</t>
  </si>
  <si>
    <t>100,0</t>
  </si>
  <si>
    <t>105,0</t>
  </si>
  <si>
    <t>107,5</t>
  </si>
  <si>
    <t>185,0</t>
  </si>
  <si>
    <t>Главный судья:</t>
  </si>
  <si>
    <t>Главный секретарь:</t>
  </si>
  <si>
    <t>Старший судья:</t>
  </si>
  <si>
    <t>Боковой судья:</t>
  </si>
  <si>
    <t>Секретарь:</t>
  </si>
  <si>
    <t xml:space="preserve">Абсолютный зачёт </t>
  </si>
  <si>
    <t xml:space="preserve">Мужчины </t>
  </si>
  <si>
    <t xml:space="preserve">Юноши </t>
  </si>
  <si>
    <t xml:space="preserve">ФИО </t>
  </si>
  <si>
    <t xml:space="preserve">Возрастная группа </t>
  </si>
  <si>
    <t xml:space="preserve">Весовая </t>
  </si>
  <si>
    <t xml:space="preserve">Сумма </t>
  </si>
  <si>
    <t xml:space="preserve">Shv/Mel </t>
  </si>
  <si>
    <t xml:space="preserve">Юноши 18 - 19 </t>
  </si>
  <si>
    <t>82,5</t>
  </si>
  <si>
    <t>452,5</t>
  </si>
  <si>
    <t>295,3486</t>
  </si>
  <si>
    <t xml:space="preserve">Открытая </t>
  </si>
  <si>
    <t>75,0</t>
  </si>
  <si>
    <t>200,0</t>
  </si>
  <si>
    <t>138,9382</t>
  </si>
  <si>
    <t xml:space="preserve">Командное первенство </t>
  </si>
  <si>
    <t xml:space="preserve">Команда </t>
  </si>
  <si>
    <t xml:space="preserve">Очки </t>
  </si>
  <si>
    <t xml:space="preserve">Участники </t>
  </si>
  <si>
    <t xml:space="preserve">24(12+12) </t>
  </si>
  <si>
    <t xml:space="preserve">Папанов Алексей, Новиков Денис </t>
  </si>
  <si>
    <t>ВЕСОВАЯ КАТЕГОРИЯ   52</t>
  </si>
  <si>
    <t>Саласина Елизавета</t>
  </si>
  <si>
    <t>1. Саласина Елизавета</t>
  </si>
  <si>
    <t>Девушки 14 - 15 (28.12.2001)/15</t>
  </si>
  <si>
    <t>52,00</t>
  </si>
  <si>
    <t>115,0</t>
  </si>
  <si>
    <t>120,0</t>
  </si>
  <si>
    <t>ВЕСОВАЯ КАТЕГОРИЯ   90</t>
  </si>
  <si>
    <t>Немчинов Александр</t>
  </si>
  <si>
    <t>1. Немчинов Александр</t>
  </si>
  <si>
    <t>Мастера 65 - 69 (10.11.1951)/65</t>
  </si>
  <si>
    <t>89,35</t>
  </si>
  <si>
    <t>225,0</t>
  </si>
  <si>
    <t>247,5</t>
  </si>
  <si>
    <t xml:space="preserve">Женщины </t>
  </si>
  <si>
    <t xml:space="preserve">Девушки </t>
  </si>
  <si>
    <t xml:space="preserve">Юноши 14 - 15 </t>
  </si>
  <si>
    <t>52,0</t>
  </si>
  <si>
    <t>137,2600</t>
  </si>
  <si>
    <t xml:space="preserve">Мастера </t>
  </si>
  <si>
    <t xml:space="preserve">Мастера 65 - 69 </t>
  </si>
  <si>
    <t>253,9728</t>
  </si>
  <si>
    <t xml:space="preserve">Немчинов Александр, Саласина Елизавета </t>
  </si>
  <si>
    <t>Результат</t>
  </si>
  <si>
    <t>Малиновский Александр</t>
  </si>
  <si>
    <t>1. Малиновский Александр</t>
  </si>
  <si>
    <t>Юниоры 20 - 23 (28.06.1995)/21</t>
  </si>
  <si>
    <t>73,05</t>
  </si>
  <si>
    <t xml:space="preserve">Крым </t>
  </si>
  <si>
    <t xml:space="preserve">Симферополь/Крым </t>
  </si>
  <si>
    <t>150,0</t>
  </si>
  <si>
    <t>155,0</t>
  </si>
  <si>
    <t>162,5</t>
  </si>
  <si>
    <t>130,0</t>
  </si>
  <si>
    <t>135,0</t>
  </si>
  <si>
    <t>142,5</t>
  </si>
  <si>
    <t>215,0</t>
  </si>
  <si>
    <t>230,0</t>
  </si>
  <si>
    <t xml:space="preserve">Юниоры </t>
  </si>
  <si>
    <t xml:space="preserve">Юниоры 20 - 23 </t>
  </si>
  <si>
    <t>520,0</t>
  </si>
  <si>
    <t>359,9029</t>
  </si>
  <si>
    <t xml:space="preserve">12(12) </t>
  </si>
  <si>
    <t xml:space="preserve">Малиновский Александр </t>
  </si>
  <si>
    <t>ВЕСОВАЯ КАТЕГОРИЯ   60</t>
  </si>
  <si>
    <t>Лазуренко Ольга</t>
  </si>
  <si>
    <t>1. Лазуренко Ольга</t>
  </si>
  <si>
    <t>Мастера 45 - 49 (05.09.1971)/45</t>
  </si>
  <si>
    <t>58,55</t>
  </si>
  <si>
    <t xml:space="preserve">Воронеж/Воронежская область </t>
  </si>
  <si>
    <t>110,0</t>
  </si>
  <si>
    <t>112,5</t>
  </si>
  <si>
    <t>ВЕСОВАЯ КАТЕГОРИЯ   67.5</t>
  </si>
  <si>
    <t>Калиниченко Алла</t>
  </si>
  <si>
    <t>1. Калиниченко Алла</t>
  </si>
  <si>
    <t>Мастера 45 - 49 (08.04.1971)/45</t>
  </si>
  <si>
    <t>67,20</t>
  </si>
  <si>
    <t xml:space="preserve">Подольск/Московская область </t>
  </si>
  <si>
    <t>95,0</t>
  </si>
  <si>
    <t>Бугорский Иван</t>
  </si>
  <si>
    <t>1. Бугорский Иван</t>
  </si>
  <si>
    <t>Юноши 18 - 19 (18.04.1997)/19</t>
  </si>
  <si>
    <t>84,50</t>
  </si>
  <si>
    <t>Лазуренко Сергей</t>
  </si>
  <si>
    <t>1. Лазуренко Сергей</t>
  </si>
  <si>
    <t>Открытая (12.03.1989)/27</t>
  </si>
  <si>
    <t>84,90</t>
  </si>
  <si>
    <t>167,5</t>
  </si>
  <si>
    <t>175,0</t>
  </si>
  <si>
    <t>ВЕСОВАЯ КАТЕГОРИЯ   100</t>
  </si>
  <si>
    <t>Типикин Дмитрий</t>
  </si>
  <si>
    <t>1. Типикин Дмитрий</t>
  </si>
  <si>
    <t>Мастера 40 - 44 (17.07.1973)/43</t>
  </si>
  <si>
    <t>97,10</t>
  </si>
  <si>
    <t xml:space="preserve">ДЮСШ №4 </t>
  </si>
  <si>
    <t>195,0</t>
  </si>
  <si>
    <t>ВЕСОВАЯ КАТЕГОРИЯ   110</t>
  </si>
  <si>
    <t>Григорян Арман</t>
  </si>
  <si>
    <t>1. Григорян Арман</t>
  </si>
  <si>
    <t>Юниоры 20 - 23 (01.06.1994)/22</t>
  </si>
  <si>
    <t>106,60</t>
  </si>
  <si>
    <t>220,0</t>
  </si>
  <si>
    <t>Таранин Никита</t>
  </si>
  <si>
    <t>1. Таранин Никита</t>
  </si>
  <si>
    <t>Открытая (29.05.1989)/27</t>
  </si>
  <si>
    <t>105,00</t>
  </si>
  <si>
    <t xml:space="preserve">Россошь/Воронежская область </t>
  </si>
  <si>
    <t>177,5</t>
  </si>
  <si>
    <t>ВЕСОВАЯ КАТЕГОРИЯ   125</t>
  </si>
  <si>
    <t>-. Шаповалов Константин</t>
  </si>
  <si>
    <t>Открытая (01.03.1983)/34</t>
  </si>
  <si>
    <t>113,80</t>
  </si>
  <si>
    <t>ВЕСОВАЯ КАТЕГОРИЯ   140</t>
  </si>
  <si>
    <t>Зимин Сергей</t>
  </si>
  <si>
    <t>1. Зимин Сергей</t>
  </si>
  <si>
    <t>Мастера 45 - 49 (14.01.1972)/45</t>
  </si>
  <si>
    <t>132,30</t>
  </si>
  <si>
    <t xml:space="preserve">SportLabs </t>
  </si>
  <si>
    <t xml:space="preserve">Москва </t>
  </si>
  <si>
    <t>235,0</t>
  </si>
  <si>
    <t xml:space="preserve">Мастера 45 - 49 </t>
  </si>
  <si>
    <t>103,6105</t>
  </si>
  <si>
    <t>67,5</t>
  </si>
  <si>
    <t>77,8758</t>
  </si>
  <si>
    <t>72,8723</t>
  </si>
  <si>
    <t>120,2324</t>
  </si>
  <si>
    <t>101,7395</t>
  </si>
  <si>
    <t>96,5067</t>
  </si>
  <si>
    <t>140,0</t>
  </si>
  <si>
    <t>126,1545</t>
  </si>
  <si>
    <t xml:space="preserve">Мастера 40 - 44 </t>
  </si>
  <si>
    <t>105,7661</t>
  </si>
  <si>
    <t xml:space="preserve">60(12+12+12+12+12) </t>
  </si>
  <si>
    <t xml:space="preserve">Бугорский Иван, Таранин Никита, Лазуренко Сергей, Калиниченко Алла, Лазуренко Ольга </t>
  </si>
  <si>
    <t xml:space="preserve">Григорян Арман, Типикин Дмитрий </t>
  </si>
  <si>
    <t xml:space="preserve">Зимин Сергей </t>
  </si>
  <si>
    <t>ВЕСОВАЯ КАТЕГОРИЯ   56</t>
  </si>
  <si>
    <t>Гончарова Алеся</t>
  </si>
  <si>
    <t>1. Гончарова Алеся</t>
  </si>
  <si>
    <t>Открытая (27.03.1992)/24</t>
  </si>
  <si>
    <t>54,60</t>
  </si>
  <si>
    <t xml:space="preserve">Фрязино/Московская область </t>
  </si>
  <si>
    <t>85,0</t>
  </si>
  <si>
    <t>87,5</t>
  </si>
  <si>
    <t>Тетерина Анастасия</t>
  </si>
  <si>
    <t>1. Тетерина Анастасия</t>
  </si>
  <si>
    <t>Девушки 16 - 17 (25.10.1999)/17</t>
  </si>
  <si>
    <t>67,50</t>
  </si>
  <si>
    <t xml:space="preserve">Киров/Кировская область </t>
  </si>
  <si>
    <t>92,5</t>
  </si>
  <si>
    <t>Ваганова Мария</t>
  </si>
  <si>
    <t>1. Ваганова Мария</t>
  </si>
  <si>
    <t>Девушки 16 - 17 (30.05.2000)/16</t>
  </si>
  <si>
    <t>79,70</t>
  </si>
  <si>
    <t>117,5</t>
  </si>
  <si>
    <t>125,0</t>
  </si>
  <si>
    <t>Тишин Павел</t>
  </si>
  <si>
    <t>1. Тишин Павел</t>
  </si>
  <si>
    <t>Открытая (23.05.1987)/29</t>
  </si>
  <si>
    <t>88,10</t>
  </si>
  <si>
    <t xml:space="preserve">Русская сила </t>
  </si>
  <si>
    <t>180,0</t>
  </si>
  <si>
    <t>190,0</t>
  </si>
  <si>
    <t>Крапивин Сергей</t>
  </si>
  <si>
    <t>1. Крапивин Сергей</t>
  </si>
  <si>
    <t>Юниоры 20 - 23 (12.06.1996)/20</t>
  </si>
  <si>
    <t>98,55</t>
  </si>
  <si>
    <t xml:space="preserve">Челябинск/Челябинская область </t>
  </si>
  <si>
    <t>260,0</t>
  </si>
  <si>
    <t>275,0</t>
  </si>
  <si>
    <t>Малышко Андрей</t>
  </si>
  <si>
    <t>1. Малышко Андрей</t>
  </si>
  <si>
    <t>Открытая (30.03.1978)/38</t>
  </si>
  <si>
    <t>95,90</t>
  </si>
  <si>
    <t>Горбунов Вячеслав</t>
  </si>
  <si>
    <t>1. Горбунов Вячеслав</t>
  </si>
  <si>
    <t>Мастера 45 - 49 (20.12.1967)/49</t>
  </si>
  <si>
    <t>97,00</t>
  </si>
  <si>
    <t>Наволокин Антон</t>
  </si>
  <si>
    <t>1. Наволокин Антон</t>
  </si>
  <si>
    <t>Открытая (01.01.1986)/31</t>
  </si>
  <si>
    <t>130,00</t>
  </si>
  <si>
    <t>280,0</t>
  </si>
  <si>
    <t>300,0</t>
  </si>
  <si>
    <t>307,5</t>
  </si>
  <si>
    <t xml:space="preserve">Юноши 16 - 17 </t>
  </si>
  <si>
    <t>97,5684</t>
  </si>
  <si>
    <t>84,1050</t>
  </si>
  <si>
    <t>56,0</t>
  </si>
  <si>
    <t>79,1520</t>
  </si>
  <si>
    <t>157,9544</t>
  </si>
  <si>
    <t>158,3625</t>
  </si>
  <si>
    <t>129,9730</t>
  </si>
  <si>
    <t>118,6000</t>
  </si>
  <si>
    <t>128,5627</t>
  </si>
  <si>
    <t xml:space="preserve">48(12+12+12+12) </t>
  </si>
  <si>
    <t xml:space="preserve">Малышко Андрей, Крапивин Сергей, Ваганова Мария, Тетерина Анастасия </t>
  </si>
  <si>
    <t xml:space="preserve">Гончарова Алеся </t>
  </si>
  <si>
    <t xml:space="preserve">Наволокин Антон </t>
  </si>
  <si>
    <t xml:space="preserve">Горбунов Вячеслав </t>
  </si>
  <si>
    <t xml:space="preserve">Тишин Павел </t>
  </si>
  <si>
    <t>-. Белоусов Роман</t>
  </si>
  <si>
    <t>Открытая (19.10.1991)/25</t>
  </si>
  <si>
    <t>55,85</t>
  </si>
  <si>
    <t>182,5</t>
  </si>
  <si>
    <t>Князев Юрий</t>
  </si>
  <si>
    <t>1. Князев Юрий</t>
  </si>
  <si>
    <t>Открытая (07.12.1983)/33</t>
  </si>
  <si>
    <t>75,00</t>
  </si>
  <si>
    <t>187,5</t>
  </si>
  <si>
    <t>124,5937</t>
  </si>
  <si>
    <t xml:space="preserve">Князев Юрий </t>
  </si>
  <si>
    <t>Гринев Дмитрий</t>
  </si>
  <si>
    <t>1. Гринев Дмитрий</t>
  </si>
  <si>
    <t>Открытая (16.05.1977)/39</t>
  </si>
  <si>
    <t>96,00</t>
  </si>
  <si>
    <t>240,0</t>
  </si>
  <si>
    <t>245,0</t>
  </si>
  <si>
    <t>205,0</t>
  </si>
  <si>
    <t>725,0</t>
  </si>
  <si>
    <t>409,4800</t>
  </si>
  <si>
    <t xml:space="preserve">Гринев Дмитрий </t>
  </si>
  <si>
    <t>192,5</t>
  </si>
  <si>
    <t>Якушин Андрей</t>
  </si>
  <si>
    <t>1. Якушин Андрей</t>
  </si>
  <si>
    <t>Открытая (19.12.1973)/43</t>
  </si>
  <si>
    <t>88,75</t>
  </si>
  <si>
    <t>250,0</t>
  </si>
  <si>
    <t>270,0</t>
  </si>
  <si>
    <t>-. Соколов Олег</t>
  </si>
  <si>
    <t>Мастера 40 - 44 (14.08.1972)/44</t>
  </si>
  <si>
    <t>267,5</t>
  </si>
  <si>
    <t>159,3810</t>
  </si>
  <si>
    <t>141,6250</t>
  </si>
  <si>
    <t>127,9162</t>
  </si>
  <si>
    <t xml:space="preserve">Якушин Андрей </t>
  </si>
  <si>
    <t>Петриченко Ольга</t>
  </si>
  <si>
    <t>-. Петриченко Ольга</t>
  </si>
  <si>
    <t>Открытая (21.12.1985)/31</t>
  </si>
  <si>
    <t>50,50</t>
  </si>
  <si>
    <t>57,5</t>
  </si>
  <si>
    <t>Рикман Элина</t>
  </si>
  <si>
    <t>1. Рикман Элина</t>
  </si>
  <si>
    <t>Девушки 16 - 17 (03.07.1999)/17</t>
  </si>
  <si>
    <t>55,40</t>
  </si>
  <si>
    <t>55,0</t>
  </si>
  <si>
    <t>Брылева Анастасия</t>
  </si>
  <si>
    <t>1. Брылева Анастасия</t>
  </si>
  <si>
    <t>Открытая (16.08.1984)/32</t>
  </si>
  <si>
    <t>70,0</t>
  </si>
  <si>
    <t>45,0</t>
  </si>
  <si>
    <t>Жилина Елена</t>
  </si>
  <si>
    <t>1. Жилина Елена</t>
  </si>
  <si>
    <t>Открытая (29.11.1978)/38</t>
  </si>
  <si>
    <t xml:space="preserve">Рязань/Рязанская область </t>
  </si>
  <si>
    <t>62,5</t>
  </si>
  <si>
    <t>65,0</t>
  </si>
  <si>
    <t>37,5</t>
  </si>
  <si>
    <t>Дю Андрей</t>
  </si>
  <si>
    <t>1. Дю Андрей</t>
  </si>
  <si>
    <t>Открытая (20.08.1991)/25</t>
  </si>
  <si>
    <t>66,15</t>
  </si>
  <si>
    <t>Непобедимый Эдгар</t>
  </si>
  <si>
    <t>1. Непобедимый Эдгар</t>
  </si>
  <si>
    <t>Открытая (08.08.1982)/34</t>
  </si>
  <si>
    <t>82,35</t>
  </si>
  <si>
    <t>147,5</t>
  </si>
  <si>
    <t>Щесняк Вадим</t>
  </si>
  <si>
    <t>1. Щесняк Вадим</t>
  </si>
  <si>
    <t>Юноши 18 - 19 (17.03.1997)/19</t>
  </si>
  <si>
    <t>89,80</t>
  </si>
  <si>
    <t xml:space="preserve">Шебекино/Белгородская область </t>
  </si>
  <si>
    <t>145,0</t>
  </si>
  <si>
    <t>210,0</t>
  </si>
  <si>
    <t>Мусиенко Константин</t>
  </si>
  <si>
    <t>1. Мусиенко Константин</t>
  </si>
  <si>
    <t>Открытая (19.07.1989)/27</t>
  </si>
  <si>
    <t>87,85</t>
  </si>
  <si>
    <t>257,5</t>
  </si>
  <si>
    <t>Жилин Сергей</t>
  </si>
  <si>
    <t>2. Жилин Сергей</t>
  </si>
  <si>
    <t>Открытая (09.04.1987)/29</t>
  </si>
  <si>
    <t>88,60</t>
  </si>
  <si>
    <t>Бельтюков Евгений</t>
  </si>
  <si>
    <t>1. Бельтюков Евгений</t>
  </si>
  <si>
    <t>Мастера 40 - 44 (30.07.1976)/40</t>
  </si>
  <si>
    <t>89,25</t>
  </si>
  <si>
    <t xml:space="preserve">Североуральск/Свердловская область </t>
  </si>
  <si>
    <t>Куликов Юрий</t>
  </si>
  <si>
    <t>1. Куликов Юрий</t>
  </si>
  <si>
    <t>Мастера 55 - 59 (01.08.1959)/57</t>
  </si>
  <si>
    <t>88,20</t>
  </si>
  <si>
    <t xml:space="preserve">Владивосток/Приморский край </t>
  </si>
  <si>
    <t>122,5</t>
  </si>
  <si>
    <t>Еременко Иван</t>
  </si>
  <si>
    <t>1. Еременко Иван</t>
  </si>
  <si>
    <t>Открытая (18.02.1991)/26</t>
  </si>
  <si>
    <t>94,35</t>
  </si>
  <si>
    <t xml:space="preserve">TitanTeam </t>
  </si>
  <si>
    <t>Шейко Евгений</t>
  </si>
  <si>
    <t>1. Шейко Евгений</t>
  </si>
  <si>
    <t>Юниоры 20 - 23 (17.03.1993)/23</t>
  </si>
  <si>
    <t>107,40</t>
  </si>
  <si>
    <t>Чамсаев Шамиль</t>
  </si>
  <si>
    <t>1. Чамсаев Шамиль</t>
  </si>
  <si>
    <t>Открытая (29.12.1979)/37</t>
  </si>
  <si>
    <t>107,00</t>
  </si>
  <si>
    <t xml:space="preserve">Махачкала/Дагестан </t>
  </si>
  <si>
    <t>290,0</t>
  </si>
  <si>
    <t>Очкалов Максим</t>
  </si>
  <si>
    <t>1. Очкалов Максим</t>
  </si>
  <si>
    <t>Открытая (03.05.1989)/27</t>
  </si>
  <si>
    <t>121,20</t>
  </si>
  <si>
    <t>217,5</t>
  </si>
  <si>
    <t>255,0</t>
  </si>
  <si>
    <t>253,3955</t>
  </si>
  <si>
    <t>209,5200</t>
  </si>
  <si>
    <t>142,1219</t>
  </si>
  <si>
    <t>540,0</t>
  </si>
  <si>
    <t>329,1538</t>
  </si>
  <si>
    <t>560,0</t>
  </si>
  <si>
    <t>302,3440</t>
  </si>
  <si>
    <t>740,0</t>
  </si>
  <si>
    <t>399,9700</t>
  </si>
  <si>
    <t>455,0</t>
  </si>
  <si>
    <t>336,3588</t>
  </si>
  <si>
    <t>620,0</t>
  </si>
  <si>
    <t>325,9960</t>
  </si>
  <si>
    <t>542,5</t>
  </si>
  <si>
    <t>322,2992</t>
  </si>
  <si>
    <t>490,0</t>
  </si>
  <si>
    <t>303,8245</t>
  </si>
  <si>
    <t>495,0</t>
  </si>
  <si>
    <t>282,1005</t>
  </si>
  <si>
    <t>390,0</t>
  </si>
  <si>
    <t>230,4900</t>
  </si>
  <si>
    <t xml:space="preserve">Мастера 55 - 59 </t>
  </si>
  <si>
    <t>430,0</t>
  </si>
  <si>
    <t>377,1306</t>
  </si>
  <si>
    <t>522,5</t>
  </si>
  <si>
    <t>307,3867</t>
  </si>
  <si>
    <t xml:space="preserve">Чамсаев Шамиль, Щесняк Вадим, Непобедимый Эдгар, Мусиенко Константин, Бельтюков Евгений </t>
  </si>
  <si>
    <t xml:space="preserve">Дю Андрей, Куликов Юрий, Рикман Элина, Брылева Анастасия </t>
  </si>
  <si>
    <t xml:space="preserve">36(12+12+12) </t>
  </si>
  <si>
    <t xml:space="preserve">Шейко Евгений, Очкалов Максим, Еременко Иван </t>
  </si>
  <si>
    <t xml:space="preserve">Жилина Елена </t>
  </si>
  <si>
    <t xml:space="preserve">9(9) </t>
  </si>
  <si>
    <t xml:space="preserve">Жилин Сергей </t>
  </si>
  <si>
    <t>ВЕСОВАЯ КАТЕГОРИЯ   44</t>
  </si>
  <si>
    <t>Воронова Елизавета</t>
  </si>
  <si>
    <t>1. Воронова Елизавета</t>
  </si>
  <si>
    <t>Девушки 14 - 15 (09.06.2000)/16</t>
  </si>
  <si>
    <t>42,50</t>
  </si>
  <si>
    <t>Эрнандес Ирина</t>
  </si>
  <si>
    <t>1. Эрнандес Ирина</t>
  </si>
  <si>
    <t>Юниорки 20 - 23 (24.01.1994)/23</t>
  </si>
  <si>
    <t>50,75</t>
  </si>
  <si>
    <t>Маматова Марина</t>
  </si>
  <si>
    <t>1. Маматова Марина</t>
  </si>
  <si>
    <t>Мастера 40 - 44 (14.08.1976)/40</t>
  </si>
  <si>
    <t>51,50</t>
  </si>
  <si>
    <t xml:space="preserve">Строитель/Белгородская область </t>
  </si>
  <si>
    <t>42,5</t>
  </si>
  <si>
    <t>Коробицина Софья</t>
  </si>
  <si>
    <t>1. Коробицина Софья</t>
  </si>
  <si>
    <t>Девушки 16 - 17 (28.04.1999)/17</t>
  </si>
  <si>
    <t>56,00</t>
  </si>
  <si>
    <t>52,5</t>
  </si>
  <si>
    <t>Михайлова Анна</t>
  </si>
  <si>
    <t>2. Михайлова Анна</t>
  </si>
  <si>
    <t>Девушки 16 - 17 (28.03.2000)/16</t>
  </si>
  <si>
    <t>53,80</t>
  </si>
  <si>
    <t>Морозова Ирина</t>
  </si>
  <si>
    <t>1. Морозова Ирина</t>
  </si>
  <si>
    <t>Открытая (24.01.1987)/30</t>
  </si>
  <si>
    <t xml:space="preserve">Валуйки </t>
  </si>
  <si>
    <t xml:space="preserve">Валуйки/Белгородская область </t>
  </si>
  <si>
    <t>0,0</t>
  </si>
  <si>
    <t>Гончарова Шахноза</t>
  </si>
  <si>
    <t>2. Гончарова Шахноза</t>
  </si>
  <si>
    <t>Открытая (08.11.1990)/26</t>
  </si>
  <si>
    <t>55,60</t>
  </si>
  <si>
    <t>Аксенова Юлия</t>
  </si>
  <si>
    <t>1. Аксенова Юлия</t>
  </si>
  <si>
    <t>Девушки 16 - 17 (25.06.1999)/17</t>
  </si>
  <si>
    <t>64,10</t>
  </si>
  <si>
    <t>Давыдова Ксения</t>
  </si>
  <si>
    <t>1. Давыдова Ксения</t>
  </si>
  <si>
    <t>Юниорки 20 - 23 (04.09.1995)/21</t>
  </si>
  <si>
    <t>65,20</t>
  </si>
  <si>
    <t xml:space="preserve">Екатеринбург/Свердловская область </t>
  </si>
  <si>
    <t>-. Калиниченко Алла</t>
  </si>
  <si>
    <t>Павлык Георгий</t>
  </si>
  <si>
    <t>1. Павлык Георгий</t>
  </si>
  <si>
    <t>Юноши 14 - 15 (18.06.2003)/13</t>
  </si>
  <si>
    <t>65,15</t>
  </si>
  <si>
    <t>Дранев Владимир</t>
  </si>
  <si>
    <t>1. Дранев Владимир</t>
  </si>
  <si>
    <t>Юноши 18 - 19 (24.07.1997)/19</t>
  </si>
  <si>
    <t>64,95</t>
  </si>
  <si>
    <t>127,5</t>
  </si>
  <si>
    <t>Хошимов Алик</t>
  </si>
  <si>
    <t>2. Хошимов Алик</t>
  </si>
  <si>
    <t>Юноши 18 - 19 (22.05.1998)/18</t>
  </si>
  <si>
    <t>67,45</t>
  </si>
  <si>
    <t>Трясцин Дмитрий</t>
  </si>
  <si>
    <t>1. Трясцин Дмитрий</t>
  </si>
  <si>
    <t>Юниоры 20 - 23 (16.01.1996)/21</t>
  </si>
  <si>
    <t>66,70</t>
  </si>
  <si>
    <t>Володарский Сергей</t>
  </si>
  <si>
    <t>Открытая (21.08.1989)/27</t>
  </si>
  <si>
    <t>62,20</t>
  </si>
  <si>
    <t>Дамбинов Александр</t>
  </si>
  <si>
    <t>1. Дамбинов Александр</t>
  </si>
  <si>
    <t>Мастера 80+ (12.03.1936)/80</t>
  </si>
  <si>
    <t>65,90</t>
  </si>
  <si>
    <t xml:space="preserve">Сальск/Ростовская область </t>
  </si>
  <si>
    <t>65,0o</t>
  </si>
  <si>
    <t>Шутеев Евгений</t>
  </si>
  <si>
    <t>1. Шутеев Евгений</t>
  </si>
  <si>
    <t>Юноши 14 - 15 (30.10.2002)/14</t>
  </si>
  <si>
    <t>72,10</t>
  </si>
  <si>
    <t>Яненко Дмитрий</t>
  </si>
  <si>
    <t>1. Яненко Дмитрий</t>
  </si>
  <si>
    <t>Юноши 16 - 17 (16.01.2000)/17</t>
  </si>
  <si>
    <t>68,75</t>
  </si>
  <si>
    <t>Ващенко Владислав</t>
  </si>
  <si>
    <t>1. Ващенко Владислав</t>
  </si>
  <si>
    <t>Юниоры 20 - 23 (05.08.1996)/20</t>
  </si>
  <si>
    <t>72,15</t>
  </si>
  <si>
    <t>Белов Петр</t>
  </si>
  <si>
    <t>2. Белов Петр</t>
  </si>
  <si>
    <t>Юниоры 20 - 23 (08.03.1994)/22</t>
  </si>
  <si>
    <t>69,85</t>
  </si>
  <si>
    <t xml:space="preserve">Красноярск/Красноярский край </t>
  </si>
  <si>
    <t>Володько Александр</t>
  </si>
  <si>
    <t>1. Володько Александр</t>
  </si>
  <si>
    <t>Открытая (12.07.1980)/36</t>
  </si>
  <si>
    <t>73,55</t>
  </si>
  <si>
    <t xml:space="preserve">Гризли </t>
  </si>
  <si>
    <t xml:space="preserve">Алма-Ата </t>
  </si>
  <si>
    <t>137,5</t>
  </si>
  <si>
    <t>Асланов Руслан</t>
  </si>
  <si>
    <t>2. Асланов Руслан</t>
  </si>
  <si>
    <t>Открытая (05.05.1992)/24</t>
  </si>
  <si>
    <t>74,50</t>
  </si>
  <si>
    <t>Рудычев Сергей</t>
  </si>
  <si>
    <t>1. Рудычев Сергей</t>
  </si>
  <si>
    <t>Мастера 40 - 44 (08.06.1974)/42</t>
  </si>
  <si>
    <t>Татаркин Александр</t>
  </si>
  <si>
    <t>1. Татаркин Александр</t>
  </si>
  <si>
    <t>Мастера 60 - 64 (16.08.1955)/61</t>
  </si>
  <si>
    <t>73,00</t>
  </si>
  <si>
    <t xml:space="preserve">Самост </t>
  </si>
  <si>
    <t>Шушпанов Андрей</t>
  </si>
  <si>
    <t>1. Шушпанов Андрей</t>
  </si>
  <si>
    <t>Открытая (01.06.1979)/37</t>
  </si>
  <si>
    <t>79,35</t>
  </si>
  <si>
    <t>Еременко Александр</t>
  </si>
  <si>
    <t>2. Еременко Александр</t>
  </si>
  <si>
    <t>Открытая (27.03.1991)/25</t>
  </si>
  <si>
    <t>80,00</t>
  </si>
  <si>
    <t xml:space="preserve">Губкин/Белгородская область </t>
  </si>
  <si>
    <t>Олегов Максим</t>
  </si>
  <si>
    <t>3. Олегов Максим</t>
  </si>
  <si>
    <t>Открытая (14.04.1985)/31</t>
  </si>
  <si>
    <t>82,20</t>
  </si>
  <si>
    <t xml:space="preserve">Titan Gym </t>
  </si>
  <si>
    <t>Рахимьянов Рамазан</t>
  </si>
  <si>
    <t>1. Рахимьянов Рамазан</t>
  </si>
  <si>
    <t>Юноши 14 - 15 (06.05.2001)/15</t>
  </si>
  <si>
    <t>89,30</t>
  </si>
  <si>
    <t xml:space="preserve">Новое Каширово/татарстан </t>
  </si>
  <si>
    <t>Мусатов Дмитрий</t>
  </si>
  <si>
    <t>1. Мусатов Дмитрий</t>
  </si>
  <si>
    <t>Юноши 16 - 17 (17.08.1999)/17</t>
  </si>
  <si>
    <t>88,55</t>
  </si>
  <si>
    <t>Шипилов Роман</t>
  </si>
  <si>
    <t>1. Шипилов Роман</t>
  </si>
  <si>
    <t>Юноши 18 - 19 (04.06.1998)/18</t>
  </si>
  <si>
    <t>84,35</t>
  </si>
  <si>
    <t>Коновалов Андрей</t>
  </si>
  <si>
    <t>1. Коновалов Андрей</t>
  </si>
  <si>
    <t>Юниоры 20 - 23 (31.10.1996)/20</t>
  </si>
  <si>
    <t>85,85</t>
  </si>
  <si>
    <t>Куликов Михаил</t>
  </si>
  <si>
    <t>1. Куликов Михаил</t>
  </si>
  <si>
    <t>Открытая (09.10.1989)/27</t>
  </si>
  <si>
    <t>88,90</t>
  </si>
  <si>
    <t>Мюльгаупт Сергей</t>
  </si>
  <si>
    <t>2. Мюльгаупт Сергей</t>
  </si>
  <si>
    <t>Открытая (27.11.1984)/32</t>
  </si>
  <si>
    <t>89,40</t>
  </si>
  <si>
    <t>Ковалев Валерий</t>
  </si>
  <si>
    <t>3. Ковалев Валерий</t>
  </si>
  <si>
    <t>Открытая (04.02.1981)/36</t>
  </si>
  <si>
    <t>83,70</t>
  </si>
  <si>
    <t xml:space="preserve">Балашиха/Московская область </t>
  </si>
  <si>
    <t>Аничкин Александр</t>
  </si>
  <si>
    <t>-. Аничкин Александр</t>
  </si>
  <si>
    <t>Открытая (25.02.1991)/26</t>
  </si>
  <si>
    <t>86,10</t>
  </si>
  <si>
    <t xml:space="preserve">Харьков/Харьковская </t>
  </si>
  <si>
    <t>Марченко Дмитрий</t>
  </si>
  <si>
    <t>-. Марченко Дмитрий</t>
  </si>
  <si>
    <t>Открытая (21.11.1986)/30</t>
  </si>
  <si>
    <t>86,85</t>
  </si>
  <si>
    <t>-. Анисимов Роман</t>
  </si>
  <si>
    <t>Открытая (05.02.1984)/33</t>
  </si>
  <si>
    <t>88,00</t>
  </si>
  <si>
    <t>Грицков Евгений</t>
  </si>
  <si>
    <t>1. Грицков Евгений</t>
  </si>
  <si>
    <t>Открытая (28.06.1984)/32</t>
  </si>
  <si>
    <t>Шеховцов Василий</t>
  </si>
  <si>
    <t>2. Шеховцов Василий</t>
  </si>
  <si>
    <t>Открытая (28.08.1986)/30</t>
  </si>
  <si>
    <t>95,00</t>
  </si>
  <si>
    <t>Комков Сергей</t>
  </si>
  <si>
    <t>3. Комков Сергей</t>
  </si>
  <si>
    <t>Открытая (12.06.1987)/29</t>
  </si>
  <si>
    <t>132,5</t>
  </si>
  <si>
    <t>Тимофеев Дмитрий</t>
  </si>
  <si>
    <t>1. Тимофеев Дмитрий</t>
  </si>
  <si>
    <t>Мастера 40 - 44 (29.08.1976)/40</t>
  </si>
  <si>
    <t>97,75</t>
  </si>
  <si>
    <t>172,5</t>
  </si>
  <si>
    <t>Глущенко Юрий</t>
  </si>
  <si>
    <t>2. Глущенко Юрий</t>
  </si>
  <si>
    <t>Мастера 40 - 44 (02.04.1972)/44</t>
  </si>
  <si>
    <t>98,70</t>
  </si>
  <si>
    <t>Ищенко Виктор</t>
  </si>
  <si>
    <t>1. Ищенко Виктор</t>
  </si>
  <si>
    <t>Мастера 70 - 74 (12.02.1947)/70</t>
  </si>
  <si>
    <t>98,40</t>
  </si>
  <si>
    <t>Ткаленко Дмитрий</t>
  </si>
  <si>
    <t>1. Ткаленко Дмитрий</t>
  </si>
  <si>
    <t>Юниоры 20 - 23 (17.09.1996)/20</t>
  </si>
  <si>
    <t>106,30</t>
  </si>
  <si>
    <t>Дроздов Игорь</t>
  </si>
  <si>
    <t>1. Дроздов Игорь</t>
  </si>
  <si>
    <t>Мастера 40 - 44 (14.02.1977)/40</t>
  </si>
  <si>
    <t>109,00</t>
  </si>
  <si>
    <t xml:space="preserve">Обоянь/Курская область </t>
  </si>
  <si>
    <t>Добролежа Евгений</t>
  </si>
  <si>
    <t>2. Добролежа Евгений</t>
  </si>
  <si>
    <t>Мастера 40 - 44 (28.06.1976)/40</t>
  </si>
  <si>
    <t>107,50</t>
  </si>
  <si>
    <t>152,5</t>
  </si>
  <si>
    <t>-. Прокопьев Валентин</t>
  </si>
  <si>
    <t>Мастера 40 - 44 (30.08.1973)/43</t>
  </si>
  <si>
    <t>109,90</t>
  </si>
  <si>
    <t>Толстых Виктор</t>
  </si>
  <si>
    <t>1. Толстых Виктор</t>
  </si>
  <si>
    <t>Мастера 50 - 54 (07.06.1965)/51</t>
  </si>
  <si>
    <t>107,20</t>
  </si>
  <si>
    <t>Команов Юрий</t>
  </si>
  <si>
    <t>1. Команов Юрий</t>
  </si>
  <si>
    <t>Мастера 55 - 59 (28.06.1961)/55</t>
  </si>
  <si>
    <t>104,90</t>
  </si>
  <si>
    <t>Госман Дмитрий</t>
  </si>
  <si>
    <t>1. Госман Дмитрий</t>
  </si>
  <si>
    <t>Юниоры 20 - 23 (22.05.1993)/23</t>
  </si>
  <si>
    <t>124,70</t>
  </si>
  <si>
    <t xml:space="preserve">Донецк/Ростовская область </t>
  </si>
  <si>
    <t>197,5</t>
  </si>
  <si>
    <t>202,5</t>
  </si>
  <si>
    <t>Савицких Петр</t>
  </si>
  <si>
    <t>1. Савицких Петр</t>
  </si>
  <si>
    <t>Открытая (24.05.1983)/33</t>
  </si>
  <si>
    <t>125,00</t>
  </si>
  <si>
    <t xml:space="preserve">Алексеевка </t>
  </si>
  <si>
    <t xml:space="preserve">Алексеевка/Белгородская область </t>
  </si>
  <si>
    <t>2. Очкалов Максим</t>
  </si>
  <si>
    <t>Чубаров Владимир</t>
  </si>
  <si>
    <t>1. Чубаров Владимир</t>
  </si>
  <si>
    <t>Мастера 50 - 54 (03.04.1964)/52</t>
  </si>
  <si>
    <t>121,10</t>
  </si>
  <si>
    <t>44,0</t>
  </si>
  <si>
    <t>80,4878</t>
  </si>
  <si>
    <t>56,6600</t>
  </si>
  <si>
    <t>53,2569</t>
  </si>
  <si>
    <t>52,7634</t>
  </si>
  <si>
    <t xml:space="preserve">Юниорки </t>
  </si>
  <si>
    <t>61,8000</t>
  </si>
  <si>
    <t>47,0725</t>
  </si>
  <si>
    <t>64,4070</t>
  </si>
  <si>
    <t>57,3344</t>
  </si>
  <si>
    <t>46,4075</t>
  </si>
  <si>
    <t>97,7470</t>
  </si>
  <si>
    <t>96,9900</t>
  </si>
  <si>
    <t>86,7448</t>
  </si>
  <si>
    <t>79,8120</t>
  </si>
  <si>
    <t>76,9878</t>
  </si>
  <si>
    <t>63,6308</t>
  </si>
  <si>
    <t>63,2743</t>
  </si>
  <si>
    <t>50,7206</t>
  </si>
  <si>
    <t>102,9765</t>
  </si>
  <si>
    <t>100,4126</t>
  </si>
  <si>
    <t>89,8049</t>
  </si>
  <si>
    <t>84,7278</t>
  </si>
  <si>
    <t>80,7283</t>
  </si>
  <si>
    <t>56,9155</t>
  </si>
  <si>
    <t>93,9132</t>
  </si>
  <si>
    <t>90,1485</t>
  </si>
  <si>
    <t>87,0945</t>
  </si>
  <si>
    <t>86,9807</t>
  </si>
  <si>
    <t>84,3562</t>
  </si>
  <si>
    <t>83,5000</t>
  </si>
  <si>
    <t>83,3600</t>
  </si>
  <si>
    <t>82,2770</t>
  </si>
  <si>
    <t>81,4990</t>
  </si>
  <si>
    <t>80,9115</t>
  </si>
  <si>
    <t>79,4920</t>
  </si>
  <si>
    <t>79,3395</t>
  </si>
  <si>
    <t>75,1170</t>
  </si>
  <si>
    <t>74,5080</t>
  </si>
  <si>
    <t xml:space="preserve">Мастера 60 - 64 </t>
  </si>
  <si>
    <t>150,0369</t>
  </si>
  <si>
    <t xml:space="preserve">Мастера 70 - 74 </t>
  </si>
  <si>
    <t>132,3422</t>
  </si>
  <si>
    <t xml:space="preserve">Мастера 50 - 54 </t>
  </si>
  <si>
    <t>108,0882</t>
  </si>
  <si>
    <t xml:space="preserve">Мастера 80+ </t>
  </si>
  <si>
    <t>100,6771</t>
  </si>
  <si>
    <t>97,5601</t>
  </si>
  <si>
    <t>96,5655</t>
  </si>
  <si>
    <t>90,0698</t>
  </si>
  <si>
    <t>90,0647</t>
  </si>
  <si>
    <t>88,2450</t>
  </si>
  <si>
    <t>86,5091</t>
  </si>
  <si>
    <t>86,1864</t>
  </si>
  <si>
    <t>78,2710</t>
  </si>
  <si>
    <t xml:space="preserve">201(12+12+12+12+9+12+9+12+12+9+9+9+12+12+12+12+12+12) </t>
  </si>
  <si>
    <t xml:space="preserve">Шипилов Роман, Дранев Владимир, Толстых Виктор, Ищенко Виктор, Белов Петр, Яненко Дмитрий, Асланов Руслан, Дроздов Игорь, Коробицина Софья, Мюльгаупт Сергей, Михайлова Анна, Шеховцов Василий, Рахимьянов Рамазан, Госман Дмитрий, Чубаров Владимир, Дамбинов Александр, Бельтюков Евгений, Ткаленко Дмитрий </t>
  </si>
  <si>
    <t xml:space="preserve">114(12+9+12+12+12+12+12+12+12+9) </t>
  </si>
  <si>
    <t xml:space="preserve">Команов Юрий, Хошимов Алик, Морозова Ирина, Трясцин Дмитрий, Мусатов Дмитрий, Шушпанов Андрей, Тимофеев Дмитрий, Рудычев Сергей, Татаркин Александр, Добролежа Евгений </t>
  </si>
  <si>
    <t xml:space="preserve">93(12+12+12+12+12+9+12+12) </t>
  </si>
  <si>
    <t xml:space="preserve">42(9+12+12+9) </t>
  </si>
  <si>
    <t xml:space="preserve">Глущенко Юрий, Куликов Михаил, Володько Александр, Еременко Александр </t>
  </si>
  <si>
    <t xml:space="preserve">Шутеев Евгений, Коновалов Андрей </t>
  </si>
  <si>
    <t xml:space="preserve">20(8+12) </t>
  </si>
  <si>
    <t xml:space="preserve">Олегов Максим, Грицков Евгений </t>
  </si>
  <si>
    <t xml:space="preserve">16(8+8) </t>
  </si>
  <si>
    <t xml:space="preserve">Ковалев Валерий, Комков Сергей </t>
  </si>
  <si>
    <t xml:space="preserve">Савицких Петр </t>
  </si>
  <si>
    <t xml:space="preserve">Ващенко Владислав </t>
  </si>
  <si>
    <t xml:space="preserve">Очкалов Максим </t>
  </si>
  <si>
    <t>ВЕСОВАЯ КАТЕГОРИЯ   48</t>
  </si>
  <si>
    <t>Крикунова Наталья</t>
  </si>
  <si>
    <t>1. Крикунова Наталья</t>
  </si>
  <si>
    <t>Открытая (17.11.1986)/30</t>
  </si>
  <si>
    <t>47,50</t>
  </si>
  <si>
    <t>1. Петриченко Ольга</t>
  </si>
  <si>
    <t>Джулай Анастасия</t>
  </si>
  <si>
    <t>1. Джулай Анастасия</t>
  </si>
  <si>
    <t>Открытая (25.03.1985)/31</t>
  </si>
  <si>
    <t>55,00</t>
  </si>
  <si>
    <t xml:space="preserve">Старый Оскол/Белгородская область </t>
  </si>
  <si>
    <t>Феттаева Эльвира</t>
  </si>
  <si>
    <t>1. Феттаева Эльвира</t>
  </si>
  <si>
    <t>Юниорки 20 - 23 (29.08.1995)/21</t>
  </si>
  <si>
    <t>60,00</t>
  </si>
  <si>
    <t>Печерская Елена</t>
  </si>
  <si>
    <t>1. Печерская Елена</t>
  </si>
  <si>
    <t>Открытая (08.02.1991)/26</t>
  </si>
  <si>
    <t>64,80</t>
  </si>
  <si>
    <t>Говорунова Ангелина</t>
  </si>
  <si>
    <t>1. Говорунова Ангелина</t>
  </si>
  <si>
    <t>Девушки 16 - 17 (04.09.2000)/16</t>
  </si>
  <si>
    <t>77,60</t>
  </si>
  <si>
    <t>-. Дамбинов Александр</t>
  </si>
  <si>
    <t>Алябьев Роман</t>
  </si>
  <si>
    <t>1. Алябьев Роман</t>
  </si>
  <si>
    <t>Юниоры 20 - 23 (22.12.1993)/23</t>
  </si>
  <si>
    <t>69,70</t>
  </si>
  <si>
    <t>212,5</t>
  </si>
  <si>
    <t>Цыганко Андрей</t>
  </si>
  <si>
    <t>1. Цыганко Андрей</t>
  </si>
  <si>
    <t>Юноши 14 - 15 (09.09.2003)/13</t>
  </si>
  <si>
    <t>81,40</t>
  </si>
  <si>
    <t>Бесхлебный Евгений</t>
  </si>
  <si>
    <t>1. Бесхлебный Евгений</t>
  </si>
  <si>
    <t>Юниоры 20 - 23 (30.08.1993)/23</t>
  </si>
  <si>
    <t>78,00</t>
  </si>
  <si>
    <t>165,0</t>
  </si>
  <si>
    <t>Бердников Максим</t>
  </si>
  <si>
    <t>1. Бердников Максим</t>
  </si>
  <si>
    <t>Юноши 16 - 17 (14.01.2000)/17</t>
  </si>
  <si>
    <t>85,50</t>
  </si>
  <si>
    <t>87,90</t>
  </si>
  <si>
    <t>247,5o</t>
  </si>
  <si>
    <t>2. Марченко Дмитрий</t>
  </si>
  <si>
    <t>86,90</t>
  </si>
  <si>
    <t>Степкин Алексей</t>
  </si>
  <si>
    <t>3. Степкин Алексей</t>
  </si>
  <si>
    <t>Открытая (24.04.1978)/38</t>
  </si>
  <si>
    <t>87,10</t>
  </si>
  <si>
    <t>99,40</t>
  </si>
  <si>
    <t>305,0</t>
  </si>
  <si>
    <t>Нефедов Андрей</t>
  </si>
  <si>
    <t>1. Нефедов Андрей</t>
  </si>
  <si>
    <t>Открытая (16.03.1975)/41</t>
  </si>
  <si>
    <t>104,40</t>
  </si>
  <si>
    <t>242,5</t>
  </si>
  <si>
    <t>Тютюнник Александр</t>
  </si>
  <si>
    <t>2. Тютюнник Александр</t>
  </si>
  <si>
    <t>Открытая (16.05.1984)/32</t>
  </si>
  <si>
    <t>Кириленко Сергей</t>
  </si>
  <si>
    <t>1. Кириленко Сергей</t>
  </si>
  <si>
    <t>Юниоры 20 - 23 (25.05.1995)/21</t>
  </si>
  <si>
    <t>115,90</t>
  </si>
  <si>
    <t>116,2320</t>
  </si>
  <si>
    <t>105,7310</t>
  </si>
  <si>
    <t>70,4000</t>
  </si>
  <si>
    <t>107,5375</t>
  </si>
  <si>
    <t>119,0280</t>
  </si>
  <si>
    <t>100,7875</t>
  </si>
  <si>
    <t>99,4267</t>
  </si>
  <si>
    <t>48,0</t>
  </si>
  <si>
    <t>99,0185</t>
  </si>
  <si>
    <t>161,0950</t>
  </si>
  <si>
    <t>139,0350</t>
  </si>
  <si>
    <t>62,5100</t>
  </si>
  <si>
    <t>149,9612</t>
  </si>
  <si>
    <t>122,0380</t>
  </si>
  <si>
    <t>116,0640</t>
  </si>
  <si>
    <t>146,9903</t>
  </si>
  <si>
    <t>132,1140</t>
  </si>
  <si>
    <t>131,4500</t>
  </si>
  <si>
    <t>122,3325</t>
  </si>
  <si>
    <t>107,6760</t>
  </si>
  <si>
    <t>107,5140</t>
  </si>
  <si>
    <t xml:space="preserve">89(12+12+8+12+12+9+12+12) </t>
  </si>
  <si>
    <t xml:space="preserve">Нефедов Андрей, Печерская Елена, Степкин Алексей, Бесхлебный Евгений, Мусиенко Константин, Марченко Дмитрий, Джулай Анастасия, Саласина Елизавета </t>
  </si>
  <si>
    <t xml:space="preserve">Бердников Максим, Цыганко Андрей, Крикунова Наталья, Говорунова Ангелина </t>
  </si>
  <si>
    <t xml:space="preserve">Рикман Элина, Петриченко Ольга, Феттаева Эльвира </t>
  </si>
  <si>
    <t xml:space="preserve">Кириленко Сергей </t>
  </si>
  <si>
    <t xml:space="preserve">Тютюнник Александр </t>
  </si>
  <si>
    <t>Юноши 18 - 19 (06.01.1998)/19</t>
  </si>
  <si>
    <t>78,90</t>
  </si>
  <si>
    <t>Фиголь Алексей</t>
  </si>
  <si>
    <t>1. Фиголь Алексей</t>
  </si>
  <si>
    <t>Открытая (26.01.1973)/44</t>
  </si>
  <si>
    <t>96,55</t>
  </si>
  <si>
    <t>2. Комков Сергей</t>
  </si>
  <si>
    <t>Мастера 40 - 44 (26.01.1973)/44</t>
  </si>
  <si>
    <t>94,7591</t>
  </si>
  <si>
    <t>111,7058</t>
  </si>
  <si>
    <t>102,7749</t>
  </si>
  <si>
    <t>102,2040</t>
  </si>
  <si>
    <t>105,9609</t>
  </si>
  <si>
    <t xml:space="preserve">Фиголь Алексей, Фиголь Алексей </t>
  </si>
  <si>
    <t xml:space="preserve">Комков Сергей </t>
  </si>
  <si>
    <t>1. Аничкин Александр</t>
  </si>
  <si>
    <t>109,1970</t>
  </si>
  <si>
    <t>105,3150</t>
  </si>
  <si>
    <t xml:space="preserve">Аничкин Александр </t>
  </si>
  <si>
    <t xml:space="preserve">Петриченко Ольга </t>
  </si>
  <si>
    <t>Галактионова Маргарита</t>
  </si>
  <si>
    <t>1. Галактионова Маргарита</t>
  </si>
  <si>
    <t>Открытая (01.03.1991)/26</t>
  </si>
  <si>
    <t>51,45</t>
  </si>
  <si>
    <t>227,5</t>
  </si>
  <si>
    <t>151,5590</t>
  </si>
  <si>
    <t>151,2820</t>
  </si>
  <si>
    <t>104,0937</t>
  </si>
  <si>
    <t xml:space="preserve">Рахимьянов Рамазан </t>
  </si>
  <si>
    <t xml:space="preserve">Галактионова Маргарита </t>
  </si>
  <si>
    <t>Сафонова Вероника</t>
  </si>
  <si>
    <t>1. Сафонова Вероника</t>
  </si>
  <si>
    <t>Девушки 14 - 15 (12.08.2004)/12</t>
  </si>
  <si>
    <t>34,00</t>
  </si>
  <si>
    <t>30,0</t>
  </si>
  <si>
    <t>35,0</t>
  </si>
  <si>
    <t>Анищенко Вадим</t>
  </si>
  <si>
    <t>1. Анищенко Вадим</t>
  </si>
  <si>
    <t>Мастера 45 - 49 (29.03.1971)/45</t>
  </si>
  <si>
    <t>100,00</t>
  </si>
  <si>
    <t>Ващук Андрей</t>
  </si>
  <si>
    <t>1. Ващук Андрей</t>
  </si>
  <si>
    <t>Мастера 55 - 59 (28.06.1960)/56</t>
  </si>
  <si>
    <t>97,20</t>
  </si>
  <si>
    <t xml:space="preserve">Северодвинск/Архангельская область </t>
  </si>
  <si>
    <t>220,2561</t>
  </si>
  <si>
    <t>515,0</t>
  </si>
  <si>
    <t>413,3694</t>
  </si>
  <si>
    <t>605,0</t>
  </si>
  <si>
    <t>351,2582</t>
  </si>
  <si>
    <t xml:space="preserve">Анищенко Вадим, Сафонова Вероника </t>
  </si>
  <si>
    <t xml:space="preserve">Ващук Андрей </t>
  </si>
  <si>
    <t>Рядинский Денис</t>
  </si>
  <si>
    <t>1. Рядинский Денис</t>
  </si>
  <si>
    <t>Открытая (06.07.1985)/31</t>
  </si>
  <si>
    <t>82,50</t>
  </si>
  <si>
    <t>207,5</t>
  </si>
  <si>
    <t>128,5048</t>
  </si>
  <si>
    <t>119,0214</t>
  </si>
  <si>
    <t xml:space="preserve">Анищенко Вадим </t>
  </si>
  <si>
    <t xml:space="preserve">Рядинский Денис </t>
  </si>
  <si>
    <t>127,7302</t>
  </si>
  <si>
    <t>Коробейников Д.Ю.</t>
  </si>
  <si>
    <t>Кузьменко Е.В.</t>
  </si>
  <si>
    <t>Коныхов И.В.</t>
  </si>
  <si>
    <t>Кузнецов К.В.</t>
  </si>
  <si>
    <t>Володарский С. В.</t>
  </si>
  <si>
    <t>Бесхлебный А.С.</t>
  </si>
  <si>
    <t>1.Тарасов Владимир</t>
  </si>
  <si>
    <t>Тарасов Владимир</t>
  </si>
  <si>
    <t>1. Тарасов Владимр</t>
  </si>
  <si>
    <t>1  Варшавский Евгений</t>
  </si>
  <si>
    <t>Варшавский Евгений</t>
  </si>
  <si>
    <t xml:space="preserve">Тарасов Владимир, Варшавский Евгений </t>
  </si>
  <si>
    <t>-. Варшавский Евгений</t>
  </si>
  <si>
    <t>1. Самойлов Виктор</t>
  </si>
  <si>
    <t>Самойлов Виктор</t>
  </si>
  <si>
    <t>Алябьев Роман, Самойлов Виктор</t>
  </si>
  <si>
    <t>1. Варшавский Евгений</t>
  </si>
  <si>
    <t xml:space="preserve">Аксенова Юлия, Эрнандес Ирина, Маматова Марина, Воронова Елизавета, Павлык Георгий, Гончарова Шахноза, Давыдова Ксения, Варшавский Евгений </t>
  </si>
  <si>
    <t>Чемпионат России НАП
СОВ становая тяга
Белгород/Белгородская область 3-5 марта 2017 г.</t>
  </si>
  <si>
    <t>Чемпионат России НАП
СОВ пауэрлифтинг
Белгород/Белгородская область 3-5 марта 2017 г.</t>
  </si>
  <si>
    <t>Чемпионат России НАП
ПРО пауэрлифтинг без экипировки
Белгород/Белгородская область 3-5 марта 2017 г.</t>
  </si>
  <si>
    <t>Чемпионат России НАП
ПРО жим лежа без экипировки
Белгород/Белгородская область 3-5 марта 2017 г.</t>
  </si>
  <si>
    <t>Чемпионат России НАП
ПРО становая тяга без экипировки
Белгород/Белгородская область 3-5 марта 2017 г.</t>
  </si>
  <si>
    <t>Чемпионат России НАП
ПРО жим лежа в однослойной экипировке
Белгород/Белгородская область 3-5 марта 2017 г.</t>
  </si>
  <si>
    <t>Чемпионат России НАП
ПРО пауэрлифтинг в софт экипировке
Белгород/Белгородская область 3-5 марта 2017 г.</t>
  </si>
  <si>
    <t>Чемпионат России НАП
ПРО жим лежа в софт экипировке
Белгород/Белгородская область 3-5 марта 2017 г.</t>
  </si>
  <si>
    <t>Чемпионат России НАП
Любители пауэрлифтинг без экипировки
Белгород/Белгородская область марта 3-5 2017 г.</t>
  </si>
  <si>
    <t>Чемпионат России НАП
Любители жим лежа без экипировки
Белгород/Белгородская область 3-5 марта 2017 г.</t>
  </si>
  <si>
    <t>Чемпионат России НАП
Любители становая тяга без экипировки
Белгород/Белгородская область 3-5 марта 2017 г.</t>
  </si>
  <si>
    <t>Чемпионат России НАП
Любители жим лежа в однослойной экипировке
Белгород/Белгородская область 3-5 марта 2017 г.</t>
  </si>
  <si>
    <t>Чемпионат России НАП
Любители присед без экипировки
Белгород/Белгородская область 3-5 марта 2017 г.</t>
  </si>
  <si>
    <t>Чемпионат России НАП
Любители становая тяга в однослойной экипировке
Белгород/Белгородская область 3-5 марта 2017 г.</t>
  </si>
  <si>
    <t>Чемпионат России НАП
Любители пауэрлифтинг в софт экипировке
Белгород/Белгородская область 3-5 марта 2017 г.</t>
  </si>
  <si>
    <t>Чемпионат России НАП
Любители жим лежа в софт экипировке
Белгород/Белгородская область 3-5 марта 2017 г.</t>
  </si>
  <si>
    <t>Чемпионат России НАП
Любители становая тяга в софт экипировке
Белгород/Белгородская область 3-5 марта 2017 г.</t>
  </si>
  <si>
    <t>Народный жим. 
Любители народный жим (1 вес)
Белгород/Белгородская область 3-5 марта 2017 г.</t>
  </si>
  <si>
    <t>НАП Н.Ж.</t>
  </si>
  <si>
    <t>Жим мн. повт.</t>
  </si>
  <si>
    <t>Тоннаж</t>
  </si>
  <si>
    <t>Вес</t>
  </si>
  <si>
    <t>Повторы</t>
  </si>
  <si>
    <t>Девушки 16 - 17 (09.06.2000)/16</t>
  </si>
  <si>
    <t>20,0</t>
  </si>
  <si>
    <t>32,5</t>
  </si>
  <si>
    <t>21,0</t>
  </si>
  <si>
    <t xml:space="preserve">НАП Н.Ж. </t>
  </si>
  <si>
    <t>850,0</t>
  </si>
  <si>
    <t>880,0050</t>
  </si>
  <si>
    <t>682,5</t>
  </si>
  <si>
    <t>583,9470</t>
  </si>
  <si>
    <t xml:space="preserve">Воронова Елизавета </t>
  </si>
  <si>
    <t>Народный жим.
Профессионалы народный жим (1 вес)
Белгород/Белгородская область 3-5 марта 2017 г.</t>
  </si>
  <si>
    <t>1. Степура Евгений</t>
  </si>
  <si>
    <t>Открытая (22.07.1983)/33</t>
  </si>
  <si>
    <t>82,00</t>
  </si>
  <si>
    <t>22,0</t>
  </si>
  <si>
    <t>37,0</t>
  </si>
  <si>
    <t>2. Сериченко Александр</t>
  </si>
  <si>
    <t>Открытая (01.10.1989)/27</t>
  </si>
  <si>
    <t>36,0</t>
  </si>
  <si>
    <t>3. Мардачев Александр</t>
  </si>
  <si>
    <t>Открытая (19.05.1978)/38</t>
  </si>
  <si>
    <t>24,0</t>
  </si>
  <si>
    <t>Открытая (17.07.1973)/43</t>
  </si>
  <si>
    <t>97,5</t>
  </si>
  <si>
    <t>31,0</t>
  </si>
  <si>
    <t>3145,0</t>
  </si>
  <si>
    <t>2379,5071</t>
  </si>
  <si>
    <t>Сериченко Александр</t>
  </si>
  <si>
    <t>3240,0</t>
  </si>
  <si>
    <t>2345,1120</t>
  </si>
  <si>
    <t>3022,5</t>
  </si>
  <si>
    <t>2060,1359</t>
  </si>
  <si>
    <t>Мардачев Александр</t>
  </si>
  <si>
    <t>2040,0</t>
  </si>
  <si>
    <t>1550,8080</t>
  </si>
  <si>
    <t>Степура Евгений</t>
  </si>
  <si>
    <t>1815,0</t>
  </si>
  <si>
    <t>1381,2150</t>
  </si>
  <si>
    <t>2340,0</t>
  </si>
  <si>
    <t>1596,5819</t>
  </si>
  <si>
    <t xml:space="preserve">Лазуренко Сергей, Степура Евгений </t>
  </si>
  <si>
    <t xml:space="preserve">Типикин Дмитрий </t>
  </si>
  <si>
    <t xml:space="preserve">Сериченко Александр </t>
  </si>
  <si>
    <t xml:space="preserve">8(8) </t>
  </si>
  <si>
    <t xml:space="preserve">Мардачев Александр </t>
  </si>
  <si>
    <t>Пауэрспорт. Любители
Белгород/Белгородская область 3-5 марта 2017 г.</t>
  </si>
  <si>
    <t>Соб.
вес</t>
  </si>
  <si>
    <t>Армейский жим</t>
  </si>
  <si>
    <t>Подъем на бицес</t>
  </si>
  <si>
    <t>1. Нехаев Игорь</t>
  </si>
  <si>
    <t>Мастера 50 - 54 (03.04.1965)/51</t>
  </si>
  <si>
    <t>Открытая (03.04.1965)/51</t>
  </si>
  <si>
    <t>1. Былинкин Максим</t>
  </si>
  <si>
    <t>Открытая (22.04.1987)/29</t>
  </si>
  <si>
    <t>74,10</t>
  </si>
  <si>
    <t xml:space="preserve">Саратов/Саратовская область </t>
  </si>
  <si>
    <t>77,5</t>
  </si>
  <si>
    <t>Нехаев Игорь</t>
  </si>
  <si>
    <t>104,8636</t>
  </si>
  <si>
    <t>95,9915</t>
  </si>
  <si>
    <t>Былинкин Максим</t>
  </si>
  <si>
    <t>90,5580</t>
  </si>
  <si>
    <t xml:space="preserve">Нехаев Игорь, Рядинский Денис </t>
  </si>
  <si>
    <t xml:space="preserve">Былинкин Максим </t>
  </si>
  <si>
    <t>Русский ЖИМ.
Профессионалы 55 кг.
Белгород/Белгородская область 3-5 марта 2017 г.</t>
  </si>
  <si>
    <t>ВЕСОВАЯ КАТЕГОРИЯ   All</t>
  </si>
  <si>
    <t>Юноши 13 - 19 (18.04.1997)/19</t>
  </si>
  <si>
    <t>57,0</t>
  </si>
  <si>
    <t>1. Письменный Сергей</t>
  </si>
  <si>
    <t>Мастера 60+ (12.12.1952)/64</t>
  </si>
  <si>
    <t>74,00</t>
  </si>
  <si>
    <t xml:space="preserve">Юноши 13 - 19 </t>
  </si>
  <si>
    <t>3135,0</t>
  </si>
  <si>
    <t>1986,5618</t>
  </si>
  <si>
    <t>Письменный Сергей</t>
  </si>
  <si>
    <t xml:space="preserve">Мастера 60+ </t>
  </si>
  <si>
    <t>3926,6940</t>
  </si>
  <si>
    <t xml:space="preserve">Бугорский Иван </t>
  </si>
  <si>
    <t xml:space="preserve">Письменный Сергей </t>
  </si>
  <si>
    <t>Русский ЖИМ.
Любители 55 кг.
Белгород/Белгородская область 3-5 марта 2017 г.</t>
  </si>
  <si>
    <t>1. Махмутов Ахметжан</t>
  </si>
  <si>
    <t>Юноши 13 - 19 (09.04.1997)/19</t>
  </si>
  <si>
    <t>67,65</t>
  </si>
  <si>
    <t>Махмутов Ахметжан</t>
  </si>
  <si>
    <t>1650,0</t>
  </si>
  <si>
    <t>1243,0704</t>
  </si>
  <si>
    <t xml:space="preserve">Махмутов Ахметжан </t>
  </si>
  <si>
    <t>Русский ЖИМ.
Любители 35 кг.
Белгород/Белгородская область 3-5 марта 2017 г.</t>
  </si>
  <si>
    <t>Девушки 13 - 19 (28.12.2001)/15</t>
  </si>
  <si>
    <t>27,0</t>
  </si>
  <si>
    <t>1. Клепикова Светлана</t>
  </si>
  <si>
    <t>Открытая (05.05.1988)/28</t>
  </si>
  <si>
    <t>58,20</t>
  </si>
  <si>
    <t>49,0</t>
  </si>
  <si>
    <t>945,0</t>
  </si>
  <si>
    <t>1080,9222</t>
  </si>
  <si>
    <t>Клепикова Светлана</t>
  </si>
  <si>
    <t>1715,0</t>
  </si>
  <si>
    <t>1514,6022</t>
  </si>
  <si>
    <t xml:space="preserve">Клепикова Светлана, Саласина Елизавета </t>
  </si>
</sst>
</file>

<file path=xl/styles.xml><?xml version="1.0" encoding="utf-8"?>
<styleSheet xmlns="http://schemas.openxmlformats.org/spreadsheetml/2006/main">
  <fonts count="14">
    <font>
      <sz val="10"/>
      <name val="Arial Cyr"/>
      <charset val="204"/>
    </font>
    <font>
      <b/>
      <sz val="10"/>
      <name val="Arial Cyr"/>
      <charset val="204"/>
    </font>
    <font>
      <b/>
      <sz val="11"/>
      <name val="Arial Cyr"/>
      <charset val="204"/>
    </font>
    <font>
      <b/>
      <sz val="24"/>
      <name val="Arial Cyr"/>
      <charset val="204"/>
    </font>
    <font>
      <sz val="12"/>
      <name val="Arial Cyr"/>
      <charset val="204"/>
    </font>
    <font>
      <i/>
      <sz val="12"/>
      <name val="Arial Cyr"/>
      <charset val="204"/>
    </font>
    <font>
      <strike/>
      <sz val="10"/>
      <name val="Arial Cyr"/>
      <charset val="204"/>
    </font>
    <font>
      <sz val="14"/>
      <name val="Arial Cyr"/>
      <charset val="204"/>
    </font>
    <font>
      <i/>
      <sz val="11"/>
      <name val="Arial Cyr"/>
      <charset val="204"/>
    </font>
    <font>
      <sz val="24"/>
      <name val="Arial Cyr"/>
      <family val="2"/>
      <charset val="204"/>
    </font>
    <font>
      <sz val="11"/>
      <name val="Arial Cyr"/>
      <charset val="204"/>
    </font>
    <font>
      <b/>
      <sz val="14"/>
      <name val="Arial Cyr"/>
      <charset val="204"/>
    </font>
    <font>
      <b/>
      <i/>
      <sz val="12"/>
      <name val="Arial Cyr"/>
      <charset val="204"/>
    </font>
    <font>
      <b/>
      <i/>
      <sz val="11"/>
      <name val="Arial Cyr"/>
      <charset val="204"/>
    </font>
  </fonts>
  <fills count="3">
    <fill>
      <patternFill patternType="none"/>
    </fill>
    <fill>
      <patternFill patternType="gray125"/>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9">
    <xf numFmtId="0" fontId="0" fillId="0" borderId="0" xfId="0"/>
    <xf numFmtId="49" fontId="2"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Fill="1" applyBorder="1" applyAlignment="1">
      <alignment horizontal="left"/>
    </xf>
    <xf numFmtId="49" fontId="0" fillId="0" borderId="2" xfId="0" applyNumberFormat="1" applyFont="1" applyFill="1" applyBorder="1" applyAlignment="1">
      <alignment horizontal="left"/>
    </xf>
    <xf numFmtId="49" fontId="0" fillId="0" borderId="2" xfId="0" applyNumberFormat="1" applyFont="1" applyFill="1" applyBorder="1" applyAlignment="1">
      <alignment horizontal="center"/>
    </xf>
    <xf numFmtId="49" fontId="6" fillId="0" borderId="2" xfId="0" applyNumberFormat="1" applyFont="1" applyFill="1" applyBorder="1" applyAlignment="1">
      <alignment horizontal="center"/>
    </xf>
    <xf numFmtId="49" fontId="4" fillId="0" borderId="0" xfId="0" applyNumberFormat="1" applyFont="1" applyFill="1" applyBorder="1" applyAlignment="1">
      <alignment horizontal="left"/>
    </xf>
    <xf numFmtId="49" fontId="7" fillId="0" borderId="0" xfId="0" applyNumberFormat="1" applyFont="1" applyFill="1" applyBorder="1" applyAlignment="1">
      <alignment horizontal="left"/>
    </xf>
    <xf numFmtId="49" fontId="5" fillId="0" borderId="0" xfId="0" applyNumberFormat="1" applyFont="1" applyFill="1" applyBorder="1" applyAlignment="1">
      <alignment horizontal="left"/>
    </xf>
    <xf numFmtId="49" fontId="0" fillId="0" borderId="0" xfId="0" applyNumberFormat="1" applyFont="1" applyFill="1" applyBorder="1" applyAlignment="1">
      <alignment horizontal="left" indent="1"/>
    </xf>
    <xf numFmtId="49" fontId="8" fillId="0" borderId="0" xfId="0" applyNumberFormat="1" applyFont="1" applyFill="1" applyBorder="1" applyAlignment="1">
      <alignment horizontal="left" indent="1"/>
    </xf>
    <xf numFmtId="49" fontId="8" fillId="0" borderId="0" xfId="0" applyNumberFormat="1" applyFont="1" applyFill="1" applyBorder="1" applyAlignment="1">
      <alignment horizontal="left"/>
    </xf>
    <xf numFmtId="49" fontId="2" fillId="0" borderId="2" xfId="0" applyNumberFormat="1" applyFont="1" applyFill="1" applyBorder="1" applyAlignment="1">
      <alignment horizontal="center" vertical="center"/>
    </xf>
    <xf numFmtId="49" fontId="1" fillId="0" borderId="0" xfId="0" applyNumberFormat="1" applyFont="1" applyFill="1" applyBorder="1" applyAlignment="1">
      <alignment horizontal="left"/>
    </xf>
    <xf numFmtId="49" fontId="0" fillId="0" borderId="3" xfId="0" applyNumberFormat="1" applyFont="1" applyFill="1" applyBorder="1" applyAlignment="1">
      <alignment horizontal="left"/>
    </xf>
    <xf numFmtId="49" fontId="6" fillId="0" borderId="3" xfId="0" applyNumberFormat="1" applyFont="1" applyFill="1" applyBorder="1" applyAlignment="1">
      <alignment horizontal="center"/>
    </xf>
    <xf numFmtId="49" fontId="0" fillId="0" borderId="3" xfId="0" applyNumberFormat="1" applyFont="1" applyFill="1" applyBorder="1" applyAlignment="1">
      <alignment horizontal="center"/>
    </xf>
    <xf numFmtId="49" fontId="0" fillId="0" borderId="4" xfId="0" applyNumberFormat="1" applyFont="1" applyFill="1" applyBorder="1" applyAlignment="1">
      <alignment horizontal="left"/>
    </xf>
    <xf numFmtId="49" fontId="6" fillId="0" borderId="4" xfId="0" applyNumberFormat="1" applyFont="1" applyFill="1" applyBorder="1" applyAlignment="1">
      <alignment horizontal="center"/>
    </xf>
    <xf numFmtId="49" fontId="0" fillId="0" borderId="4" xfId="0" applyNumberFormat="1" applyFont="1" applyFill="1" applyBorder="1" applyAlignment="1">
      <alignment horizontal="center"/>
    </xf>
    <xf numFmtId="49" fontId="0" fillId="0" borderId="5" xfId="0" applyNumberFormat="1" applyFont="1" applyFill="1" applyBorder="1" applyAlignment="1">
      <alignment horizontal="left"/>
    </xf>
    <xf numFmtId="49" fontId="6" fillId="0" borderId="5" xfId="0" applyNumberFormat="1" applyFont="1" applyFill="1" applyBorder="1" applyAlignment="1">
      <alignment horizontal="center"/>
    </xf>
    <xf numFmtId="49" fontId="0" fillId="0" borderId="5" xfId="0" applyNumberFormat="1" applyFont="1" applyFill="1" applyBorder="1" applyAlignment="1">
      <alignment horizontal="center"/>
    </xf>
    <xf numFmtId="49" fontId="0" fillId="0" borderId="0" xfId="0" applyNumberFormat="1" applyFill="1" applyBorder="1" applyAlignment="1">
      <alignment horizontal="left"/>
    </xf>
    <xf numFmtId="49" fontId="0" fillId="0" borderId="2" xfId="0" applyNumberFormat="1" applyFill="1" applyBorder="1" applyAlignment="1">
      <alignment horizontal="left"/>
    </xf>
    <xf numFmtId="49" fontId="0" fillId="0" borderId="0" xfId="0" applyNumberFormat="1" applyFill="1" applyBorder="1" applyAlignment="1">
      <alignment horizontal="left" indent="1"/>
    </xf>
    <xf numFmtId="49" fontId="0" fillId="0" borderId="3" xfId="0" applyNumberFormat="1" applyFill="1" applyBorder="1" applyAlignment="1">
      <alignment horizontal="left"/>
    </xf>
    <xf numFmtId="49" fontId="0" fillId="0" borderId="5" xfId="0" applyNumberFormat="1" applyFill="1" applyBorder="1" applyAlignment="1">
      <alignment horizontal="left"/>
    </xf>
    <xf numFmtId="49" fontId="5" fillId="0" borderId="0" xfId="0" applyNumberFormat="1" applyFont="1" applyFill="1" applyBorder="1" applyAlignment="1">
      <alignment horizont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5" fillId="0" borderId="10" xfId="0" applyNumberFormat="1" applyFont="1" applyFill="1" applyBorder="1" applyAlignment="1">
      <alignment horizontal="center"/>
    </xf>
    <xf numFmtId="49" fontId="5" fillId="0" borderId="0" xfId="0" applyNumberFormat="1" applyFont="1" applyFill="1" applyBorder="1" applyAlignment="1">
      <alignment horizontal="center"/>
    </xf>
    <xf numFmtId="1" fontId="2" fillId="0" borderId="1" xfId="0" applyNumberFormat="1" applyFont="1" applyFill="1" applyBorder="1" applyAlignment="1">
      <alignment horizontal="center" vertical="center"/>
    </xf>
    <xf numFmtId="1" fontId="6" fillId="0" borderId="2" xfId="0" applyNumberFormat="1" applyFont="1" applyFill="1" applyBorder="1" applyAlignment="1">
      <alignment horizontal="center"/>
    </xf>
    <xf numFmtId="1" fontId="0" fillId="0" borderId="0" xfId="0" applyNumberFormat="1" applyFont="1" applyFill="1" applyBorder="1" applyAlignment="1">
      <alignment horizontal="center"/>
    </xf>
    <xf numFmtId="1" fontId="6" fillId="0" borderId="3" xfId="0" applyNumberFormat="1" applyFont="1" applyFill="1" applyBorder="1" applyAlignment="1">
      <alignment horizontal="center"/>
    </xf>
    <xf numFmtId="1" fontId="6" fillId="0" borderId="5" xfId="0" applyNumberFormat="1" applyFont="1" applyFill="1" applyBorder="1" applyAlignment="1">
      <alignment horizontal="center"/>
    </xf>
    <xf numFmtId="1" fontId="6" fillId="0" borderId="4" xfId="0" applyNumberFormat="1" applyFont="1" applyFill="1" applyBorder="1" applyAlignment="1">
      <alignment horizontal="center"/>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49" fontId="0" fillId="0" borderId="0" xfId="0" applyNumberFormat="1" applyFill="1" applyBorder="1" applyAlignment="1">
      <alignment horizontal="center"/>
    </xf>
    <xf numFmtId="49" fontId="9" fillId="2" borderId="12" xfId="0" applyNumberFormat="1" applyFont="1" applyFill="1" applyBorder="1" applyAlignment="1">
      <alignment horizontal="center"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 fillId="0" borderId="2" xfId="0" applyNumberFormat="1" applyFont="1" applyFill="1" applyBorder="1" applyAlignment="1">
      <alignment horizontal="left"/>
    </xf>
    <xf numFmtId="49" fontId="0" fillId="0" borderId="2" xfId="0" applyNumberFormat="1" applyFill="1" applyBorder="1" applyAlignment="1">
      <alignment horizontal="center"/>
    </xf>
    <xf numFmtId="49" fontId="11" fillId="0" borderId="0" xfId="0" applyNumberFormat="1" applyFont="1" applyFill="1" applyBorder="1" applyAlignment="1">
      <alignment horizontal="left"/>
    </xf>
    <xf numFmtId="49" fontId="7" fillId="0" borderId="0" xfId="0" applyNumberFormat="1" applyFont="1" applyFill="1" applyBorder="1" applyAlignment="1">
      <alignment horizontal="center"/>
    </xf>
    <xf numFmtId="49" fontId="12" fillId="0" borderId="0" xfId="0" applyNumberFormat="1" applyFont="1" applyFill="1" applyBorder="1" applyAlignment="1">
      <alignment horizontal="left"/>
    </xf>
    <xf numFmtId="49" fontId="13" fillId="0" borderId="0" xfId="0" applyNumberFormat="1" applyFont="1" applyFill="1" applyBorder="1" applyAlignment="1">
      <alignment horizontal="left" indent="1"/>
    </xf>
    <xf numFmtId="49" fontId="8" fillId="0" borderId="0" xfId="0" applyNumberFormat="1" applyFont="1" applyFill="1" applyBorder="1" applyAlignment="1">
      <alignment horizontal="center"/>
    </xf>
    <xf numFmtId="49" fontId="1" fillId="0" borderId="0" xfId="0" applyNumberFormat="1" applyFont="1" applyFill="1" applyBorder="1" applyAlignment="1">
      <alignment horizontal="left" inden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7"/>
  <sheetViews>
    <sheetView tabSelected="1" workbookViewId="0">
      <selection sqref="A1:IV65536"/>
    </sheetView>
  </sheetViews>
  <sheetFormatPr defaultRowHeight="12.75"/>
  <cols>
    <col min="1" max="1" width="31.85546875" style="5" bestFit="1" customWidth="1"/>
    <col min="2" max="2" width="28.5703125" style="5" bestFit="1" customWidth="1"/>
    <col min="3" max="3" width="16.85546875" style="5" bestFit="1" customWidth="1"/>
    <col min="4" max="4" width="9.28515625" style="5" bestFit="1" customWidth="1"/>
    <col min="5" max="5" width="22.7109375" style="5" bestFit="1" customWidth="1"/>
    <col min="6" max="6" width="30.28515625" style="5" bestFit="1" customWidth="1"/>
    <col min="7" max="7" width="5.5703125" style="4" bestFit="1" customWidth="1"/>
    <col min="8" max="9" width="2.1406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881</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3</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136</v>
      </c>
      <c r="B5" s="45"/>
      <c r="C5" s="45"/>
      <c r="D5" s="45"/>
      <c r="E5" s="45"/>
      <c r="F5" s="45"/>
      <c r="G5" s="45"/>
      <c r="H5" s="45"/>
      <c r="I5" s="45"/>
      <c r="J5" s="45"/>
      <c r="K5" s="45"/>
      <c r="L5" s="45"/>
    </row>
    <row r="6" spans="1:13">
      <c r="A6" s="6" t="s">
        <v>822</v>
      </c>
      <c r="B6" s="6" t="s">
        <v>823</v>
      </c>
      <c r="C6" s="6" t="s">
        <v>824</v>
      </c>
      <c r="D6" s="6" t="str">
        <f>"0,5540"</f>
        <v>0,5540</v>
      </c>
      <c r="E6" s="6" t="s">
        <v>141</v>
      </c>
      <c r="F6" s="6" t="s">
        <v>19</v>
      </c>
      <c r="G6" s="7" t="s">
        <v>148</v>
      </c>
      <c r="H6" s="8"/>
      <c r="I6" s="8"/>
      <c r="J6" s="8"/>
      <c r="K6" s="6" t="str">
        <f>"220,0"</f>
        <v>220,0</v>
      </c>
      <c r="L6" s="7" t="str">
        <f>"127,7302"</f>
        <v>127,7302</v>
      </c>
      <c r="M6" s="6" t="s">
        <v>27</v>
      </c>
    </row>
    <row r="8" spans="1:13" ht="15">
      <c r="E8" s="9" t="s">
        <v>40</v>
      </c>
      <c r="F8" s="26" t="s">
        <v>847</v>
      </c>
    </row>
    <row r="9" spans="1:13" ht="15">
      <c r="E9" s="9" t="s">
        <v>41</v>
      </c>
      <c r="F9" s="26" t="s">
        <v>848</v>
      </c>
    </row>
    <row r="10" spans="1:13" ht="15">
      <c r="E10" s="9" t="s">
        <v>42</v>
      </c>
      <c r="F10" s="26" t="s">
        <v>849</v>
      </c>
    </row>
    <row r="11" spans="1:13" ht="15">
      <c r="E11" s="9" t="s">
        <v>43</v>
      </c>
      <c r="F11" s="26" t="s">
        <v>850</v>
      </c>
    </row>
    <row r="12" spans="1:13" ht="15">
      <c r="E12" s="9" t="s">
        <v>43</v>
      </c>
      <c r="F12" s="26" t="s">
        <v>851</v>
      </c>
    </row>
    <row r="13" spans="1:13" ht="15">
      <c r="E13" s="9" t="s">
        <v>44</v>
      </c>
      <c r="F13" s="26" t="s">
        <v>852</v>
      </c>
    </row>
    <row r="14" spans="1:13" ht="15">
      <c r="E14" s="9"/>
    </row>
    <row r="16" spans="1:13" ht="18">
      <c r="A16" s="10" t="s">
        <v>45</v>
      </c>
      <c r="B16" s="10"/>
    </row>
    <row r="17" spans="1:5" ht="15">
      <c r="A17" s="11" t="s">
        <v>46</v>
      </c>
      <c r="B17" s="11"/>
    </row>
    <row r="18" spans="1:5" ht="14.25">
      <c r="A18" s="13"/>
      <c r="B18" s="14" t="s">
        <v>86</v>
      </c>
    </row>
    <row r="19" spans="1:5" ht="15">
      <c r="A19" s="15" t="s">
        <v>48</v>
      </c>
      <c r="B19" s="15" t="s">
        <v>49</v>
      </c>
      <c r="C19" s="15" t="s">
        <v>50</v>
      </c>
      <c r="D19" s="15" t="s">
        <v>51</v>
      </c>
      <c r="E19" s="15" t="s">
        <v>52</v>
      </c>
    </row>
    <row r="20" spans="1:5">
      <c r="A20" s="12" t="s">
        <v>821</v>
      </c>
      <c r="B20" s="5" t="s">
        <v>167</v>
      </c>
      <c r="C20" s="5" t="s">
        <v>36</v>
      </c>
      <c r="D20" s="5" t="s">
        <v>148</v>
      </c>
      <c r="E20" s="16" t="s">
        <v>846</v>
      </c>
    </row>
    <row r="25" spans="1:5" ht="18">
      <c r="A25" s="10" t="s">
        <v>61</v>
      </c>
      <c r="B25" s="10"/>
    </row>
    <row r="26" spans="1:5" ht="15">
      <c r="A26" s="15" t="s">
        <v>62</v>
      </c>
      <c r="B26" s="15" t="s">
        <v>63</v>
      </c>
      <c r="C26" s="15" t="s">
        <v>64</v>
      </c>
    </row>
    <row r="27" spans="1:5">
      <c r="A27" s="5" t="s">
        <v>141</v>
      </c>
      <c r="B27" s="5" t="s">
        <v>109</v>
      </c>
      <c r="C27" s="5" t="s">
        <v>844</v>
      </c>
    </row>
  </sheetData>
  <mergeCells count="12">
    <mergeCell ref="M3:M4"/>
    <mergeCell ref="A5:L5"/>
    <mergeCell ref="A1:M2"/>
    <mergeCell ref="A3:A4"/>
    <mergeCell ref="B3:B4"/>
    <mergeCell ref="C3:C4"/>
    <mergeCell ref="D3:D4"/>
    <mergeCell ref="E3:E4"/>
    <mergeCell ref="F3:F4"/>
    <mergeCell ref="G3:J3"/>
    <mergeCell ref="K3:K4"/>
    <mergeCell ref="L3:L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M40"/>
  <sheetViews>
    <sheetView workbookViewId="0">
      <selection sqref="A1:M2"/>
    </sheetView>
  </sheetViews>
  <sheetFormatPr defaultRowHeight="12.75"/>
  <cols>
    <col min="1" max="1" width="31.85546875" style="5" bestFit="1" customWidth="1"/>
    <col min="2" max="2" width="28.5703125" style="5" bestFit="1" customWidth="1"/>
    <col min="3" max="3" width="16.425781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872</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13</v>
      </c>
      <c r="B5" s="45"/>
      <c r="C5" s="45"/>
      <c r="D5" s="45"/>
      <c r="E5" s="45"/>
      <c r="F5" s="45"/>
      <c r="G5" s="45"/>
      <c r="H5" s="45"/>
      <c r="I5" s="45"/>
      <c r="J5" s="45"/>
      <c r="K5" s="45"/>
      <c r="L5" s="45"/>
    </row>
    <row r="6" spans="1:13">
      <c r="A6" s="6" t="s">
        <v>253</v>
      </c>
      <c r="B6" s="6" t="s">
        <v>254</v>
      </c>
      <c r="C6" s="6" t="s">
        <v>255</v>
      </c>
      <c r="D6" s="6" t="str">
        <f>"0,6645"</f>
        <v>0,6645</v>
      </c>
      <c r="E6" s="6" t="s">
        <v>164</v>
      </c>
      <c r="F6" s="6" t="s">
        <v>188</v>
      </c>
      <c r="G6" s="7" t="s">
        <v>269</v>
      </c>
      <c r="H6" s="8" t="s">
        <v>59</v>
      </c>
      <c r="I6" s="8"/>
      <c r="J6" s="8"/>
      <c r="K6" s="6" t="str">
        <f>"192,5"</f>
        <v>192,5</v>
      </c>
      <c r="L6" s="7" t="str">
        <f>"127,9162"</f>
        <v>127,9162</v>
      </c>
      <c r="M6" s="6" t="s">
        <v>27</v>
      </c>
    </row>
    <row r="8" spans="1:13" ht="15">
      <c r="A8" s="46" t="s">
        <v>74</v>
      </c>
      <c r="B8" s="46"/>
      <c r="C8" s="46"/>
      <c r="D8" s="46"/>
      <c r="E8" s="46"/>
      <c r="F8" s="46"/>
      <c r="G8" s="46"/>
      <c r="H8" s="46"/>
      <c r="I8" s="46"/>
      <c r="J8" s="46"/>
      <c r="K8" s="46"/>
      <c r="L8" s="46"/>
    </row>
    <row r="9" spans="1:13">
      <c r="A9" s="6" t="s">
        <v>271</v>
      </c>
      <c r="B9" s="6" t="s">
        <v>272</v>
      </c>
      <c r="C9" s="6" t="s">
        <v>273</v>
      </c>
      <c r="D9" s="6" t="str">
        <f>"0,5903"</f>
        <v>0,5903</v>
      </c>
      <c r="E9" s="6" t="s">
        <v>95</v>
      </c>
      <c r="F9" s="6" t="s">
        <v>96</v>
      </c>
      <c r="G9" s="7" t="s">
        <v>274</v>
      </c>
      <c r="H9" s="7" t="s">
        <v>215</v>
      </c>
      <c r="I9" s="7" t="s">
        <v>275</v>
      </c>
      <c r="J9" s="8"/>
      <c r="K9" s="6" t="str">
        <f>"270,0"</f>
        <v>270,0</v>
      </c>
      <c r="L9" s="7" t="str">
        <f>"159,3810"</f>
        <v>159,3810</v>
      </c>
      <c r="M9" s="6" t="s">
        <v>27</v>
      </c>
    </row>
    <row r="11" spans="1:13" ht="15">
      <c r="A11" s="46" t="s">
        <v>143</v>
      </c>
      <c r="B11" s="46"/>
      <c r="C11" s="46"/>
      <c r="D11" s="46"/>
      <c r="E11" s="46"/>
      <c r="F11" s="46"/>
      <c r="G11" s="46"/>
      <c r="H11" s="46"/>
      <c r="I11" s="46"/>
      <c r="J11" s="46"/>
      <c r="K11" s="46"/>
      <c r="L11" s="46"/>
    </row>
    <row r="12" spans="1:13">
      <c r="A12" s="6" t="s">
        <v>276</v>
      </c>
      <c r="B12" s="6" t="s">
        <v>277</v>
      </c>
      <c r="C12" s="6" t="s">
        <v>152</v>
      </c>
      <c r="D12" s="6" t="str">
        <f>"0,5437"</f>
        <v>0,5437</v>
      </c>
      <c r="E12" s="6" t="s">
        <v>95</v>
      </c>
      <c r="F12" s="6" t="s">
        <v>96</v>
      </c>
      <c r="G12" s="8" t="s">
        <v>148</v>
      </c>
      <c r="H12" s="8" t="s">
        <v>148</v>
      </c>
      <c r="I12" s="8" t="s">
        <v>148</v>
      </c>
      <c r="J12" s="8"/>
      <c r="K12" s="6" t="str">
        <f>"0,0"</f>
        <v>0,0</v>
      </c>
      <c r="L12" s="7" t="str">
        <f>"0,0000"</f>
        <v>0,0000</v>
      </c>
      <c r="M12" s="6" t="s">
        <v>27</v>
      </c>
    </row>
    <row r="14" spans="1:13" ht="15">
      <c r="A14" s="46" t="s">
        <v>159</v>
      </c>
      <c r="B14" s="46"/>
      <c r="C14" s="46"/>
      <c r="D14" s="46"/>
      <c r="E14" s="46"/>
      <c r="F14" s="46"/>
      <c r="G14" s="46"/>
      <c r="H14" s="46"/>
      <c r="I14" s="46"/>
      <c r="J14" s="46"/>
      <c r="K14" s="46"/>
      <c r="L14" s="46"/>
    </row>
    <row r="15" spans="1:13">
      <c r="A15" s="6" t="s">
        <v>226</v>
      </c>
      <c r="B15" s="6" t="s">
        <v>227</v>
      </c>
      <c r="C15" s="6" t="s">
        <v>228</v>
      </c>
      <c r="D15" s="6" t="str">
        <f>"0,5150"</f>
        <v>0,5150</v>
      </c>
      <c r="E15" s="6" t="s">
        <v>141</v>
      </c>
      <c r="F15" s="6" t="s">
        <v>19</v>
      </c>
      <c r="G15" s="7" t="s">
        <v>274</v>
      </c>
      <c r="H15" s="7" t="s">
        <v>278</v>
      </c>
      <c r="I15" s="7" t="s">
        <v>216</v>
      </c>
      <c r="J15" s="8"/>
      <c r="K15" s="6" t="str">
        <f>"275,0"</f>
        <v>275,0</v>
      </c>
      <c r="L15" s="7" t="str">
        <f>"141,6250"</f>
        <v>141,6250</v>
      </c>
      <c r="M15" s="6" t="s">
        <v>27</v>
      </c>
    </row>
    <row r="17" spans="1:6" ht="15">
      <c r="E17" s="9" t="s">
        <v>40</v>
      </c>
      <c r="F17" s="26" t="s">
        <v>847</v>
      </c>
    </row>
    <row r="18" spans="1:6" ht="15">
      <c r="E18" s="9" t="s">
        <v>41</v>
      </c>
      <c r="F18" s="26" t="s">
        <v>848</v>
      </c>
    </row>
    <row r="19" spans="1:6" ht="15">
      <c r="E19" s="9" t="s">
        <v>42</v>
      </c>
      <c r="F19" s="26" t="s">
        <v>849</v>
      </c>
    </row>
    <row r="20" spans="1:6" ht="15">
      <c r="E20" s="9" t="s">
        <v>43</v>
      </c>
      <c r="F20" s="26" t="s">
        <v>850</v>
      </c>
    </row>
    <row r="21" spans="1:6" ht="15">
      <c r="E21" s="9" t="s">
        <v>43</v>
      </c>
      <c r="F21" s="26" t="s">
        <v>851</v>
      </c>
    </row>
    <row r="22" spans="1:6" ht="15">
      <c r="E22" s="9" t="s">
        <v>44</v>
      </c>
      <c r="F22" s="26" t="s">
        <v>852</v>
      </c>
    </row>
    <row r="23" spans="1:6" ht="15">
      <c r="E23" s="9"/>
    </row>
    <row r="25" spans="1:6" ht="18">
      <c r="A25" s="10" t="s">
        <v>45</v>
      </c>
      <c r="B25" s="10"/>
    </row>
    <row r="26" spans="1:6" ht="15">
      <c r="A26" s="11" t="s">
        <v>46</v>
      </c>
      <c r="B26" s="11"/>
    </row>
    <row r="27" spans="1:6" ht="14.25">
      <c r="A27" s="13"/>
      <c r="B27" s="14" t="s">
        <v>57</v>
      </c>
    </row>
    <row r="28" spans="1:6" ht="15">
      <c r="A28" s="15" t="s">
        <v>48</v>
      </c>
      <c r="B28" s="15" t="s">
        <v>49</v>
      </c>
      <c r="C28" s="15" t="s">
        <v>50</v>
      </c>
      <c r="D28" s="15" t="s">
        <v>51</v>
      </c>
      <c r="E28" s="15" t="s">
        <v>52</v>
      </c>
    </row>
    <row r="29" spans="1:6">
      <c r="A29" s="12" t="s">
        <v>270</v>
      </c>
      <c r="B29" s="5" t="s">
        <v>57</v>
      </c>
      <c r="C29" s="5" t="s">
        <v>25</v>
      </c>
      <c r="D29" s="5" t="s">
        <v>275</v>
      </c>
      <c r="E29" s="16" t="s">
        <v>279</v>
      </c>
    </row>
    <row r="30" spans="1:6">
      <c r="A30" s="12" t="s">
        <v>225</v>
      </c>
      <c r="B30" s="5" t="s">
        <v>57</v>
      </c>
      <c r="C30" s="5" t="s">
        <v>175</v>
      </c>
      <c r="D30" s="5" t="s">
        <v>216</v>
      </c>
      <c r="E30" s="16" t="s">
        <v>280</v>
      </c>
    </row>
    <row r="31" spans="1:6">
      <c r="A31" s="12" t="s">
        <v>252</v>
      </c>
      <c r="B31" s="5" t="s">
        <v>57</v>
      </c>
      <c r="C31" s="5" t="s">
        <v>58</v>
      </c>
      <c r="D31" s="5" t="s">
        <v>269</v>
      </c>
      <c r="E31" s="16" t="s">
        <v>281</v>
      </c>
    </row>
    <row r="36" spans="1:3" ht="18">
      <c r="A36" s="10" t="s">
        <v>61</v>
      </c>
      <c r="B36" s="10"/>
    </row>
    <row r="37" spans="1:3" ht="15">
      <c r="A37" s="15" t="s">
        <v>62</v>
      </c>
      <c r="B37" s="15" t="s">
        <v>63</v>
      </c>
      <c r="C37" s="15" t="s">
        <v>64</v>
      </c>
    </row>
    <row r="38" spans="1:3">
      <c r="A38" s="5" t="s">
        <v>164</v>
      </c>
      <c r="B38" s="5" t="s">
        <v>109</v>
      </c>
      <c r="C38" s="5" t="s">
        <v>258</v>
      </c>
    </row>
    <row r="39" spans="1:3">
      <c r="A39" s="5" t="s">
        <v>141</v>
      </c>
      <c r="B39" s="5" t="s">
        <v>109</v>
      </c>
      <c r="C39" s="5" t="s">
        <v>245</v>
      </c>
    </row>
    <row r="40" spans="1:3">
      <c r="A40" s="5" t="s">
        <v>95</v>
      </c>
      <c r="B40" s="5" t="s">
        <v>109</v>
      </c>
      <c r="C40" s="5" t="s">
        <v>282</v>
      </c>
    </row>
  </sheetData>
  <mergeCells count="15">
    <mergeCell ref="A1:M2"/>
    <mergeCell ref="A3:A4"/>
    <mergeCell ref="B3:B4"/>
    <mergeCell ref="C3:C4"/>
    <mergeCell ref="D3:D4"/>
    <mergeCell ref="E3:E4"/>
    <mergeCell ref="F3:F4"/>
    <mergeCell ref="G3:J3"/>
    <mergeCell ref="A14:L14"/>
    <mergeCell ref="K3:K4"/>
    <mergeCell ref="L3:L4"/>
    <mergeCell ref="M3:M4"/>
    <mergeCell ref="A5:L5"/>
    <mergeCell ref="A8:L8"/>
    <mergeCell ref="A11:L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U27"/>
  <sheetViews>
    <sheetView workbookViewId="0">
      <selection sqref="A1:U2"/>
    </sheetView>
  </sheetViews>
  <sheetFormatPr defaultRowHeight="12.75"/>
  <cols>
    <col min="1" max="1" width="31.85546875" style="5" bestFit="1" customWidth="1"/>
    <col min="2" max="2" width="22.85546875" style="5" bestFit="1" customWidth="1"/>
    <col min="3" max="3" width="15.57031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3" width="5.5703125" style="4" bestFit="1" customWidth="1"/>
    <col min="14" max="14" width="4.85546875" style="4" bestFit="1" customWidth="1"/>
    <col min="15" max="17" width="5.5703125" style="4" bestFit="1" customWidth="1"/>
    <col min="18" max="18" width="4.85546875" style="4" bestFit="1" customWidth="1"/>
    <col min="19" max="19" width="7.85546875" style="5" bestFit="1" customWidth="1"/>
    <col min="20" max="20" width="8.5703125" style="4" bestFit="1" customWidth="1"/>
    <col min="21" max="21" width="8.85546875" style="5" bestFit="1" customWidth="1"/>
    <col min="22" max="16384" width="9.140625" style="4"/>
  </cols>
  <sheetData>
    <row r="1" spans="1:21" s="3" customFormat="1" ht="29.1" customHeight="1">
      <c r="A1" s="39" t="s">
        <v>871</v>
      </c>
      <c r="B1" s="40"/>
      <c r="C1" s="40"/>
      <c r="D1" s="40"/>
      <c r="E1" s="40"/>
      <c r="F1" s="40"/>
      <c r="G1" s="40"/>
      <c r="H1" s="40"/>
      <c r="I1" s="40"/>
      <c r="J1" s="40"/>
      <c r="K1" s="40"/>
      <c r="L1" s="40"/>
      <c r="M1" s="40"/>
      <c r="N1" s="40"/>
      <c r="O1" s="40"/>
      <c r="P1" s="40"/>
      <c r="Q1" s="40"/>
      <c r="R1" s="40"/>
      <c r="S1" s="40"/>
      <c r="T1" s="40"/>
      <c r="U1" s="41"/>
    </row>
    <row r="2" spans="1:21" s="3" customFormat="1" ht="62.1" customHeight="1" thickBot="1">
      <c r="A2" s="42"/>
      <c r="B2" s="43"/>
      <c r="C2" s="43"/>
      <c r="D2" s="43"/>
      <c r="E2" s="43"/>
      <c r="F2" s="43"/>
      <c r="G2" s="43"/>
      <c r="H2" s="43"/>
      <c r="I2" s="43"/>
      <c r="J2" s="43"/>
      <c r="K2" s="43"/>
      <c r="L2" s="43"/>
      <c r="M2" s="43"/>
      <c r="N2" s="43"/>
      <c r="O2" s="43"/>
      <c r="P2" s="43"/>
      <c r="Q2" s="43"/>
      <c r="R2" s="43"/>
      <c r="S2" s="43"/>
      <c r="T2" s="43"/>
      <c r="U2" s="44"/>
    </row>
    <row r="3" spans="1:21" s="1" customFormat="1" ht="12.75" customHeight="1">
      <c r="A3" s="32" t="s">
        <v>0</v>
      </c>
      <c r="B3" s="34" t="s">
        <v>9</v>
      </c>
      <c r="C3" s="34" t="s">
        <v>11</v>
      </c>
      <c r="D3" s="36" t="s">
        <v>12</v>
      </c>
      <c r="E3" s="36" t="s">
        <v>7</v>
      </c>
      <c r="F3" s="36" t="s">
        <v>10</v>
      </c>
      <c r="G3" s="36" t="s">
        <v>1</v>
      </c>
      <c r="H3" s="36"/>
      <c r="I3" s="36"/>
      <c r="J3" s="36"/>
      <c r="K3" s="36" t="s">
        <v>2</v>
      </c>
      <c r="L3" s="36"/>
      <c r="M3" s="36"/>
      <c r="N3" s="36"/>
      <c r="O3" s="36" t="s">
        <v>3</v>
      </c>
      <c r="P3" s="36"/>
      <c r="Q3" s="36"/>
      <c r="R3" s="36"/>
      <c r="S3" s="36" t="s">
        <v>4</v>
      </c>
      <c r="T3" s="36" t="s">
        <v>6</v>
      </c>
      <c r="U3" s="37" t="s">
        <v>5</v>
      </c>
    </row>
    <row r="4" spans="1:21" s="1" customFormat="1" ht="21" customHeight="1" thickBot="1">
      <c r="A4" s="33"/>
      <c r="B4" s="35"/>
      <c r="C4" s="35"/>
      <c r="D4" s="35"/>
      <c r="E4" s="35"/>
      <c r="F4" s="35"/>
      <c r="G4" s="2">
        <v>1</v>
      </c>
      <c r="H4" s="2">
        <v>2</v>
      </c>
      <c r="I4" s="2">
        <v>3</v>
      </c>
      <c r="J4" s="2" t="s">
        <v>8</v>
      </c>
      <c r="K4" s="2">
        <v>1</v>
      </c>
      <c r="L4" s="2">
        <v>2</v>
      </c>
      <c r="M4" s="2">
        <v>3</v>
      </c>
      <c r="N4" s="2" t="s">
        <v>8</v>
      </c>
      <c r="O4" s="2">
        <v>1</v>
      </c>
      <c r="P4" s="2">
        <v>2</v>
      </c>
      <c r="Q4" s="2">
        <v>3</v>
      </c>
      <c r="R4" s="2" t="s">
        <v>8</v>
      </c>
      <c r="S4" s="35"/>
      <c r="T4" s="35"/>
      <c r="U4" s="38"/>
    </row>
    <row r="5" spans="1:21" ht="15">
      <c r="A5" s="45" t="s">
        <v>136</v>
      </c>
      <c r="B5" s="45"/>
      <c r="C5" s="45"/>
      <c r="D5" s="45"/>
      <c r="E5" s="45"/>
      <c r="F5" s="45"/>
      <c r="G5" s="45"/>
      <c r="H5" s="45"/>
      <c r="I5" s="45"/>
      <c r="J5" s="45"/>
      <c r="K5" s="45"/>
      <c r="L5" s="45"/>
      <c r="M5" s="45"/>
      <c r="N5" s="45"/>
      <c r="O5" s="45"/>
      <c r="P5" s="45"/>
      <c r="Q5" s="45"/>
      <c r="R5" s="45"/>
      <c r="S5" s="45"/>
      <c r="T5" s="45"/>
    </row>
    <row r="6" spans="1:21">
      <c r="A6" s="6" t="s">
        <v>260</v>
      </c>
      <c r="B6" s="6" t="s">
        <v>261</v>
      </c>
      <c r="C6" s="6" t="s">
        <v>262</v>
      </c>
      <c r="D6" s="6" t="str">
        <f>"0,5648"</f>
        <v>0,5648</v>
      </c>
      <c r="E6" s="6" t="s">
        <v>18</v>
      </c>
      <c r="F6" s="6" t="s">
        <v>19</v>
      </c>
      <c r="G6" s="7" t="s">
        <v>104</v>
      </c>
      <c r="H6" s="7" t="s">
        <v>263</v>
      </c>
      <c r="I6" s="7" t="s">
        <v>264</v>
      </c>
      <c r="J6" s="8"/>
      <c r="K6" s="7" t="s">
        <v>209</v>
      </c>
      <c r="L6" s="7" t="s">
        <v>59</v>
      </c>
      <c r="M6" s="7" t="s">
        <v>265</v>
      </c>
      <c r="N6" s="8"/>
      <c r="O6" s="8" t="s">
        <v>216</v>
      </c>
      <c r="P6" s="8" t="s">
        <v>216</v>
      </c>
      <c r="Q6" s="7" t="s">
        <v>216</v>
      </c>
      <c r="R6" s="8"/>
      <c r="S6" s="6" t="str">
        <f>"725,0"</f>
        <v>725,0</v>
      </c>
      <c r="T6" s="7" t="str">
        <f>"409,4800"</f>
        <v>409,4800</v>
      </c>
      <c r="U6" s="6" t="s">
        <v>27</v>
      </c>
    </row>
    <row r="8" spans="1:21" ht="15">
      <c r="E8" s="9" t="s">
        <v>40</v>
      </c>
      <c r="F8" s="26" t="s">
        <v>847</v>
      </c>
    </row>
    <row r="9" spans="1:21" ht="15">
      <c r="E9" s="9" t="s">
        <v>41</v>
      </c>
      <c r="F9" s="26" t="s">
        <v>848</v>
      </c>
    </row>
    <row r="10" spans="1:21" ht="15">
      <c r="E10" s="9" t="s">
        <v>42</v>
      </c>
      <c r="F10" s="26" t="s">
        <v>849</v>
      </c>
    </row>
    <row r="11" spans="1:21" ht="15">
      <c r="E11" s="9" t="s">
        <v>43</v>
      </c>
      <c r="F11" s="26" t="s">
        <v>850</v>
      </c>
    </row>
    <row r="12" spans="1:21" ht="15">
      <c r="E12" s="9" t="s">
        <v>43</v>
      </c>
      <c r="F12" s="26" t="s">
        <v>851</v>
      </c>
    </row>
    <row r="13" spans="1:21" ht="15">
      <c r="E13" s="9" t="s">
        <v>44</v>
      </c>
      <c r="F13" s="26" t="s">
        <v>852</v>
      </c>
    </row>
    <row r="14" spans="1:21" ht="15">
      <c r="E14" s="9"/>
    </row>
    <row r="16" spans="1:21" ht="18">
      <c r="A16" s="10" t="s">
        <v>45</v>
      </c>
      <c r="B16" s="10"/>
    </row>
    <row r="17" spans="1:5" ht="15">
      <c r="A17" s="11" t="s">
        <v>46</v>
      </c>
      <c r="B17" s="11"/>
    </row>
    <row r="18" spans="1:5" ht="14.25">
      <c r="A18" s="13"/>
      <c r="B18" s="14" t="s">
        <v>57</v>
      </c>
    </row>
    <row r="19" spans="1:5" ht="15">
      <c r="A19" s="15" t="s">
        <v>48</v>
      </c>
      <c r="B19" s="15" t="s">
        <v>49</v>
      </c>
      <c r="C19" s="15" t="s">
        <v>50</v>
      </c>
      <c r="D19" s="15" t="s">
        <v>51</v>
      </c>
      <c r="E19" s="15" t="s">
        <v>52</v>
      </c>
    </row>
    <row r="20" spans="1:5">
      <c r="A20" s="12" t="s">
        <v>259</v>
      </c>
      <c r="B20" s="5" t="s">
        <v>57</v>
      </c>
      <c r="C20" s="5" t="s">
        <v>36</v>
      </c>
      <c r="D20" s="5" t="s">
        <v>266</v>
      </c>
      <c r="E20" s="16" t="s">
        <v>267</v>
      </c>
    </row>
    <row r="25" spans="1:5" ht="18">
      <c r="A25" s="10" t="s">
        <v>61</v>
      </c>
      <c r="B25" s="10"/>
    </row>
    <row r="26" spans="1:5" ht="15">
      <c r="A26" s="15" t="s">
        <v>62</v>
      </c>
      <c r="B26" s="15" t="s">
        <v>63</v>
      </c>
      <c r="C26" s="15" t="s">
        <v>64</v>
      </c>
    </row>
    <row r="27" spans="1:5">
      <c r="A27" s="5" t="s">
        <v>18</v>
      </c>
      <c r="B27" s="5" t="s">
        <v>109</v>
      </c>
      <c r="C27" s="5" t="s">
        <v>268</v>
      </c>
    </row>
  </sheetData>
  <mergeCells count="14">
    <mergeCell ref="K3:N3"/>
    <mergeCell ref="O3:R3"/>
    <mergeCell ref="S3:S4"/>
    <mergeCell ref="T3:T4"/>
    <mergeCell ref="U3:U4"/>
    <mergeCell ref="A5:T5"/>
    <mergeCell ref="A1:U2"/>
    <mergeCell ref="A3:A4"/>
    <mergeCell ref="B3:B4"/>
    <mergeCell ref="C3:C4"/>
    <mergeCell ref="D3:D4"/>
    <mergeCell ref="E3:E4"/>
    <mergeCell ref="F3:F4"/>
    <mergeCell ref="G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M30"/>
  <sheetViews>
    <sheetView workbookViewId="0">
      <selection activeCell="G12" sqref="G12"/>
    </sheetView>
  </sheetViews>
  <sheetFormatPr defaultRowHeight="12.75"/>
  <cols>
    <col min="1" max="1" width="31.85546875" style="5" bestFit="1" customWidth="1"/>
    <col min="2" max="2" width="22.85546875" style="5" bestFit="1" customWidth="1"/>
    <col min="3" max="3" width="13.1406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870</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183</v>
      </c>
      <c r="B5" s="45"/>
      <c r="C5" s="45"/>
      <c r="D5" s="45"/>
      <c r="E5" s="45"/>
      <c r="F5" s="45"/>
      <c r="G5" s="45"/>
      <c r="H5" s="45"/>
      <c r="I5" s="45"/>
      <c r="J5" s="45"/>
      <c r="K5" s="45"/>
      <c r="L5" s="45"/>
    </row>
    <row r="6" spans="1:13">
      <c r="A6" s="6" t="s">
        <v>248</v>
      </c>
      <c r="B6" s="6" t="s">
        <v>249</v>
      </c>
      <c r="C6" s="6" t="s">
        <v>250</v>
      </c>
      <c r="D6" s="6" t="str">
        <f>"0,8773"</f>
        <v>0,8773</v>
      </c>
      <c r="E6" s="6" t="s">
        <v>18</v>
      </c>
      <c r="F6" s="6" t="s">
        <v>19</v>
      </c>
      <c r="G6" s="8" t="s">
        <v>251</v>
      </c>
      <c r="H6" s="8" t="s">
        <v>251</v>
      </c>
      <c r="I6" s="8" t="s">
        <v>251</v>
      </c>
      <c r="J6" s="8"/>
      <c r="K6" s="6" t="str">
        <f>"0,0"</f>
        <v>0,0</v>
      </c>
      <c r="L6" s="7" t="str">
        <f>"0,0000"</f>
        <v>0,0000</v>
      </c>
      <c r="M6" s="6" t="s">
        <v>27</v>
      </c>
    </row>
    <row r="8" spans="1:13" ht="15">
      <c r="A8" s="46" t="s">
        <v>13</v>
      </c>
      <c r="B8" s="46"/>
      <c r="C8" s="46"/>
      <c r="D8" s="46"/>
      <c r="E8" s="46"/>
      <c r="F8" s="46"/>
      <c r="G8" s="46"/>
      <c r="H8" s="46"/>
      <c r="I8" s="46"/>
      <c r="J8" s="46"/>
      <c r="K8" s="46"/>
      <c r="L8" s="46"/>
    </row>
    <row r="9" spans="1:13">
      <c r="A9" s="6" t="s">
        <v>253</v>
      </c>
      <c r="B9" s="6" t="s">
        <v>254</v>
      </c>
      <c r="C9" s="6" t="s">
        <v>255</v>
      </c>
      <c r="D9" s="6" t="str">
        <f>"0,6645"</f>
        <v>0,6645</v>
      </c>
      <c r="E9" s="6" t="s">
        <v>164</v>
      </c>
      <c r="F9" s="6" t="s">
        <v>188</v>
      </c>
      <c r="G9" s="8" t="s">
        <v>256</v>
      </c>
      <c r="H9" s="8" t="s">
        <v>256</v>
      </c>
      <c r="I9" s="7" t="s">
        <v>256</v>
      </c>
      <c r="J9" s="8"/>
      <c r="K9" s="6" t="str">
        <f>"187,5"</f>
        <v>187,5</v>
      </c>
      <c r="L9" s="7" t="str">
        <f>"124,5937"</f>
        <v>124,5937</v>
      </c>
      <c r="M9" s="6" t="s">
        <v>27</v>
      </c>
    </row>
    <row r="11" spans="1:13" ht="15">
      <c r="E11" s="9" t="s">
        <v>40</v>
      </c>
      <c r="F11" s="26" t="s">
        <v>847</v>
      </c>
    </row>
    <row r="12" spans="1:13" ht="15">
      <c r="E12" s="9" t="s">
        <v>41</v>
      </c>
      <c r="F12" s="26" t="s">
        <v>848</v>
      </c>
    </row>
    <row r="13" spans="1:13" ht="15">
      <c r="E13" s="9" t="s">
        <v>42</v>
      </c>
      <c r="F13" s="26" t="s">
        <v>849</v>
      </c>
    </row>
    <row r="14" spans="1:13" ht="15">
      <c r="E14" s="9" t="s">
        <v>43</v>
      </c>
      <c r="F14" s="26" t="s">
        <v>850</v>
      </c>
    </row>
    <row r="15" spans="1:13" ht="15">
      <c r="E15" s="9" t="s">
        <v>43</v>
      </c>
      <c r="F15" s="26" t="s">
        <v>851</v>
      </c>
    </row>
    <row r="16" spans="1:13" ht="15">
      <c r="E16" s="9" t="s">
        <v>44</v>
      </c>
      <c r="F16" s="26" t="s">
        <v>852</v>
      </c>
    </row>
    <row r="17" spans="1:5" ht="15">
      <c r="E17" s="9"/>
    </row>
    <row r="19" spans="1:5" ht="18">
      <c r="A19" s="10" t="s">
        <v>45</v>
      </c>
      <c r="B19" s="10"/>
    </row>
    <row r="20" spans="1:5" ht="15">
      <c r="A20" s="11" t="s">
        <v>46</v>
      </c>
      <c r="B20" s="11"/>
    </row>
    <row r="21" spans="1:5" ht="14.25">
      <c r="A21" s="13"/>
      <c r="B21" s="14" t="s">
        <v>57</v>
      </c>
    </row>
    <row r="22" spans="1:5" ht="15">
      <c r="A22" s="15" t="s">
        <v>48</v>
      </c>
      <c r="B22" s="15" t="s">
        <v>49</v>
      </c>
      <c r="C22" s="15" t="s">
        <v>50</v>
      </c>
      <c r="D22" s="15" t="s">
        <v>51</v>
      </c>
      <c r="E22" s="15" t="s">
        <v>52</v>
      </c>
    </row>
    <row r="23" spans="1:5">
      <c r="A23" s="12" t="s">
        <v>252</v>
      </c>
      <c r="B23" s="5" t="s">
        <v>57</v>
      </c>
      <c r="C23" s="5" t="s">
        <v>58</v>
      </c>
      <c r="D23" s="5" t="s">
        <v>256</v>
      </c>
      <c r="E23" s="16" t="s">
        <v>257</v>
      </c>
    </row>
    <row r="28" spans="1:5" ht="18">
      <c r="A28" s="10" t="s">
        <v>61</v>
      </c>
      <c r="B28" s="10"/>
    </row>
    <row r="29" spans="1:5" ht="15">
      <c r="A29" s="15" t="s">
        <v>62</v>
      </c>
      <c r="B29" s="15" t="s">
        <v>63</v>
      </c>
      <c r="C29" s="15" t="s">
        <v>64</v>
      </c>
    </row>
    <row r="30" spans="1:5">
      <c r="A30" s="5" t="s">
        <v>164</v>
      </c>
      <c r="B30" s="5" t="s">
        <v>109</v>
      </c>
      <c r="C30" s="5" t="s">
        <v>258</v>
      </c>
    </row>
  </sheetData>
  <mergeCells count="13">
    <mergeCell ref="K3:K4"/>
    <mergeCell ref="L3:L4"/>
    <mergeCell ref="M3:M4"/>
    <mergeCell ref="A5:L5"/>
    <mergeCell ref="A8:L8"/>
    <mergeCell ref="A1:M2"/>
    <mergeCell ref="A3:A4"/>
    <mergeCell ref="B3:B4"/>
    <mergeCell ref="C3:C4"/>
    <mergeCell ref="D3:D4"/>
    <mergeCell ref="E3:E4"/>
    <mergeCell ref="F3:F4"/>
    <mergeCell ref="G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M69"/>
  <sheetViews>
    <sheetView workbookViewId="0">
      <selection activeCell="C61" sqref="C61"/>
    </sheetView>
  </sheetViews>
  <sheetFormatPr defaultRowHeight="12.75"/>
  <cols>
    <col min="1" max="1" width="31.85546875" style="5" bestFit="1" customWidth="1"/>
    <col min="2" max="2" width="29" style="5" bestFit="1" customWidth="1"/>
    <col min="3" max="3" width="68.42578125" style="5" bestFit="1" customWidth="1"/>
    <col min="4" max="4" width="9.28515625" style="5" bestFit="1" customWidth="1"/>
    <col min="5" max="5" width="22.7109375" style="5" bestFit="1" customWidth="1"/>
    <col min="6" max="6" width="30.425781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869</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3</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183</v>
      </c>
      <c r="B5" s="45"/>
      <c r="C5" s="45"/>
      <c r="D5" s="45"/>
      <c r="E5" s="45"/>
      <c r="F5" s="45"/>
      <c r="G5" s="45"/>
      <c r="H5" s="45"/>
      <c r="I5" s="45"/>
      <c r="J5" s="45"/>
      <c r="K5" s="45"/>
      <c r="L5" s="45"/>
    </row>
    <row r="6" spans="1:13">
      <c r="A6" s="6" t="s">
        <v>185</v>
      </c>
      <c r="B6" s="6" t="s">
        <v>186</v>
      </c>
      <c r="C6" s="6" t="s">
        <v>187</v>
      </c>
      <c r="D6" s="6" t="str">
        <f>"0,9312"</f>
        <v>0,9312</v>
      </c>
      <c r="E6" s="6" t="s">
        <v>164</v>
      </c>
      <c r="F6" s="6" t="s">
        <v>188</v>
      </c>
      <c r="G6" s="7" t="s">
        <v>24</v>
      </c>
      <c r="H6" s="7" t="s">
        <v>189</v>
      </c>
      <c r="I6" s="8" t="s">
        <v>190</v>
      </c>
      <c r="J6" s="8"/>
      <c r="K6" s="6" t="str">
        <f>"85,0"</f>
        <v>85,0</v>
      </c>
      <c r="L6" s="7" t="str">
        <f>"79,1520"</f>
        <v>79,1520</v>
      </c>
      <c r="M6" s="6" t="s">
        <v>27</v>
      </c>
    </row>
    <row r="8" spans="1:13" ht="15">
      <c r="A8" s="46" t="s">
        <v>119</v>
      </c>
      <c r="B8" s="46"/>
      <c r="C8" s="46"/>
      <c r="D8" s="46"/>
      <c r="E8" s="46"/>
      <c r="F8" s="46"/>
      <c r="G8" s="46"/>
      <c r="H8" s="46"/>
      <c r="I8" s="46"/>
      <c r="J8" s="46"/>
      <c r="K8" s="46"/>
      <c r="L8" s="46"/>
    </row>
    <row r="9" spans="1:13">
      <c r="A9" s="6" t="s">
        <v>192</v>
      </c>
      <c r="B9" s="6" t="s">
        <v>193</v>
      </c>
      <c r="C9" s="6" t="s">
        <v>194</v>
      </c>
      <c r="D9" s="6" t="str">
        <f>"0,7788"</f>
        <v>0,7788</v>
      </c>
      <c r="E9" s="6" t="s">
        <v>18</v>
      </c>
      <c r="F9" s="6" t="s">
        <v>195</v>
      </c>
      <c r="G9" s="7" t="s">
        <v>189</v>
      </c>
      <c r="H9" s="7" t="s">
        <v>196</v>
      </c>
      <c r="I9" s="7" t="s">
        <v>36</v>
      </c>
      <c r="J9" s="8"/>
      <c r="K9" s="6" t="str">
        <f>"100,0"</f>
        <v>100,0</v>
      </c>
      <c r="L9" s="7" t="str">
        <f>"84,1050"</f>
        <v>84,1050</v>
      </c>
      <c r="M9" s="6" t="s">
        <v>27</v>
      </c>
    </row>
    <row r="11" spans="1:13" ht="15">
      <c r="A11" s="46" t="s">
        <v>28</v>
      </c>
      <c r="B11" s="46"/>
      <c r="C11" s="46"/>
      <c r="D11" s="46"/>
      <c r="E11" s="46"/>
      <c r="F11" s="46"/>
      <c r="G11" s="46"/>
      <c r="H11" s="46"/>
      <c r="I11" s="46"/>
      <c r="J11" s="46"/>
      <c r="K11" s="46"/>
      <c r="L11" s="46"/>
    </row>
    <row r="12" spans="1:13">
      <c r="A12" s="6" t="s">
        <v>198</v>
      </c>
      <c r="B12" s="6" t="s">
        <v>199</v>
      </c>
      <c r="C12" s="6" t="s">
        <v>200</v>
      </c>
      <c r="D12" s="6" t="str">
        <f>"0,6908"</f>
        <v>0,6908</v>
      </c>
      <c r="E12" s="6" t="s">
        <v>18</v>
      </c>
      <c r="F12" s="6" t="s">
        <v>195</v>
      </c>
      <c r="G12" s="7" t="s">
        <v>201</v>
      </c>
      <c r="H12" s="7" t="s">
        <v>202</v>
      </c>
      <c r="I12" s="8" t="s">
        <v>100</v>
      </c>
      <c r="J12" s="8"/>
      <c r="K12" s="6" t="str">
        <f>"125,0"</f>
        <v>125,0</v>
      </c>
      <c r="L12" s="7" t="str">
        <f>"97,5684"</f>
        <v>97,5684</v>
      </c>
      <c r="M12" s="6" t="s">
        <v>27</v>
      </c>
    </row>
    <row r="14" spans="1:13" ht="15">
      <c r="A14" s="46" t="s">
        <v>74</v>
      </c>
      <c r="B14" s="46"/>
      <c r="C14" s="46"/>
      <c r="D14" s="46"/>
      <c r="E14" s="46"/>
      <c r="F14" s="46"/>
      <c r="G14" s="46"/>
      <c r="H14" s="46"/>
      <c r="I14" s="46"/>
      <c r="J14" s="46"/>
      <c r="K14" s="46"/>
      <c r="L14" s="46"/>
    </row>
    <row r="15" spans="1:13">
      <c r="A15" s="6" t="s">
        <v>204</v>
      </c>
      <c r="B15" s="6" t="s">
        <v>205</v>
      </c>
      <c r="C15" s="6" t="s">
        <v>206</v>
      </c>
      <c r="D15" s="6" t="str">
        <f>"0,5930"</f>
        <v>0,5930</v>
      </c>
      <c r="E15" s="6" t="s">
        <v>207</v>
      </c>
      <c r="F15" s="6" t="s">
        <v>19</v>
      </c>
      <c r="G15" s="7" t="s">
        <v>208</v>
      </c>
      <c r="H15" s="7" t="s">
        <v>209</v>
      </c>
      <c r="I15" s="7" t="s">
        <v>59</v>
      </c>
      <c r="J15" s="8"/>
      <c r="K15" s="6" t="str">
        <f>"200,0"</f>
        <v>200,0</v>
      </c>
      <c r="L15" s="7" t="str">
        <f>"118,6000"</f>
        <v>118,6000</v>
      </c>
      <c r="M15" s="6" t="s">
        <v>27</v>
      </c>
    </row>
    <row r="16" spans="1:13">
      <c r="A16" s="6" t="s">
        <v>76</v>
      </c>
      <c r="B16" s="6" t="s">
        <v>77</v>
      </c>
      <c r="C16" s="6" t="s">
        <v>78</v>
      </c>
      <c r="D16" s="6" t="str">
        <f>"0,5879"</f>
        <v>0,5879</v>
      </c>
      <c r="E16" s="6" t="s">
        <v>18</v>
      </c>
      <c r="F16" s="6" t="s">
        <v>33</v>
      </c>
      <c r="G16" s="7" t="s">
        <v>79</v>
      </c>
      <c r="H16" s="8" t="s">
        <v>80</v>
      </c>
      <c r="I16" s="8" t="s">
        <v>80</v>
      </c>
      <c r="J16" s="8"/>
      <c r="K16" s="6" t="str">
        <f>"225,0"</f>
        <v>225,0</v>
      </c>
      <c r="L16" s="7" t="str">
        <f>"253,9728"</f>
        <v>253,9728</v>
      </c>
      <c r="M16" s="6" t="s">
        <v>27</v>
      </c>
    </row>
    <row r="17" spans="1:13" ht="15">
      <c r="A17" s="46" t="s">
        <v>136</v>
      </c>
      <c r="B17" s="46"/>
      <c r="C17" s="46"/>
      <c r="D17" s="46"/>
      <c r="E17" s="46"/>
      <c r="F17" s="46"/>
      <c r="G17" s="46"/>
      <c r="H17" s="46"/>
      <c r="I17" s="46"/>
      <c r="J17" s="46"/>
      <c r="K17" s="46"/>
      <c r="L17" s="46"/>
    </row>
    <row r="18" spans="1:13">
      <c r="A18" s="17" t="s">
        <v>211</v>
      </c>
      <c r="B18" s="17" t="s">
        <v>212</v>
      </c>
      <c r="C18" s="17" t="s">
        <v>213</v>
      </c>
      <c r="D18" s="17" t="str">
        <f>"0,5577"</f>
        <v>0,5577</v>
      </c>
      <c r="E18" s="17" t="s">
        <v>18</v>
      </c>
      <c r="F18" s="17" t="s">
        <v>214</v>
      </c>
      <c r="G18" s="19" t="s">
        <v>215</v>
      </c>
      <c r="H18" s="19" t="s">
        <v>216</v>
      </c>
      <c r="I18" s="18"/>
      <c r="J18" s="18"/>
      <c r="K18" s="17" t="str">
        <f>"275,0"</f>
        <v>275,0</v>
      </c>
      <c r="L18" s="19" t="str">
        <f>"157,9544"</f>
        <v>157,9544</v>
      </c>
      <c r="M18" s="17" t="s">
        <v>27</v>
      </c>
    </row>
    <row r="19" spans="1:13">
      <c r="A19" s="23" t="s">
        <v>218</v>
      </c>
      <c r="B19" s="23" t="s">
        <v>219</v>
      </c>
      <c r="C19" s="23" t="s">
        <v>220</v>
      </c>
      <c r="D19" s="23" t="str">
        <f>"0,5651"</f>
        <v>0,5651</v>
      </c>
      <c r="E19" s="23" t="s">
        <v>18</v>
      </c>
      <c r="F19" s="23" t="s">
        <v>19</v>
      </c>
      <c r="G19" s="25" t="s">
        <v>59</v>
      </c>
      <c r="H19" s="25" t="s">
        <v>104</v>
      </c>
      <c r="I19" s="24" t="s">
        <v>166</v>
      </c>
      <c r="J19" s="24"/>
      <c r="K19" s="23" t="str">
        <f>"230,0"</f>
        <v>230,0</v>
      </c>
      <c r="L19" s="25" t="str">
        <f>"129,9730"</f>
        <v>129,9730</v>
      </c>
      <c r="M19" s="23" t="s">
        <v>27</v>
      </c>
    </row>
    <row r="20" spans="1:13">
      <c r="A20" s="20" t="s">
        <v>222</v>
      </c>
      <c r="B20" s="20" t="s">
        <v>223</v>
      </c>
      <c r="C20" s="20" t="s">
        <v>224</v>
      </c>
      <c r="D20" s="20" t="str">
        <f>"0,5619"</f>
        <v>0,5619</v>
      </c>
      <c r="E20" s="20" t="s">
        <v>95</v>
      </c>
      <c r="F20" s="20" t="s">
        <v>96</v>
      </c>
      <c r="G20" s="22" t="s">
        <v>59</v>
      </c>
      <c r="H20" s="21" t="s">
        <v>148</v>
      </c>
      <c r="I20" s="21"/>
      <c r="J20" s="21"/>
      <c r="K20" s="20" t="str">
        <f>"200,0"</f>
        <v>200,0</v>
      </c>
      <c r="L20" s="22" t="str">
        <f>"128,5627"</f>
        <v>128,5627</v>
      </c>
      <c r="M20" s="20" t="s">
        <v>27</v>
      </c>
    </row>
    <row r="22" spans="1:13" ht="15">
      <c r="A22" s="46" t="s">
        <v>159</v>
      </c>
      <c r="B22" s="46"/>
      <c r="C22" s="46"/>
      <c r="D22" s="46"/>
      <c r="E22" s="46"/>
      <c r="F22" s="46"/>
      <c r="G22" s="46"/>
      <c r="H22" s="46"/>
      <c r="I22" s="46"/>
      <c r="J22" s="46"/>
      <c r="K22" s="46"/>
      <c r="L22" s="46"/>
    </row>
    <row r="23" spans="1:13">
      <c r="A23" s="6" t="s">
        <v>226</v>
      </c>
      <c r="B23" s="6" t="s">
        <v>227</v>
      </c>
      <c r="C23" s="6" t="s">
        <v>228</v>
      </c>
      <c r="D23" s="6" t="str">
        <f>"0,5150"</f>
        <v>0,5150</v>
      </c>
      <c r="E23" s="6" t="s">
        <v>141</v>
      </c>
      <c r="F23" s="6" t="s">
        <v>19</v>
      </c>
      <c r="G23" s="7" t="s">
        <v>229</v>
      </c>
      <c r="H23" s="7" t="s">
        <v>230</v>
      </c>
      <c r="I23" s="7" t="s">
        <v>231</v>
      </c>
      <c r="J23" s="8"/>
      <c r="K23" s="6" t="str">
        <f>"307,5"</f>
        <v>307,5</v>
      </c>
      <c r="L23" s="7" t="str">
        <f>"158,3625"</f>
        <v>158,3625</v>
      </c>
      <c r="M23" s="6" t="s">
        <v>27</v>
      </c>
    </row>
    <row r="25" spans="1:13" ht="15">
      <c r="E25" s="9" t="s">
        <v>40</v>
      </c>
      <c r="F25" s="26" t="s">
        <v>847</v>
      </c>
    </row>
    <row r="26" spans="1:13" ht="15">
      <c r="E26" s="9" t="s">
        <v>41</v>
      </c>
      <c r="F26" s="26" t="s">
        <v>848</v>
      </c>
    </row>
    <row r="27" spans="1:13" ht="15">
      <c r="E27" s="9" t="s">
        <v>42</v>
      </c>
      <c r="F27" s="26" t="s">
        <v>849</v>
      </c>
    </row>
    <row r="28" spans="1:13" ht="15">
      <c r="E28" s="9" t="s">
        <v>43</v>
      </c>
      <c r="F28" s="26" t="s">
        <v>850</v>
      </c>
    </row>
    <row r="29" spans="1:13" ht="15">
      <c r="E29" s="9" t="s">
        <v>43</v>
      </c>
      <c r="F29" s="26" t="s">
        <v>851</v>
      </c>
    </row>
    <row r="30" spans="1:13" ht="15">
      <c r="E30" s="9" t="s">
        <v>44</v>
      </c>
      <c r="F30" s="26" t="s">
        <v>852</v>
      </c>
    </row>
    <row r="31" spans="1:13" ht="15">
      <c r="E31" s="9"/>
    </row>
    <row r="33" spans="1:5" ht="18">
      <c r="A33" s="10" t="s">
        <v>45</v>
      </c>
      <c r="B33" s="10"/>
    </row>
    <row r="34" spans="1:5" ht="15">
      <c r="A34" s="11" t="s">
        <v>81</v>
      </c>
      <c r="B34" s="11"/>
    </row>
    <row r="35" spans="1:5" ht="14.25">
      <c r="A35" s="13"/>
      <c r="B35" s="14" t="s">
        <v>82</v>
      </c>
    </row>
    <row r="36" spans="1:5" ht="15">
      <c r="A36" s="15" t="s">
        <v>48</v>
      </c>
      <c r="B36" s="15" t="s">
        <v>49</v>
      </c>
      <c r="C36" s="15" t="s">
        <v>50</v>
      </c>
      <c r="D36" s="15" t="s">
        <v>51</v>
      </c>
      <c r="E36" s="15" t="s">
        <v>52</v>
      </c>
    </row>
    <row r="37" spans="1:5">
      <c r="A37" s="12" t="s">
        <v>197</v>
      </c>
      <c r="B37" s="5" t="s">
        <v>232</v>
      </c>
      <c r="C37" s="5" t="s">
        <v>54</v>
      </c>
      <c r="D37" s="5" t="s">
        <v>202</v>
      </c>
      <c r="E37" s="16" t="s">
        <v>233</v>
      </c>
    </row>
    <row r="38" spans="1:5">
      <c r="A38" s="12" t="s">
        <v>191</v>
      </c>
      <c r="B38" s="5" t="s">
        <v>232</v>
      </c>
      <c r="C38" s="5" t="s">
        <v>169</v>
      </c>
      <c r="D38" s="5" t="s">
        <v>36</v>
      </c>
      <c r="E38" s="16" t="s">
        <v>234</v>
      </c>
    </row>
    <row r="40" spans="1:5" ht="14.25">
      <c r="A40" s="13"/>
      <c r="B40" s="14" t="s">
        <v>57</v>
      </c>
    </row>
    <row r="41" spans="1:5" ht="15">
      <c r="A41" s="15" t="s">
        <v>48</v>
      </c>
      <c r="B41" s="15" t="s">
        <v>49</v>
      </c>
      <c r="C41" s="15" t="s">
        <v>50</v>
      </c>
      <c r="D41" s="15" t="s">
        <v>51</v>
      </c>
      <c r="E41" s="15" t="s">
        <v>52</v>
      </c>
    </row>
    <row r="42" spans="1:5">
      <c r="A42" s="12" t="s">
        <v>184</v>
      </c>
      <c r="B42" s="5" t="s">
        <v>57</v>
      </c>
      <c r="C42" s="5" t="s">
        <v>235</v>
      </c>
      <c r="D42" s="5" t="s">
        <v>189</v>
      </c>
      <c r="E42" s="16" t="s">
        <v>236</v>
      </c>
    </row>
    <row r="45" spans="1:5" ht="15">
      <c r="A45" s="11" t="s">
        <v>46</v>
      </c>
      <c r="B45" s="11"/>
    </row>
    <row r="46" spans="1:5" ht="14.25">
      <c r="A46" s="13"/>
      <c r="B46" s="14" t="s">
        <v>105</v>
      </c>
    </row>
    <row r="47" spans="1:5" ht="15">
      <c r="A47" s="15" t="s">
        <v>48</v>
      </c>
      <c r="B47" s="15" t="s">
        <v>49</v>
      </c>
      <c r="C47" s="15" t="s">
        <v>50</v>
      </c>
      <c r="D47" s="15" t="s">
        <v>51</v>
      </c>
      <c r="E47" s="15" t="s">
        <v>52</v>
      </c>
    </row>
    <row r="48" spans="1:5">
      <c r="A48" s="12" t="s">
        <v>210</v>
      </c>
      <c r="B48" s="5" t="s">
        <v>106</v>
      </c>
      <c r="C48" s="5" t="s">
        <v>36</v>
      </c>
      <c r="D48" s="5" t="s">
        <v>216</v>
      </c>
      <c r="E48" s="16" t="s">
        <v>237</v>
      </c>
    </row>
    <row r="50" spans="1:5" ht="14.25">
      <c r="A50" s="13"/>
      <c r="B50" s="14" t="s">
        <v>57</v>
      </c>
    </row>
    <row r="51" spans="1:5" ht="15">
      <c r="A51" s="15" t="s">
        <v>48</v>
      </c>
      <c r="B51" s="15" t="s">
        <v>49</v>
      </c>
      <c r="C51" s="15" t="s">
        <v>50</v>
      </c>
      <c r="D51" s="15" t="s">
        <v>51</v>
      </c>
      <c r="E51" s="15" t="s">
        <v>52</v>
      </c>
    </row>
    <row r="52" spans="1:5">
      <c r="A52" s="12" t="s">
        <v>225</v>
      </c>
      <c r="B52" s="5" t="s">
        <v>57</v>
      </c>
      <c r="C52" s="5" t="s">
        <v>175</v>
      </c>
      <c r="D52" s="5" t="s">
        <v>231</v>
      </c>
      <c r="E52" s="16" t="s">
        <v>238</v>
      </c>
    </row>
    <row r="53" spans="1:5">
      <c r="A53" s="12" t="s">
        <v>217</v>
      </c>
      <c r="B53" s="5" t="s">
        <v>57</v>
      </c>
      <c r="C53" s="5" t="s">
        <v>36</v>
      </c>
      <c r="D53" s="5" t="s">
        <v>104</v>
      </c>
      <c r="E53" s="16" t="s">
        <v>239</v>
      </c>
    </row>
    <row r="54" spans="1:5">
      <c r="A54" s="12" t="s">
        <v>203</v>
      </c>
      <c r="B54" s="5" t="s">
        <v>57</v>
      </c>
      <c r="C54" s="5" t="s">
        <v>25</v>
      </c>
      <c r="D54" s="5" t="s">
        <v>59</v>
      </c>
      <c r="E54" s="16" t="s">
        <v>240</v>
      </c>
    </row>
    <row r="56" spans="1:5" ht="14.25">
      <c r="A56" s="13"/>
      <c r="B56" s="14" t="s">
        <v>86</v>
      </c>
    </row>
    <row r="57" spans="1:5" ht="15">
      <c r="A57" s="15" t="s">
        <v>48</v>
      </c>
      <c r="B57" s="15" t="s">
        <v>49</v>
      </c>
      <c r="C57" s="15" t="s">
        <v>50</v>
      </c>
      <c r="D57" s="15" t="s">
        <v>51</v>
      </c>
      <c r="E57" s="15" t="s">
        <v>52</v>
      </c>
    </row>
    <row r="58" spans="1:5">
      <c r="A58" s="12" t="s">
        <v>75</v>
      </c>
      <c r="B58" s="5" t="s">
        <v>87</v>
      </c>
      <c r="C58" s="5" t="s">
        <v>25</v>
      </c>
      <c r="D58" s="5" t="s">
        <v>79</v>
      </c>
      <c r="E58" s="16" t="s">
        <v>88</v>
      </c>
    </row>
    <row r="59" spans="1:5">
      <c r="A59" s="12" t="s">
        <v>221</v>
      </c>
      <c r="B59" s="5" t="s">
        <v>167</v>
      </c>
      <c r="C59" s="5" t="s">
        <v>36</v>
      </c>
      <c r="D59" s="5" t="s">
        <v>59</v>
      </c>
      <c r="E59" s="16" t="s">
        <v>241</v>
      </c>
    </row>
    <row r="63" spans="1:5" ht="18">
      <c r="A63" s="10" t="s">
        <v>61</v>
      </c>
      <c r="B63" s="10"/>
    </row>
    <row r="64" spans="1:5" ht="15">
      <c r="A64" s="15" t="s">
        <v>62</v>
      </c>
      <c r="B64" s="15" t="s">
        <v>63</v>
      </c>
      <c r="C64" s="15" t="s">
        <v>64</v>
      </c>
    </row>
    <row r="65" spans="1:3">
      <c r="A65" s="5" t="s">
        <v>18</v>
      </c>
      <c r="B65" s="5" t="s">
        <v>242</v>
      </c>
      <c r="C65" s="5" t="s">
        <v>243</v>
      </c>
    </row>
    <row r="66" spans="1:3">
      <c r="A66" s="5" t="s">
        <v>164</v>
      </c>
      <c r="B66" s="5" t="s">
        <v>109</v>
      </c>
      <c r="C66" s="5" t="s">
        <v>244</v>
      </c>
    </row>
    <row r="67" spans="1:3">
      <c r="A67" s="5" t="s">
        <v>141</v>
      </c>
      <c r="B67" s="5" t="s">
        <v>109</v>
      </c>
      <c r="C67" s="5" t="s">
        <v>245</v>
      </c>
    </row>
    <row r="68" spans="1:3">
      <c r="A68" s="5" t="s">
        <v>95</v>
      </c>
      <c r="B68" s="5" t="s">
        <v>109</v>
      </c>
      <c r="C68" s="5" t="s">
        <v>246</v>
      </c>
    </row>
    <row r="69" spans="1:3">
      <c r="A69" s="5" t="s">
        <v>207</v>
      </c>
      <c r="B69" s="5" t="s">
        <v>109</v>
      </c>
      <c r="C69" s="5" t="s">
        <v>247</v>
      </c>
    </row>
  </sheetData>
  <mergeCells count="17">
    <mergeCell ref="A1:M2"/>
    <mergeCell ref="A3:A4"/>
    <mergeCell ref="B3:B4"/>
    <mergeCell ref="C3:C4"/>
    <mergeCell ref="D3:D4"/>
    <mergeCell ref="E3:E4"/>
    <mergeCell ref="F3:F4"/>
    <mergeCell ref="G3:J3"/>
    <mergeCell ref="A14:L14"/>
    <mergeCell ref="A17:L17"/>
    <mergeCell ref="A22:L22"/>
    <mergeCell ref="K3:K4"/>
    <mergeCell ref="L3:L4"/>
    <mergeCell ref="M3:M4"/>
    <mergeCell ref="A5:L5"/>
    <mergeCell ref="A8:L8"/>
    <mergeCell ref="A11:L11"/>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M70"/>
  <sheetViews>
    <sheetView workbookViewId="0">
      <selection sqref="A1:M2"/>
    </sheetView>
  </sheetViews>
  <sheetFormatPr defaultRowHeight="12.75"/>
  <cols>
    <col min="1" max="1" width="31.85546875" style="5" bestFit="1" customWidth="1"/>
    <col min="2" max="2" width="28.5703125" style="5" bestFit="1" customWidth="1"/>
    <col min="3" max="3" width="81.85546875" style="5" bestFit="1" customWidth="1"/>
    <col min="4" max="4" width="9.28515625" style="5" bestFit="1" customWidth="1"/>
    <col min="5" max="5" width="22.7109375" style="5" bestFit="1" customWidth="1"/>
    <col min="6" max="6" width="30.28515625" style="5" bestFit="1" customWidth="1"/>
    <col min="7" max="10" width="5.570312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868</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111</v>
      </c>
      <c r="B5" s="45"/>
      <c r="C5" s="45"/>
      <c r="D5" s="45"/>
      <c r="E5" s="45"/>
      <c r="F5" s="45"/>
      <c r="G5" s="45"/>
      <c r="H5" s="45"/>
      <c r="I5" s="45"/>
      <c r="J5" s="45"/>
      <c r="K5" s="45"/>
      <c r="L5" s="45"/>
    </row>
    <row r="6" spans="1:13">
      <c r="A6" s="6" t="s">
        <v>113</v>
      </c>
      <c r="B6" s="6" t="s">
        <v>114</v>
      </c>
      <c r="C6" s="6" t="s">
        <v>115</v>
      </c>
      <c r="D6" s="6" t="str">
        <f>"0,8788"</f>
        <v>0,8788</v>
      </c>
      <c r="E6" s="6" t="s">
        <v>18</v>
      </c>
      <c r="F6" s="6" t="s">
        <v>116</v>
      </c>
      <c r="G6" s="8" t="s">
        <v>117</v>
      </c>
      <c r="H6" s="7" t="s">
        <v>117</v>
      </c>
      <c r="I6" s="7" t="s">
        <v>118</v>
      </c>
      <c r="J6" s="8" t="s">
        <v>72</v>
      </c>
      <c r="K6" s="6" t="str">
        <f>"112,5"</f>
        <v>112,5</v>
      </c>
      <c r="L6" s="7" t="str">
        <f>"103,6105"</f>
        <v>103,6105</v>
      </c>
      <c r="M6" s="6" t="s">
        <v>27</v>
      </c>
    </row>
    <row r="8" spans="1:13" ht="15">
      <c r="A8" s="46" t="s">
        <v>119</v>
      </c>
      <c r="B8" s="46"/>
      <c r="C8" s="46"/>
      <c r="D8" s="46"/>
      <c r="E8" s="46"/>
      <c r="F8" s="46"/>
      <c r="G8" s="46"/>
      <c r="H8" s="46"/>
      <c r="I8" s="46"/>
      <c r="J8" s="46"/>
      <c r="K8" s="46"/>
      <c r="L8" s="46"/>
    </row>
    <row r="9" spans="1:13">
      <c r="A9" s="6" t="s">
        <v>121</v>
      </c>
      <c r="B9" s="6" t="s">
        <v>122</v>
      </c>
      <c r="C9" s="6" t="s">
        <v>123</v>
      </c>
      <c r="D9" s="6" t="str">
        <f>"0,7822"</f>
        <v>0,7822</v>
      </c>
      <c r="E9" s="6" t="s">
        <v>18</v>
      </c>
      <c r="F9" s="6" t="s">
        <v>124</v>
      </c>
      <c r="G9" s="7" t="s">
        <v>125</v>
      </c>
      <c r="H9" s="8"/>
      <c r="I9" s="8"/>
      <c r="J9" s="8"/>
      <c r="K9" s="6" t="str">
        <f>"95,0"</f>
        <v>95,0</v>
      </c>
      <c r="L9" s="7" t="str">
        <f>"77,8758"</f>
        <v>77,8758</v>
      </c>
      <c r="M9" s="6" t="s">
        <v>27</v>
      </c>
    </row>
    <row r="11" spans="1:13" ht="15">
      <c r="A11" s="46" t="s">
        <v>74</v>
      </c>
      <c r="B11" s="46"/>
      <c r="C11" s="46"/>
      <c r="D11" s="46"/>
      <c r="E11" s="46"/>
      <c r="F11" s="46"/>
      <c r="G11" s="46"/>
      <c r="H11" s="46"/>
      <c r="I11" s="46"/>
      <c r="J11" s="46"/>
      <c r="K11" s="46"/>
      <c r="L11" s="46"/>
    </row>
    <row r="12" spans="1:13">
      <c r="A12" s="17" t="s">
        <v>127</v>
      </c>
      <c r="B12" s="17" t="s">
        <v>128</v>
      </c>
      <c r="C12" s="17" t="s">
        <v>129</v>
      </c>
      <c r="D12" s="17" t="str">
        <f>"0,6093"</f>
        <v>0,6093</v>
      </c>
      <c r="E12" s="17" t="s">
        <v>18</v>
      </c>
      <c r="F12" s="17" t="s">
        <v>19</v>
      </c>
      <c r="G12" s="19" t="s">
        <v>36</v>
      </c>
      <c r="H12" s="19" t="s">
        <v>117</v>
      </c>
      <c r="I12" s="19" t="s">
        <v>72</v>
      </c>
      <c r="J12" s="18"/>
      <c r="K12" s="17" t="str">
        <f>"115,0"</f>
        <v>115,0</v>
      </c>
      <c r="L12" s="19" t="str">
        <f>"72,8723"</f>
        <v>72,8723</v>
      </c>
      <c r="M12" s="17" t="s">
        <v>27</v>
      </c>
    </row>
    <row r="13" spans="1:13">
      <c r="A13" s="20" t="s">
        <v>131</v>
      </c>
      <c r="B13" s="20" t="s">
        <v>132</v>
      </c>
      <c r="C13" s="20" t="s">
        <v>133</v>
      </c>
      <c r="D13" s="20" t="str">
        <f>"0,6074"</f>
        <v>0,6074</v>
      </c>
      <c r="E13" s="20" t="s">
        <v>18</v>
      </c>
      <c r="F13" s="20" t="s">
        <v>116</v>
      </c>
      <c r="G13" s="22" t="s">
        <v>134</v>
      </c>
      <c r="H13" s="21" t="s">
        <v>135</v>
      </c>
      <c r="I13" s="21"/>
      <c r="J13" s="21"/>
      <c r="K13" s="20" t="str">
        <f>"167,5"</f>
        <v>167,5</v>
      </c>
      <c r="L13" s="22" t="str">
        <f>"101,7395"</f>
        <v>101,7395</v>
      </c>
      <c r="M13" s="20" t="s">
        <v>27</v>
      </c>
    </row>
    <row r="15" spans="1:13" ht="15">
      <c r="A15" s="46" t="s">
        <v>136</v>
      </c>
      <c r="B15" s="46"/>
      <c r="C15" s="46"/>
      <c r="D15" s="46"/>
      <c r="E15" s="46"/>
      <c r="F15" s="46"/>
      <c r="G15" s="46"/>
      <c r="H15" s="46"/>
      <c r="I15" s="46"/>
      <c r="J15" s="46"/>
      <c r="K15" s="46"/>
      <c r="L15" s="46"/>
    </row>
    <row r="16" spans="1:13">
      <c r="A16" s="6" t="s">
        <v>138</v>
      </c>
      <c r="B16" s="6" t="s">
        <v>139</v>
      </c>
      <c r="C16" s="6" t="s">
        <v>140</v>
      </c>
      <c r="D16" s="6" t="str">
        <f>"0,5616"</f>
        <v>0,5616</v>
      </c>
      <c r="E16" s="6" t="s">
        <v>141</v>
      </c>
      <c r="F16" s="6" t="s">
        <v>19</v>
      </c>
      <c r="G16" s="8" t="s">
        <v>39</v>
      </c>
      <c r="H16" s="7" t="s">
        <v>39</v>
      </c>
      <c r="I16" s="8" t="s">
        <v>142</v>
      </c>
      <c r="J16" s="8"/>
      <c r="K16" s="6" t="str">
        <f>"185,0"</f>
        <v>185,0</v>
      </c>
      <c r="L16" s="7" t="str">
        <f>"105,7661"</f>
        <v>105,7661</v>
      </c>
      <c r="M16" s="6" t="s">
        <v>27</v>
      </c>
    </row>
    <row r="18" spans="1:13" ht="15">
      <c r="A18" s="46" t="s">
        <v>143</v>
      </c>
      <c r="B18" s="46"/>
      <c r="C18" s="46"/>
      <c r="D18" s="46"/>
      <c r="E18" s="46"/>
      <c r="F18" s="46"/>
      <c r="G18" s="46"/>
      <c r="H18" s="46"/>
      <c r="I18" s="46"/>
      <c r="J18" s="46"/>
      <c r="K18" s="46"/>
      <c r="L18" s="46"/>
    </row>
    <row r="19" spans="1:13">
      <c r="A19" s="17" t="s">
        <v>145</v>
      </c>
      <c r="B19" s="17" t="s">
        <v>146</v>
      </c>
      <c r="C19" s="17" t="s">
        <v>147</v>
      </c>
      <c r="D19" s="17" t="str">
        <f>"0,5411"</f>
        <v>0,5411</v>
      </c>
      <c r="E19" s="17" t="s">
        <v>141</v>
      </c>
      <c r="F19" s="17" t="s">
        <v>19</v>
      </c>
      <c r="G19" s="19" t="s">
        <v>148</v>
      </c>
      <c r="H19" s="18" t="s">
        <v>104</v>
      </c>
      <c r="I19" s="18" t="s">
        <v>104</v>
      </c>
      <c r="J19" s="18"/>
      <c r="K19" s="17" t="str">
        <f>"220,0"</f>
        <v>220,0</v>
      </c>
      <c r="L19" s="19" t="str">
        <f>"120,2324"</f>
        <v>120,2324</v>
      </c>
      <c r="M19" s="17" t="s">
        <v>27</v>
      </c>
    </row>
    <row r="20" spans="1:13">
      <c r="A20" s="20" t="s">
        <v>150</v>
      </c>
      <c r="B20" s="20" t="s">
        <v>151</v>
      </c>
      <c r="C20" s="20" t="s">
        <v>152</v>
      </c>
      <c r="D20" s="20" t="str">
        <f>"0,5437"</f>
        <v>0,5437</v>
      </c>
      <c r="E20" s="20" t="s">
        <v>18</v>
      </c>
      <c r="F20" s="20" t="s">
        <v>153</v>
      </c>
      <c r="G20" s="22" t="s">
        <v>35</v>
      </c>
      <c r="H20" s="22" t="s">
        <v>154</v>
      </c>
      <c r="I20" s="21" t="s">
        <v>39</v>
      </c>
      <c r="J20" s="21"/>
      <c r="K20" s="20" t="str">
        <f>"177,5"</f>
        <v>177,5</v>
      </c>
      <c r="L20" s="22" t="str">
        <f>"96,5067"</f>
        <v>96,5067</v>
      </c>
      <c r="M20" s="20" t="s">
        <v>27</v>
      </c>
    </row>
    <row r="22" spans="1:13" ht="15">
      <c r="A22" s="46" t="s">
        <v>155</v>
      </c>
      <c r="B22" s="46"/>
      <c r="C22" s="46"/>
      <c r="D22" s="46"/>
      <c r="E22" s="46"/>
      <c r="F22" s="46"/>
      <c r="G22" s="46"/>
      <c r="H22" s="46"/>
      <c r="I22" s="46"/>
      <c r="J22" s="46"/>
      <c r="K22" s="46"/>
      <c r="L22" s="46"/>
    </row>
    <row r="23" spans="1:13">
      <c r="A23" s="6" t="s">
        <v>156</v>
      </c>
      <c r="B23" s="6" t="s">
        <v>157</v>
      </c>
      <c r="C23" s="6" t="s">
        <v>158</v>
      </c>
      <c r="D23" s="6" t="str">
        <f>"0,5325"</f>
        <v>0,5325</v>
      </c>
      <c r="E23" s="6" t="s">
        <v>18</v>
      </c>
      <c r="F23" s="6" t="s">
        <v>19</v>
      </c>
      <c r="G23" s="8" t="s">
        <v>34</v>
      </c>
      <c r="H23" s="8"/>
      <c r="I23" s="8"/>
      <c r="J23" s="8"/>
      <c r="K23" s="6" t="str">
        <f>"0,0"</f>
        <v>0,0</v>
      </c>
      <c r="L23" s="7" t="str">
        <f>"0,0000"</f>
        <v>0,0000</v>
      </c>
      <c r="M23" s="6" t="s">
        <v>27</v>
      </c>
    </row>
    <row r="25" spans="1:13" ht="15">
      <c r="A25" s="46" t="s">
        <v>159</v>
      </c>
      <c r="B25" s="46"/>
      <c r="C25" s="46"/>
      <c r="D25" s="46"/>
      <c r="E25" s="46"/>
      <c r="F25" s="46"/>
      <c r="G25" s="46"/>
      <c r="H25" s="46"/>
      <c r="I25" s="46"/>
      <c r="J25" s="46"/>
      <c r="K25" s="46"/>
      <c r="L25" s="46"/>
    </row>
    <row r="26" spans="1:13">
      <c r="A26" s="6" t="s">
        <v>161</v>
      </c>
      <c r="B26" s="6" t="s">
        <v>162</v>
      </c>
      <c r="C26" s="6" t="s">
        <v>163</v>
      </c>
      <c r="D26" s="6" t="str">
        <f>"0,5122"</f>
        <v>0,5122</v>
      </c>
      <c r="E26" s="6" t="s">
        <v>164</v>
      </c>
      <c r="F26" s="6" t="s">
        <v>165</v>
      </c>
      <c r="G26" s="7" t="s">
        <v>103</v>
      </c>
      <c r="H26" s="7" t="s">
        <v>79</v>
      </c>
      <c r="I26" s="7" t="s">
        <v>166</v>
      </c>
      <c r="J26" s="8"/>
      <c r="K26" s="6" t="str">
        <f>"235,0"</f>
        <v>235,0</v>
      </c>
      <c r="L26" s="7" t="str">
        <f>"126,1545"</f>
        <v>126,1545</v>
      </c>
      <c r="M26" s="6" t="s">
        <v>27</v>
      </c>
    </row>
    <row r="28" spans="1:13" ht="15">
      <c r="E28" s="9" t="s">
        <v>40</v>
      </c>
      <c r="F28" s="26" t="s">
        <v>847</v>
      </c>
    </row>
    <row r="29" spans="1:13" ht="15">
      <c r="E29" s="9" t="s">
        <v>41</v>
      </c>
      <c r="F29" s="26" t="s">
        <v>848</v>
      </c>
    </row>
    <row r="30" spans="1:13" ht="15">
      <c r="E30" s="9" t="s">
        <v>42</v>
      </c>
      <c r="F30" s="26" t="s">
        <v>849</v>
      </c>
    </row>
    <row r="31" spans="1:13" ht="15">
      <c r="E31" s="9" t="s">
        <v>43</v>
      </c>
      <c r="F31" s="26" t="s">
        <v>850</v>
      </c>
    </row>
    <row r="32" spans="1:13" ht="15">
      <c r="E32" s="9" t="s">
        <v>43</v>
      </c>
      <c r="F32" s="26" t="s">
        <v>851</v>
      </c>
    </row>
    <row r="33" spans="1:6" ht="15">
      <c r="E33" s="9" t="s">
        <v>44</v>
      </c>
      <c r="F33" s="26" t="s">
        <v>852</v>
      </c>
    </row>
    <row r="34" spans="1:6" ht="15">
      <c r="E34" s="9"/>
    </row>
    <row r="36" spans="1:6" ht="18">
      <c r="A36" s="10" t="s">
        <v>45</v>
      </c>
      <c r="B36" s="10"/>
    </row>
    <row r="37" spans="1:6" ht="15">
      <c r="A37" s="11" t="s">
        <v>81</v>
      </c>
      <c r="B37" s="11"/>
    </row>
    <row r="38" spans="1:6" ht="14.25">
      <c r="A38" s="13"/>
      <c r="B38" s="14" t="s">
        <v>86</v>
      </c>
    </row>
    <row r="39" spans="1:6" ht="15">
      <c r="A39" s="15" t="s">
        <v>48</v>
      </c>
      <c r="B39" s="15" t="s">
        <v>49</v>
      </c>
      <c r="C39" s="15" t="s">
        <v>50</v>
      </c>
      <c r="D39" s="15" t="s">
        <v>51</v>
      </c>
      <c r="E39" s="15" t="s">
        <v>52</v>
      </c>
    </row>
    <row r="40" spans="1:6">
      <c r="A40" s="12" t="s">
        <v>112</v>
      </c>
      <c r="B40" s="5" t="s">
        <v>167</v>
      </c>
      <c r="C40" s="5" t="s">
        <v>22</v>
      </c>
      <c r="D40" s="5" t="s">
        <v>118</v>
      </c>
      <c r="E40" s="16" t="s">
        <v>168</v>
      </c>
    </row>
    <row r="41" spans="1:6">
      <c r="A41" s="12" t="s">
        <v>120</v>
      </c>
      <c r="B41" s="5" t="s">
        <v>167</v>
      </c>
      <c r="C41" s="5" t="s">
        <v>169</v>
      </c>
      <c r="D41" s="5" t="s">
        <v>125</v>
      </c>
      <c r="E41" s="16" t="s">
        <v>170</v>
      </c>
    </row>
    <row r="44" spans="1:6" ht="15">
      <c r="A44" s="11" t="s">
        <v>46</v>
      </c>
      <c r="B44" s="11"/>
    </row>
    <row r="45" spans="1:6" ht="14.25">
      <c r="A45" s="13"/>
      <c r="B45" s="14" t="s">
        <v>47</v>
      </c>
    </row>
    <row r="46" spans="1:6" ht="15">
      <c r="A46" s="15" t="s">
        <v>48</v>
      </c>
      <c r="B46" s="15" t="s">
        <v>49</v>
      </c>
      <c r="C46" s="15" t="s">
        <v>50</v>
      </c>
      <c r="D46" s="15" t="s">
        <v>51</v>
      </c>
      <c r="E46" s="15" t="s">
        <v>52</v>
      </c>
    </row>
    <row r="47" spans="1:6">
      <c r="A47" s="12" t="s">
        <v>126</v>
      </c>
      <c r="B47" s="5" t="s">
        <v>53</v>
      </c>
      <c r="C47" s="5" t="s">
        <v>25</v>
      </c>
      <c r="D47" s="5" t="s">
        <v>72</v>
      </c>
      <c r="E47" s="16" t="s">
        <v>171</v>
      </c>
    </row>
    <row r="49" spans="1:5" ht="14.25">
      <c r="A49" s="13"/>
      <c r="B49" s="14" t="s">
        <v>105</v>
      </c>
    </row>
    <row r="50" spans="1:5" ht="15">
      <c r="A50" s="15" t="s">
        <v>48</v>
      </c>
      <c r="B50" s="15" t="s">
        <v>49</v>
      </c>
      <c r="C50" s="15" t="s">
        <v>50</v>
      </c>
      <c r="D50" s="15" t="s">
        <v>51</v>
      </c>
      <c r="E50" s="15" t="s">
        <v>52</v>
      </c>
    </row>
    <row r="51" spans="1:5">
      <c r="A51" s="12" t="s">
        <v>144</v>
      </c>
      <c r="B51" s="5" t="s">
        <v>106</v>
      </c>
      <c r="C51" s="5" t="s">
        <v>117</v>
      </c>
      <c r="D51" s="5" t="s">
        <v>148</v>
      </c>
      <c r="E51" s="16" t="s">
        <v>172</v>
      </c>
    </row>
    <row r="53" spans="1:5" ht="14.25">
      <c r="A53" s="13"/>
      <c r="B53" s="14" t="s">
        <v>57</v>
      </c>
    </row>
    <row r="54" spans="1:5" ht="15">
      <c r="A54" s="15" t="s">
        <v>48</v>
      </c>
      <c r="B54" s="15" t="s">
        <v>49</v>
      </c>
      <c r="C54" s="15" t="s">
        <v>50</v>
      </c>
      <c r="D54" s="15" t="s">
        <v>51</v>
      </c>
      <c r="E54" s="15" t="s">
        <v>52</v>
      </c>
    </row>
    <row r="55" spans="1:5">
      <c r="A55" s="12" t="s">
        <v>130</v>
      </c>
      <c r="B55" s="5" t="s">
        <v>57</v>
      </c>
      <c r="C55" s="5" t="s">
        <v>25</v>
      </c>
      <c r="D55" s="5" t="s">
        <v>134</v>
      </c>
      <c r="E55" s="16" t="s">
        <v>173</v>
      </c>
    </row>
    <row r="56" spans="1:5">
      <c r="A56" s="12" t="s">
        <v>149</v>
      </c>
      <c r="B56" s="5" t="s">
        <v>57</v>
      </c>
      <c r="C56" s="5" t="s">
        <v>117</v>
      </c>
      <c r="D56" s="5" t="s">
        <v>154</v>
      </c>
      <c r="E56" s="16" t="s">
        <v>174</v>
      </c>
    </row>
    <row r="58" spans="1:5" ht="14.25">
      <c r="A58" s="13"/>
      <c r="B58" s="14" t="s">
        <v>86</v>
      </c>
    </row>
    <row r="59" spans="1:5" ht="15">
      <c r="A59" s="15" t="s">
        <v>48</v>
      </c>
      <c r="B59" s="15" t="s">
        <v>49</v>
      </c>
      <c r="C59" s="15" t="s">
        <v>50</v>
      </c>
      <c r="D59" s="15" t="s">
        <v>51</v>
      </c>
      <c r="E59" s="15" t="s">
        <v>52</v>
      </c>
    </row>
    <row r="60" spans="1:5">
      <c r="A60" s="12" t="s">
        <v>160</v>
      </c>
      <c r="B60" s="5" t="s">
        <v>167</v>
      </c>
      <c r="C60" s="5" t="s">
        <v>175</v>
      </c>
      <c r="D60" s="5" t="s">
        <v>166</v>
      </c>
      <c r="E60" s="16" t="s">
        <v>176</v>
      </c>
    </row>
    <row r="61" spans="1:5">
      <c r="A61" s="12" t="s">
        <v>137</v>
      </c>
      <c r="B61" s="5" t="s">
        <v>177</v>
      </c>
      <c r="C61" s="5" t="s">
        <v>36</v>
      </c>
      <c r="D61" s="5" t="s">
        <v>39</v>
      </c>
      <c r="E61" s="16" t="s">
        <v>178</v>
      </c>
    </row>
    <row r="66" spans="1:3" ht="18">
      <c r="A66" s="10" t="s">
        <v>61</v>
      </c>
      <c r="B66" s="10"/>
    </row>
    <row r="67" spans="1:3" ht="15">
      <c r="A67" s="15" t="s">
        <v>62</v>
      </c>
      <c r="B67" s="15" t="s">
        <v>63</v>
      </c>
      <c r="C67" s="15" t="s">
        <v>64</v>
      </c>
    </row>
    <row r="68" spans="1:3">
      <c r="A68" s="5" t="s">
        <v>18</v>
      </c>
      <c r="B68" s="5" t="s">
        <v>179</v>
      </c>
      <c r="C68" s="5" t="s">
        <v>180</v>
      </c>
    </row>
    <row r="69" spans="1:3">
      <c r="A69" s="5" t="s">
        <v>141</v>
      </c>
      <c r="B69" s="5" t="s">
        <v>65</v>
      </c>
      <c r="C69" s="5" t="s">
        <v>181</v>
      </c>
    </row>
    <row r="70" spans="1:3">
      <c r="A70" s="5" t="s">
        <v>164</v>
      </c>
      <c r="B70" s="5" t="s">
        <v>109</v>
      </c>
      <c r="C70" s="5" t="s">
        <v>182</v>
      </c>
    </row>
  </sheetData>
  <mergeCells count="18">
    <mergeCell ref="M3:M4"/>
    <mergeCell ref="A5:L5"/>
    <mergeCell ref="A8:L8"/>
    <mergeCell ref="A11:L11"/>
    <mergeCell ref="A1:M2"/>
    <mergeCell ref="A3:A4"/>
    <mergeCell ref="B3:B4"/>
    <mergeCell ref="C3:C4"/>
    <mergeCell ref="D3:D4"/>
    <mergeCell ref="E3:E4"/>
    <mergeCell ref="A15:L15"/>
    <mergeCell ref="A18:L18"/>
    <mergeCell ref="A22:L22"/>
    <mergeCell ref="A25:L25"/>
    <mergeCell ref="K3:K4"/>
    <mergeCell ref="L3:L4"/>
    <mergeCell ref="F3:F4"/>
    <mergeCell ref="G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U27"/>
  <sheetViews>
    <sheetView workbookViewId="0">
      <selection sqref="A1:U2"/>
    </sheetView>
  </sheetViews>
  <sheetFormatPr defaultRowHeight="12.75"/>
  <cols>
    <col min="1" max="1" width="31.85546875" style="5" bestFit="1" customWidth="1"/>
    <col min="2" max="2" width="28.42578125" style="5" bestFit="1" customWidth="1"/>
    <col min="3" max="3" width="23.28515625" style="5" bestFit="1" customWidth="1"/>
    <col min="4" max="4" width="9.28515625" style="5" bestFit="1" customWidth="1"/>
    <col min="5" max="5" width="22.7109375" style="5" bestFit="1" customWidth="1"/>
    <col min="6" max="6" width="19" style="5" bestFit="1" customWidth="1"/>
    <col min="7" max="9" width="5.5703125" style="4" bestFit="1" customWidth="1"/>
    <col min="10" max="10" width="4.85546875" style="4" bestFit="1" customWidth="1"/>
    <col min="11" max="13" width="5.5703125" style="4" bestFit="1" customWidth="1"/>
    <col min="14" max="14" width="4.85546875" style="4" bestFit="1" customWidth="1"/>
    <col min="15" max="17" width="5.5703125" style="4" bestFit="1" customWidth="1"/>
    <col min="18" max="18" width="4.85546875" style="4" bestFit="1" customWidth="1"/>
    <col min="19" max="19" width="7.85546875" style="5" bestFit="1" customWidth="1"/>
    <col min="20" max="20" width="8.5703125" style="4" bestFit="1" customWidth="1"/>
    <col min="21" max="21" width="8.85546875" style="5" bestFit="1" customWidth="1"/>
    <col min="22" max="16384" width="9.140625" style="4"/>
  </cols>
  <sheetData>
    <row r="1" spans="1:21" s="3" customFormat="1" ht="29.1" customHeight="1">
      <c r="A1" s="39" t="s">
        <v>867</v>
      </c>
      <c r="B1" s="40"/>
      <c r="C1" s="40"/>
      <c r="D1" s="40"/>
      <c r="E1" s="40"/>
      <c r="F1" s="40"/>
      <c r="G1" s="40"/>
      <c r="H1" s="40"/>
      <c r="I1" s="40"/>
      <c r="J1" s="40"/>
      <c r="K1" s="40"/>
      <c r="L1" s="40"/>
      <c r="M1" s="40"/>
      <c r="N1" s="40"/>
      <c r="O1" s="40"/>
      <c r="P1" s="40"/>
      <c r="Q1" s="40"/>
      <c r="R1" s="40"/>
      <c r="S1" s="40"/>
      <c r="T1" s="40"/>
      <c r="U1" s="41"/>
    </row>
    <row r="2" spans="1:21" s="3" customFormat="1" ht="62.1" customHeight="1" thickBot="1">
      <c r="A2" s="42"/>
      <c r="B2" s="43"/>
      <c r="C2" s="43"/>
      <c r="D2" s="43"/>
      <c r="E2" s="43"/>
      <c r="F2" s="43"/>
      <c r="G2" s="43"/>
      <c r="H2" s="43"/>
      <c r="I2" s="43"/>
      <c r="J2" s="43"/>
      <c r="K2" s="43"/>
      <c r="L2" s="43"/>
      <c r="M2" s="43"/>
      <c r="N2" s="43"/>
      <c r="O2" s="43"/>
      <c r="P2" s="43"/>
      <c r="Q2" s="43"/>
      <c r="R2" s="43"/>
      <c r="S2" s="43"/>
      <c r="T2" s="43"/>
      <c r="U2" s="44"/>
    </row>
    <row r="3" spans="1:21" s="1" customFormat="1" ht="12.75" customHeight="1">
      <c r="A3" s="32" t="s">
        <v>0</v>
      </c>
      <c r="B3" s="34" t="s">
        <v>9</v>
      </c>
      <c r="C3" s="34" t="s">
        <v>11</v>
      </c>
      <c r="D3" s="36" t="s">
        <v>12</v>
      </c>
      <c r="E3" s="36" t="s">
        <v>7</v>
      </c>
      <c r="F3" s="36" t="s">
        <v>10</v>
      </c>
      <c r="G3" s="36" t="s">
        <v>1</v>
      </c>
      <c r="H3" s="36"/>
      <c r="I3" s="36"/>
      <c r="J3" s="36"/>
      <c r="K3" s="36" t="s">
        <v>2</v>
      </c>
      <c r="L3" s="36"/>
      <c r="M3" s="36"/>
      <c r="N3" s="36"/>
      <c r="O3" s="36" t="s">
        <v>3</v>
      </c>
      <c r="P3" s="36"/>
      <c r="Q3" s="36"/>
      <c r="R3" s="36"/>
      <c r="S3" s="36" t="s">
        <v>4</v>
      </c>
      <c r="T3" s="36" t="s">
        <v>6</v>
      </c>
      <c r="U3" s="37" t="s">
        <v>5</v>
      </c>
    </row>
    <row r="4" spans="1:21" s="1" customFormat="1" ht="21" customHeight="1" thickBot="1">
      <c r="A4" s="33"/>
      <c r="B4" s="35"/>
      <c r="C4" s="35"/>
      <c r="D4" s="35"/>
      <c r="E4" s="35"/>
      <c r="F4" s="35"/>
      <c r="G4" s="2">
        <v>1</v>
      </c>
      <c r="H4" s="2">
        <v>2</v>
      </c>
      <c r="I4" s="2">
        <v>3</v>
      </c>
      <c r="J4" s="2" t="s">
        <v>8</v>
      </c>
      <c r="K4" s="2">
        <v>1</v>
      </c>
      <c r="L4" s="2">
        <v>2</v>
      </c>
      <c r="M4" s="2">
        <v>3</v>
      </c>
      <c r="N4" s="2" t="s">
        <v>8</v>
      </c>
      <c r="O4" s="2">
        <v>1</v>
      </c>
      <c r="P4" s="2">
        <v>2</v>
      </c>
      <c r="Q4" s="2">
        <v>3</v>
      </c>
      <c r="R4" s="2" t="s">
        <v>8</v>
      </c>
      <c r="S4" s="35"/>
      <c r="T4" s="35"/>
      <c r="U4" s="38"/>
    </row>
    <row r="5" spans="1:21" ht="15">
      <c r="A5" s="45" t="s">
        <v>13</v>
      </c>
      <c r="B5" s="45"/>
      <c r="C5" s="45"/>
      <c r="D5" s="45"/>
      <c r="E5" s="45"/>
      <c r="F5" s="45"/>
      <c r="G5" s="45"/>
      <c r="H5" s="45"/>
      <c r="I5" s="45"/>
      <c r="J5" s="45"/>
      <c r="K5" s="45"/>
      <c r="L5" s="45"/>
      <c r="M5" s="45"/>
      <c r="N5" s="45"/>
      <c r="O5" s="45"/>
      <c r="P5" s="45"/>
      <c r="Q5" s="45"/>
      <c r="R5" s="45"/>
      <c r="S5" s="45"/>
      <c r="T5" s="45"/>
    </row>
    <row r="6" spans="1:21">
      <c r="A6" s="6" t="s">
        <v>92</v>
      </c>
      <c r="B6" s="6" t="s">
        <v>93</v>
      </c>
      <c r="C6" s="6" t="s">
        <v>94</v>
      </c>
      <c r="D6" s="6" t="str">
        <f>"0,6786"</f>
        <v>0,6786</v>
      </c>
      <c r="E6" s="6" t="s">
        <v>95</v>
      </c>
      <c r="F6" s="6" t="s">
        <v>96</v>
      </c>
      <c r="G6" s="7" t="s">
        <v>97</v>
      </c>
      <c r="H6" s="7" t="s">
        <v>98</v>
      </c>
      <c r="I6" s="7" t="s">
        <v>99</v>
      </c>
      <c r="J6" s="8"/>
      <c r="K6" s="7" t="s">
        <v>100</v>
      </c>
      <c r="L6" s="7" t="s">
        <v>101</v>
      </c>
      <c r="M6" s="7" t="s">
        <v>102</v>
      </c>
      <c r="N6" s="8"/>
      <c r="O6" s="7" t="s">
        <v>59</v>
      </c>
      <c r="P6" s="7" t="s">
        <v>103</v>
      </c>
      <c r="Q6" s="8" t="s">
        <v>104</v>
      </c>
      <c r="R6" s="8"/>
      <c r="S6" s="6" t="str">
        <f>"520,0"</f>
        <v>520,0</v>
      </c>
      <c r="T6" s="7" t="str">
        <f>"359,9029"</f>
        <v>359,9029</v>
      </c>
      <c r="U6" s="6" t="s">
        <v>27</v>
      </c>
    </row>
    <row r="8" spans="1:21" ht="15">
      <c r="E8" s="9" t="s">
        <v>40</v>
      </c>
      <c r="F8" s="26" t="s">
        <v>847</v>
      </c>
    </row>
    <row r="9" spans="1:21" ht="15">
      <c r="E9" s="9" t="s">
        <v>41</v>
      </c>
      <c r="F9" s="26" t="s">
        <v>848</v>
      </c>
    </row>
    <row r="10" spans="1:21" ht="15">
      <c r="E10" s="9" t="s">
        <v>42</v>
      </c>
      <c r="F10" s="26" t="s">
        <v>849</v>
      </c>
    </row>
    <row r="11" spans="1:21" ht="15">
      <c r="E11" s="9" t="s">
        <v>43</v>
      </c>
      <c r="F11" s="26" t="s">
        <v>850</v>
      </c>
    </row>
    <row r="12" spans="1:21" ht="15">
      <c r="E12" s="9" t="s">
        <v>43</v>
      </c>
      <c r="F12" s="26" t="s">
        <v>851</v>
      </c>
    </row>
    <row r="13" spans="1:21" ht="15">
      <c r="E13" s="9" t="s">
        <v>44</v>
      </c>
      <c r="F13" s="26" t="s">
        <v>852</v>
      </c>
    </row>
    <row r="14" spans="1:21" ht="15">
      <c r="E14" s="9"/>
    </row>
    <row r="16" spans="1:21" ht="18">
      <c r="A16" s="10" t="s">
        <v>45</v>
      </c>
      <c r="B16" s="10"/>
    </row>
    <row r="17" spans="1:5" ht="15">
      <c r="A17" s="11" t="s">
        <v>46</v>
      </c>
      <c r="B17" s="11"/>
    </row>
    <row r="18" spans="1:5" ht="14.25">
      <c r="A18" s="13"/>
      <c r="B18" s="14" t="s">
        <v>105</v>
      </c>
    </row>
    <row r="19" spans="1:5" ht="15">
      <c r="A19" s="15" t="s">
        <v>48</v>
      </c>
      <c r="B19" s="15" t="s">
        <v>49</v>
      </c>
      <c r="C19" s="15" t="s">
        <v>50</v>
      </c>
      <c r="D19" s="15" t="s">
        <v>51</v>
      </c>
      <c r="E19" s="15" t="s">
        <v>52</v>
      </c>
    </row>
    <row r="20" spans="1:5">
      <c r="A20" s="12" t="s">
        <v>91</v>
      </c>
      <c r="B20" s="5" t="s">
        <v>106</v>
      </c>
      <c r="C20" s="5" t="s">
        <v>58</v>
      </c>
      <c r="D20" s="5" t="s">
        <v>107</v>
      </c>
      <c r="E20" s="16" t="s">
        <v>108</v>
      </c>
    </row>
    <row r="25" spans="1:5" ht="18">
      <c r="A25" s="10" t="s">
        <v>61</v>
      </c>
      <c r="B25" s="10"/>
    </row>
    <row r="26" spans="1:5" ht="15">
      <c r="A26" s="15" t="s">
        <v>62</v>
      </c>
      <c r="B26" s="15" t="s">
        <v>63</v>
      </c>
      <c r="C26" s="15" t="s">
        <v>64</v>
      </c>
    </row>
    <row r="27" spans="1:5">
      <c r="A27" s="5" t="s">
        <v>95</v>
      </c>
      <c r="B27" s="5" t="s">
        <v>109</v>
      </c>
      <c r="C27" s="5" t="s">
        <v>110</v>
      </c>
    </row>
  </sheetData>
  <mergeCells count="14">
    <mergeCell ref="K3:N3"/>
    <mergeCell ref="O3:R3"/>
    <mergeCell ref="S3:S4"/>
    <mergeCell ref="T3:T4"/>
    <mergeCell ref="U3:U4"/>
    <mergeCell ref="A5:T5"/>
    <mergeCell ref="A1:U2"/>
    <mergeCell ref="A3:A4"/>
    <mergeCell ref="B3:B4"/>
    <mergeCell ref="C3:C4"/>
    <mergeCell ref="D3:D4"/>
    <mergeCell ref="E3:E4"/>
    <mergeCell ref="F3:F4"/>
    <mergeCell ref="G3:J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M36"/>
  <sheetViews>
    <sheetView topLeftCell="A22" workbookViewId="0">
      <selection activeCell="B33" sqref="B33"/>
    </sheetView>
  </sheetViews>
  <sheetFormatPr defaultRowHeight="12.75"/>
  <cols>
    <col min="1" max="1" width="31.85546875" style="5" bestFit="1" customWidth="1"/>
    <col min="2" max="2" width="29" style="5" bestFit="1" customWidth="1"/>
    <col min="3" max="3" width="39.85546875" style="5" bestFit="1" customWidth="1"/>
    <col min="4" max="4" width="9.28515625" style="5" bestFit="1" customWidth="1"/>
    <col min="5" max="5" width="22.7109375" style="5" bestFit="1" customWidth="1"/>
    <col min="6" max="6" width="21.8554687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865</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3</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67</v>
      </c>
      <c r="B5" s="45"/>
      <c r="C5" s="45"/>
      <c r="D5" s="45"/>
      <c r="E5" s="45"/>
      <c r="F5" s="45"/>
      <c r="G5" s="45"/>
      <c r="H5" s="45"/>
      <c r="I5" s="45"/>
      <c r="J5" s="45"/>
      <c r="K5" s="45"/>
      <c r="L5" s="45"/>
    </row>
    <row r="6" spans="1:13">
      <c r="A6" s="6" t="s">
        <v>69</v>
      </c>
      <c r="B6" s="6" t="s">
        <v>70</v>
      </c>
      <c r="C6" s="6" t="s">
        <v>71</v>
      </c>
      <c r="D6" s="6" t="str">
        <f>"0,9693"</f>
        <v>0,9693</v>
      </c>
      <c r="E6" s="6" t="s">
        <v>18</v>
      </c>
      <c r="F6" s="6" t="s">
        <v>33</v>
      </c>
      <c r="G6" s="7" t="s">
        <v>37</v>
      </c>
      <c r="H6" s="7" t="s">
        <v>72</v>
      </c>
      <c r="I6" s="7" t="s">
        <v>73</v>
      </c>
      <c r="J6" s="8"/>
      <c r="K6" s="6" t="str">
        <f>"120,0"</f>
        <v>120,0</v>
      </c>
      <c r="L6" s="7" t="str">
        <f>"137,2600"</f>
        <v>137,2600</v>
      </c>
      <c r="M6" s="6" t="s">
        <v>27</v>
      </c>
    </row>
    <row r="8" spans="1:13" ht="15">
      <c r="A8" s="46" t="s">
        <v>74</v>
      </c>
      <c r="B8" s="46"/>
      <c r="C8" s="46"/>
      <c r="D8" s="46"/>
      <c r="E8" s="46"/>
      <c r="F8" s="46"/>
      <c r="G8" s="46"/>
      <c r="H8" s="46"/>
      <c r="I8" s="46"/>
      <c r="J8" s="46"/>
      <c r="K8" s="46"/>
      <c r="L8" s="46"/>
    </row>
    <row r="9" spans="1:13">
      <c r="A9" s="6" t="s">
        <v>76</v>
      </c>
      <c r="B9" s="6" t="s">
        <v>77</v>
      </c>
      <c r="C9" s="6" t="s">
        <v>78</v>
      </c>
      <c r="D9" s="6" t="str">
        <f>"0,5879"</f>
        <v>0,5879</v>
      </c>
      <c r="E9" s="6" t="s">
        <v>18</v>
      </c>
      <c r="F9" s="6" t="s">
        <v>33</v>
      </c>
      <c r="G9" s="7" t="s">
        <v>79</v>
      </c>
      <c r="H9" s="8" t="s">
        <v>80</v>
      </c>
      <c r="I9" s="8" t="s">
        <v>80</v>
      </c>
      <c r="J9" s="8"/>
      <c r="K9" s="6" t="str">
        <f>"225,0"</f>
        <v>225,0</v>
      </c>
      <c r="L9" s="7" t="str">
        <f>"253,9728"</f>
        <v>253,9728</v>
      </c>
      <c r="M9" s="6" t="s">
        <v>27</v>
      </c>
    </row>
    <row r="11" spans="1:13" ht="15">
      <c r="E11" s="9" t="s">
        <v>40</v>
      </c>
      <c r="F11" s="26" t="s">
        <v>847</v>
      </c>
    </row>
    <row r="12" spans="1:13" ht="15">
      <c r="E12" s="9" t="s">
        <v>41</v>
      </c>
      <c r="F12" s="26" t="s">
        <v>848</v>
      </c>
    </row>
    <row r="13" spans="1:13" ht="15">
      <c r="E13" s="9" t="s">
        <v>42</v>
      </c>
      <c r="F13" s="26" t="s">
        <v>849</v>
      </c>
    </row>
    <row r="14" spans="1:13" ht="15">
      <c r="E14" s="9" t="s">
        <v>43</v>
      </c>
      <c r="F14" s="26" t="s">
        <v>850</v>
      </c>
    </row>
    <row r="15" spans="1:13" ht="15">
      <c r="E15" s="9" t="s">
        <v>43</v>
      </c>
      <c r="F15" s="26" t="s">
        <v>851</v>
      </c>
    </row>
    <row r="16" spans="1:13" ht="15">
      <c r="E16" s="9" t="s">
        <v>44</v>
      </c>
      <c r="F16" s="26" t="s">
        <v>852</v>
      </c>
    </row>
    <row r="17" spans="1:5" ht="15">
      <c r="E17" s="9"/>
    </row>
    <row r="19" spans="1:5" ht="18">
      <c r="A19" s="10" t="s">
        <v>45</v>
      </c>
      <c r="B19" s="10"/>
    </row>
    <row r="20" spans="1:5" ht="15">
      <c r="A20" s="11" t="s">
        <v>81</v>
      </c>
      <c r="B20" s="11"/>
    </row>
    <row r="21" spans="1:5" ht="14.25">
      <c r="A21" s="13"/>
      <c r="B21" s="14" t="s">
        <v>82</v>
      </c>
    </row>
    <row r="22" spans="1:5" ht="15">
      <c r="A22" s="15" t="s">
        <v>48</v>
      </c>
      <c r="B22" s="15" t="s">
        <v>49</v>
      </c>
      <c r="C22" s="15" t="s">
        <v>50</v>
      </c>
      <c r="D22" s="15" t="s">
        <v>51</v>
      </c>
      <c r="E22" s="15" t="s">
        <v>52</v>
      </c>
    </row>
    <row r="23" spans="1:5">
      <c r="A23" s="12" t="s">
        <v>68</v>
      </c>
      <c r="B23" s="5" t="s">
        <v>83</v>
      </c>
      <c r="C23" s="5" t="s">
        <v>84</v>
      </c>
      <c r="D23" s="5" t="s">
        <v>73</v>
      </c>
      <c r="E23" s="16" t="s">
        <v>85</v>
      </c>
    </row>
    <row r="26" spans="1:5" ht="15">
      <c r="A26" s="11" t="s">
        <v>46</v>
      </c>
      <c r="B26" s="11"/>
    </row>
    <row r="27" spans="1:5" ht="14.25">
      <c r="A27" s="13"/>
      <c r="B27" s="14" t="s">
        <v>86</v>
      </c>
    </row>
    <row r="28" spans="1:5" ht="15">
      <c r="A28" s="15" t="s">
        <v>48</v>
      </c>
      <c r="B28" s="15" t="s">
        <v>49</v>
      </c>
      <c r="C28" s="15" t="s">
        <v>50</v>
      </c>
      <c r="D28" s="15" t="s">
        <v>51</v>
      </c>
      <c r="E28" s="15" t="s">
        <v>52</v>
      </c>
    </row>
    <row r="29" spans="1:5">
      <c r="A29" s="12" t="s">
        <v>75</v>
      </c>
      <c r="B29" s="5" t="s">
        <v>87</v>
      </c>
      <c r="C29" s="5" t="s">
        <v>25</v>
      </c>
      <c r="D29" s="5" t="s">
        <v>79</v>
      </c>
      <c r="E29" s="16" t="s">
        <v>88</v>
      </c>
    </row>
    <row r="34" spans="1:3" ht="18">
      <c r="A34" s="10" t="s">
        <v>61</v>
      </c>
      <c r="B34" s="10"/>
    </row>
    <row r="35" spans="1:3" ht="15">
      <c r="A35" s="15" t="s">
        <v>62</v>
      </c>
      <c r="B35" s="15" t="s">
        <v>63</v>
      </c>
      <c r="C35" s="15" t="s">
        <v>64</v>
      </c>
    </row>
    <row r="36" spans="1:3">
      <c r="A36" s="5" t="s">
        <v>18</v>
      </c>
      <c r="B36" s="5" t="s">
        <v>65</v>
      </c>
      <c r="C36" s="5" t="s">
        <v>89</v>
      </c>
    </row>
  </sheetData>
  <mergeCells count="13">
    <mergeCell ref="K3:K4"/>
    <mergeCell ref="L3:L4"/>
    <mergeCell ref="M3:M4"/>
    <mergeCell ref="A5:L5"/>
    <mergeCell ref="A8:L8"/>
    <mergeCell ref="A1:M2"/>
    <mergeCell ref="A3:A4"/>
    <mergeCell ref="B3:B4"/>
    <mergeCell ref="C3:C4"/>
    <mergeCell ref="D3:D4"/>
    <mergeCell ref="E3:E4"/>
    <mergeCell ref="F3:F4"/>
    <mergeCell ref="G3:J3"/>
  </mergeCells>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Лист5">
    <pageSetUpPr fitToPage="1"/>
  </sheetPr>
  <dimension ref="A1:U34"/>
  <sheetViews>
    <sheetView zoomScale="85" zoomScaleNormal="85" workbookViewId="0">
      <selection activeCell="F19" sqref="F19"/>
    </sheetView>
  </sheetViews>
  <sheetFormatPr defaultRowHeight="12.75"/>
  <cols>
    <col min="1" max="1" width="31.85546875" style="5" bestFit="1" customWidth="1"/>
    <col min="2" max="2" width="27.7109375" style="5" bestFit="1" customWidth="1"/>
    <col min="3" max="3" width="31.425781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3" width="5.5703125" style="4" bestFit="1" customWidth="1"/>
    <col min="14" max="14" width="4.85546875" style="4" bestFit="1" customWidth="1"/>
    <col min="15" max="17" width="5.5703125" style="4" bestFit="1" customWidth="1"/>
    <col min="18" max="18" width="4.85546875" style="4" bestFit="1" customWidth="1"/>
    <col min="19" max="19" width="7.85546875" style="5" bestFit="1" customWidth="1"/>
    <col min="20" max="20" width="8.5703125" style="4" bestFit="1" customWidth="1"/>
    <col min="21" max="21" width="8.85546875" style="5" bestFit="1" customWidth="1"/>
    <col min="22" max="16384" width="9.140625" style="4"/>
  </cols>
  <sheetData>
    <row r="1" spans="1:21" s="3" customFormat="1" ht="29.1" customHeight="1">
      <c r="A1" s="39" t="s">
        <v>866</v>
      </c>
      <c r="B1" s="40"/>
      <c r="C1" s="40"/>
      <c r="D1" s="40"/>
      <c r="E1" s="40"/>
      <c r="F1" s="40"/>
      <c r="G1" s="40"/>
      <c r="H1" s="40"/>
      <c r="I1" s="40"/>
      <c r="J1" s="40"/>
      <c r="K1" s="40"/>
      <c r="L1" s="40"/>
      <c r="M1" s="40"/>
      <c r="N1" s="40"/>
      <c r="O1" s="40"/>
      <c r="P1" s="40"/>
      <c r="Q1" s="40"/>
      <c r="R1" s="40"/>
      <c r="S1" s="40"/>
      <c r="T1" s="40"/>
      <c r="U1" s="41"/>
    </row>
    <row r="2" spans="1:21" s="3" customFormat="1" ht="62.1" customHeight="1" thickBot="1">
      <c r="A2" s="42"/>
      <c r="B2" s="43"/>
      <c r="C2" s="43"/>
      <c r="D2" s="43"/>
      <c r="E2" s="43"/>
      <c r="F2" s="43"/>
      <c r="G2" s="43"/>
      <c r="H2" s="43"/>
      <c r="I2" s="43"/>
      <c r="J2" s="43"/>
      <c r="K2" s="43"/>
      <c r="L2" s="43"/>
      <c r="M2" s="43"/>
      <c r="N2" s="43"/>
      <c r="O2" s="43"/>
      <c r="P2" s="43"/>
      <c r="Q2" s="43"/>
      <c r="R2" s="43"/>
      <c r="S2" s="43"/>
      <c r="T2" s="43"/>
      <c r="U2" s="44"/>
    </row>
    <row r="3" spans="1:21" s="1" customFormat="1" ht="12.75" customHeight="1">
      <c r="A3" s="32" t="s">
        <v>0</v>
      </c>
      <c r="B3" s="34" t="s">
        <v>9</v>
      </c>
      <c r="C3" s="34" t="s">
        <v>11</v>
      </c>
      <c r="D3" s="36" t="s">
        <v>12</v>
      </c>
      <c r="E3" s="36" t="s">
        <v>7</v>
      </c>
      <c r="F3" s="36" t="s">
        <v>10</v>
      </c>
      <c r="G3" s="36" t="s">
        <v>1</v>
      </c>
      <c r="H3" s="36"/>
      <c r="I3" s="36"/>
      <c r="J3" s="36"/>
      <c r="K3" s="36" t="s">
        <v>2</v>
      </c>
      <c r="L3" s="36"/>
      <c r="M3" s="36"/>
      <c r="N3" s="36"/>
      <c r="O3" s="36" t="s">
        <v>3</v>
      </c>
      <c r="P3" s="36"/>
      <c r="Q3" s="36"/>
      <c r="R3" s="36"/>
      <c r="S3" s="36" t="s">
        <v>4</v>
      </c>
      <c r="T3" s="36" t="s">
        <v>6</v>
      </c>
      <c r="U3" s="37" t="s">
        <v>5</v>
      </c>
    </row>
    <row r="4" spans="1:21" s="1" customFormat="1" ht="21" customHeight="1" thickBot="1">
      <c r="A4" s="33"/>
      <c r="B4" s="35"/>
      <c r="C4" s="35"/>
      <c r="D4" s="35"/>
      <c r="E4" s="35"/>
      <c r="F4" s="35"/>
      <c r="G4" s="2">
        <v>1</v>
      </c>
      <c r="H4" s="2">
        <v>2</v>
      </c>
      <c r="I4" s="2">
        <v>3</v>
      </c>
      <c r="J4" s="2" t="s">
        <v>8</v>
      </c>
      <c r="K4" s="2">
        <v>1</v>
      </c>
      <c r="L4" s="2">
        <v>2</v>
      </c>
      <c r="M4" s="2">
        <v>3</v>
      </c>
      <c r="N4" s="2" t="s">
        <v>8</v>
      </c>
      <c r="O4" s="2">
        <v>1</v>
      </c>
      <c r="P4" s="2">
        <v>2</v>
      </c>
      <c r="Q4" s="2">
        <v>3</v>
      </c>
      <c r="R4" s="2" t="s">
        <v>8</v>
      </c>
      <c r="S4" s="35"/>
      <c r="T4" s="35"/>
      <c r="U4" s="38"/>
    </row>
    <row r="5" spans="1:21" ht="15">
      <c r="A5" s="45" t="s">
        <v>13</v>
      </c>
      <c r="B5" s="45"/>
      <c r="C5" s="45"/>
      <c r="D5" s="45"/>
      <c r="E5" s="45"/>
      <c r="F5" s="45"/>
      <c r="G5" s="45"/>
      <c r="H5" s="45"/>
      <c r="I5" s="45"/>
      <c r="J5" s="45"/>
      <c r="K5" s="45"/>
      <c r="L5" s="45"/>
      <c r="M5" s="45"/>
      <c r="N5" s="45"/>
      <c r="O5" s="45"/>
      <c r="P5" s="45"/>
      <c r="Q5" s="45"/>
      <c r="R5" s="45"/>
      <c r="S5" s="45"/>
      <c r="T5" s="45"/>
    </row>
    <row r="6" spans="1:21">
      <c r="A6" s="6" t="s">
        <v>15</v>
      </c>
      <c r="B6" s="6" t="s">
        <v>16</v>
      </c>
      <c r="C6" s="6" t="s">
        <v>17</v>
      </c>
      <c r="D6" s="6" t="str">
        <f>"0,6947"</f>
        <v>0,6947</v>
      </c>
      <c r="E6" s="6" t="s">
        <v>18</v>
      </c>
      <c r="F6" s="6" t="s">
        <v>19</v>
      </c>
      <c r="G6" s="7" t="s">
        <v>20</v>
      </c>
      <c r="H6" s="7" t="s">
        <v>21</v>
      </c>
      <c r="I6" s="8" t="s">
        <v>22</v>
      </c>
      <c r="J6" s="8"/>
      <c r="K6" s="8" t="s">
        <v>20</v>
      </c>
      <c r="L6" s="7" t="s">
        <v>20</v>
      </c>
      <c r="M6" s="7" t="s">
        <v>23</v>
      </c>
      <c r="N6" s="8"/>
      <c r="O6" s="7" t="s">
        <v>24</v>
      </c>
      <c r="P6" s="7" t="s">
        <v>25</v>
      </c>
      <c r="Q6" s="7" t="s">
        <v>26</v>
      </c>
      <c r="R6" s="8"/>
      <c r="S6" s="6" t="str">
        <f>"200,0"</f>
        <v>200,0</v>
      </c>
      <c r="T6" s="7" t="str">
        <f>"138,9382"</f>
        <v>138,9382</v>
      </c>
      <c r="U6" s="6" t="s">
        <v>27</v>
      </c>
    </row>
    <row r="8" spans="1:21" ht="15">
      <c r="A8" s="46" t="s">
        <v>28</v>
      </c>
      <c r="B8" s="46"/>
      <c r="C8" s="46"/>
      <c r="D8" s="46"/>
      <c r="E8" s="46"/>
      <c r="F8" s="46"/>
      <c r="G8" s="46"/>
      <c r="H8" s="46"/>
      <c r="I8" s="46"/>
      <c r="J8" s="46"/>
      <c r="K8" s="46"/>
      <c r="L8" s="46"/>
      <c r="M8" s="46"/>
      <c r="N8" s="46"/>
      <c r="O8" s="46"/>
      <c r="P8" s="46"/>
      <c r="Q8" s="46"/>
      <c r="R8" s="46"/>
      <c r="S8" s="46"/>
      <c r="T8" s="46"/>
    </row>
    <row r="9" spans="1:21">
      <c r="A9" s="6" t="s">
        <v>30</v>
      </c>
      <c r="B9" s="6" t="s">
        <v>31</v>
      </c>
      <c r="C9" s="6" t="s">
        <v>32</v>
      </c>
      <c r="D9" s="6" t="str">
        <f>"0,6276"</f>
        <v>0,6276</v>
      </c>
      <c r="E9" s="6" t="s">
        <v>18</v>
      </c>
      <c r="F9" s="6" t="s">
        <v>33</v>
      </c>
      <c r="G9" s="7" t="s">
        <v>34</v>
      </c>
      <c r="H9" s="8" t="s">
        <v>35</v>
      </c>
      <c r="I9" s="8" t="s">
        <v>35</v>
      </c>
      <c r="J9" s="8"/>
      <c r="K9" s="7" t="s">
        <v>36</v>
      </c>
      <c r="L9" s="7" t="s">
        <v>37</v>
      </c>
      <c r="M9" s="7" t="s">
        <v>38</v>
      </c>
      <c r="N9" s="8"/>
      <c r="O9" s="7" t="s">
        <v>35</v>
      </c>
      <c r="P9" s="7" t="s">
        <v>39</v>
      </c>
      <c r="Q9" s="8"/>
      <c r="R9" s="8"/>
      <c r="S9" s="6" t="str">
        <f>"452,5"</f>
        <v>452,5</v>
      </c>
      <c r="T9" s="7" t="str">
        <f>"295,3486"</f>
        <v>295,3486</v>
      </c>
      <c r="U9" s="6" t="s">
        <v>27</v>
      </c>
    </row>
    <row r="11" spans="1:21" ht="15">
      <c r="E11" s="9" t="s">
        <v>40</v>
      </c>
      <c r="F11" s="26" t="s">
        <v>847</v>
      </c>
    </row>
    <row r="12" spans="1:21" ht="15">
      <c r="E12" s="9" t="s">
        <v>41</v>
      </c>
      <c r="F12" s="26" t="s">
        <v>848</v>
      </c>
    </row>
    <row r="13" spans="1:21" ht="15">
      <c r="E13" s="9" t="s">
        <v>42</v>
      </c>
      <c r="F13" s="26" t="s">
        <v>849</v>
      </c>
    </row>
    <row r="14" spans="1:21" ht="15">
      <c r="E14" s="9" t="s">
        <v>43</v>
      </c>
      <c r="F14" s="26" t="s">
        <v>850</v>
      </c>
    </row>
    <row r="15" spans="1:21" ht="15">
      <c r="E15" s="9" t="s">
        <v>43</v>
      </c>
      <c r="F15" s="26" t="s">
        <v>851</v>
      </c>
    </row>
    <row r="16" spans="1:21" ht="15">
      <c r="E16" s="9" t="s">
        <v>44</v>
      </c>
      <c r="F16" s="26" t="s">
        <v>852</v>
      </c>
    </row>
    <row r="17" spans="1:5" ht="15">
      <c r="E17" s="9"/>
    </row>
    <row r="19" spans="1:5" ht="18">
      <c r="A19" s="10" t="s">
        <v>45</v>
      </c>
      <c r="B19" s="10"/>
    </row>
    <row r="20" spans="1:5" ht="15">
      <c r="A20" s="11" t="s">
        <v>46</v>
      </c>
      <c r="B20" s="11"/>
    </row>
    <row r="21" spans="1:5" ht="14.25">
      <c r="A21" s="13"/>
      <c r="B21" s="14" t="s">
        <v>47</v>
      </c>
    </row>
    <row r="22" spans="1:5" ht="15">
      <c r="A22" s="15" t="s">
        <v>48</v>
      </c>
      <c r="B22" s="15" t="s">
        <v>49</v>
      </c>
      <c r="C22" s="15" t="s">
        <v>50</v>
      </c>
      <c r="D22" s="15" t="s">
        <v>51</v>
      </c>
      <c r="E22" s="15" t="s">
        <v>52</v>
      </c>
    </row>
    <row r="23" spans="1:5">
      <c r="A23" s="12" t="s">
        <v>29</v>
      </c>
      <c r="B23" s="5" t="s">
        <v>53</v>
      </c>
      <c r="C23" s="5" t="s">
        <v>54</v>
      </c>
      <c r="D23" s="5" t="s">
        <v>55</v>
      </c>
      <c r="E23" s="16" t="s">
        <v>56</v>
      </c>
    </row>
    <row r="25" spans="1:5" ht="14.25">
      <c r="A25" s="13"/>
      <c r="B25" s="14" t="s">
        <v>57</v>
      </c>
    </row>
    <row r="26" spans="1:5" ht="15">
      <c r="A26" s="15" t="s">
        <v>48</v>
      </c>
      <c r="B26" s="15" t="s">
        <v>49</v>
      </c>
      <c r="C26" s="15" t="s">
        <v>50</v>
      </c>
      <c r="D26" s="15" t="s">
        <v>51</v>
      </c>
      <c r="E26" s="15" t="s">
        <v>52</v>
      </c>
    </row>
    <row r="27" spans="1:5">
      <c r="A27" s="12" t="s">
        <v>14</v>
      </c>
      <c r="B27" s="5" t="s">
        <v>57</v>
      </c>
      <c r="C27" s="5" t="s">
        <v>58</v>
      </c>
      <c r="D27" s="5" t="s">
        <v>59</v>
      </c>
      <c r="E27" s="16" t="s">
        <v>60</v>
      </c>
    </row>
    <row r="32" spans="1:5" ht="18">
      <c r="A32" s="10" t="s">
        <v>61</v>
      </c>
      <c r="B32" s="10"/>
    </row>
    <row r="33" spans="1:3" ht="15">
      <c r="A33" s="15" t="s">
        <v>62</v>
      </c>
      <c r="B33" s="15" t="s">
        <v>63</v>
      </c>
      <c r="C33" s="15" t="s">
        <v>64</v>
      </c>
    </row>
    <row r="34" spans="1:3">
      <c r="A34" s="5" t="s">
        <v>18</v>
      </c>
      <c r="B34" s="5" t="s">
        <v>65</v>
      </c>
      <c r="C34" s="5" t="s">
        <v>66</v>
      </c>
    </row>
  </sheetData>
  <mergeCells count="15">
    <mergeCell ref="F3:F4"/>
    <mergeCell ref="E3:E4"/>
    <mergeCell ref="D3:D4"/>
    <mergeCell ref="S3:S4"/>
    <mergeCell ref="T3:T4"/>
    <mergeCell ref="A5:T5"/>
    <mergeCell ref="A8:T8"/>
    <mergeCell ref="A1:U2"/>
    <mergeCell ref="G3:J3"/>
    <mergeCell ref="K3:N3"/>
    <mergeCell ref="O3:R3"/>
    <mergeCell ref="A3:A4"/>
    <mergeCell ref="B3:B4"/>
    <mergeCell ref="C3:C4"/>
    <mergeCell ref="U3:U4"/>
  </mergeCells>
  <phoneticPr fontId="0" type="noConversion"/>
  <pageMargins left="0.19685039370078741" right="0.47244094488188981" top="0.43307086614173229" bottom="0.47244094488188981" header="0.51181102362204722" footer="0.51181102362204722"/>
  <pageSetup scale="58" fitToHeight="100" orientation="landscape" horizontalDpi="300" verticalDpi="300" r:id="rId1"/>
  <headerFooter alignWithMargins="0">
    <oddFooter>&amp;L&amp;G&amp;R&amp;D&amp;T&amp;P</oddFooter>
  </headerFooter>
  <legacyDrawingHF r:id="rId2"/>
</worksheet>
</file>

<file path=xl/worksheets/sheet18.xml><?xml version="1.0" encoding="utf-8"?>
<worksheet xmlns="http://schemas.openxmlformats.org/spreadsheetml/2006/main" xmlns:r="http://schemas.openxmlformats.org/officeDocument/2006/relationships">
  <dimension ref="A1:K35"/>
  <sheetViews>
    <sheetView workbookViewId="0">
      <selection activeCell="C15" sqref="C15"/>
    </sheetView>
  </sheetViews>
  <sheetFormatPr defaultRowHeight="12.75"/>
  <cols>
    <col min="1" max="1" width="31.85546875" style="5" bestFit="1" customWidth="1"/>
    <col min="2" max="2" width="29" style="5" bestFit="1" customWidth="1"/>
    <col min="3" max="3" width="19.5703125" style="5" bestFit="1" customWidth="1"/>
    <col min="4" max="4" width="10.7109375" style="5" bestFit="1" customWidth="1"/>
    <col min="5" max="5" width="22.7109375" style="5" bestFit="1" customWidth="1"/>
    <col min="6" max="6" width="30.28515625" style="5" bestFit="1" customWidth="1"/>
    <col min="7" max="7" width="4.5703125" style="4" bestFit="1" customWidth="1"/>
    <col min="8" max="8" width="4.5703125" style="49" bestFit="1" customWidth="1"/>
    <col min="9" max="9" width="7.85546875" style="5" bestFit="1" customWidth="1"/>
    <col min="10" max="10" width="8.5703125" style="4" bestFit="1" customWidth="1"/>
    <col min="11" max="11" width="8.85546875" style="5" bestFit="1" customWidth="1"/>
    <col min="12" max="16384" width="9.140625" style="4"/>
  </cols>
  <sheetData>
    <row r="1" spans="1:11" s="3" customFormat="1" ht="29.1" customHeight="1">
      <c r="A1" s="39" t="s">
        <v>882</v>
      </c>
      <c r="B1" s="40"/>
      <c r="C1" s="40"/>
      <c r="D1" s="40"/>
      <c r="E1" s="40"/>
      <c r="F1" s="40"/>
      <c r="G1" s="40"/>
      <c r="H1" s="40"/>
      <c r="I1" s="40"/>
      <c r="J1" s="40"/>
      <c r="K1" s="41"/>
    </row>
    <row r="2" spans="1:11" s="3" customFormat="1" ht="62.1" customHeight="1" thickBot="1">
      <c r="A2" s="42"/>
      <c r="B2" s="43"/>
      <c r="C2" s="43"/>
      <c r="D2" s="43"/>
      <c r="E2" s="43"/>
      <c r="F2" s="43"/>
      <c r="G2" s="43"/>
      <c r="H2" s="43"/>
      <c r="I2" s="43"/>
      <c r="J2" s="43"/>
      <c r="K2" s="44"/>
    </row>
    <row r="3" spans="1:11" s="1" customFormat="1" ht="12.75" customHeight="1">
      <c r="A3" s="32" t="s">
        <v>0</v>
      </c>
      <c r="B3" s="34" t="s">
        <v>9</v>
      </c>
      <c r="C3" s="34" t="s">
        <v>11</v>
      </c>
      <c r="D3" s="36" t="s">
        <v>883</v>
      </c>
      <c r="E3" s="36" t="s">
        <v>7</v>
      </c>
      <c r="F3" s="36" t="s">
        <v>10</v>
      </c>
      <c r="G3" s="36" t="s">
        <v>884</v>
      </c>
      <c r="H3" s="36"/>
      <c r="I3" s="36" t="s">
        <v>885</v>
      </c>
      <c r="J3" s="36" t="s">
        <v>6</v>
      </c>
      <c r="K3" s="37" t="s">
        <v>5</v>
      </c>
    </row>
    <row r="4" spans="1:11" s="1" customFormat="1" ht="21" customHeight="1" thickBot="1">
      <c r="A4" s="33"/>
      <c r="B4" s="35"/>
      <c r="C4" s="35"/>
      <c r="D4" s="35"/>
      <c r="E4" s="35"/>
      <c r="F4" s="35"/>
      <c r="G4" s="2" t="s">
        <v>886</v>
      </c>
      <c r="H4" s="47" t="s">
        <v>887</v>
      </c>
      <c r="I4" s="35"/>
      <c r="J4" s="35"/>
      <c r="K4" s="38"/>
    </row>
    <row r="5" spans="1:11" ht="15">
      <c r="A5" s="45" t="s">
        <v>395</v>
      </c>
      <c r="B5" s="45"/>
      <c r="C5" s="45"/>
      <c r="D5" s="45"/>
      <c r="E5" s="45"/>
      <c r="F5" s="45"/>
      <c r="G5" s="45"/>
      <c r="H5" s="45"/>
      <c r="I5" s="45"/>
      <c r="J5" s="45"/>
    </row>
    <row r="6" spans="1:11">
      <c r="A6" s="6" t="s">
        <v>397</v>
      </c>
      <c r="B6" s="6" t="s">
        <v>888</v>
      </c>
      <c r="C6" s="6" t="s">
        <v>399</v>
      </c>
      <c r="D6" s="6" t="str">
        <f>"1,0353"</f>
        <v>1,0353</v>
      </c>
      <c r="E6" s="6" t="s">
        <v>141</v>
      </c>
      <c r="F6" s="6" t="s">
        <v>19</v>
      </c>
      <c r="G6" s="7" t="s">
        <v>409</v>
      </c>
      <c r="H6" s="48" t="s">
        <v>889</v>
      </c>
      <c r="I6" s="6" t="str">
        <f>"850,0"</f>
        <v>850,0</v>
      </c>
      <c r="J6" s="7" t="str">
        <f>"880,0050"</f>
        <v>880,0050</v>
      </c>
      <c r="K6" s="6" t="s">
        <v>27</v>
      </c>
    </row>
    <row r="8" spans="1:11" ht="15">
      <c r="A8" s="46" t="s">
        <v>119</v>
      </c>
      <c r="B8" s="46"/>
      <c r="C8" s="46"/>
      <c r="D8" s="46"/>
      <c r="E8" s="46"/>
      <c r="F8" s="46"/>
      <c r="G8" s="46"/>
      <c r="H8" s="46"/>
      <c r="I8" s="46"/>
      <c r="J8" s="46"/>
    </row>
    <row r="9" spans="1:11">
      <c r="A9" s="6" t="s">
        <v>299</v>
      </c>
      <c r="B9" s="6" t="s">
        <v>300</v>
      </c>
      <c r="C9" s="6" t="s">
        <v>194</v>
      </c>
      <c r="D9" s="6" t="str">
        <f>"0,8556"</f>
        <v>0,8556</v>
      </c>
      <c r="E9" s="6" t="s">
        <v>207</v>
      </c>
      <c r="F9" s="6" t="s">
        <v>301</v>
      </c>
      <c r="G9" s="7" t="s">
        <v>890</v>
      </c>
      <c r="H9" s="48" t="s">
        <v>891</v>
      </c>
      <c r="I9" s="6" t="str">
        <f>"682,5"</f>
        <v>682,5</v>
      </c>
      <c r="J9" s="7" t="str">
        <f>"583,9470"</f>
        <v>583,9470</v>
      </c>
      <c r="K9" s="6" t="s">
        <v>27</v>
      </c>
    </row>
    <row r="11" spans="1:11" ht="15">
      <c r="E11" s="9" t="s">
        <v>40</v>
      </c>
      <c r="F11" s="26" t="s">
        <v>847</v>
      </c>
    </row>
    <row r="12" spans="1:11" ht="15">
      <c r="E12" s="9" t="s">
        <v>41</v>
      </c>
      <c r="F12" s="26" t="s">
        <v>848</v>
      </c>
    </row>
    <row r="13" spans="1:11" ht="15">
      <c r="E13" s="9" t="s">
        <v>42</v>
      </c>
      <c r="F13" s="26" t="s">
        <v>849</v>
      </c>
    </row>
    <row r="14" spans="1:11" ht="15">
      <c r="E14" s="9" t="s">
        <v>43</v>
      </c>
      <c r="F14" s="26" t="s">
        <v>850</v>
      </c>
    </row>
    <row r="15" spans="1:11" ht="15">
      <c r="E15" s="9" t="s">
        <v>43</v>
      </c>
      <c r="F15" s="26" t="s">
        <v>851</v>
      </c>
    </row>
    <row r="16" spans="1:11" ht="15">
      <c r="E16" s="9" t="s">
        <v>44</v>
      </c>
      <c r="F16" s="26" t="s">
        <v>852</v>
      </c>
    </row>
    <row r="17" spans="1:5" ht="15">
      <c r="E17" s="9"/>
    </row>
    <row r="19" spans="1:5" ht="18">
      <c r="A19" s="10" t="s">
        <v>45</v>
      </c>
      <c r="B19" s="10"/>
    </row>
    <row r="20" spans="1:5" ht="15">
      <c r="A20" s="11" t="s">
        <v>81</v>
      </c>
      <c r="B20" s="11"/>
    </row>
    <row r="21" spans="1:5" ht="14.25">
      <c r="A21" s="13"/>
      <c r="B21" s="14" t="s">
        <v>82</v>
      </c>
    </row>
    <row r="22" spans="1:5" ht="15">
      <c r="A22" s="15" t="s">
        <v>48</v>
      </c>
      <c r="B22" s="15" t="s">
        <v>49</v>
      </c>
      <c r="C22" s="15" t="s">
        <v>50</v>
      </c>
      <c r="D22" s="15" t="s">
        <v>51</v>
      </c>
      <c r="E22" s="15" t="s">
        <v>892</v>
      </c>
    </row>
    <row r="23" spans="1:5">
      <c r="A23" s="12" t="s">
        <v>396</v>
      </c>
      <c r="B23" s="5" t="s">
        <v>232</v>
      </c>
      <c r="C23" s="5" t="s">
        <v>624</v>
      </c>
      <c r="D23" s="5" t="s">
        <v>893</v>
      </c>
      <c r="E23" s="16" t="s">
        <v>894</v>
      </c>
    </row>
    <row r="25" spans="1:5" ht="14.25">
      <c r="A25" s="13"/>
      <c r="B25" s="14" t="s">
        <v>57</v>
      </c>
    </row>
    <row r="26" spans="1:5" ht="15">
      <c r="A26" s="15" t="s">
        <v>48</v>
      </c>
      <c r="B26" s="15" t="s">
        <v>49</v>
      </c>
      <c r="C26" s="15" t="s">
        <v>50</v>
      </c>
      <c r="D26" s="15" t="s">
        <v>51</v>
      </c>
      <c r="E26" s="15" t="s">
        <v>892</v>
      </c>
    </row>
    <row r="27" spans="1:5">
      <c r="A27" s="12" t="s">
        <v>298</v>
      </c>
      <c r="B27" s="5" t="s">
        <v>57</v>
      </c>
      <c r="C27" s="5" t="s">
        <v>169</v>
      </c>
      <c r="D27" s="5" t="s">
        <v>895</v>
      </c>
      <c r="E27" s="16" t="s">
        <v>896</v>
      </c>
    </row>
    <row r="32" spans="1:5" ht="18">
      <c r="A32" s="10" t="s">
        <v>61</v>
      </c>
      <c r="B32" s="10"/>
    </row>
    <row r="33" spans="1:3" ht="15">
      <c r="A33" s="15" t="s">
        <v>62</v>
      </c>
      <c r="B33" s="15" t="s">
        <v>63</v>
      </c>
      <c r="C33" s="15" t="s">
        <v>64</v>
      </c>
    </row>
    <row r="34" spans="1:3">
      <c r="A34" s="5" t="s">
        <v>141</v>
      </c>
      <c r="B34" s="5" t="s">
        <v>109</v>
      </c>
      <c r="C34" s="5" t="s">
        <v>897</v>
      </c>
    </row>
    <row r="35" spans="1:3">
      <c r="A35" s="5" t="s">
        <v>207</v>
      </c>
      <c r="B35" s="5" t="s">
        <v>109</v>
      </c>
      <c r="C35" s="5" t="s">
        <v>392</v>
      </c>
    </row>
  </sheetData>
  <mergeCells count="13">
    <mergeCell ref="K3:K4"/>
    <mergeCell ref="A5:J5"/>
    <mergeCell ref="A8:J8"/>
    <mergeCell ref="A1:K2"/>
    <mergeCell ref="A3:A4"/>
    <mergeCell ref="B3:B4"/>
    <mergeCell ref="C3:C4"/>
    <mergeCell ref="D3:D4"/>
    <mergeCell ref="E3:E4"/>
    <mergeCell ref="F3:F4"/>
    <mergeCell ref="G3:H3"/>
    <mergeCell ref="I3:I4"/>
    <mergeCell ref="J3:J4"/>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48"/>
  <sheetViews>
    <sheetView workbookViewId="0">
      <selection sqref="A1:IV65536"/>
    </sheetView>
  </sheetViews>
  <sheetFormatPr defaultRowHeight="12.75"/>
  <cols>
    <col min="1" max="1" width="31.85546875" style="5" bestFit="1" customWidth="1"/>
    <col min="2" max="2" width="28.5703125" style="5" bestFit="1" customWidth="1"/>
    <col min="3" max="3" width="33.5703125" style="5" bestFit="1" customWidth="1"/>
    <col min="4" max="4" width="10.7109375" style="5" bestFit="1" customWidth="1"/>
    <col min="5" max="5" width="22.7109375" style="5" bestFit="1" customWidth="1"/>
    <col min="6" max="6" width="30.28515625" style="5" bestFit="1" customWidth="1"/>
    <col min="7" max="7" width="4.5703125" style="4" bestFit="1" customWidth="1"/>
    <col min="8" max="8" width="4.5703125" style="49" bestFit="1" customWidth="1"/>
    <col min="9" max="9" width="7.85546875" style="5" bestFit="1" customWidth="1"/>
    <col min="10" max="10" width="9.5703125" style="4" bestFit="1" customWidth="1"/>
    <col min="11" max="11" width="8.85546875" style="5" bestFit="1" customWidth="1"/>
    <col min="12" max="16384" width="9.140625" style="4"/>
  </cols>
  <sheetData>
    <row r="1" spans="1:11" s="3" customFormat="1" ht="29.1" customHeight="1">
      <c r="A1" s="39" t="s">
        <v>898</v>
      </c>
      <c r="B1" s="40"/>
      <c r="C1" s="40"/>
      <c r="D1" s="40"/>
      <c r="E1" s="40"/>
      <c r="F1" s="40"/>
      <c r="G1" s="40"/>
      <c r="H1" s="40"/>
      <c r="I1" s="40"/>
      <c r="J1" s="40"/>
      <c r="K1" s="41"/>
    </row>
    <row r="2" spans="1:11" s="3" customFormat="1" ht="62.1" customHeight="1" thickBot="1">
      <c r="A2" s="42"/>
      <c r="B2" s="43"/>
      <c r="C2" s="43"/>
      <c r="D2" s="43"/>
      <c r="E2" s="43"/>
      <c r="F2" s="43"/>
      <c r="G2" s="43"/>
      <c r="H2" s="43"/>
      <c r="I2" s="43"/>
      <c r="J2" s="43"/>
      <c r="K2" s="44"/>
    </row>
    <row r="3" spans="1:11" s="1" customFormat="1" ht="12.75" customHeight="1">
      <c r="A3" s="32" t="s">
        <v>0</v>
      </c>
      <c r="B3" s="34" t="s">
        <v>9</v>
      </c>
      <c r="C3" s="34" t="s">
        <v>11</v>
      </c>
      <c r="D3" s="36" t="s">
        <v>883</v>
      </c>
      <c r="E3" s="36" t="s">
        <v>7</v>
      </c>
      <c r="F3" s="36" t="s">
        <v>10</v>
      </c>
      <c r="G3" s="36" t="s">
        <v>884</v>
      </c>
      <c r="H3" s="36"/>
      <c r="I3" s="36" t="s">
        <v>885</v>
      </c>
      <c r="J3" s="36" t="s">
        <v>6</v>
      </c>
      <c r="K3" s="37" t="s">
        <v>5</v>
      </c>
    </row>
    <row r="4" spans="1:11" s="1" customFormat="1" ht="21" customHeight="1" thickBot="1">
      <c r="A4" s="33"/>
      <c r="B4" s="35"/>
      <c r="C4" s="35"/>
      <c r="D4" s="35"/>
      <c r="E4" s="35"/>
      <c r="F4" s="35"/>
      <c r="G4" s="2" t="s">
        <v>886</v>
      </c>
      <c r="H4" s="47" t="s">
        <v>887</v>
      </c>
      <c r="I4" s="35"/>
      <c r="J4" s="35"/>
      <c r="K4" s="38"/>
    </row>
    <row r="5" spans="1:11" ht="15">
      <c r="A5" s="45" t="s">
        <v>28</v>
      </c>
      <c r="B5" s="45"/>
      <c r="C5" s="45"/>
      <c r="D5" s="45"/>
      <c r="E5" s="45"/>
      <c r="F5" s="45"/>
      <c r="G5" s="45"/>
      <c r="H5" s="45"/>
      <c r="I5" s="45"/>
      <c r="J5" s="45"/>
    </row>
    <row r="6" spans="1:11">
      <c r="A6" s="6" t="s">
        <v>899</v>
      </c>
      <c r="B6" s="6" t="s">
        <v>900</v>
      </c>
      <c r="C6" s="6" t="s">
        <v>901</v>
      </c>
      <c r="D6" s="6" t="str">
        <f>"0,7610"</f>
        <v>0,7610</v>
      </c>
      <c r="E6" s="6" t="s">
        <v>18</v>
      </c>
      <c r="F6" s="6" t="s">
        <v>19</v>
      </c>
      <c r="G6" s="7" t="s">
        <v>54</v>
      </c>
      <c r="H6" s="48" t="s">
        <v>902</v>
      </c>
      <c r="I6" s="6" t="str">
        <f>"1815,0"</f>
        <v>1815,0</v>
      </c>
      <c r="J6" s="7" t="str">
        <f>"1381,2150"</f>
        <v>1381,2150</v>
      </c>
      <c r="K6" s="6" t="s">
        <v>27</v>
      </c>
    </row>
    <row r="8" spans="1:11" ht="15">
      <c r="A8" s="46" t="s">
        <v>74</v>
      </c>
      <c r="B8" s="46"/>
      <c r="C8" s="46"/>
      <c r="D8" s="46"/>
      <c r="E8" s="46"/>
      <c r="F8" s="46"/>
      <c r="G8" s="46"/>
      <c r="H8" s="46"/>
      <c r="I8" s="46"/>
      <c r="J8" s="46"/>
    </row>
    <row r="9" spans="1:11">
      <c r="A9" s="17" t="s">
        <v>131</v>
      </c>
      <c r="B9" s="17" t="s">
        <v>132</v>
      </c>
      <c r="C9" s="17" t="s">
        <v>133</v>
      </c>
      <c r="D9" s="17" t="str">
        <f>"0,7566"</f>
        <v>0,7566</v>
      </c>
      <c r="E9" s="17" t="s">
        <v>18</v>
      </c>
      <c r="F9" s="17" t="s">
        <v>116</v>
      </c>
      <c r="G9" s="19" t="s">
        <v>189</v>
      </c>
      <c r="H9" s="50" t="s">
        <v>903</v>
      </c>
      <c r="I9" s="17" t="str">
        <f>"3145,0"</f>
        <v>3145,0</v>
      </c>
      <c r="J9" s="19" t="str">
        <f>"2379,5071"</f>
        <v>2379,5071</v>
      </c>
      <c r="K9" s="17" t="s">
        <v>27</v>
      </c>
    </row>
    <row r="10" spans="1:11">
      <c r="A10" s="23" t="s">
        <v>904</v>
      </c>
      <c r="B10" s="23" t="s">
        <v>905</v>
      </c>
      <c r="C10" s="23" t="s">
        <v>273</v>
      </c>
      <c r="D10" s="23" t="str">
        <f>"0,7238"</f>
        <v>0,7238</v>
      </c>
      <c r="E10" s="23" t="s">
        <v>207</v>
      </c>
      <c r="F10" s="23" t="s">
        <v>19</v>
      </c>
      <c r="G10" s="25" t="s">
        <v>25</v>
      </c>
      <c r="H10" s="51" t="s">
        <v>906</v>
      </c>
      <c r="I10" s="23" t="str">
        <f>"3240,0"</f>
        <v>3240,0</v>
      </c>
      <c r="J10" s="25" t="str">
        <f>"2345,1120"</f>
        <v>2345,1120</v>
      </c>
      <c r="K10" s="23" t="s">
        <v>27</v>
      </c>
    </row>
    <row r="11" spans="1:11">
      <c r="A11" s="20" t="s">
        <v>907</v>
      </c>
      <c r="B11" s="20" t="s">
        <v>908</v>
      </c>
      <c r="C11" s="20" t="s">
        <v>129</v>
      </c>
      <c r="D11" s="20" t="str">
        <f>"0,7602"</f>
        <v>0,7602</v>
      </c>
      <c r="E11" s="20" t="s">
        <v>486</v>
      </c>
      <c r="F11" s="20" t="s">
        <v>19</v>
      </c>
      <c r="G11" s="22" t="s">
        <v>189</v>
      </c>
      <c r="H11" s="52" t="s">
        <v>909</v>
      </c>
      <c r="I11" s="20" t="str">
        <f>"2040,0"</f>
        <v>2040,0</v>
      </c>
      <c r="J11" s="22" t="str">
        <f>"1550,8080"</f>
        <v>1550,8080</v>
      </c>
      <c r="K11" s="20" t="s">
        <v>27</v>
      </c>
    </row>
    <row r="13" spans="1:11" ht="15">
      <c r="A13" s="46" t="s">
        <v>136</v>
      </c>
      <c r="B13" s="46"/>
      <c r="C13" s="46"/>
      <c r="D13" s="46"/>
      <c r="E13" s="46"/>
      <c r="F13" s="46"/>
      <c r="G13" s="46"/>
      <c r="H13" s="46"/>
      <c r="I13" s="46"/>
      <c r="J13" s="46"/>
    </row>
    <row r="14" spans="1:11">
      <c r="A14" s="17" t="s">
        <v>138</v>
      </c>
      <c r="B14" s="17" t="s">
        <v>910</v>
      </c>
      <c r="C14" s="17" t="s">
        <v>140</v>
      </c>
      <c r="D14" s="17" t="str">
        <f>"0,6816"</f>
        <v>0,6816</v>
      </c>
      <c r="E14" s="17" t="s">
        <v>141</v>
      </c>
      <c r="F14" s="17" t="s">
        <v>19</v>
      </c>
      <c r="G14" s="19" t="s">
        <v>911</v>
      </c>
      <c r="H14" s="50" t="s">
        <v>912</v>
      </c>
      <c r="I14" s="17" t="str">
        <f>"3022,5"</f>
        <v>3022,5</v>
      </c>
      <c r="J14" s="19" t="str">
        <f>"2060,1359"</f>
        <v>2060,1359</v>
      </c>
      <c r="K14" s="17" t="s">
        <v>27</v>
      </c>
    </row>
    <row r="15" spans="1:11">
      <c r="A15" s="20" t="s">
        <v>222</v>
      </c>
      <c r="B15" s="20" t="s">
        <v>223</v>
      </c>
      <c r="C15" s="20" t="s">
        <v>224</v>
      </c>
      <c r="D15" s="20" t="str">
        <f>"0,6823"</f>
        <v>0,6823</v>
      </c>
      <c r="E15" s="20" t="s">
        <v>95</v>
      </c>
      <c r="F15" s="20" t="s">
        <v>96</v>
      </c>
      <c r="G15" s="22" t="s">
        <v>911</v>
      </c>
      <c r="H15" s="52" t="s">
        <v>909</v>
      </c>
      <c r="I15" s="20" t="str">
        <f>"2340,0"</f>
        <v>2340,0</v>
      </c>
      <c r="J15" s="22" t="str">
        <f>"1596,5819"</f>
        <v>1596,5819</v>
      </c>
      <c r="K15" s="20" t="s">
        <v>27</v>
      </c>
    </row>
    <row r="17" spans="1:6" ht="15">
      <c r="E17" s="9" t="s">
        <v>40</v>
      </c>
      <c r="F17" s="5" t="s">
        <v>847</v>
      </c>
    </row>
    <row r="18" spans="1:6" ht="15">
      <c r="E18" s="9" t="s">
        <v>41</v>
      </c>
      <c r="F18" s="5" t="s">
        <v>848</v>
      </c>
    </row>
    <row r="19" spans="1:6" ht="15">
      <c r="E19" s="9" t="s">
        <v>42</v>
      </c>
      <c r="F19" s="5" t="s">
        <v>849</v>
      </c>
    </row>
    <row r="20" spans="1:6" ht="15">
      <c r="E20" s="9" t="s">
        <v>43</v>
      </c>
      <c r="F20" s="5" t="s">
        <v>850</v>
      </c>
    </row>
    <row r="21" spans="1:6" ht="15">
      <c r="E21" s="9" t="s">
        <v>43</v>
      </c>
      <c r="F21" s="5" t="s">
        <v>851</v>
      </c>
    </row>
    <row r="22" spans="1:6" ht="15">
      <c r="E22" s="9" t="s">
        <v>44</v>
      </c>
      <c r="F22" s="5" t="s">
        <v>852</v>
      </c>
    </row>
    <row r="23" spans="1:6" ht="15">
      <c r="E23" s="9"/>
    </row>
    <row r="25" spans="1:6" ht="18">
      <c r="A25" s="10" t="s">
        <v>45</v>
      </c>
      <c r="B25" s="10"/>
    </row>
    <row r="26" spans="1:6" ht="15">
      <c r="A26" s="11" t="s">
        <v>46</v>
      </c>
      <c r="B26" s="11"/>
    </row>
    <row r="27" spans="1:6" ht="14.25">
      <c r="A27" s="13"/>
      <c r="B27" s="14" t="s">
        <v>57</v>
      </c>
    </row>
    <row r="28" spans="1:6" ht="15">
      <c r="A28" s="15" t="s">
        <v>48</v>
      </c>
      <c r="B28" s="15" t="s">
        <v>49</v>
      </c>
      <c r="C28" s="15" t="s">
        <v>50</v>
      </c>
      <c r="D28" s="15" t="s">
        <v>51</v>
      </c>
      <c r="E28" s="15" t="s">
        <v>892</v>
      </c>
    </row>
    <row r="29" spans="1:6">
      <c r="A29" s="12" t="s">
        <v>130</v>
      </c>
      <c r="B29" s="5" t="s">
        <v>57</v>
      </c>
      <c r="C29" s="5" t="s">
        <v>25</v>
      </c>
      <c r="D29" s="5" t="s">
        <v>913</v>
      </c>
      <c r="E29" s="16" t="s">
        <v>914</v>
      </c>
    </row>
    <row r="30" spans="1:6">
      <c r="A30" s="12" t="s">
        <v>915</v>
      </c>
      <c r="B30" s="5" t="s">
        <v>57</v>
      </c>
      <c r="C30" s="5" t="s">
        <v>25</v>
      </c>
      <c r="D30" s="5" t="s">
        <v>916</v>
      </c>
      <c r="E30" s="16" t="s">
        <v>917</v>
      </c>
    </row>
    <row r="31" spans="1:6">
      <c r="A31" s="12" t="s">
        <v>137</v>
      </c>
      <c r="B31" s="5" t="s">
        <v>57</v>
      </c>
      <c r="C31" s="5" t="s">
        <v>36</v>
      </c>
      <c r="D31" s="5" t="s">
        <v>918</v>
      </c>
      <c r="E31" s="16" t="s">
        <v>919</v>
      </c>
    </row>
    <row r="32" spans="1:6">
      <c r="A32" s="12" t="s">
        <v>920</v>
      </c>
      <c r="B32" s="5" t="s">
        <v>57</v>
      </c>
      <c r="C32" s="5" t="s">
        <v>25</v>
      </c>
      <c r="D32" s="5" t="s">
        <v>921</v>
      </c>
      <c r="E32" s="16" t="s">
        <v>922</v>
      </c>
    </row>
    <row r="33" spans="1:5">
      <c r="A33" s="12" t="s">
        <v>923</v>
      </c>
      <c r="B33" s="5" t="s">
        <v>57</v>
      </c>
      <c r="C33" s="5" t="s">
        <v>54</v>
      </c>
      <c r="D33" s="5" t="s">
        <v>924</v>
      </c>
      <c r="E33" s="16" t="s">
        <v>925</v>
      </c>
    </row>
    <row r="35" spans="1:5" ht="14.25">
      <c r="A35" s="13"/>
      <c r="B35" s="14" t="s">
        <v>86</v>
      </c>
    </row>
    <row r="36" spans="1:5" ht="15">
      <c r="A36" s="15" t="s">
        <v>48</v>
      </c>
      <c r="B36" s="15" t="s">
        <v>49</v>
      </c>
      <c r="C36" s="15" t="s">
        <v>50</v>
      </c>
      <c r="D36" s="15" t="s">
        <v>51</v>
      </c>
      <c r="E36" s="15" t="s">
        <v>892</v>
      </c>
    </row>
    <row r="37" spans="1:5">
      <c r="A37" s="12" t="s">
        <v>221</v>
      </c>
      <c r="B37" s="5" t="s">
        <v>167</v>
      </c>
      <c r="C37" s="5" t="s">
        <v>36</v>
      </c>
      <c r="D37" s="5" t="s">
        <v>926</v>
      </c>
      <c r="E37" s="16" t="s">
        <v>927</v>
      </c>
    </row>
    <row r="42" spans="1:5" ht="18">
      <c r="A42" s="10" t="s">
        <v>61</v>
      </c>
      <c r="B42" s="10"/>
    </row>
    <row r="43" spans="1:5" ht="15">
      <c r="A43" s="15" t="s">
        <v>62</v>
      </c>
      <c r="B43" s="15" t="s">
        <v>63</v>
      </c>
      <c r="C43" s="15" t="s">
        <v>64</v>
      </c>
    </row>
    <row r="44" spans="1:5">
      <c r="A44" s="5" t="s">
        <v>18</v>
      </c>
      <c r="B44" s="5" t="s">
        <v>65</v>
      </c>
      <c r="C44" s="5" t="s">
        <v>928</v>
      </c>
    </row>
    <row r="45" spans="1:5">
      <c r="A45" s="5" t="s">
        <v>141</v>
      </c>
      <c r="B45" s="5" t="s">
        <v>109</v>
      </c>
      <c r="C45" s="5" t="s">
        <v>929</v>
      </c>
    </row>
    <row r="46" spans="1:5">
      <c r="A46" s="5" t="s">
        <v>95</v>
      </c>
      <c r="B46" s="5" t="s">
        <v>109</v>
      </c>
      <c r="C46" s="5" t="s">
        <v>246</v>
      </c>
    </row>
    <row r="47" spans="1:5">
      <c r="A47" s="5" t="s">
        <v>207</v>
      </c>
      <c r="B47" s="5" t="s">
        <v>393</v>
      </c>
      <c r="C47" s="5" t="s">
        <v>930</v>
      </c>
    </row>
    <row r="48" spans="1:5">
      <c r="A48" s="5" t="s">
        <v>486</v>
      </c>
      <c r="B48" s="5" t="s">
        <v>931</v>
      </c>
      <c r="C48" s="5" t="s">
        <v>932</v>
      </c>
    </row>
  </sheetData>
  <mergeCells count="14">
    <mergeCell ref="K3:K4"/>
    <mergeCell ref="A5:J5"/>
    <mergeCell ref="A8:J8"/>
    <mergeCell ref="A13:J13"/>
    <mergeCell ref="A1:K2"/>
    <mergeCell ref="A3:A4"/>
    <mergeCell ref="B3:B4"/>
    <mergeCell ref="C3:C4"/>
    <mergeCell ref="D3:D4"/>
    <mergeCell ref="E3:E4"/>
    <mergeCell ref="F3:F4"/>
    <mergeCell ref="G3:H3"/>
    <mergeCell ref="I3:I4"/>
    <mergeCell ref="J3:J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35"/>
  <sheetViews>
    <sheetView workbookViewId="0">
      <selection sqref="A1:M2"/>
    </sheetView>
  </sheetViews>
  <sheetFormatPr defaultRowHeight="12.75"/>
  <cols>
    <col min="1" max="1" width="31.85546875" style="5" bestFit="1" customWidth="1"/>
    <col min="2" max="2" width="28.5703125" style="5" bestFit="1" customWidth="1"/>
    <col min="3" max="3" width="16.8554687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880</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28</v>
      </c>
      <c r="B5" s="45"/>
      <c r="C5" s="45"/>
      <c r="D5" s="45"/>
      <c r="E5" s="45"/>
      <c r="F5" s="45"/>
      <c r="G5" s="45"/>
      <c r="H5" s="45"/>
      <c r="I5" s="45"/>
      <c r="J5" s="45"/>
      <c r="K5" s="45"/>
      <c r="L5" s="45"/>
    </row>
    <row r="6" spans="1:13">
      <c r="A6" s="6" t="s">
        <v>838</v>
      </c>
      <c r="B6" s="6" t="s">
        <v>839</v>
      </c>
      <c r="C6" s="6" t="s">
        <v>840</v>
      </c>
      <c r="D6" s="6" t="str">
        <f>"0,6193"</f>
        <v>0,6193</v>
      </c>
      <c r="E6" s="6" t="s">
        <v>486</v>
      </c>
      <c r="F6" s="6" t="s">
        <v>19</v>
      </c>
      <c r="G6" s="7" t="s">
        <v>142</v>
      </c>
      <c r="H6" s="7" t="s">
        <v>612</v>
      </c>
      <c r="I6" s="7" t="s">
        <v>841</v>
      </c>
      <c r="J6" s="8"/>
      <c r="K6" s="6" t="str">
        <f>"207,5"</f>
        <v>207,5</v>
      </c>
      <c r="L6" s="7" t="str">
        <f>"128,5048"</f>
        <v>128,5048</v>
      </c>
      <c r="M6" s="6" t="s">
        <v>27</v>
      </c>
    </row>
    <row r="8" spans="1:13" ht="15">
      <c r="A8" s="46" t="s">
        <v>136</v>
      </c>
      <c r="B8" s="46"/>
      <c r="C8" s="46"/>
      <c r="D8" s="46"/>
      <c r="E8" s="46"/>
      <c r="F8" s="46"/>
      <c r="G8" s="46"/>
      <c r="H8" s="46"/>
      <c r="I8" s="46"/>
      <c r="J8" s="46"/>
      <c r="K8" s="46"/>
      <c r="L8" s="46"/>
    </row>
    <row r="9" spans="1:13">
      <c r="A9" s="6" t="s">
        <v>822</v>
      </c>
      <c r="B9" s="6" t="s">
        <v>823</v>
      </c>
      <c r="C9" s="6" t="s">
        <v>824</v>
      </c>
      <c r="D9" s="6" t="str">
        <f>"0,5540"</f>
        <v>0,5540</v>
      </c>
      <c r="E9" s="6" t="s">
        <v>141</v>
      </c>
      <c r="F9" s="6" t="s">
        <v>19</v>
      </c>
      <c r="G9" s="7" t="s">
        <v>265</v>
      </c>
      <c r="H9" s="8"/>
      <c r="I9" s="8"/>
      <c r="J9" s="8"/>
      <c r="K9" s="6" t="str">
        <f>"205,0"</f>
        <v>205,0</v>
      </c>
      <c r="L9" s="7" t="str">
        <f>"119,0214"</f>
        <v>119,0214</v>
      </c>
      <c r="M9" s="6" t="s">
        <v>27</v>
      </c>
    </row>
    <row r="11" spans="1:13" ht="15">
      <c r="E11" s="9" t="s">
        <v>40</v>
      </c>
      <c r="F11" s="26" t="s">
        <v>847</v>
      </c>
    </row>
    <row r="12" spans="1:13" ht="15">
      <c r="E12" s="9" t="s">
        <v>41</v>
      </c>
      <c r="F12" s="26" t="s">
        <v>848</v>
      </c>
    </row>
    <row r="13" spans="1:13" ht="15">
      <c r="E13" s="9" t="s">
        <v>42</v>
      </c>
      <c r="F13" s="26" t="s">
        <v>849</v>
      </c>
    </row>
    <row r="14" spans="1:13" ht="15">
      <c r="E14" s="9" t="s">
        <v>43</v>
      </c>
      <c r="F14" s="26" t="s">
        <v>850</v>
      </c>
    </row>
    <row r="15" spans="1:13" ht="15">
      <c r="E15" s="9" t="s">
        <v>43</v>
      </c>
      <c r="F15" s="26" t="s">
        <v>851</v>
      </c>
    </row>
    <row r="16" spans="1:13" ht="15">
      <c r="E16" s="9" t="s">
        <v>44</v>
      </c>
      <c r="F16" s="26" t="s">
        <v>852</v>
      </c>
    </row>
    <row r="17" spans="1:5" ht="15">
      <c r="E17" s="9"/>
    </row>
    <row r="19" spans="1:5" ht="18">
      <c r="A19" s="10" t="s">
        <v>45</v>
      </c>
      <c r="B19" s="10"/>
    </row>
    <row r="20" spans="1:5" ht="15">
      <c r="A20" s="11" t="s">
        <v>46</v>
      </c>
      <c r="B20" s="11"/>
    </row>
    <row r="21" spans="1:5" ht="14.25">
      <c r="A21" s="13"/>
      <c r="B21" s="14" t="s">
        <v>57</v>
      </c>
    </row>
    <row r="22" spans="1:5" ht="15">
      <c r="A22" s="15" t="s">
        <v>48</v>
      </c>
      <c r="B22" s="15" t="s">
        <v>49</v>
      </c>
      <c r="C22" s="15" t="s">
        <v>50</v>
      </c>
      <c r="D22" s="15" t="s">
        <v>51</v>
      </c>
      <c r="E22" s="15" t="s">
        <v>52</v>
      </c>
    </row>
    <row r="23" spans="1:5">
      <c r="A23" s="12" t="s">
        <v>837</v>
      </c>
      <c r="B23" s="5" t="s">
        <v>57</v>
      </c>
      <c r="C23" s="5" t="s">
        <v>54</v>
      </c>
      <c r="D23" s="5" t="s">
        <v>841</v>
      </c>
      <c r="E23" s="16" t="s">
        <v>842</v>
      </c>
    </row>
    <row r="25" spans="1:5" ht="14.25">
      <c r="A25" s="13"/>
      <c r="B25" s="14" t="s">
        <v>86</v>
      </c>
    </row>
    <row r="26" spans="1:5" ht="15">
      <c r="A26" s="15" t="s">
        <v>48</v>
      </c>
      <c r="B26" s="15" t="s">
        <v>49</v>
      </c>
      <c r="C26" s="15" t="s">
        <v>50</v>
      </c>
      <c r="D26" s="15" t="s">
        <v>51</v>
      </c>
      <c r="E26" s="15" t="s">
        <v>52</v>
      </c>
    </row>
    <row r="27" spans="1:5">
      <c r="A27" s="12" t="s">
        <v>821</v>
      </c>
      <c r="B27" s="5" t="s">
        <v>167</v>
      </c>
      <c r="C27" s="5" t="s">
        <v>36</v>
      </c>
      <c r="D27" s="5" t="s">
        <v>265</v>
      </c>
      <c r="E27" s="16" t="s">
        <v>843</v>
      </c>
    </row>
    <row r="32" spans="1:5" ht="18">
      <c r="A32" s="10" t="s">
        <v>61</v>
      </c>
      <c r="B32" s="10"/>
    </row>
    <row r="33" spans="1:3" ht="15">
      <c r="A33" s="15" t="s">
        <v>62</v>
      </c>
      <c r="B33" s="15" t="s">
        <v>63</v>
      </c>
      <c r="C33" s="15" t="s">
        <v>64</v>
      </c>
    </row>
    <row r="34" spans="1:3">
      <c r="A34" s="5" t="s">
        <v>141</v>
      </c>
      <c r="B34" s="5" t="s">
        <v>109</v>
      </c>
      <c r="C34" s="5" t="s">
        <v>844</v>
      </c>
    </row>
    <row r="35" spans="1:3">
      <c r="A35" s="5" t="s">
        <v>486</v>
      </c>
      <c r="B35" s="5" t="s">
        <v>109</v>
      </c>
      <c r="C35" s="5" t="s">
        <v>845</v>
      </c>
    </row>
  </sheetData>
  <mergeCells count="13">
    <mergeCell ref="K3:K4"/>
    <mergeCell ref="L3:L4"/>
    <mergeCell ref="M3:M4"/>
    <mergeCell ref="A5:L5"/>
    <mergeCell ref="A8:L8"/>
    <mergeCell ref="A1:M2"/>
    <mergeCell ref="A3:A4"/>
    <mergeCell ref="B3:B4"/>
    <mergeCell ref="C3:C4"/>
    <mergeCell ref="D3:D4"/>
    <mergeCell ref="E3:E4"/>
    <mergeCell ref="F3:F4"/>
    <mergeCell ref="G3:J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Q39"/>
  <sheetViews>
    <sheetView workbookViewId="0">
      <selection sqref="A1:IV65536"/>
    </sheetView>
  </sheetViews>
  <sheetFormatPr defaultRowHeight="12.75"/>
  <cols>
    <col min="1" max="1" width="34.5703125" style="16" bestFit="1" customWidth="1"/>
    <col min="2" max="2" width="28.5703125" style="56" bestFit="1" customWidth="1"/>
    <col min="3" max="3" width="30.42578125" style="56" bestFit="1" customWidth="1"/>
    <col min="4" max="4" width="9.28515625" style="56" bestFit="1" customWidth="1"/>
    <col min="5" max="5" width="22.7109375" style="26" bestFit="1" customWidth="1"/>
    <col min="6" max="6" width="30.28515625" style="26" bestFit="1" customWidth="1"/>
    <col min="7" max="14" width="4.5703125" style="56" bestFit="1" customWidth="1"/>
    <col min="15" max="15" width="7.85546875" style="16" bestFit="1" customWidth="1"/>
    <col min="16" max="16" width="8.5703125" style="56" bestFit="1" customWidth="1"/>
    <col min="17" max="17" width="8.85546875" style="26" bestFit="1" customWidth="1"/>
    <col min="18" max="16384" width="9.140625" style="56"/>
  </cols>
  <sheetData>
    <row r="1" spans="1:17" ht="29.1" customHeight="1">
      <c r="A1" s="53" t="s">
        <v>933</v>
      </c>
      <c r="B1" s="54"/>
      <c r="C1" s="54"/>
      <c r="D1" s="54"/>
      <c r="E1" s="54"/>
      <c r="F1" s="54"/>
      <c r="G1" s="54"/>
      <c r="H1" s="54"/>
      <c r="I1" s="54"/>
      <c r="J1" s="54"/>
      <c r="K1" s="54"/>
      <c r="L1" s="54"/>
      <c r="M1" s="54"/>
      <c r="N1" s="54"/>
      <c r="O1" s="54"/>
      <c r="P1" s="54"/>
      <c r="Q1" s="55"/>
    </row>
    <row r="2" spans="1:17" ht="62.1" customHeight="1" thickBot="1">
      <c r="A2" s="57"/>
      <c r="B2" s="58"/>
      <c r="C2" s="58"/>
      <c r="D2" s="58"/>
      <c r="E2" s="58"/>
      <c r="F2" s="58"/>
      <c r="G2" s="58"/>
      <c r="H2" s="58"/>
      <c r="I2" s="58"/>
      <c r="J2" s="58"/>
      <c r="K2" s="58"/>
      <c r="L2" s="58"/>
      <c r="M2" s="58"/>
      <c r="N2" s="58"/>
      <c r="O2" s="58"/>
      <c r="P2" s="58"/>
      <c r="Q2" s="59"/>
    </row>
    <row r="3" spans="1:17" s="1" customFormat="1" ht="12.75" customHeight="1">
      <c r="A3" s="32" t="s">
        <v>0</v>
      </c>
      <c r="B3" s="34" t="s">
        <v>9</v>
      </c>
      <c r="C3" s="34" t="s">
        <v>934</v>
      </c>
      <c r="D3" s="36" t="s">
        <v>12</v>
      </c>
      <c r="E3" s="36" t="s">
        <v>7</v>
      </c>
      <c r="F3" s="36" t="s">
        <v>10</v>
      </c>
      <c r="G3" s="36" t="s">
        <v>935</v>
      </c>
      <c r="H3" s="36"/>
      <c r="I3" s="36"/>
      <c r="J3" s="36"/>
      <c r="K3" s="36" t="s">
        <v>936</v>
      </c>
      <c r="L3" s="36"/>
      <c r="M3" s="36"/>
      <c r="N3" s="36"/>
      <c r="O3" s="36" t="s">
        <v>4</v>
      </c>
      <c r="P3" s="36" t="s">
        <v>6</v>
      </c>
      <c r="Q3" s="37" t="s">
        <v>5</v>
      </c>
    </row>
    <row r="4" spans="1:17" s="1" customFormat="1" ht="21" customHeight="1" thickBot="1">
      <c r="A4" s="33"/>
      <c r="B4" s="35"/>
      <c r="C4" s="35"/>
      <c r="D4" s="35"/>
      <c r="E4" s="35"/>
      <c r="F4" s="35"/>
      <c r="G4" s="60">
        <v>1</v>
      </c>
      <c r="H4" s="60">
        <v>2</v>
      </c>
      <c r="I4" s="60">
        <v>3</v>
      </c>
      <c r="J4" s="60" t="s">
        <v>8</v>
      </c>
      <c r="K4" s="60">
        <v>1</v>
      </c>
      <c r="L4" s="60">
        <v>2</v>
      </c>
      <c r="M4" s="60">
        <v>3</v>
      </c>
      <c r="N4" s="60" t="s">
        <v>8</v>
      </c>
      <c r="O4" s="35"/>
      <c r="P4" s="35"/>
      <c r="Q4" s="38"/>
    </row>
    <row r="5" spans="1:17" ht="15">
      <c r="A5" s="45" t="s">
        <v>119</v>
      </c>
      <c r="B5" s="45"/>
      <c r="C5" s="45"/>
      <c r="D5" s="45"/>
      <c r="E5" s="45"/>
      <c r="F5" s="45"/>
      <c r="G5" s="45"/>
      <c r="H5" s="45"/>
      <c r="I5" s="45"/>
      <c r="J5" s="45"/>
      <c r="K5" s="45"/>
      <c r="L5" s="45"/>
      <c r="M5" s="45"/>
      <c r="N5" s="45"/>
      <c r="O5" s="45"/>
      <c r="P5" s="45"/>
    </row>
    <row r="6" spans="1:17">
      <c r="A6" s="61" t="s">
        <v>937</v>
      </c>
      <c r="B6" s="62" t="s">
        <v>938</v>
      </c>
      <c r="C6" s="62" t="s">
        <v>194</v>
      </c>
      <c r="D6" s="62" t="str">
        <f>"0,7258"</f>
        <v>0,7258</v>
      </c>
      <c r="E6" s="27" t="s">
        <v>486</v>
      </c>
      <c r="F6" s="27" t="s">
        <v>19</v>
      </c>
      <c r="G6" s="8" t="s">
        <v>22</v>
      </c>
      <c r="H6" s="62" t="s">
        <v>22</v>
      </c>
      <c r="I6" s="62" t="s">
        <v>303</v>
      </c>
      <c r="J6" s="8"/>
      <c r="K6" s="62" t="s">
        <v>21</v>
      </c>
      <c r="L6" s="62" t="s">
        <v>292</v>
      </c>
      <c r="M6" s="8" t="s">
        <v>287</v>
      </c>
      <c r="N6" s="8"/>
      <c r="O6" s="61" t="str">
        <f>"120,0"</f>
        <v>120,0</v>
      </c>
      <c r="P6" s="62" t="str">
        <f>"104,8636"</f>
        <v>104,8636</v>
      </c>
      <c r="Q6" s="27" t="s">
        <v>27</v>
      </c>
    </row>
    <row r="7" spans="1:17">
      <c r="A7" s="61" t="s">
        <v>937</v>
      </c>
      <c r="B7" s="62" t="s">
        <v>939</v>
      </c>
      <c r="C7" s="62" t="s">
        <v>194</v>
      </c>
      <c r="D7" s="62" t="str">
        <f>"0,7258"</f>
        <v>0,7258</v>
      </c>
      <c r="E7" s="27" t="s">
        <v>486</v>
      </c>
      <c r="F7" s="27" t="s">
        <v>19</v>
      </c>
      <c r="G7" s="8" t="s">
        <v>22</v>
      </c>
      <c r="H7" s="62" t="s">
        <v>22</v>
      </c>
      <c r="I7" s="62" t="s">
        <v>303</v>
      </c>
      <c r="J7" s="8"/>
      <c r="K7" s="62" t="s">
        <v>21</v>
      </c>
      <c r="L7" s="62" t="s">
        <v>292</v>
      </c>
      <c r="M7" s="8" t="s">
        <v>287</v>
      </c>
      <c r="N7" s="8"/>
      <c r="O7" s="61" t="str">
        <f>"120,0"</f>
        <v>120,0</v>
      </c>
      <c r="P7" s="62" t="str">
        <f>"104,8636"</f>
        <v>104,8636</v>
      </c>
      <c r="Q7" s="27" t="s">
        <v>27</v>
      </c>
    </row>
    <row r="8" spans="1:17" ht="15">
      <c r="A8" s="46" t="s">
        <v>13</v>
      </c>
      <c r="B8" s="46"/>
      <c r="C8" s="46"/>
      <c r="D8" s="46"/>
      <c r="E8" s="46"/>
      <c r="F8" s="46"/>
      <c r="G8" s="46"/>
      <c r="H8" s="46"/>
      <c r="I8" s="46"/>
      <c r="J8" s="46"/>
      <c r="K8" s="46"/>
      <c r="L8" s="46"/>
      <c r="M8" s="46"/>
      <c r="N8" s="46"/>
      <c r="O8" s="46"/>
      <c r="P8" s="46"/>
    </row>
    <row r="9" spans="1:17">
      <c r="A9" s="61" t="s">
        <v>940</v>
      </c>
      <c r="B9" s="62" t="s">
        <v>941</v>
      </c>
      <c r="C9" s="62" t="s">
        <v>942</v>
      </c>
      <c r="D9" s="62" t="str">
        <f>"0,6708"</f>
        <v>0,6708</v>
      </c>
      <c r="E9" s="27" t="s">
        <v>18</v>
      </c>
      <c r="F9" s="27" t="s">
        <v>943</v>
      </c>
      <c r="G9" s="62" t="s">
        <v>303</v>
      </c>
      <c r="H9" s="62" t="s">
        <v>58</v>
      </c>
      <c r="I9" s="8" t="s">
        <v>944</v>
      </c>
      <c r="J9" s="8"/>
      <c r="K9" s="62" t="s">
        <v>20</v>
      </c>
      <c r="L9" s="62" t="s">
        <v>287</v>
      </c>
      <c r="M9" s="62" t="s">
        <v>22</v>
      </c>
      <c r="N9" s="8"/>
      <c r="O9" s="61" t="str">
        <f>"135,0"</f>
        <v>135,0</v>
      </c>
      <c r="P9" s="62" t="str">
        <f>"90,5580"</f>
        <v>90,5580</v>
      </c>
      <c r="Q9" s="27" t="s">
        <v>27</v>
      </c>
    </row>
    <row r="11" spans="1:17" ht="15">
      <c r="A11" s="46" t="s">
        <v>28</v>
      </c>
      <c r="B11" s="46"/>
      <c r="C11" s="46"/>
      <c r="D11" s="46"/>
      <c r="E11" s="46"/>
      <c r="F11" s="46"/>
      <c r="G11" s="46"/>
      <c r="H11" s="46"/>
      <c r="I11" s="46"/>
      <c r="J11" s="46"/>
      <c r="K11" s="46"/>
      <c r="L11" s="46"/>
      <c r="M11" s="46"/>
      <c r="N11" s="46"/>
      <c r="O11" s="46"/>
      <c r="P11" s="46"/>
    </row>
    <row r="12" spans="1:17">
      <c r="A12" s="61" t="s">
        <v>838</v>
      </c>
      <c r="B12" s="62" t="s">
        <v>839</v>
      </c>
      <c r="C12" s="62" t="s">
        <v>840</v>
      </c>
      <c r="D12" s="62" t="str">
        <f>"0,6193"</f>
        <v>0,6193</v>
      </c>
      <c r="E12" s="27" t="s">
        <v>486</v>
      </c>
      <c r="F12" s="27" t="s">
        <v>19</v>
      </c>
      <c r="G12" s="8" t="s">
        <v>24</v>
      </c>
      <c r="H12" s="62" t="s">
        <v>24</v>
      </c>
      <c r="I12" s="62" t="s">
        <v>189</v>
      </c>
      <c r="J12" s="8"/>
      <c r="K12" s="62" t="s">
        <v>22</v>
      </c>
      <c r="L12" s="62" t="s">
        <v>169</v>
      </c>
      <c r="M12" s="62" t="s">
        <v>296</v>
      </c>
      <c r="N12" s="8"/>
      <c r="O12" s="61" t="str">
        <f>"155,0"</f>
        <v>155,0</v>
      </c>
      <c r="P12" s="62" t="str">
        <f>"95,9915"</f>
        <v>95,9915</v>
      </c>
      <c r="Q12" s="27" t="s">
        <v>27</v>
      </c>
    </row>
    <row r="14" spans="1:17" ht="15">
      <c r="E14" s="9" t="s">
        <v>40</v>
      </c>
      <c r="F14" s="26" t="s">
        <v>847</v>
      </c>
    </row>
    <row r="15" spans="1:17" ht="15">
      <c r="E15" s="9" t="s">
        <v>41</v>
      </c>
      <c r="F15" s="26" t="s">
        <v>848</v>
      </c>
    </row>
    <row r="16" spans="1:17" ht="15">
      <c r="E16" s="9" t="s">
        <v>42</v>
      </c>
      <c r="F16" s="26" t="s">
        <v>849</v>
      </c>
    </row>
    <row r="17" spans="1:6" ht="15">
      <c r="E17" s="9" t="s">
        <v>43</v>
      </c>
      <c r="F17" s="26" t="s">
        <v>850</v>
      </c>
    </row>
    <row r="18" spans="1:6" ht="15">
      <c r="E18" s="9" t="s">
        <v>43</v>
      </c>
      <c r="F18" s="26" t="s">
        <v>851</v>
      </c>
    </row>
    <row r="19" spans="1:6" ht="15">
      <c r="E19" s="9" t="s">
        <v>44</v>
      </c>
      <c r="F19" s="26" t="s">
        <v>852</v>
      </c>
    </row>
    <row r="20" spans="1:6" ht="15">
      <c r="E20" s="9"/>
    </row>
    <row r="22" spans="1:6" ht="18">
      <c r="A22" s="63" t="s">
        <v>45</v>
      </c>
      <c r="B22" s="64"/>
    </row>
    <row r="23" spans="1:6" ht="15">
      <c r="A23" s="65" t="s">
        <v>46</v>
      </c>
      <c r="B23" s="31"/>
    </row>
    <row r="24" spans="1:6" ht="14.25">
      <c r="A24" s="66"/>
      <c r="B24" s="67" t="s">
        <v>57</v>
      </c>
    </row>
    <row r="25" spans="1:6" ht="15">
      <c r="A25" s="15" t="s">
        <v>48</v>
      </c>
      <c r="B25" s="15" t="s">
        <v>49</v>
      </c>
      <c r="C25" s="15" t="s">
        <v>50</v>
      </c>
      <c r="D25" s="15" t="s">
        <v>51</v>
      </c>
      <c r="E25" s="15" t="s">
        <v>52</v>
      </c>
    </row>
    <row r="26" spans="1:6">
      <c r="A26" s="68" t="s">
        <v>945</v>
      </c>
      <c r="B26" s="56" t="s">
        <v>667</v>
      </c>
      <c r="C26" s="56" t="s">
        <v>169</v>
      </c>
      <c r="D26" s="56" t="s">
        <v>73</v>
      </c>
      <c r="E26" s="16" t="s">
        <v>946</v>
      </c>
    </row>
    <row r="27" spans="1:6">
      <c r="A27" s="68" t="s">
        <v>837</v>
      </c>
      <c r="B27" s="56" t="s">
        <v>57</v>
      </c>
      <c r="C27" s="56" t="s">
        <v>54</v>
      </c>
      <c r="D27" s="56" t="s">
        <v>98</v>
      </c>
      <c r="E27" s="16" t="s">
        <v>947</v>
      </c>
    </row>
    <row r="28" spans="1:6">
      <c r="A28" s="68" t="s">
        <v>948</v>
      </c>
      <c r="B28" s="56" t="s">
        <v>57</v>
      </c>
      <c r="C28" s="56" t="s">
        <v>58</v>
      </c>
      <c r="D28" s="56" t="s">
        <v>101</v>
      </c>
      <c r="E28" s="16" t="s">
        <v>949</v>
      </c>
    </row>
    <row r="30" spans="1:6" ht="14.25">
      <c r="A30" s="66"/>
      <c r="B30" s="67" t="s">
        <v>86</v>
      </c>
    </row>
    <row r="31" spans="1:6" ht="15">
      <c r="A31" s="15" t="s">
        <v>48</v>
      </c>
      <c r="B31" s="15" t="s">
        <v>49</v>
      </c>
      <c r="C31" s="15" t="s">
        <v>50</v>
      </c>
      <c r="D31" s="15" t="s">
        <v>51</v>
      </c>
      <c r="E31" s="15" t="s">
        <v>52</v>
      </c>
    </row>
    <row r="32" spans="1:6">
      <c r="A32" s="68" t="s">
        <v>945</v>
      </c>
      <c r="B32" s="56" t="s">
        <v>667</v>
      </c>
      <c r="C32" s="56" t="s">
        <v>169</v>
      </c>
      <c r="D32" s="56" t="s">
        <v>73</v>
      </c>
      <c r="E32" s="16" t="s">
        <v>946</v>
      </c>
    </row>
    <row r="36" spans="1:3" ht="18">
      <c r="A36" s="63" t="s">
        <v>61</v>
      </c>
      <c r="B36" s="64"/>
    </row>
    <row r="37" spans="1:3" ht="15">
      <c r="A37" s="15" t="s">
        <v>62</v>
      </c>
      <c r="B37" s="15" t="s">
        <v>63</v>
      </c>
      <c r="C37" s="15" t="s">
        <v>64</v>
      </c>
    </row>
    <row r="38" spans="1:3">
      <c r="A38" s="16" t="s">
        <v>486</v>
      </c>
      <c r="B38" s="56" t="s">
        <v>390</v>
      </c>
      <c r="C38" s="56" t="s">
        <v>950</v>
      </c>
    </row>
    <row r="39" spans="1:3">
      <c r="A39" s="16" t="s">
        <v>18</v>
      </c>
      <c r="B39" s="56" t="s">
        <v>109</v>
      </c>
      <c r="C39" s="56" t="s">
        <v>951</v>
      </c>
    </row>
  </sheetData>
  <mergeCells count="15">
    <mergeCell ref="P3:P4"/>
    <mergeCell ref="Q3:Q4"/>
    <mergeCell ref="A5:P5"/>
    <mergeCell ref="A8:P8"/>
    <mergeCell ref="A11:P11"/>
    <mergeCell ref="A1:Q2"/>
    <mergeCell ref="A3:A4"/>
    <mergeCell ref="B3:B4"/>
    <mergeCell ref="C3:C4"/>
    <mergeCell ref="D3:D4"/>
    <mergeCell ref="E3:E4"/>
    <mergeCell ref="F3:F4"/>
    <mergeCell ref="G3:J3"/>
    <mergeCell ref="K3:N3"/>
    <mergeCell ref="O3:O4"/>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K33"/>
  <sheetViews>
    <sheetView workbookViewId="0">
      <selection activeCell="B9" sqref="B9"/>
    </sheetView>
  </sheetViews>
  <sheetFormatPr defaultRowHeight="12.75"/>
  <cols>
    <col min="1" max="1" width="31.85546875" style="5" bestFit="1" customWidth="1"/>
    <col min="2" max="2" width="27.7109375" style="5" bestFit="1" customWidth="1"/>
    <col min="3" max="3" width="19.28515625" style="5" bestFit="1" customWidth="1"/>
    <col min="4" max="4" width="9.28515625" style="5" bestFit="1" customWidth="1"/>
    <col min="5" max="5" width="22.7109375" style="5" bestFit="1" customWidth="1"/>
    <col min="6" max="6" width="30.28515625" style="5" bestFit="1" customWidth="1"/>
    <col min="7" max="7" width="4.5703125" style="4" bestFit="1" customWidth="1"/>
    <col min="8" max="8" width="4.5703125" style="49" bestFit="1" customWidth="1"/>
    <col min="9" max="9" width="7.85546875" style="5" bestFit="1" customWidth="1"/>
    <col min="10" max="10" width="9.5703125" style="4" bestFit="1" customWidth="1"/>
    <col min="11" max="11" width="8.85546875" style="5" bestFit="1" customWidth="1"/>
    <col min="12" max="16384" width="9.140625" style="4"/>
  </cols>
  <sheetData>
    <row r="1" spans="1:11" s="3" customFormat="1" ht="29.1" customHeight="1">
      <c r="A1" s="39" t="s">
        <v>952</v>
      </c>
      <c r="B1" s="40"/>
      <c r="C1" s="40"/>
      <c r="D1" s="40"/>
      <c r="E1" s="40"/>
      <c r="F1" s="40"/>
      <c r="G1" s="40"/>
      <c r="H1" s="40"/>
      <c r="I1" s="40"/>
      <c r="J1" s="40"/>
      <c r="K1" s="41"/>
    </row>
    <row r="2" spans="1:11" s="3" customFormat="1" ht="62.1" customHeight="1" thickBot="1">
      <c r="A2" s="42"/>
      <c r="B2" s="43"/>
      <c r="C2" s="43"/>
      <c r="D2" s="43"/>
      <c r="E2" s="43"/>
      <c r="F2" s="43"/>
      <c r="G2" s="43"/>
      <c r="H2" s="43"/>
      <c r="I2" s="43"/>
      <c r="J2" s="43"/>
      <c r="K2" s="44"/>
    </row>
    <row r="3" spans="1:11" s="1" customFormat="1" ht="12.75" customHeight="1">
      <c r="A3" s="32" t="s">
        <v>0</v>
      </c>
      <c r="B3" s="34" t="s">
        <v>9</v>
      </c>
      <c r="C3" s="34" t="s">
        <v>11</v>
      </c>
      <c r="D3" s="36" t="s">
        <v>12</v>
      </c>
      <c r="E3" s="36" t="s">
        <v>7</v>
      </c>
      <c r="F3" s="36" t="s">
        <v>10</v>
      </c>
      <c r="G3" s="36" t="s">
        <v>884</v>
      </c>
      <c r="H3" s="36"/>
      <c r="I3" s="36" t="s">
        <v>885</v>
      </c>
      <c r="J3" s="36" t="s">
        <v>6</v>
      </c>
      <c r="K3" s="37" t="s">
        <v>5</v>
      </c>
    </row>
    <row r="4" spans="1:11" s="1" customFormat="1" ht="21" customHeight="1" thickBot="1">
      <c r="A4" s="33"/>
      <c r="B4" s="35"/>
      <c r="C4" s="35"/>
      <c r="D4" s="35"/>
      <c r="E4" s="35"/>
      <c r="F4" s="35"/>
      <c r="G4" s="2" t="s">
        <v>886</v>
      </c>
      <c r="H4" s="47" t="s">
        <v>887</v>
      </c>
      <c r="I4" s="35"/>
      <c r="J4" s="35"/>
      <c r="K4" s="38"/>
    </row>
    <row r="5" spans="1:11" ht="15">
      <c r="A5" s="45" t="s">
        <v>953</v>
      </c>
      <c r="B5" s="45"/>
      <c r="C5" s="45"/>
      <c r="D5" s="45"/>
      <c r="E5" s="45"/>
      <c r="F5" s="45"/>
      <c r="G5" s="45"/>
      <c r="H5" s="45"/>
      <c r="I5" s="45"/>
      <c r="J5" s="45"/>
    </row>
    <row r="6" spans="1:11">
      <c r="A6" s="17" t="s">
        <v>127</v>
      </c>
      <c r="B6" s="17" t="s">
        <v>954</v>
      </c>
      <c r="C6" s="17" t="s">
        <v>129</v>
      </c>
      <c r="D6" s="17" t="str">
        <f>"0,6093"</f>
        <v>0,6093</v>
      </c>
      <c r="E6" s="17" t="s">
        <v>18</v>
      </c>
      <c r="F6" s="17" t="s">
        <v>19</v>
      </c>
      <c r="G6" s="19" t="s">
        <v>292</v>
      </c>
      <c r="H6" s="50" t="s">
        <v>955</v>
      </c>
      <c r="I6" s="17" t="str">
        <f>"3135,0"</f>
        <v>3135,0</v>
      </c>
      <c r="J6" s="19" t="str">
        <f>"1986,5618"</f>
        <v>1986,5618</v>
      </c>
      <c r="K6" s="17" t="s">
        <v>27</v>
      </c>
    </row>
    <row r="7" spans="1:11">
      <c r="A7" s="20" t="s">
        <v>956</v>
      </c>
      <c r="B7" s="20" t="s">
        <v>957</v>
      </c>
      <c r="C7" s="20" t="s">
        <v>958</v>
      </c>
      <c r="D7" s="20" t="str">
        <f>"0,6716"</f>
        <v>0,6716</v>
      </c>
      <c r="E7" s="20" t="s">
        <v>95</v>
      </c>
      <c r="F7" s="20" t="s">
        <v>96</v>
      </c>
      <c r="G7" s="22" t="s">
        <v>292</v>
      </c>
      <c r="H7" s="52" t="s">
        <v>955</v>
      </c>
      <c r="I7" s="20" t="str">
        <f>"3135,0"</f>
        <v>3135,0</v>
      </c>
      <c r="J7" s="22" t="str">
        <f>"3926,6940"</f>
        <v>3926,6940</v>
      </c>
      <c r="K7" s="20" t="s">
        <v>27</v>
      </c>
    </row>
    <row r="9" spans="1:11" ht="15">
      <c r="E9" s="9" t="s">
        <v>40</v>
      </c>
      <c r="F9" s="26" t="s">
        <v>847</v>
      </c>
    </row>
    <row r="10" spans="1:11" ht="15">
      <c r="E10" s="9" t="s">
        <v>41</v>
      </c>
      <c r="F10" s="26" t="s">
        <v>848</v>
      </c>
    </row>
    <row r="11" spans="1:11" ht="15">
      <c r="E11" s="9" t="s">
        <v>42</v>
      </c>
      <c r="F11" s="26" t="s">
        <v>849</v>
      </c>
    </row>
    <row r="12" spans="1:11" ht="15">
      <c r="E12" s="9" t="s">
        <v>43</v>
      </c>
      <c r="F12" s="26" t="s">
        <v>850</v>
      </c>
    </row>
    <row r="13" spans="1:11" ht="15">
      <c r="E13" s="9" t="s">
        <v>43</v>
      </c>
      <c r="F13" s="26" t="s">
        <v>851</v>
      </c>
    </row>
    <row r="14" spans="1:11" ht="15">
      <c r="E14" s="9" t="s">
        <v>44</v>
      </c>
      <c r="F14" s="26" t="s">
        <v>852</v>
      </c>
    </row>
    <row r="15" spans="1:11" ht="15">
      <c r="E15" s="9"/>
    </row>
    <row r="17" spans="1:5" ht="18">
      <c r="A17" s="10" t="s">
        <v>45</v>
      </c>
      <c r="B17" s="10"/>
    </row>
    <row r="18" spans="1:5" ht="15">
      <c r="A18" s="11" t="s">
        <v>46</v>
      </c>
      <c r="B18" s="11"/>
    </row>
    <row r="19" spans="1:5" ht="14.25">
      <c r="A19" s="13"/>
      <c r="B19" s="14" t="s">
        <v>47</v>
      </c>
    </row>
    <row r="20" spans="1:5" ht="15">
      <c r="A20" s="15" t="s">
        <v>48</v>
      </c>
      <c r="B20" s="15" t="s">
        <v>49</v>
      </c>
      <c r="C20" s="15" t="s">
        <v>50</v>
      </c>
      <c r="D20" s="15" t="s">
        <v>51</v>
      </c>
      <c r="E20" s="15" t="s">
        <v>52</v>
      </c>
    </row>
    <row r="21" spans="1:5">
      <c r="A21" s="12" t="s">
        <v>126</v>
      </c>
      <c r="B21" s="5" t="s">
        <v>959</v>
      </c>
      <c r="C21" s="5" t="s">
        <v>424</v>
      </c>
      <c r="D21" s="5" t="s">
        <v>960</v>
      </c>
      <c r="E21" s="16" t="s">
        <v>961</v>
      </c>
    </row>
    <row r="23" spans="1:5" ht="14.25">
      <c r="A23" s="13"/>
      <c r="B23" s="14" t="s">
        <v>86</v>
      </c>
    </row>
    <row r="24" spans="1:5" ht="15">
      <c r="A24" s="15" t="s">
        <v>48</v>
      </c>
      <c r="B24" s="15" t="s">
        <v>49</v>
      </c>
      <c r="C24" s="15" t="s">
        <v>50</v>
      </c>
      <c r="D24" s="15" t="s">
        <v>51</v>
      </c>
      <c r="E24" s="15" t="s">
        <v>52</v>
      </c>
    </row>
    <row r="25" spans="1:5">
      <c r="A25" s="12" t="s">
        <v>962</v>
      </c>
      <c r="B25" s="5" t="s">
        <v>963</v>
      </c>
      <c r="C25" s="5" t="s">
        <v>424</v>
      </c>
      <c r="D25" s="5" t="s">
        <v>960</v>
      </c>
      <c r="E25" s="16" t="s">
        <v>964</v>
      </c>
    </row>
    <row r="30" spans="1:5" ht="18">
      <c r="A30" s="10" t="s">
        <v>61</v>
      </c>
      <c r="B30" s="10"/>
    </row>
    <row r="31" spans="1:5" ht="15">
      <c r="A31" s="15" t="s">
        <v>62</v>
      </c>
      <c r="B31" s="15" t="s">
        <v>63</v>
      </c>
      <c r="C31" s="15" t="s">
        <v>64</v>
      </c>
    </row>
    <row r="32" spans="1:5">
      <c r="A32" s="5" t="s">
        <v>18</v>
      </c>
      <c r="B32" s="5" t="s">
        <v>109</v>
      </c>
      <c r="C32" s="5" t="s">
        <v>965</v>
      </c>
    </row>
    <row r="33" spans="1:3">
      <c r="A33" s="5" t="s">
        <v>95</v>
      </c>
      <c r="B33" s="5" t="s">
        <v>109</v>
      </c>
      <c r="C33" s="5" t="s">
        <v>966</v>
      </c>
    </row>
  </sheetData>
  <mergeCells count="12">
    <mergeCell ref="K3:K4"/>
    <mergeCell ref="A5:J5"/>
    <mergeCell ref="A1:K2"/>
    <mergeCell ref="A3:A4"/>
    <mergeCell ref="B3:B4"/>
    <mergeCell ref="C3:C4"/>
    <mergeCell ref="D3:D4"/>
    <mergeCell ref="E3:E4"/>
    <mergeCell ref="F3:F4"/>
    <mergeCell ref="G3:H3"/>
    <mergeCell ref="I3:I4"/>
    <mergeCell ref="J3:J4"/>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K27"/>
  <sheetViews>
    <sheetView workbookViewId="0">
      <selection activeCell="E16" sqref="E16"/>
    </sheetView>
  </sheetViews>
  <sheetFormatPr defaultRowHeight="12.75"/>
  <cols>
    <col min="1" max="1" width="31.85546875" style="5" bestFit="1" customWidth="1"/>
    <col min="2" max="2" width="27.7109375" style="5" bestFit="1" customWidth="1"/>
    <col min="3" max="3" width="19.5703125" style="5" bestFit="1" customWidth="1"/>
    <col min="4" max="4" width="9.28515625" style="5" bestFit="1" customWidth="1"/>
    <col min="5" max="5" width="22.7109375" style="5" bestFit="1" customWidth="1"/>
    <col min="6" max="6" width="30.28515625" style="5" bestFit="1" customWidth="1"/>
    <col min="7" max="7" width="4.5703125" style="4" bestFit="1" customWidth="1"/>
    <col min="8" max="8" width="4.5703125" style="49" bestFit="1" customWidth="1"/>
    <col min="9" max="9" width="7.85546875" style="5" bestFit="1" customWidth="1"/>
    <col min="10" max="10" width="9.5703125" style="4" bestFit="1" customWidth="1"/>
    <col min="11" max="11" width="8.85546875" style="5" bestFit="1" customWidth="1"/>
    <col min="12" max="16384" width="9.140625" style="4"/>
  </cols>
  <sheetData>
    <row r="1" spans="1:11" s="3" customFormat="1" ht="29.1" customHeight="1">
      <c r="A1" s="39" t="s">
        <v>967</v>
      </c>
      <c r="B1" s="40"/>
      <c r="C1" s="40"/>
      <c r="D1" s="40"/>
      <c r="E1" s="40"/>
      <c r="F1" s="40"/>
      <c r="G1" s="40"/>
      <c r="H1" s="40"/>
      <c r="I1" s="40"/>
      <c r="J1" s="40"/>
      <c r="K1" s="41"/>
    </row>
    <row r="2" spans="1:11" s="3" customFormat="1" ht="62.1" customHeight="1" thickBot="1">
      <c r="A2" s="42"/>
      <c r="B2" s="43"/>
      <c r="C2" s="43"/>
      <c r="D2" s="43"/>
      <c r="E2" s="43"/>
      <c r="F2" s="43"/>
      <c r="G2" s="43"/>
      <c r="H2" s="43"/>
      <c r="I2" s="43"/>
      <c r="J2" s="43"/>
      <c r="K2" s="44"/>
    </row>
    <row r="3" spans="1:11" s="1" customFormat="1" ht="12.75" customHeight="1">
      <c r="A3" s="32" t="s">
        <v>0</v>
      </c>
      <c r="B3" s="34" t="s">
        <v>9</v>
      </c>
      <c r="C3" s="34" t="s">
        <v>11</v>
      </c>
      <c r="D3" s="36" t="s">
        <v>12</v>
      </c>
      <c r="E3" s="36" t="s">
        <v>7</v>
      </c>
      <c r="F3" s="36" t="s">
        <v>10</v>
      </c>
      <c r="G3" s="36" t="s">
        <v>884</v>
      </c>
      <c r="H3" s="36"/>
      <c r="I3" s="36" t="s">
        <v>885</v>
      </c>
      <c r="J3" s="36" t="s">
        <v>6</v>
      </c>
      <c r="K3" s="37" t="s">
        <v>5</v>
      </c>
    </row>
    <row r="4" spans="1:11" s="1" customFormat="1" ht="21" customHeight="1" thickBot="1">
      <c r="A4" s="33"/>
      <c r="B4" s="35"/>
      <c r="C4" s="35"/>
      <c r="D4" s="35"/>
      <c r="E4" s="35"/>
      <c r="F4" s="35"/>
      <c r="G4" s="2" t="s">
        <v>886</v>
      </c>
      <c r="H4" s="47" t="s">
        <v>887</v>
      </c>
      <c r="I4" s="35"/>
      <c r="J4" s="35"/>
      <c r="K4" s="38"/>
    </row>
    <row r="5" spans="1:11" ht="15">
      <c r="A5" s="45" t="s">
        <v>953</v>
      </c>
      <c r="B5" s="45"/>
      <c r="C5" s="45"/>
      <c r="D5" s="45"/>
      <c r="E5" s="45"/>
      <c r="F5" s="45"/>
      <c r="G5" s="45"/>
      <c r="H5" s="45"/>
      <c r="I5" s="45"/>
      <c r="J5" s="45"/>
    </row>
    <row r="6" spans="1:11">
      <c r="A6" s="6" t="s">
        <v>968</v>
      </c>
      <c r="B6" s="6" t="s">
        <v>969</v>
      </c>
      <c r="C6" s="6" t="s">
        <v>970</v>
      </c>
      <c r="D6" s="6" t="str">
        <f>"0,7244"</f>
        <v>0,7244</v>
      </c>
      <c r="E6" s="6" t="s">
        <v>18</v>
      </c>
      <c r="F6" s="6" t="s">
        <v>19</v>
      </c>
      <c r="G6" s="7" t="s">
        <v>292</v>
      </c>
      <c r="H6" s="48" t="s">
        <v>819</v>
      </c>
      <c r="I6" s="6" t="str">
        <f>"1650,0"</f>
        <v>1650,0</v>
      </c>
      <c r="J6" s="7" t="str">
        <f>"1243,0704"</f>
        <v>1243,0704</v>
      </c>
      <c r="K6" s="6" t="s">
        <v>27</v>
      </c>
    </row>
    <row r="8" spans="1:11" ht="15">
      <c r="E8" s="9" t="s">
        <v>40</v>
      </c>
      <c r="F8" s="26" t="s">
        <v>847</v>
      </c>
    </row>
    <row r="9" spans="1:11" ht="15">
      <c r="E9" s="9" t="s">
        <v>41</v>
      </c>
      <c r="F9" s="26" t="s">
        <v>848</v>
      </c>
    </row>
    <row r="10" spans="1:11" ht="15">
      <c r="E10" s="9" t="s">
        <v>42</v>
      </c>
      <c r="F10" s="26" t="s">
        <v>849</v>
      </c>
    </row>
    <row r="11" spans="1:11" ht="15">
      <c r="E11" s="9" t="s">
        <v>43</v>
      </c>
      <c r="F11" s="26" t="s">
        <v>850</v>
      </c>
    </row>
    <row r="12" spans="1:11" ht="15">
      <c r="E12" s="9" t="s">
        <v>43</v>
      </c>
      <c r="F12" s="26" t="s">
        <v>851</v>
      </c>
    </row>
    <row r="13" spans="1:11" ht="15">
      <c r="E13" s="9" t="s">
        <v>44</v>
      </c>
      <c r="F13" s="26" t="s">
        <v>852</v>
      </c>
    </row>
    <row r="14" spans="1:11" ht="15">
      <c r="E14" s="9"/>
    </row>
    <row r="16" spans="1:11" ht="18">
      <c r="A16" s="10" t="s">
        <v>45</v>
      </c>
      <c r="B16" s="10"/>
    </row>
    <row r="17" spans="1:5" ht="15">
      <c r="A17" s="11" t="s">
        <v>46</v>
      </c>
      <c r="B17" s="11"/>
    </row>
    <row r="18" spans="1:5" ht="14.25">
      <c r="A18" s="13"/>
      <c r="B18" s="14" t="s">
        <v>47</v>
      </c>
    </row>
    <row r="19" spans="1:5" ht="15">
      <c r="A19" s="15" t="s">
        <v>48</v>
      </c>
      <c r="B19" s="15" t="s">
        <v>49</v>
      </c>
      <c r="C19" s="15" t="s">
        <v>50</v>
      </c>
      <c r="D19" s="15" t="s">
        <v>51</v>
      </c>
      <c r="E19" s="15" t="s">
        <v>52</v>
      </c>
    </row>
    <row r="20" spans="1:5">
      <c r="A20" s="12" t="s">
        <v>971</v>
      </c>
      <c r="B20" s="5" t="s">
        <v>959</v>
      </c>
      <c r="C20" s="5" t="s">
        <v>424</v>
      </c>
      <c r="D20" s="5" t="s">
        <v>972</v>
      </c>
      <c r="E20" s="16" t="s">
        <v>973</v>
      </c>
    </row>
    <row r="25" spans="1:5" ht="18">
      <c r="A25" s="10" t="s">
        <v>61</v>
      </c>
      <c r="B25" s="10"/>
    </row>
    <row r="26" spans="1:5" ht="15">
      <c r="A26" s="15" t="s">
        <v>62</v>
      </c>
      <c r="B26" s="15" t="s">
        <v>63</v>
      </c>
      <c r="C26" s="15" t="s">
        <v>64</v>
      </c>
    </row>
    <row r="27" spans="1:5">
      <c r="A27" s="5" t="s">
        <v>18</v>
      </c>
      <c r="B27" s="5" t="s">
        <v>109</v>
      </c>
      <c r="C27" s="5" t="s">
        <v>974</v>
      </c>
    </row>
  </sheetData>
  <mergeCells count="12">
    <mergeCell ref="K3:K4"/>
    <mergeCell ref="A5:J5"/>
    <mergeCell ref="A1:K2"/>
    <mergeCell ref="A3:A4"/>
    <mergeCell ref="B3:B4"/>
    <mergeCell ref="C3:C4"/>
    <mergeCell ref="D3:D4"/>
    <mergeCell ref="E3:E4"/>
    <mergeCell ref="F3:F4"/>
    <mergeCell ref="G3:H3"/>
    <mergeCell ref="I3:I4"/>
    <mergeCell ref="J3:J4"/>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K32"/>
  <sheetViews>
    <sheetView workbookViewId="0">
      <selection sqref="A1:IV65536"/>
    </sheetView>
  </sheetViews>
  <sheetFormatPr defaultRowHeight="12.75"/>
  <cols>
    <col min="1" max="1" width="31.85546875" style="5" bestFit="1" customWidth="1"/>
    <col min="2" max="2" width="29" style="5" bestFit="1" customWidth="1"/>
    <col min="3" max="3" width="39" style="5" bestFit="1" customWidth="1"/>
    <col min="4" max="4" width="9.28515625" style="5" bestFit="1" customWidth="1"/>
    <col min="5" max="5" width="22.7109375" style="5" bestFit="1" customWidth="1"/>
    <col min="6" max="6" width="24" style="5" bestFit="1" customWidth="1"/>
    <col min="7" max="7" width="4.5703125" style="4" bestFit="1" customWidth="1"/>
    <col min="8" max="8" width="4.5703125" style="49" bestFit="1" customWidth="1"/>
    <col min="9" max="9" width="7.85546875" style="5" bestFit="1" customWidth="1"/>
    <col min="10" max="10" width="9.5703125" style="4" bestFit="1" customWidth="1"/>
    <col min="11" max="11" width="8.85546875" style="5" bestFit="1" customWidth="1"/>
    <col min="12" max="16384" width="9.140625" style="4"/>
  </cols>
  <sheetData>
    <row r="1" spans="1:11" s="3" customFormat="1" ht="29.1" customHeight="1">
      <c r="A1" s="39" t="s">
        <v>975</v>
      </c>
      <c r="B1" s="40"/>
      <c r="C1" s="40"/>
      <c r="D1" s="40"/>
      <c r="E1" s="40"/>
      <c r="F1" s="40"/>
      <c r="G1" s="40"/>
      <c r="H1" s="40"/>
      <c r="I1" s="40"/>
      <c r="J1" s="40"/>
      <c r="K1" s="41"/>
    </row>
    <row r="2" spans="1:11" s="3" customFormat="1" ht="62.1" customHeight="1" thickBot="1">
      <c r="A2" s="42"/>
      <c r="B2" s="43"/>
      <c r="C2" s="43"/>
      <c r="D2" s="43"/>
      <c r="E2" s="43"/>
      <c r="F2" s="43"/>
      <c r="G2" s="43"/>
      <c r="H2" s="43"/>
      <c r="I2" s="43"/>
      <c r="J2" s="43"/>
      <c r="K2" s="44"/>
    </row>
    <row r="3" spans="1:11" s="1" customFormat="1" ht="12.75" customHeight="1">
      <c r="A3" s="32" t="s">
        <v>0</v>
      </c>
      <c r="B3" s="34" t="s">
        <v>9</v>
      </c>
      <c r="C3" s="34" t="s">
        <v>11</v>
      </c>
      <c r="D3" s="36" t="s">
        <v>12</v>
      </c>
      <c r="E3" s="36" t="s">
        <v>7</v>
      </c>
      <c r="F3" s="36" t="s">
        <v>10</v>
      </c>
      <c r="G3" s="36" t="s">
        <v>884</v>
      </c>
      <c r="H3" s="36"/>
      <c r="I3" s="36" t="s">
        <v>885</v>
      </c>
      <c r="J3" s="36" t="s">
        <v>6</v>
      </c>
      <c r="K3" s="37" t="s">
        <v>5</v>
      </c>
    </row>
    <row r="4" spans="1:11" s="1" customFormat="1" ht="21" customHeight="1" thickBot="1">
      <c r="A4" s="33"/>
      <c r="B4" s="35"/>
      <c r="C4" s="35"/>
      <c r="D4" s="35"/>
      <c r="E4" s="35"/>
      <c r="F4" s="35"/>
      <c r="G4" s="2" t="s">
        <v>886</v>
      </c>
      <c r="H4" s="47" t="s">
        <v>887</v>
      </c>
      <c r="I4" s="35"/>
      <c r="J4" s="35"/>
      <c r="K4" s="38"/>
    </row>
    <row r="5" spans="1:11" ht="15">
      <c r="A5" s="45" t="s">
        <v>953</v>
      </c>
      <c r="B5" s="45"/>
      <c r="C5" s="45"/>
      <c r="D5" s="45"/>
      <c r="E5" s="45"/>
      <c r="F5" s="45"/>
      <c r="G5" s="45"/>
      <c r="H5" s="45"/>
      <c r="I5" s="45"/>
      <c r="J5" s="45"/>
    </row>
    <row r="6" spans="1:11">
      <c r="A6" s="17" t="s">
        <v>69</v>
      </c>
      <c r="B6" s="17" t="s">
        <v>976</v>
      </c>
      <c r="C6" s="17" t="s">
        <v>71</v>
      </c>
      <c r="D6" s="17" t="str">
        <f>"0,9693"</f>
        <v>0,9693</v>
      </c>
      <c r="E6" s="17" t="s">
        <v>18</v>
      </c>
      <c r="F6" s="17" t="s">
        <v>33</v>
      </c>
      <c r="G6" s="19" t="s">
        <v>820</v>
      </c>
      <c r="H6" s="50" t="s">
        <v>977</v>
      </c>
      <c r="I6" s="17" t="str">
        <f>"945,0"</f>
        <v>945,0</v>
      </c>
      <c r="J6" s="19" t="str">
        <f>"1080,9222"</f>
        <v>1080,9222</v>
      </c>
      <c r="K6" s="17" t="s">
        <v>27</v>
      </c>
    </row>
    <row r="7" spans="1:11">
      <c r="A7" s="20" t="s">
        <v>978</v>
      </c>
      <c r="B7" s="20" t="s">
        <v>979</v>
      </c>
      <c r="C7" s="20" t="s">
        <v>980</v>
      </c>
      <c r="D7" s="20" t="str">
        <f>"0,8831"</f>
        <v>0,8831</v>
      </c>
      <c r="E7" s="20" t="s">
        <v>18</v>
      </c>
      <c r="F7" s="20" t="s">
        <v>195</v>
      </c>
      <c r="G7" s="22" t="s">
        <v>820</v>
      </c>
      <c r="H7" s="52" t="s">
        <v>981</v>
      </c>
      <c r="I7" s="20" t="str">
        <f>"1715,0"</f>
        <v>1715,0</v>
      </c>
      <c r="J7" s="22" t="str">
        <f>"1514,6022"</f>
        <v>1514,6022</v>
      </c>
      <c r="K7" s="20" t="s">
        <v>27</v>
      </c>
    </row>
    <row r="9" spans="1:11" ht="15">
      <c r="E9" s="9" t="s">
        <v>40</v>
      </c>
      <c r="F9" s="26" t="s">
        <v>847</v>
      </c>
    </row>
    <row r="10" spans="1:11" ht="15">
      <c r="E10" s="9" t="s">
        <v>41</v>
      </c>
      <c r="F10" s="26" t="s">
        <v>848</v>
      </c>
    </row>
    <row r="11" spans="1:11" ht="15">
      <c r="E11" s="9" t="s">
        <v>42</v>
      </c>
      <c r="F11" s="26" t="s">
        <v>849</v>
      </c>
    </row>
    <row r="12" spans="1:11" ht="15">
      <c r="E12" s="9" t="s">
        <v>43</v>
      </c>
      <c r="F12" s="26" t="s">
        <v>850</v>
      </c>
    </row>
    <row r="13" spans="1:11" ht="15">
      <c r="E13" s="9" t="s">
        <v>43</v>
      </c>
      <c r="F13" s="26" t="s">
        <v>851</v>
      </c>
    </row>
    <row r="14" spans="1:11" ht="15">
      <c r="E14" s="9" t="s">
        <v>44</v>
      </c>
      <c r="F14" s="26" t="s">
        <v>852</v>
      </c>
    </row>
    <row r="15" spans="1:11" ht="15">
      <c r="E15" s="9"/>
    </row>
    <row r="17" spans="1:5" ht="18">
      <c r="A17" s="10" t="s">
        <v>45</v>
      </c>
      <c r="B17" s="10"/>
    </row>
    <row r="18" spans="1:5" ht="15">
      <c r="A18" s="11" t="s">
        <v>81</v>
      </c>
      <c r="B18" s="11"/>
    </row>
    <row r="19" spans="1:5" ht="14.25">
      <c r="A19" s="13"/>
      <c r="B19" s="14" t="s">
        <v>82</v>
      </c>
    </row>
    <row r="20" spans="1:5" ht="15">
      <c r="A20" s="15" t="s">
        <v>48</v>
      </c>
      <c r="B20" s="15" t="s">
        <v>49</v>
      </c>
      <c r="C20" s="15" t="s">
        <v>50</v>
      </c>
      <c r="D20" s="15" t="s">
        <v>51</v>
      </c>
      <c r="E20" s="15" t="s">
        <v>52</v>
      </c>
    </row>
    <row r="21" spans="1:5">
      <c r="A21" s="12" t="s">
        <v>68</v>
      </c>
      <c r="B21" s="5" t="s">
        <v>959</v>
      </c>
      <c r="C21" s="5" t="s">
        <v>424</v>
      </c>
      <c r="D21" s="5" t="s">
        <v>982</v>
      </c>
      <c r="E21" s="16" t="s">
        <v>983</v>
      </c>
    </row>
    <row r="23" spans="1:5" ht="14.25">
      <c r="A23" s="13"/>
      <c r="B23" s="14" t="s">
        <v>57</v>
      </c>
    </row>
    <row r="24" spans="1:5" ht="15">
      <c r="A24" s="15" t="s">
        <v>48</v>
      </c>
      <c r="B24" s="15" t="s">
        <v>49</v>
      </c>
      <c r="C24" s="15" t="s">
        <v>50</v>
      </c>
      <c r="D24" s="15" t="s">
        <v>51</v>
      </c>
      <c r="E24" s="15" t="s">
        <v>52</v>
      </c>
    </row>
    <row r="25" spans="1:5">
      <c r="A25" s="12" t="s">
        <v>984</v>
      </c>
      <c r="B25" s="5" t="s">
        <v>57</v>
      </c>
      <c r="C25" s="5" t="s">
        <v>424</v>
      </c>
      <c r="D25" s="5" t="s">
        <v>985</v>
      </c>
      <c r="E25" s="16" t="s">
        <v>986</v>
      </c>
    </row>
    <row r="30" spans="1:5" ht="18">
      <c r="A30" s="10" t="s">
        <v>61</v>
      </c>
      <c r="B30" s="10"/>
    </row>
    <row r="31" spans="1:5" ht="15">
      <c r="A31" s="15" t="s">
        <v>62</v>
      </c>
      <c r="B31" s="15" t="s">
        <v>63</v>
      </c>
      <c r="C31" s="15" t="s">
        <v>64</v>
      </c>
    </row>
    <row r="32" spans="1:5">
      <c r="A32" s="5" t="s">
        <v>18</v>
      </c>
      <c r="B32" s="5" t="s">
        <v>65</v>
      </c>
      <c r="C32" s="5" t="s">
        <v>987</v>
      </c>
    </row>
  </sheetData>
  <mergeCells count="12">
    <mergeCell ref="K3:K4"/>
    <mergeCell ref="A5:J5"/>
    <mergeCell ref="A1:K2"/>
    <mergeCell ref="A3:A4"/>
    <mergeCell ref="B3:B4"/>
    <mergeCell ref="C3:C4"/>
    <mergeCell ref="D3:D4"/>
    <mergeCell ref="E3:E4"/>
    <mergeCell ref="F3:F4"/>
    <mergeCell ref="G3:H3"/>
    <mergeCell ref="I3:I4"/>
    <mergeCell ref="J3:J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39"/>
  <sheetViews>
    <sheetView workbookViewId="0">
      <selection sqref="A1:U2"/>
    </sheetView>
  </sheetViews>
  <sheetFormatPr defaultRowHeight="12.75"/>
  <cols>
    <col min="1" max="1" width="31.85546875" style="5" bestFit="1" customWidth="1"/>
    <col min="2" max="2" width="29" style="5" bestFit="1" customWidth="1"/>
    <col min="3" max="3" width="36" style="5" bestFit="1" customWidth="1"/>
    <col min="4" max="4" width="9.28515625" style="5" bestFit="1" customWidth="1"/>
    <col min="5" max="5" width="22.7109375" style="5" bestFit="1" customWidth="1"/>
    <col min="6" max="6" width="35.42578125" style="5" bestFit="1" customWidth="1"/>
    <col min="7" max="9" width="5.5703125" style="4" bestFit="1" customWidth="1"/>
    <col min="10" max="10" width="4.85546875" style="4" bestFit="1" customWidth="1"/>
    <col min="11" max="13" width="5.5703125" style="4" bestFit="1" customWidth="1"/>
    <col min="14" max="14" width="4.85546875" style="4" bestFit="1" customWidth="1"/>
    <col min="15" max="17" width="5.5703125" style="4" bestFit="1" customWidth="1"/>
    <col min="18" max="18" width="4.85546875" style="4" bestFit="1" customWidth="1"/>
    <col min="19" max="19" width="7.85546875" style="5" bestFit="1" customWidth="1"/>
    <col min="20" max="20" width="8.5703125" style="4" bestFit="1" customWidth="1"/>
    <col min="21" max="21" width="8.85546875" style="5" bestFit="1" customWidth="1"/>
    <col min="22" max="16384" width="9.140625" style="4"/>
  </cols>
  <sheetData>
    <row r="1" spans="1:21" s="3" customFormat="1" ht="29.1" customHeight="1">
      <c r="A1" s="39" t="s">
        <v>879</v>
      </c>
      <c r="B1" s="40"/>
      <c r="C1" s="40"/>
      <c r="D1" s="40"/>
      <c r="E1" s="40"/>
      <c r="F1" s="40"/>
      <c r="G1" s="40"/>
      <c r="H1" s="40"/>
      <c r="I1" s="40"/>
      <c r="J1" s="40"/>
      <c r="K1" s="40"/>
      <c r="L1" s="40"/>
      <c r="M1" s="40"/>
      <c r="N1" s="40"/>
      <c r="O1" s="40"/>
      <c r="P1" s="40"/>
      <c r="Q1" s="40"/>
      <c r="R1" s="40"/>
      <c r="S1" s="40"/>
      <c r="T1" s="40"/>
      <c r="U1" s="41"/>
    </row>
    <row r="2" spans="1:21" s="3" customFormat="1" ht="62.1" customHeight="1" thickBot="1">
      <c r="A2" s="42"/>
      <c r="B2" s="43"/>
      <c r="C2" s="43"/>
      <c r="D2" s="43"/>
      <c r="E2" s="43"/>
      <c r="F2" s="43"/>
      <c r="G2" s="43"/>
      <c r="H2" s="43"/>
      <c r="I2" s="43"/>
      <c r="J2" s="43"/>
      <c r="K2" s="43"/>
      <c r="L2" s="43"/>
      <c r="M2" s="43"/>
      <c r="N2" s="43"/>
      <c r="O2" s="43"/>
      <c r="P2" s="43"/>
      <c r="Q2" s="43"/>
      <c r="R2" s="43"/>
      <c r="S2" s="43"/>
      <c r="T2" s="43"/>
      <c r="U2" s="44"/>
    </row>
    <row r="3" spans="1:21" s="1" customFormat="1" ht="12.75" customHeight="1">
      <c r="A3" s="32" t="s">
        <v>0</v>
      </c>
      <c r="B3" s="34" t="s">
        <v>9</v>
      </c>
      <c r="C3" s="34" t="s">
        <v>11</v>
      </c>
      <c r="D3" s="36" t="s">
        <v>12</v>
      </c>
      <c r="E3" s="36" t="s">
        <v>7</v>
      </c>
      <c r="F3" s="36" t="s">
        <v>10</v>
      </c>
      <c r="G3" s="36" t="s">
        <v>1</v>
      </c>
      <c r="H3" s="36"/>
      <c r="I3" s="36"/>
      <c r="J3" s="36"/>
      <c r="K3" s="36" t="s">
        <v>2</v>
      </c>
      <c r="L3" s="36"/>
      <c r="M3" s="36"/>
      <c r="N3" s="36"/>
      <c r="O3" s="36" t="s">
        <v>3</v>
      </c>
      <c r="P3" s="36"/>
      <c r="Q3" s="36"/>
      <c r="R3" s="36"/>
      <c r="S3" s="36" t="s">
        <v>4</v>
      </c>
      <c r="T3" s="36" t="s">
        <v>6</v>
      </c>
      <c r="U3" s="37" t="s">
        <v>5</v>
      </c>
    </row>
    <row r="4" spans="1:21" s="1" customFormat="1" ht="21" customHeight="1" thickBot="1">
      <c r="A4" s="33"/>
      <c r="B4" s="35"/>
      <c r="C4" s="35"/>
      <c r="D4" s="35"/>
      <c r="E4" s="35"/>
      <c r="F4" s="35"/>
      <c r="G4" s="2">
        <v>1</v>
      </c>
      <c r="H4" s="2">
        <v>2</v>
      </c>
      <c r="I4" s="2">
        <v>3</v>
      </c>
      <c r="J4" s="2" t="s">
        <v>8</v>
      </c>
      <c r="K4" s="2">
        <v>1</v>
      </c>
      <c r="L4" s="2">
        <v>2</v>
      </c>
      <c r="M4" s="2">
        <v>3</v>
      </c>
      <c r="N4" s="2" t="s">
        <v>8</v>
      </c>
      <c r="O4" s="2">
        <v>1</v>
      </c>
      <c r="P4" s="2">
        <v>2</v>
      </c>
      <c r="Q4" s="2">
        <v>3</v>
      </c>
      <c r="R4" s="2" t="s">
        <v>8</v>
      </c>
      <c r="S4" s="35"/>
      <c r="T4" s="35"/>
      <c r="U4" s="38"/>
    </row>
    <row r="5" spans="1:21" ht="15">
      <c r="A5" s="45" t="s">
        <v>395</v>
      </c>
      <c r="B5" s="45"/>
      <c r="C5" s="45"/>
      <c r="D5" s="45"/>
      <c r="E5" s="45"/>
      <c r="F5" s="45"/>
      <c r="G5" s="45"/>
      <c r="H5" s="45"/>
      <c r="I5" s="45"/>
      <c r="J5" s="45"/>
      <c r="K5" s="45"/>
      <c r="L5" s="45"/>
      <c r="M5" s="45"/>
      <c r="N5" s="45"/>
      <c r="O5" s="45"/>
      <c r="P5" s="45"/>
      <c r="Q5" s="45"/>
      <c r="R5" s="45"/>
      <c r="S5" s="45"/>
      <c r="T5" s="45"/>
    </row>
    <row r="6" spans="1:21">
      <c r="A6" s="6" t="s">
        <v>816</v>
      </c>
      <c r="B6" s="6" t="s">
        <v>817</v>
      </c>
      <c r="C6" s="6" t="s">
        <v>818</v>
      </c>
      <c r="D6" s="6" t="str">
        <f>"1,1938"</f>
        <v>1,1938</v>
      </c>
      <c r="E6" s="6" t="s">
        <v>141</v>
      </c>
      <c r="F6" s="6" t="s">
        <v>19</v>
      </c>
      <c r="G6" s="7" t="s">
        <v>21</v>
      </c>
      <c r="H6" s="7" t="s">
        <v>292</v>
      </c>
      <c r="I6" s="8" t="s">
        <v>22</v>
      </c>
      <c r="J6" s="8"/>
      <c r="K6" s="7" t="s">
        <v>819</v>
      </c>
      <c r="L6" s="7" t="s">
        <v>820</v>
      </c>
      <c r="M6" s="8" t="s">
        <v>304</v>
      </c>
      <c r="N6" s="8"/>
      <c r="O6" s="7" t="s">
        <v>21</v>
      </c>
      <c r="P6" s="8" t="s">
        <v>292</v>
      </c>
      <c r="Q6" s="7" t="s">
        <v>22</v>
      </c>
      <c r="R6" s="7" t="s">
        <v>302</v>
      </c>
      <c r="S6" s="6" t="str">
        <f>"150,0"</f>
        <v>150,0</v>
      </c>
      <c r="T6" s="7" t="str">
        <f>"220,2561"</f>
        <v>220,2561</v>
      </c>
      <c r="U6" s="6" t="s">
        <v>27</v>
      </c>
    </row>
    <row r="8" spans="1:21" ht="15">
      <c r="A8" s="46" t="s">
        <v>136</v>
      </c>
      <c r="B8" s="46"/>
      <c r="C8" s="46"/>
      <c r="D8" s="46"/>
      <c r="E8" s="46"/>
      <c r="F8" s="46"/>
      <c r="G8" s="46"/>
      <c r="H8" s="46"/>
      <c r="I8" s="46"/>
      <c r="J8" s="46"/>
      <c r="K8" s="46"/>
      <c r="L8" s="46"/>
      <c r="M8" s="46"/>
      <c r="N8" s="46"/>
      <c r="O8" s="46"/>
      <c r="P8" s="46"/>
      <c r="Q8" s="46"/>
      <c r="R8" s="46"/>
      <c r="S8" s="46"/>
      <c r="T8" s="46"/>
    </row>
    <row r="9" spans="1:21">
      <c r="A9" s="17" t="s">
        <v>822</v>
      </c>
      <c r="B9" s="17" t="s">
        <v>823</v>
      </c>
      <c r="C9" s="17" t="s">
        <v>824</v>
      </c>
      <c r="D9" s="17" t="str">
        <f>"0,5540"</f>
        <v>0,5540</v>
      </c>
      <c r="E9" s="17" t="s">
        <v>141</v>
      </c>
      <c r="F9" s="17" t="s">
        <v>19</v>
      </c>
      <c r="G9" s="19" t="s">
        <v>34</v>
      </c>
      <c r="H9" s="19" t="s">
        <v>35</v>
      </c>
      <c r="I9" s="19" t="s">
        <v>208</v>
      </c>
      <c r="J9" s="18"/>
      <c r="K9" s="19" t="s">
        <v>142</v>
      </c>
      <c r="L9" s="19" t="s">
        <v>265</v>
      </c>
      <c r="M9" s="18" t="s">
        <v>103</v>
      </c>
      <c r="N9" s="18"/>
      <c r="O9" s="19" t="s">
        <v>59</v>
      </c>
      <c r="P9" s="19" t="s">
        <v>320</v>
      </c>
      <c r="Q9" s="19" t="s">
        <v>148</v>
      </c>
      <c r="R9" s="18"/>
      <c r="S9" s="17" t="str">
        <f>"605,0"</f>
        <v>605,0</v>
      </c>
      <c r="T9" s="19" t="str">
        <f>"351,2582"</f>
        <v>351,2582</v>
      </c>
      <c r="U9" s="17" t="s">
        <v>27</v>
      </c>
    </row>
    <row r="10" spans="1:21">
      <c r="A10" s="20" t="s">
        <v>826</v>
      </c>
      <c r="B10" s="20" t="s">
        <v>827</v>
      </c>
      <c r="C10" s="20" t="s">
        <v>828</v>
      </c>
      <c r="D10" s="20" t="str">
        <f>"0,5613"</f>
        <v>0,5613</v>
      </c>
      <c r="E10" s="20" t="s">
        <v>486</v>
      </c>
      <c r="F10" s="20" t="s">
        <v>829</v>
      </c>
      <c r="G10" s="21" t="s">
        <v>35</v>
      </c>
      <c r="H10" s="22" t="s">
        <v>35</v>
      </c>
      <c r="I10" s="21" t="s">
        <v>39</v>
      </c>
      <c r="J10" s="21"/>
      <c r="K10" s="22" t="s">
        <v>97</v>
      </c>
      <c r="L10" s="21" t="s">
        <v>731</v>
      </c>
      <c r="M10" s="21" t="s">
        <v>731</v>
      </c>
      <c r="N10" s="21"/>
      <c r="O10" s="22" t="s">
        <v>208</v>
      </c>
      <c r="P10" s="22" t="s">
        <v>142</v>
      </c>
      <c r="Q10" s="21"/>
      <c r="R10" s="21"/>
      <c r="S10" s="20" t="str">
        <f>"515,0"</f>
        <v>515,0</v>
      </c>
      <c r="T10" s="22" t="str">
        <f>"413,3694"</f>
        <v>413,3694</v>
      </c>
      <c r="U10" s="20" t="s">
        <v>27</v>
      </c>
    </row>
    <row r="12" spans="1:21" ht="15">
      <c r="E12" s="9" t="s">
        <v>40</v>
      </c>
      <c r="F12" s="26" t="s">
        <v>847</v>
      </c>
    </row>
    <row r="13" spans="1:21" ht="15">
      <c r="E13" s="9" t="s">
        <v>41</v>
      </c>
      <c r="F13" s="26" t="s">
        <v>848</v>
      </c>
    </row>
    <row r="14" spans="1:21" ht="15">
      <c r="E14" s="9" t="s">
        <v>42</v>
      </c>
      <c r="F14" s="26" t="s">
        <v>849</v>
      </c>
    </row>
    <row r="15" spans="1:21" ht="15">
      <c r="E15" s="9" t="s">
        <v>43</v>
      </c>
      <c r="F15" s="26" t="s">
        <v>850</v>
      </c>
    </row>
    <row r="16" spans="1:21" ht="15">
      <c r="E16" s="9" t="s">
        <v>43</v>
      </c>
      <c r="F16" s="26" t="s">
        <v>851</v>
      </c>
    </row>
    <row r="17" spans="1:6" ht="15">
      <c r="E17" s="9" t="s">
        <v>44</v>
      </c>
      <c r="F17" s="26" t="s">
        <v>852</v>
      </c>
    </row>
    <row r="18" spans="1:6" ht="15">
      <c r="E18" s="9"/>
    </row>
    <row r="20" spans="1:6" ht="18">
      <c r="A20" s="10" t="s">
        <v>45</v>
      </c>
      <c r="B20" s="10"/>
    </row>
    <row r="21" spans="1:6" ht="15">
      <c r="A21" s="11" t="s">
        <v>81</v>
      </c>
      <c r="B21" s="11"/>
    </row>
    <row r="22" spans="1:6" ht="14.25">
      <c r="A22" s="13"/>
      <c r="B22" s="14" t="s">
        <v>82</v>
      </c>
    </row>
    <row r="23" spans="1:6" ht="15">
      <c r="A23" s="15" t="s">
        <v>48</v>
      </c>
      <c r="B23" s="15" t="s">
        <v>49</v>
      </c>
      <c r="C23" s="15" t="s">
        <v>50</v>
      </c>
      <c r="D23" s="15" t="s">
        <v>51</v>
      </c>
      <c r="E23" s="15" t="s">
        <v>52</v>
      </c>
    </row>
    <row r="24" spans="1:6">
      <c r="A24" s="12" t="s">
        <v>815</v>
      </c>
      <c r="B24" s="5" t="s">
        <v>83</v>
      </c>
      <c r="C24" s="5" t="s">
        <v>624</v>
      </c>
      <c r="D24" s="5" t="s">
        <v>97</v>
      </c>
      <c r="E24" s="16" t="s">
        <v>830</v>
      </c>
    </row>
    <row r="27" spans="1:6" ht="15">
      <c r="A27" s="11" t="s">
        <v>46</v>
      </c>
      <c r="B27" s="11"/>
    </row>
    <row r="28" spans="1:6" ht="14.25">
      <c r="A28" s="13"/>
      <c r="B28" s="14" t="s">
        <v>86</v>
      </c>
    </row>
    <row r="29" spans="1:6" ht="15">
      <c r="A29" s="15" t="s">
        <v>48</v>
      </c>
      <c r="B29" s="15" t="s">
        <v>49</v>
      </c>
      <c r="C29" s="15" t="s">
        <v>50</v>
      </c>
      <c r="D29" s="15" t="s">
        <v>51</v>
      </c>
      <c r="E29" s="15" t="s">
        <v>52</v>
      </c>
    </row>
    <row r="30" spans="1:6">
      <c r="A30" s="12" t="s">
        <v>825</v>
      </c>
      <c r="B30" s="5" t="s">
        <v>383</v>
      </c>
      <c r="C30" s="5" t="s">
        <v>36</v>
      </c>
      <c r="D30" s="5" t="s">
        <v>831</v>
      </c>
      <c r="E30" s="16" t="s">
        <v>832</v>
      </c>
    </row>
    <row r="31" spans="1:6">
      <c r="A31" s="12" t="s">
        <v>821</v>
      </c>
      <c r="B31" s="5" t="s">
        <v>167</v>
      </c>
      <c r="C31" s="5" t="s">
        <v>36</v>
      </c>
      <c r="D31" s="5" t="s">
        <v>833</v>
      </c>
      <c r="E31" s="16" t="s">
        <v>834</v>
      </c>
    </row>
    <row r="36" spans="1:3" ht="18">
      <c r="A36" s="10" t="s">
        <v>61</v>
      </c>
      <c r="B36" s="10"/>
    </row>
    <row r="37" spans="1:3" ht="15">
      <c r="A37" s="15" t="s">
        <v>62</v>
      </c>
      <c r="B37" s="15" t="s">
        <v>63</v>
      </c>
      <c r="C37" s="15" t="s">
        <v>64</v>
      </c>
    </row>
    <row r="38" spans="1:3">
      <c r="A38" s="5" t="s">
        <v>141</v>
      </c>
      <c r="B38" s="5" t="s">
        <v>65</v>
      </c>
      <c r="C38" s="5" t="s">
        <v>835</v>
      </c>
    </row>
    <row r="39" spans="1:3">
      <c r="A39" s="5" t="s">
        <v>486</v>
      </c>
      <c r="B39" s="5" t="s">
        <v>109</v>
      </c>
      <c r="C39" s="5" t="s">
        <v>836</v>
      </c>
    </row>
  </sheetData>
  <mergeCells count="15">
    <mergeCell ref="F3:F4"/>
    <mergeCell ref="G3:J3"/>
    <mergeCell ref="K3:N3"/>
    <mergeCell ref="O3:R3"/>
    <mergeCell ref="S3:S4"/>
    <mergeCell ref="T3:T4"/>
    <mergeCell ref="U3:U4"/>
    <mergeCell ref="A5:T5"/>
    <mergeCell ref="A8:T8"/>
    <mergeCell ref="A1:U2"/>
    <mergeCell ref="A3:A4"/>
    <mergeCell ref="B3:B4"/>
    <mergeCell ref="C3:C4"/>
    <mergeCell ref="D3:D4"/>
    <mergeCell ref="E3:E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42"/>
  <sheetViews>
    <sheetView workbookViewId="0">
      <selection sqref="A1:M2"/>
    </sheetView>
  </sheetViews>
  <sheetFormatPr defaultRowHeight="12.75"/>
  <cols>
    <col min="1" max="1" width="31.85546875" style="5" bestFit="1" customWidth="1"/>
    <col min="2" max="2" width="27.7109375" style="5" bestFit="1" customWidth="1"/>
    <col min="3" max="3" width="23.1406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878</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3</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67</v>
      </c>
      <c r="B5" s="45"/>
      <c r="C5" s="45"/>
      <c r="D5" s="45"/>
      <c r="E5" s="45"/>
      <c r="F5" s="45"/>
      <c r="G5" s="45"/>
      <c r="H5" s="45"/>
      <c r="I5" s="45"/>
      <c r="J5" s="45"/>
      <c r="K5" s="45"/>
      <c r="L5" s="45"/>
    </row>
    <row r="6" spans="1:13">
      <c r="A6" s="6" t="s">
        <v>806</v>
      </c>
      <c r="B6" s="6" t="s">
        <v>807</v>
      </c>
      <c r="C6" s="6" t="s">
        <v>808</v>
      </c>
      <c r="D6" s="6" t="str">
        <f>"0,9778"</f>
        <v>0,9778</v>
      </c>
      <c r="E6" s="6" t="s">
        <v>95</v>
      </c>
      <c r="F6" s="6" t="s">
        <v>96</v>
      </c>
      <c r="G6" s="7" t="s">
        <v>98</v>
      </c>
      <c r="H6" s="8" t="s">
        <v>731</v>
      </c>
      <c r="I6" s="8" t="s">
        <v>731</v>
      </c>
      <c r="J6" s="8"/>
      <c r="K6" s="6" t="str">
        <f>"155,0"</f>
        <v>155,0</v>
      </c>
      <c r="L6" s="7" t="str">
        <f>"151,5590"</f>
        <v>151,5590</v>
      </c>
      <c r="M6" s="6" t="s">
        <v>27</v>
      </c>
    </row>
    <row r="8" spans="1:13" ht="15">
      <c r="A8" s="46" t="s">
        <v>28</v>
      </c>
      <c r="B8" s="46"/>
      <c r="C8" s="46"/>
      <c r="D8" s="46"/>
      <c r="E8" s="46"/>
      <c r="F8" s="46"/>
      <c r="G8" s="46"/>
      <c r="H8" s="46"/>
      <c r="I8" s="46"/>
      <c r="J8" s="46"/>
      <c r="K8" s="46"/>
      <c r="L8" s="46"/>
    </row>
    <row r="9" spans="1:13">
      <c r="A9" s="27" t="s">
        <v>853</v>
      </c>
      <c r="B9" s="6" t="s">
        <v>785</v>
      </c>
      <c r="C9" s="6" t="s">
        <v>786</v>
      </c>
      <c r="D9" s="6" t="str">
        <f>"0,6394"</f>
        <v>0,6394</v>
      </c>
      <c r="E9" s="6" t="s">
        <v>141</v>
      </c>
      <c r="F9" s="6" t="s">
        <v>19</v>
      </c>
      <c r="G9" s="7" t="s">
        <v>320</v>
      </c>
      <c r="H9" s="7" t="s">
        <v>148</v>
      </c>
      <c r="I9" s="7" t="s">
        <v>809</v>
      </c>
      <c r="J9" s="8"/>
      <c r="K9" s="6" t="str">
        <f>"227,5"</f>
        <v>227,5</v>
      </c>
      <c r="L9" s="7" t="str">
        <f>"151,2820"</f>
        <v>151,2820</v>
      </c>
      <c r="M9" s="6" t="s">
        <v>27</v>
      </c>
    </row>
    <row r="11" spans="1:13" ht="15">
      <c r="A11" s="46" t="s">
        <v>74</v>
      </c>
      <c r="B11" s="46"/>
      <c r="C11" s="46"/>
      <c r="D11" s="46"/>
      <c r="E11" s="46"/>
      <c r="F11" s="46"/>
      <c r="G11" s="46"/>
      <c r="H11" s="46"/>
      <c r="I11" s="46"/>
      <c r="J11" s="46"/>
      <c r="K11" s="46"/>
      <c r="L11" s="46"/>
    </row>
    <row r="12" spans="1:13">
      <c r="A12" s="6" t="s">
        <v>516</v>
      </c>
      <c r="B12" s="6" t="s">
        <v>517</v>
      </c>
      <c r="C12" s="6" t="s">
        <v>518</v>
      </c>
      <c r="D12" s="6" t="str">
        <f>"0,5881"</f>
        <v>0,5881</v>
      </c>
      <c r="E12" s="6" t="s">
        <v>18</v>
      </c>
      <c r="F12" s="6" t="s">
        <v>519</v>
      </c>
      <c r="G12" s="7" t="s">
        <v>101</v>
      </c>
      <c r="H12" s="7" t="s">
        <v>319</v>
      </c>
      <c r="I12" s="7" t="s">
        <v>97</v>
      </c>
      <c r="J12" s="8"/>
      <c r="K12" s="6" t="str">
        <f>"150,0"</f>
        <v>150,0</v>
      </c>
      <c r="L12" s="7" t="str">
        <f>"104,0937"</f>
        <v>104,0937</v>
      </c>
      <c r="M12" s="6" t="s">
        <v>27</v>
      </c>
    </row>
    <row r="14" spans="1:13" ht="15">
      <c r="E14" s="9" t="s">
        <v>40</v>
      </c>
      <c r="F14" s="26" t="s">
        <v>847</v>
      </c>
    </row>
    <row r="15" spans="1:13" ht="15">
      <c r="E15" s="9" t="s">
        <v>41</v>
      </c>
      <c r="F15" s="26" t="s">
        <v>848</v>
      </c>
    </row>
    <row r="16" spans="1:13" ht="15">
      <c r="E16" s="9" t="s">
        <v>42</v>
      </c>
      <c r="F16" s="26" t="s">
        <v>849</v>
      </c>
    </row>
    <row r="17" spans="1:6" ht="15">
      <c r="E17" s="9" t="s">
        <v>43</v>
      </c>
      <c r="F17" s="26" t="s">
        <v>850</v>
      </c>
    </row>
    <row r="18" spans="1:6" ht="15">
      <c r="E18" s="9" t="s">
        <v>43</v>
      </c>
      <c r="F18" s="26" t="s">
        <v>851</v>
      </c>
    </row>
    <row r="19" spans="1:6" ht="15">
      <c r="E19" s="9" t="s">
        <v>44</v>
      </c>
      <c r="F19" s="26" t="s">
        <v>852</v>
      </c>
    </row>
    <row r="20" spans="1:6" ht="15">
      <c r="E20" s="9"/>
    </row>
    <row r="22" spans="1:6" ht="18">
      <c r="A22" s="10" t="s">
        <v>45</v>
      </c>
      <c r="B22" s="10"/>
    </row>
    <row r="23" spans="1:6" ht="15">
      <c r="A23" s="11" t="s">
        <v>81</v>
      </c>
      <c r="B23" s="11"/>
    </row>
    <row r="24" spans="1:6" ht="14.25">
      <c r="A24" s="13"/>
      <c r="B24" s="14" t="s">
        <v>57</v>
      </c>
    </row>
    <row r="25" spans="1:6" ht="15">
      <c r="A25" s="15" t="s">
        <v>48</v>
      </c>
      <c r="B25" s="15" t="s">
        <v>49</v>
      </c>
      <c r="C25" s="15" t="s">
        <v>50</v>
      </c>
      <c r="D25" s="15" t="s">
        <v>51</v>
      </c>
      <c r="E25" s="15" t="s">
        <v>52</v>
      </c>
    </row>
    <row r="26" spans="1:6">
      <c r="A26" s="12" t="s">
        <v>805</v>
      </c>
      <c r="B26" s="5" t="s">
        <v>57</v>
      </c>
      <c r="C26" s="5" t="s">
        <v>84</v>
      </c>
      <c r="D26" s="5" t="s">
        <v>98</v>
      </c>
      <c r="E26" s="16" t="s">
        <v>810</v>
      </c>
    </row>
    <row r="29" spans="1:6" ht="15">
      <c r="A29" s="11" t="s">
        <v>46</v>
      </c>
      <c r="B29" s="11"/>
    </row>
    <row r="30" spans="1:6" ht="14.25">
      <c r="A30" s="13"/>
      <c r="B30" s="14" t="s">
        <v>47</v>
      </c>
    </row>
    <row r="31" spans="1:6" ht="15">
      <c r="A31" s="15" t="s">
        <v>48</v>
      </c>
      <c r="B31" s="15" t="s">
        <v>49</v>
      </c>
      <c r="C31" s="15" t="s">
        <v>50</v>
      </c>
      <c r="D31" s="15" t="s">
        <v>51</v>
      </c>
      <c r="E31" s="15" t="s">
        <v>52</v>
      </c>
    </row>
    <row r="32" spans="1:6">
      <c r="A32" s="28" t="s">
        <v>854</v>
      </c>
      <c r="B32" s="5" t="s">
        <v>53</v>
      </c>
      <c r="C32" s="5" t="s">
        <v>54</v>
      </c>
      <c r="D32" s="5" t="s">
        <v>809</v>
      </c>
      <c r="E32" s="16" t="s">
        <v>811</v>
      </c>
    </row>
    <row r="33" spans="1:5">
      <c r="A33" s="12" t="s">
        <v>515</v>
      </c>
      <c r="B33" s="5" t="s">
        <v>83</v>
      </c>
      <c r="C33" s="5" t="s">
        <v>25</v>
      </c>
      <c r="D33" s="5" t="s">
        <v>97</v>
      </c>
      <c r="E33" s="16" t="s">
        <v>812</v>
      </c>
    </row>
    <row r="38" spans="1:5" ht="18">
      <c r="A38" s="10" t="s">
        <v>61</v>
      </c>
      <c r="B38" s="10"/>
    </row>
    <row r="39" spans="1:5" ht="15">
      <c r="A39" s="15" t="s">
        <v>62</v>
      </c>
      <c r="B39" s="15" t="s">
        <v>63</v>
      </c>
      <c r="C39" s="15" t="s">
        <v>64</v>
      </c>
    </row>
    <row r="40" spans="1:5">
      <c r="A40" s="5" t="s">
        <v>141</v>
      </c>
      <c r="B40" s="5" t="s">
        <v>109</v>
      </c>
      <c r="C40" s="26" t="s">
        <v>854</v>
      </c>
    </row>
    <row r="41" spans="1:5">
      <c r="A41" s="5" t="s">
        <v>18</v>
      </c>
      <c r="B41" s="5" t="s">
        <v>109</v>
      </c>
      <c r="C41" s="5" t="s">
        <v>813</v>
      </c>
    </row>
    <row r="42" spans="1:5">
      <c r="A42" s="5" t="s">
        <v>95</v>
      </c>
      <c r="B42" s="5" t="s">
        <v>109</v>
      </c>
      <c r="C42" s="5" t="s">
        <v>814</v>
      </c>
    </row>
  </sheetData>
  <mergeCells count="14">
    <mergeCell ref="F3:F4"/>
    <mergeCell ref="G3:J3"/>
    <mergeCell ref="K3:K4"/>
    <mergeCell ref="L3:L4"/>
    <mergeCell ref="M3:M4"/>
    <mergeCell ref="A5:L5"/>
    <mergeCell ref="A8:L8"/>
    <mergeCell ref="A11:L11"/>
    <mergeCell ref="A1:M2"/>
    <mergeCell ref="A3:A4"/>
    <mergeCell ref="B3:B4"/>
    <mergeCell ref="C3:C4"/>
    <mergeCell ref="D3:D4"/>
    <mergeCell ref="E3:E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37"/>
  <sheetViews>
    <sheetView workbookViewId="0">
      <selection sqref="A1:M2"/>
    </sheetView>
  </sheetViews>
  <sheetFormatPr defaultRowHeight="12.75"/>
  <cols>
    <col min="1" max="1" width="31.85546875" style="5" bestFit="1" customWidth="1"/>
    <col min="2" max="2" width="22.85546875" style="5" bestFit="1" customWidth="1"/>
    <col min="3" max="3" width="18.85546875" style="5" bestFit="1" customWidth="1"/>
    <col min="4" max="4" width="9.28515625" style="5" bestFit="1" customWidth="1"/>
    <col min="5" max="5" width="22.7109375" style="5" bestFit="1" customWidth="1"/>
    <col min="6" max="6" width="21.7109375" style="5"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877</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1</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67</v>
      </c>
      <c r="B5" s="45"/>
      <c r="C5" s="45"/>
      <c r="D5" s="45"/>
      <c r="E5" s="45"/>
      <c r="F5" s="45"/>
      <c r="G5" s="45"/>
      <c r="H5" s="45"/>
      <c r="I5" s="45"/>
      <c r="J5" s="45"/>
      <c r="K5" s="45"/>
      <c r="L5" s="45"/>
    </row>
    <row r="6" spans="1:13">
      <c r="A6" s="6" t="s">
        <v>699</v>
      </c>
      <c r="B6" s="6" t="s">
        <v>285</v>
      </c>
      <c r="C6" s="6" t="s">
        <v>286</v>
      </c>
      <c r="D6" s="6" t="str">
        <f>"0,9927"</f>
        <v>0,9927</v>
      </c>
      <c r="E6" s="6" t="s">
        <v>95</v>
      </c>
      <c r="F6" s="6" t="s">
        <v>96</v>
      </c>
      <c r="G6" s="7" t="s">
        <v>117</v>
      </c>
      <c r="H6" s="8"/>
      <c r="I6" s="8"/>
      <c r="J6" s="8"/>
      <c r="K6" s="6" t="str">
        <f>"110,0"</f>
        <v>110,0</v>
      </c>
      <c r="L6" s="7" t="str">
        <f>"109,1970"</f>
        <v>109,1970</v>
      </c>
      <c r="M6" s="6" t="s">
        <v>27</v>
      </c>
    </row>
    <row r="8" spans="1:13" ht="15">
      <c r="A8" s="46" t="s">
        <v>74</v>
      </c>
      <c r="B8" s="46"/>
      <c r="C8" s="46"/>
      <c r="D8" s="46"/>
      <c r="E8" s="46"/>
      <c r="F8" s="46"/>
      <c r="G8" s="46"/>
      <c r="H8" s="46"/>
      <c r="I8" s="46"/>
      <c r="J8" s="46"/>
      <c r="K8" s="46"/>
      <c r="L8" s="46"/>
    </row>
    <row r="9" spans="1:13">
      <c r="A9" s="6" t="s">
        <v>800</v>
      </c>
      <c r="B9" s="6" t="s">
        <v>547</v>
      </c>
      <c r="C9" s="6" t="s">
        <v>548</v>
      </c>
      <c r="D9" s="6" t="str">
        <f>"0,6018"</f>
        <v>0,6018</v>
      </c>
      <c r="E9" s="6" t="s">
        <v>18</v>
      </c>
      <c r="F9" s="6" t="s">
        <v>549</v>
      </c>
      <c r="G9" s="7" t="s">
        <v>135</v>
      </c>
      <c r="H9" s="8" t="s">
        <v>208</v>
      </c>
      <c r="I9" s="8" t="s">
        <v>208</v>
      </c>
      <c r="J9" s="8"/>
      <c r="K9" s="6" t="str">
        <f>"175,0"</f>
        <v>175,0</v>
      </c>
      <c r="L9" s="7" t="str">
        <f>"105,3150"</f>
        <v>105,3150</v>
      </c>
      <c r="M9" s="6" t="s">
        <v>27</v>
      </c>
    </row>
    <row r="11" spans="1:13" ht="15">
      <c r="E11" s="9" t="s">
        <v>40</v>
      </c>
      <c r="F11" s="26" t="s">
        <v>847</v>
      </c>
    </row>
    <row r="12" spans="1:13" ht="15">
      <c r="E12" s="9" t="s">
        <v>41</v>
      </c>
      <c r="F12" s="26" t="s">
        <v>848</v>
      </c>
    </row>
    <row r="13" spans="1:13" ht="15">
      <c r="E13" s="9" t="s">
        <v>42</v>
      </c>
      <c r="F13" s="26" t="s">
        <v>849</v>
      </c>
    </row>
    <row r="14" spans="1:13" ht="15">
      <c r="E14" s="9" t="s">
        <v>43</v>
      </c>
      <c r="F14" s="26" t="s">
        <v>850</v>
      </c>
    </row>
    <row r="15" spans="1:13" ht="15">
      <c r="E15" s="9" t="s">
        <v>43</v>
      </c>
      <c r="F15" s="26" t="s">
        <v>851</v>
      </c>
    </row>
    <row r="16" spans="1:13" ht="15">
      <c r="E16" s="9" t="s">
        <v>44</v>
      </c>
      <c r="F16" s="26" t="s">
        <v>852</v>
      </c>
    </row>
    <row r="17" spans="1:5" ht="15">
      <c r="E17" s="9"/>
    </row>
    <row r="19" spans="1:5" ht="18">
      <c r="A19" s="10" t="s">
        <v>45</v>
      </c>
      <c r="B19" s="10"/>
    </row>
    <row r="20" spans="1:5" ht="15">
      <c r="A20" s="11" t="s">
        <v>81</v>
      </c>
      <c r="B20" s="11"/>
    </row>
    <row r="21" spans="1:5" ht="14.25">
      <c r="A21" s="13"/>
      <c r="B21" s="14" t="s">
        <v>57</v>
      </c>
    </row>
    <row r="22" spans="1:5" ht="15">
      <c r="A22" s="15" t="s">
        <v>48</v>
      </c>
      <c r="B22" s="15" t="s">
        <v>49</v>
      </c>
      <c r="C22" s="15" t="s">
        <v>50</v>
      </c>
      <c r="D22" s="15" t="s">
        <v>51</v>
      </c>
      <c r="E22" s="15" t="s">
        <v>52</v>
      </c>
    </row>
    <row r="23" spans="1:5">
      <c r="A23" s="12" t="s">
        <v>283</v>
      </c>
      <c r="B23" s="5" t="s">
        <v>57</v>
      </c>
      <c r="C23" s="5" t="s">
        <v>84</v>
      </c>
      <c r="D23" s="5" t="s">
        <v>117</v>
      </c>
      <c r="E23" s="16" t="s">
        <v>801</v>
      </c>
    </row>
    <row r="26" spans="1:5" ht="15">
      <c r="A26" s="11" t="s">
        <v>46</v>
      </c>
      <c r="B26" s="11"/>
    </row>
    <row r="27" spans="1:5" ht="14.25">
      <c r="A27" s="13"/>
      <c r="B27" s="14" t="s">
        <v>57</v>
      </c>
    </row>
    <row r="28" spans="1:5" ht="15">
      <c r="A28" s="15" t="s">
        <v>48</v>
      </c>
      <c r="B28" s="15" t="s">
        <v>49</v>
      </c>
      <c r="C28" s="15" t="s">
        <v>50</v>
      </c>
      <c r="D28" s="15" t="s">
        <v>51</v>
      </c>
      <c r="E28" s="15" t="s">
        <v>52</v>
      </c>
    </row>
    <row r="29" spans="1:5">
      <c r="A29" s="12" t="s">
        <v>545</v>
      </c>
      <c r="B29" s="5" t="s">
        <v>57</v>
      </c>
      <c r="C29" s="5" t="s">
        <v>25</v>
      </c>
      <c r="D29" s="5" t="s">
        <v>135</v>
      </c>
      <c r="E29" s="16" t="s">
        <v>802</v>
      </c>
    </row>
    <row r="34" spans="1:3" ht="18">
      <c r="A34" s="10" t="s">
        <v>61</v>
      </c>
      <c r="B34" s="10"/>
    </row>
    <row r="35" spans="1:3" ht="15">
      <c r="A35" s="15" t="s">
        <v>62</v>
      </c>
      <c r="B35" s="15" t="s">
        <v>63</v>
      </c>
      <c r="C35" s="15" t="s">
        <v>64</v>
      </c>
    </row>
    <row r="36" spans="1:3">
      <c r="A36" s="5" t="s">
        <v>18</v>
      </c>
      <c r="B36" s="5" t="s">
        <v>109</v>
      </c>
      <c r="C36" s="5" t="s">
        <v>803</v>
      </c>
    </row>
    <row r="37" spans="1:3">
      <c r="A37" s="5" t="s">
        <v>95</v>
      </c>
      <c r="B37" s="5" t="s">
        <v>109</v>
      </c>
      <c r="C37" s="5" t="s">
        <v>804</v>
      </c>
    </row>
  </sheetData>
  <mergeCells count="13">
    <mergeCell ref="K3:K4"/>
    <mergeCell ref="L3:L4"/>
    <mergeCell ref="M3:M4"/>
    <mergeCell ref="A5:L5"/>
    <mergeCell ref="A8:L8"/>
    <mergeCell ref="A1:M2"/>
    <mergeCell ref="A3:A4"/>
    <mergeCell ref="B3:B4"/>
    <mergeCell ref="C3:C4"/>
    <mergeCell ref="D3:D4"/>
    <mergeCell ref="E3:E4"/>
    <mergeCell ref="F3:F4"/>
    <mergeCell ref="G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47"/>
  <sheetViews>
    <sheetView workbookViewId="0">
      <selection sqref="A1:M2"/>
    </sheetView>
  </sheetViews>
  <sheetFormatPr defaultRowHeight="12.75"/>
  <cols>
    <col min="1" max="1" width="31.85546875" style="5" bestFit="1" customWidth="1"/>
    <col min="2" max="2" width="28.5703125" style="5" bestFit="1" customWidth="1"/>
    <col min="3" max="3" width="39.42578125" style="5" bestFit="1" customWidth="1"/>
    <col min="4" max="4" width="9.28515625" style="5" bestFit="1" customWidth="1"/>
    <col min="5" max="5" width="22.7109375" style="5" bestFit="1" customWidth="1"/>
    <col min="6" max="6" width="30.2851562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876</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119</v>
      </c>
      <c r="B5" s="45"/>
      <c r="C5" s="45"/>
      <c r="D5" s="45"/>
      <c r="E5" s="45"/>
      <c r="F5" s="45"/>
      <c r="G5" s="45"/>
      <c r="H5" s="45"/>
      <c r="I5" s="45"/>
      <c r="J5" s="45"/>
      <c r="K5" s="45"/>
      <c r="L5" s="45"/>
    </row>
    <row r="6" spans="1:13">
      <c r="A6" s="27" t="s">
        <v>856</v>
      </c>
      <c r="B6" s="6" t="s">
        <v>457</v>
      </c>
      <c r="C6" s="6" t="s">
        <v>458</v>
      </c>
      <c r="D6" s="6" t="str">
        <f>"0,7839"</f>
        <v>0,7839</v>
      </c>
      <c r="E6" s="6" t="s">
        <v>141</v>
      </c>
      <c r="F6" s="6" t="s">
        <v>19</v>
      </c>
      <c r="G6" s="7" t="s">
        <v>101</v>
      </c>
      <c r="H6" s="7" t="s">
        <v>102</v>
      </c>
      <c r="I6" s="8"/>
      <c r="J6" s="8"/>
      <c r="K6" s="6" t="str">
        <f>"142,5"</f>
        <v>142,5</v>
      </c>
      <c r="L6" s="7" t="str">
        <f>"111,7058"</f>
        <v>111,7058</v>
      </c>
      <c r="M6" s="6" t="s">
        <v>27</v>
      </c>
    </row>
    <row r="8" spans="1:13" ht="15">
      <c r="A8" s="46" t="s">
        <v>28</v>
      </c>
      <c r="B8" s="46"/>
      <c r="C8" s="46"/>
      <c r="D8" s="46"/>
      <c r="E8" s="46"/>
      <c r="F8" s="46"/>
      <c r="G8" s="46"/>
      <c r="H8" s="46"/>
      <c r="I8" s="46"/>
      <c r="J8" s="46"/>
      <c r="K8" s="46"/>
      <c r="L8" s="46"/>
    </row>
    <row r="9" spans="1:13">
      <c r="A9" s="27" t="s">
        <v>855</v>
      </c>
      <c r="B9" s="6" t="s">
        <v>785</v>
      </c>
      <c r="C9" s="6" t="s">
        <v>786</v>
      </c>
      <c r="D9" s="6" t="str">
        <f>"0,6394"</f>
        <v>0,6394</v>
      </c>
      <c r="E9" s="6" t="s">
        <v>141</v>
      </c>
      <c r="F9" s="6" t="s">
        <v>19</v>
      </c>
      <c r="G9" s="7" t="s">
        <v>488</v>
      </c>
      <c r="H9" s="7" t="s">
        <v>102</v>
      </c>
      <c r="I9" s="8" t="s">
        <v>313</v>
      </c>
      <c r="J9" s="8"/>
      <c r="K9" s="6" t="str">
        <f>"142,5"</f>
        <v>142,5</v>
      </c>
      <c r="L9" s="7" t="str">
        <f>"94,7591"</f>
        <v>94,7591</v>
      </c>
      <c r="M9" s="6" t="s">
        <v>27</v>
      </c>
    </row>
    <row r="11" spans="1:13" ht="15">
      <c r="A11" s="46" t="s">
        <v>136</v>
      </c>
      <c r="B11" s="46"/>
      <c r="C11" s="46"/>
      <c r="D11" s="46"/>
      <c r="E11" s="46"/>
      <c r="F11" s="46"/>
      <c r="G11" s="46"/>
      <c r="H11" s="46"/>
      <c r="I11" s="46"/>
      <c r="J11" s="46"/>
      <c r="K11" s="46"/>
      <c r="L11" s="46"/>
    </row>
    <row r="12" spans="1:13">
      <c r="A12" s="17" t="s">
        <v>788</v>
      </c>
      <c r="B12" s="17" t="s">
        <v>789</v>
      </c>
      <c r="C12" s="17" t="s">
        <v>790</v>
      </c>
      <c r="D12" s="17" t="str">
        <f>"0,5631"</f>
        <v>0,5631</v>
      </c>
      <c r="E12" s="17" t="s">
        <v>18</v>
      </c>
      <c r="F12" s="17" t="s">
        <v>165</v>
      </c>
      <c r="G12" s="19" t="s">
        <v>208</v>
      </c>
      <c r="H12" s="18" t="s">
        <v>251</v>
      </c>
      <c r="I12" s="19" t="s">
        <v>251</v>
      </c>
      <c r="J12" s="18"/>
      <c r="K12" s="17" t="str">
        <f>"182,5"</f>
        <v>182,5</v>
      </c>
      <c r="L12" s="19" t="str">
        <f>"102,7749"</f>
        <v>102,7749</v>
      </c>
      <c r="M12" s="17" t="s">
        <v>27</v>
      </c>
    </row>
    <row r="13" spans="1:13">
      <c r="A13" s="23" t="s">
        <v>791</v>
      </c>
      <c r="B13" s="23" t="s">
        <v>566</v>
      </c>
      <c r="C13" s="23" t="s">
        <v>563</v>
      </c>
      <c r="D13" s="23" t="str">
        <f>"0,5678"</f>
        <v>0,5678</v>
      </c>
      <c r="E13" s="23" t="s">
        <v>164</v>
      </c>
      <c r="F13" s="23" t="s">
        <v>544</v>
      </c>
      <c r="G13" s="25" t="s">
        <v>35</v>
      </c>
      <c r="H13" s="24" t="s">
        <v>208</v>
      </c>
      <c r="I13" s="25" t="s">
        <v>208</v>
      </c>
      <c r="J13" s="24"/>
      <c r="K13" s="23" t="str">
        <f>"180,0"</f>
        <v>180,0</v>
      </c>
      <c r="L13" s="25" t="str">
        <f>"102,2040"</f>
        <v>102,2040</v>
      </c>
      <c r="M13" s="23" t="s">
        <v>27</v>
      </c>
    </row>
    <row r="14" spans="1:13">
      <c r="A14" s="20" t="s">
        <v>788</v>
      </c>
      <c r="B14" s="20" t="s">
        <v>792</v>
      </c>
      <c r="C14" s="20" t="s">
        <v>790</v>
      </c>
      <c r="D14" s="20" t="str">
        <f>"0,5631"</f>
        <v>0,5631</v>
      </c>
      <c r="E14" s="20" t="s">
        <v>18</v>
      </c>
      <c r="F14" s="20" t="s">
        <v>165</v>
      </c>
      <c r="G14" s="22" t="s">
        <v>208</v>
      </c>
      <c r="H14" s="21" t="s">
        <v>251</v>
      </c>
      <c r="I14" s="22" t="s">
        <v>251</v>
      </c>
      <c r="J14" s="21"/>
      <c r="K14" s="20" t="str">
        <f>"182,5"</f>
        <v>182,5</v>
      </c>
      <c r="L14" s="22" t="str">
        <f>"105,9609"</f>
        <v>105,9609</v>
      </c>
      <c r="M14" s="20" t="s">
        <v>27</v>
      </c>
    </row>
    <row r="16" spans="1:13" ht="15">
      <c r="E16" s="9" t="s">
        <v>40</v>
      </c>
      <c r="F16" s="26" t="s">
        <v>847</v>
      </c>
    </row>
    <row r="17" spans="1:6" ht="15">
      <c r="E17" s="9" t="s">
        <v>41</v>
      </c>
      <c r="F17" s="26" t="s">
        <v>848</v>
      </c>
    </row>
    <row r="18" spans="1:6" ht="15">
      <c r="E18" s="9" t="s">
        <v>42</v>
      </c>
      <c r="F18" s="26" t="s">
        <v>849</v>
      </c>
    </row>
    <row r="19" spans="1:6" ht="15">
      <c r="E19" s="9" t="s">
        <v>43</v>
      </c>
      <c r="F19" s="26" t="s">
        <v>850</v>
      </c>
    </row>
    <row r="20" spans="1:6" ht="15">
      <c r="E20" s="9" t="s">
        <v>43</v>
      </c>
      <c r="F20" s="26" t="s">
        <v>851</v>
      </c>
    </row>
    <row r="21" spans="1:6" ht="15">
      <c r="E21" s="9" t="s">
        <v>44</v>
      </c>
      <c r="F21" s="26" t="s">
        <v>852</v>
      </c>
    </row>
    <row r="22" spans="1:6" ht="15">
      <c r="E22" s="9"/>
    </row>
    <row r="24" spans="1:6" ht="18">
      <c r="A24" s="10" t="s">
        <v>45</v>
      </c>
      <c r="B24" s="10"/>
    </row>
    <row r="25" spans="1:6" ht="15">
      <c r="A25" s="11" t="s">
        <v>46</v>
      </c>
      <c r="B25" s="11"/>
    </row>
    <row r="26" spans="1:6" ht="14.25">
      <c r="A26" s="13"/>
      <c r="B26" s="14" t="s">
        <v>47</v>
      </c>
    </row>
    <row r="27" spans="1:6" ht="15">
      <c r="A27" s="15" t="s">
        <v>48</v>
      </c>
      <c r="B27" s="15" t="s">
        <v>49</v>
      </c>
      <c r="C27" s="15" t="s">
        <v>50</v>
      </c>
      <c r="D27" s="15" t="s">
        <v>51</v>
      </c>
      <c r="E27" s="15" t="s">
        <v>52</v>
      </c>
    </row>
    <row r="28" spans="1:6">
      <c r="A28" s="28" t="s">
        <v>854</v>
      </c>
      <c r="B28" s="5" t="s">
        <v>53</v>
      </c>
      <c r="C28" s="5" t="s">
        <v>54</v>
      </c>
      <c r="D28" s="5" t="s">
        <v>102</v>
      </c>
      <c r="E28" s="16" t="s">
        <v>793</v>
      </c>
    </row>
    <row r="30" spans="1:6" ht="14.25">
      <c r="A30" s="13"/>
      <c r="B30" s="14" t="s">
        <v>57</v>
      </c>
    </row>
    <row r="31" spans="1:6" ht="15">
      <c r="A31" s="15" t="s">
        <v>48</v>
      </c>
      <c r="B31" s="15" t="s">
        <v>49</v>
      </c>
      <c r="C31" s="15" t="s">
        <v>50</v>
      </c>
      <c r="D31" s="15" t="s">
        <v>51</v>
      </c>
      <c r="E31" s="15" t="s">
        <v>52</v>
      </c>
    </row>
    <row r="32" spans="1:6">
      <c r="A32" s="28" t="s">
        <v>857</v>
      </c>
      <c r="B32" s="5" t="s">
        <v>57</v>
      </c>
      <c r="C32" s="5" t="s">
        <v>169</v>
      </c>
      <c r="D32" s="5" t="s">
        <v>102</v>
      </c>
      <c r="E32" s="16" t="s">
        <v>794</v>
      </c>
    </row>
    <row r="33" spans="1:5">
      <c r="A33" s="12" t="s">
        <v>787</v>
      </c>
      <c r="B33" s="5" t="s">
        <v>57</v>
      </c>
      <c r="C33" s="5" t="s">
        <v>36</v>
      </c>
      <c r="D33" s="5" t="s">
        <v>251</v>
      </c>
      <c r="E33" s="16" t="s">
        <v>795</v>
      </c>
    </row>
    <row r="34" spans="1:5">
      <c r="A34" s="12" t="s">
        <v>564</v>
      </c>
      <c r="B34" s="5" t="s">
        <v>57</v>
      </c>
      <c r="C34" s="5" t="s">
        <v>36</v>
      </c>
      <c r="D34" s="5" t="s">
        <v>208</v>
      </c>
      <c r="E34" s="16" t="s">
        <v>796</v>
      </c>
    </row>
    <row r="36" spans="1:5" ht="14.25">
      <c r="A36" s="13"/>
      <c r="B36" s="14" t="s">
        <v>86</v>
      </c>
    </row>
    <row r="37" spans="1:5" ht="15">
      <c r="A37" s="15" t="s">
        <v>48</v>
      </c>
      <c r="B37" s="15" t="s">
        <v>49</v>
      </c>
      <c r="C37" s="15" t="s">
        <v>50</v>
      </c>
      <c r="D37" s="15" t="s">
        <v>51</v>
      </c>
      <c r="E37" s="15" t="s">
        <v>52</v>
      </c>
    </row>
    <row r="38" spans="1:5">
      <c r="A38" s="12" t="s">
        <v>787</v>
      </c>
      <c r="B38" s="5" t="s">
        <v>177</v>
      </c>
      <c r="C38" s="5" t="s">
        <v>36</v>
      </c>
      <c r="D38" s="5" t="s">
        <v>251</v>
      </c>
      <c r="E38" s="16" t="s">
        <v>797</v>
      </c>
    </row>
    <row r="43" spans="1:5" ht="18">
      <c r="A43" s="10" t="s">
        <v>61</v>
      </c>
      <c r="B43" s="10"/>
    </row>
    <row r="44" spans="1:5" ht="15">
      <c r="A44" s="15" t="s">
        <v>62</v>
      </c>
      <c r="B44" s="15" t="s">
        <v>63</v>
      </c>
      <c r="C44" s="15" t="s">
        <v>64</v>
      </c>
    </row>
    <row r="45" spans="1:5">
      <c r="A45" s="5" t="s">
        <v>141</v>
      </c>
      <c r="B45" s="5" t="s">
        <v>65</v>
      </c>
      <c r="C45" s="26" t="s">
        <v>858</v>
      </c>
    </row>
    <row r="46" spans="1:5">
      <c r="A46" s="5" t="s">
        <v>18</v>
      </c>
      <c r="B46" s="5" t="s">
        <v>65</v>
      </c>
      <c r="C46" s="5" t="s">
        <v>798</v>
      </c>
    </row>
    <row r="47" spans="1:5">
      <c r="A47" s="5" t="s">
        <v>164</v>
      </c>
      <c r="B47" s="5" t="s">
        <v>393</v>
      </c>
      <c r="C47" s="5" t="s">
        <v>799</v>
      </c>
    </row>
  </sheetData>
  <mergeCells count="14">
    <mergeCell ref="F3:F4"/>
    <mergeCell ref="G3:J3"/>
    <mergeCell ref="K3:K4"/>
    <mergeCell ref="L3:L4"/>
    <mergeCell ref="M3:M4"/>
    <mergeCell ref="A5:L5"/>
    <mergeCell ref="A8:L8"/>
    <mergeCell ref="A11:L11"/>
    <mergeCell ref="A1:M2"/>
    <mergeCell ref="A3:A4"/>
    <mergeCell ref="B3:B4"/>
    <mergeCell ref="C3:C4"/>
    <mergeCell ref="D3:D4"/>
    <mergeCell ref="E3:E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114"/>
  <sheetViews>
    <sheetView workbookViewId="0">
      <selection sqref="A1:M2"/>
    </sheetView>
  </sheetViews>
  <sheetFormatPr defaultRowHeight="12.75"/>
  <cols>
    <col min="1" max="1" width="31.85546875" style="5" bestFit="1" customWidth="1"/>
    <col min="2" max="2" width="29" style="5" bestFit="1" customWidth="1"/>
    <col min="3" max="3" width="145.28515625" style="5" bestFit="1" customWidth="1"/>
    <col min="4" max="4" width="9.28515625" style="5" bestFit="1" customWidth="1"/>
    <col min="5" max="5" width="22.7109375" style="5" bestFit="1" customWidth="1"/>
    <col min="6" max="6" width="34.42578125" style="5" bestFit="1" customWidth="1"/>
    <col min="7" max="7" width="6.5703125" style="4" bestFit="1" customWidth="1"/>
    <col min="8"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875</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3</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694</v>
      </c>
      <c r="B5" s="45"/>
      <c r="C5" s="45"/>
      <c r="D5" s="45"/>
      <c r="E5" s="45"/>
      <c r="F5" s="45"/>
      <c r="G5" s="45"/>
      <c r="H5" s="45"/>
      <c r="I5" s="45"/>
      <c r="J5" s="45"/>
      <c r="K5" s="45"/>
      <c r="L5" s="45"/>
    </row>
    <row r="6" spans="1:13">
      <c r="A6" s="6" t="s">
        <v>696</v>
      </c>
      <c r="B6" s="6" t="s">
        <v>697</v>
      </c>
      <c r="C6" s="6" t="s">
        <v>698</v>
      </c>
      <c r="D6" s="6" t="str">
        <f>"1,0423"</f>
        <v>1,0423</v>
      </c>
      <c r="E6" s="6" t="s">
        <v>207</v>
      </c>
      <c r="F6" s="6" t="s">
        <v>19</v>
      </c>
      <c r="G6" s="7" t="s">
        <v>125</v>
      </c>
      <c r="H6" s="8" t="s">
        <v>38</v>
      </c>
      <c r="I6" s="8" t="s">
        <v>38</v>
      </c>
      <c r="J6" s="8"/>
      <c r="K6" s="6" t="str">
        <f>"95,0"</f>
        <v>95,0</v>
      </c>
      <c r="L6" s="7" t="str">
        <f>"99,0185"</f>
        <v>99,0185</v>
      </c>
      <c r="M6" s="6" t="s">
        <v>27</v>
      </c>
    </row>
    <row r="8" spans="1:13" ht="15">
      <c r="A8" s="46" t="s">
        <v>67</v>
      </c>
      <c r="B8" s="46"/>
      <c r="C8" s="46"/>
      <c r="D8" s="46"/>
      <c r="E8" s="46"/>
      <c r="F8" s="46"/>
      <c r="G8" s="46"/>
      <c r="H8" s="46"/>
      <c r="I8" s="46"/>
      <c r="J8" s="46"/>
      <c r="K8" s="46"/>
      <c r="L8" s="46"/>
    </row>
    <row r="9" spans="1:13">
      <c r="A9" s="17" t="s">
        <v>69</v>
      </c>
      <c r="B9" s="17" t="s">
        <v>70</v>
      </c>
      <c r="C9" s="17" t="s">
        <v>71</v>
      </c>
      <c r="D9" s="17" t="str">
        <f>"0,9686"</f>
        <v>0,9686</v>
      </c>
      <c r="E9" s="17" t="s">
        <v>18</v>
      </c>
      <c r="F9" s="17" t="s">
        <v>33</v>
      </c>
      <c r="G9" s="19" t="s">
        <v>73</v>
      </c>
      <c r="H9" s="18"/>
      <c r="I9" s="18"/>
      <c r="J9" s="18"/>
      <c r="K9" s="17" t="str">
        <f>"120,0"</f>
        <v>120,0</v>
      </c>
      <c r="L9" s="19" t="str">
        <f>"116,2320"</f>
        <v>116,2320</v>
      </c>
      <c r="M9" s="17" t="s">
        <v>27</v>
      </c>
    </row>
    <row r="10" spans="1:13">
      <c r="A10" s="20" t="s">
        <v>699</v>
      </c>
      <c r="B10" s="20" t="s">
        <v>285</v>
      </c>
      <c r="C10" s="20" t="s">
        <v>286</v>
      </c>
      <c r="D10" s="20" t="str">
        <f>"0,9919"</f>
        <v>0,9919</v>
      </c>
      <c r="E10" s="20" t="s">
        <v>95</v>
      </c>
      <c r="F10" s="20" t="s">
        <v>96</v>
      </c>
      <c r="G10" s="22" t="s">
        <v>117</v>
      </c>
      <c r="H10" s="22" t="s">
        <v>73</v>
      </c>
      <c r="I10" s="21" t="s">
        <v>100</v>
      </c>
      <c r="J10" s="21"/>
      <c r="K10" s="20" t="str">
        <f>"120,0"</f>
        <v>120,0</v>
      </c>
      <c r="L10" s="22" t="str">
        <f>"119,0280"</f>
        <v>119,0280</v>
      </c>
      <c r="M10" s="20" t="s">
        <v>27</v>
      </c>
    </row>
    <row r="12" spans="1:13" ht="15">
      <c r="A12" s="46" t="s">
        <v>183</v>
      </c>
      <c r="B12" s="46"/>
      <c r="C12" s="46"/>
      <c r="D12" s="46"/>
      <c r="E12" s="46"/>
      <c r="F12" s="46"/>
      <c r="G12" s="46"/>
      <c r="H12" s="46"/>
      <c r="I12" s="46"/>
      <c r="J12" s="46"/>
      <c r="K12" s="46"/>
      <c r="L12" s="46"/>
    </row>
    <row r="13" spans="1:13">
      <c r="A13" s="17" t="s">
        <v>289</v>
      </c>
      <c r="B13" s="17" t="s">
        <v>290</v>
      </c>
      <c r="C13" s="17" t="s">
        <v>291</v>
      </c>
      <c r="D13" s="17" t="str">
        <f>"0,9194"</f>
        <v>0,9194</v>
      </c>
      <c r="E13" s="17" t="s">
        <v>95</v>
      </c>
      <c r="F13" s="17" t="s">
        <v>96</v>
      </c>
      <c r="G13" s="19" t="s">
        <v>72</v>
      </c>
      <c r="H13" s="18"/>
      <c r="I13" s="18"/>
      <c r="J13" s="18"/>
      <c r="K13" s="17" t="str">
        <f>"115,0"</f>
        <v>115,0</v>
      </c>
      <c r="L13" s="19" t="str">
        <f>"105,7310"</f>
        <v>105,7310</v>
      </c>
      <c r="M13" s="17" t="s">
        <v>27</v>
      </c>
    </row>
    <row r="14" spans="1:13">
      <c r="A14" s="20" t="s">
        <v>701</v>
      </c>
      <c r="B14" s="20" t="s">
        <v>702</v>
      </c>
      <c r="C14" s="20" t="s">
        <v>703</v>
      </c>
      <c r="D14" s="20" t="str">
        <f>"0,9249"</f>
        <v>0,9249</v>
      </c>
      <c r="E14" s="20" t="s">
        <v>18</v>
      </c>
      <c r="F14" s="20" t="s">
        <v>704</v>
      </c>
      <c r="G14" s="22" t="s">
        <v>36</v>
      </c>
      <c r="H14" s="22" t="s">
        <v>38</v>
      </c>
      <c r="I14" s="21"/>
      <c r="J14" s="21"/>
      <c r="K14" s="20" t="str">
        <f>"107,5"</f>
        <v>107,5</v>
      </c>
      <c r="L14" s="22" t="str">
        <f>"99,4267"</f>
        <v>99,4267</v>
      </c>
      <c r="M14" s="20" t="s">
        <v>27</v>
      </c>
    </row>
    <row r="16" spans="1:13" ht="15">
      <c r="A16" s="46" t="s">
        <v>111</v>
      </c>
      <c r="B16" s="46"/>
      <c r="C16" s="46"/>
      <c r="D16" s="46"/>
      <c r="E16" s="46"/>
      <c r="F16" s="46"/>
      <c r="G16" s="46"/>
      <c r="H16" s="46"/>
      <c r="I16" s="46"/>
      <c r="J16" s="46"/>
      <c r="K16" s="46"/>
      <c r="L16" s="46"/>
    </row>
    <row r="17" spans="1:13">
      <c r="A17" s="6" t="s">
        <v>706</v>
      </c>
      <c r="B17" s="6" t="s">
        <v>707</v>
      </c>
      <c r="C17" s="6" t="s">
        <v>708</v>
      </c>
      <c r="D17" s="6" t="str">
        <f>"0,8603"</f>
        <v>0,8603</v>
      </c>
      <c r="E17" s="6" t="s">
        <v>95</v>
      </c>
      <c r="F17" s="6" t="s">
        <v>96</v>
      </c>
      <c r="G17" s="8" t="s">
        <v>202</v>
      </c>
      <c r="H17" s="7" t="s">
        <v>202</v>
      </c>
      <c r="I17" s="8" t="s">
        <v>101</v>
      </c>
      <c r="J17" s="8"/>
      <c r="K17" s="6" t="str">
        <f>"125,0"</f>
        <v>125,0</v>
      </c>
      <c r="L17" s="7" t="str">
        <f>"107,5375"</f>
        <v>107,5375</v>
      </c>
      <c r="M17" s="6" t="s">
        <v>27</v>
      </c>
    </row>
    <row r="19" spans="1:13" ht="15">
      <c r="A19" s="46" t="s">
        <v>119</v>
      </c>
      <c r="B19" s="46"/>
      <c r="C19" s="46"/>
      <c r="D19" s="46"/>
      <c r="E19" s="46"/>
      <c r="F19" s="46"/>
      <c r="G19" s="46"/>
      <c r="H19" s="46"/>
      <c r="I19" s="46"/>
      <c r="J19" s="46"/>
      <c r="K19" s="46"/>
      <c r="L19" s="46"/>
    </row>
    <row r="20" spans="1:13">
      <c r="A20" s="6" t="s">
        <v>710</v>
      </c>
      <c r="B20" s="6" t="s">
        <v>711</v>
      </c>
      <c r="C20" s="6" t="s">
        <v>712</v>
      </c>
      <c r="D20" s="6" t="str">
        <f>"0,8063"</f>
        <v>0,8063</v>
      </c>
      <c r="E20" s="6" t="s">
        <v>18</v>
      </c>
      <c r="F20" s="6" t="s">
        <v>96</v>
      </c>
      <c r="G20" s="7" t="s">
        <v>72</v>
      </c>
      <c r="H20" s="7" t="s">
        <v>73</v>
      </c>
      <c r="I20" s="7" t="s">
        <v>202</v>
      </c>
      <c r="J20" s="8"/>
      <c r="K20" s="6" t="str">
        <f>"125,0"</f>
        <v>125,0</v>
      </c>
      <c r="L20" s="7" t="str">
        <f>"100,7875"</f>
        <v>100,7875</v>
      </c>
      <c r="M20" s="6" t="s">
        <v>27</v>
      </c>
    </row>
    <row r="22" spans="1:13" ht="15">
      <c r="A22" s="46" t="s">
        <v>28</v>
      </c>
      <c r="B22" s="46"/>
      <c r="C22" s="46"/>
      <c r="D22" s="46"/>
      <c r="E22" s="46"/>
      <c r="F22" s="46"/>
      <c r="G22" s="46"/>
      <c r="H22" s="46"/>
      <c r="I22" s="46"/>
      <c r="J22" s="46"/>
      <c r="K22" s="46"/>
      <c r="L22" s="46"/>
    </row>
    <row r="23" spans="1:13">
      <c r="A23" s="6" t="s">
        <v>714</v>
      </c>
      <c r="B23" s="6" t="s">
        <v>715</v>
      </c>
      <c r="C23" s="6" t="s">
        <v>716</v>
      </c>
      <c r="D23" s="6" t="str">
        <f>"0,7040"</f>
        <v>0,7040</v>
      </c>
      <c r="E23" s="6" t="s">
        <v>207</v>
      </c>
      <c r="F23" s="6" t="s">
        <v>19</v>
      </c>
      <c r="G23" s="7" t="s">
        <v>25</v>
      </c>
      <c r="H23" s="7" t="s">
        <v>36</v>
      </c>
      <c r="I23" s="8" t="s">
        <v>37</v>
      </c>
      <c r="J23" s="8"/>
      <c r="K23" s="6" t="str">
        <f>"100,0"</f>
        <v>100,0</v>
      </c>
      <c r="L23" s="7" t="str">
        <f>"70,4000"</f>
        <v>70,4000</v>
      </c>
      <c r="M23" s="6" t="s">
        <v>27</v>
      </c>
    </row>
    <row r="25" spans="1:13" ht="15">
      <c r="A25" s="46" t="s">
        <v>119</v>
      </c>
      <c r="B25" s="46"/>
      <c r="C25" s="46"/>
      <c r="D25" s="46"/>
      <c r="E25" s="46"/>
      <c r="F25" s="46"/>
      <c r="G25" s="46"/>
      <c r="H25" s="46"/>
      <c r="I25" s="46"/>
      <c r="J25" s="46"/>
      <c r="K25" s="46"/>
      <c r="L25" s="46"/>
    </row>
    <row r="26" spans="1:13">
      <c r="A26" s="29" t="s">
        <v>859</v>
      </c>
      <c r="B26" s="17" t="s">
        <v>457</v>
      </c>
      <c r="C26" s="17" t="s">
        <v>458</v>
      </c>
      <c r="D26" s="17" t="str">
        <f>"0,7839"</f>
        <v>0,7839</v>
      </c>
      <c r="E26" s="17" t="s">
        <v>141</v>
      </c>
      <c r="F26" s="17" t="s">
        <v>19</v>
      </c>
      <c r="G26" s="18" t="s">
        <v>103</v>
      </c>
      <c r="H26" s="18" t="s">
        <v>103</v>
      </c>
      <c r="I26" s="18"/>
      <c r="J26" s="18"/>
      <c r="K26" s="17" t="str">
        <f>"0,0"</f>
        <v>0,0</v>
      </c>
      <c r="L26" s="19" t="str">
        <f>"0,0000"</f>
        <v>0,0000</v>
      </c>
      <c r="M26" s="17" t="s">
        <v>27</v>
      </c>
    </row>
    <row r="27" spans="1:13">
      <c r="A27" s="20" t="s">
        <v>717</v>
      </c>
      <c r="B27" s="20" t="s">
        <v>461</v>
      </c>
      <c r="C27" s="20" t="s">
        <v>462</v>
      </c>
      <c r="D27" s="20" t="str">
        <f>"0,7418"</f>
        <v>0,7418</v>
      </c>
      <c r="E27" s="20" t="s">
        <v>18</v>
      </c>
      <c r="F27" s="20" t="s">
        <v>463</v>
      </c>
      <c r="G27" s="21" t="s">
        <v>97</v>
      </c>
      <c r="H27" s="21" t="s">
        <v>97</v>
      </c>
      <c r="I27" s="21"/>
      <c r="J27" s="21"/>
      <c r="K27" s="20" t="str">
        <f>"0,0"</f>
        <v>0,0</v>
      </c>
      <c r="L27" s="22" t="str">
        <f>"0,0000"</f>
        <v>0,0000</v>
      </c>
      <c r="M27" s="20" t="s">
        <v>27</v>
      </c>
    </row>
    <row r="29" spans="1:13" ht="15">
      <c r="A29" s="46" t="s">
        <v>13</v>
      </c>
      <c r="B29" s="46"/>
      <c r="C29" s="46"/>
      <c r="D29" s="46"/>
      <c r="E29" s="46"/>
      <c r="F29" s="46"/>
      <c r="G29" s="46"/>
      <c r="H29" s="46"/>
      <c r="I29" s="46"/>
      <c r="J29" s="46"/>
      <c r="K29" s="46"/>
      <c r="L29" s="46"/>
    </row>
    <row r="30" spans="1:13">
      <c r="A30" s="6" t="s">
        <v>719</v>
      </c>
      <c r="B30" s="6" t="s">
        <v>720</v>
      </c>
      <c r="C30" s="6" t="s">
        <v>721</v>
      </c>
      <c r="D30" s="6" t="str">
        <f>"0,7057"</f>
        <v>0,7057</v>
      </c>
      <c r="E30" s="6" t="s">
        <v>141</v>
      </c>
      <c r="F30" s="6" t="s">
        <v>408</v>
      </c>
      <c r="G30" s="7" t="s">
        <v>142</v>
      </c>
      <c r="H30" s="7" t="s">
        <v>265</v>
      </c>
      <c r="I30" s="7" t="s">
        <v>722</v>
      </c>
      <c r="J30" s="8"/>
      <c r="K30" s="6" t="str">
        <f>"212,5"</f>
        <v>212,5</v>
      </c>
      <c r="L30" s="7" t="str">
        <f>"149,9612"</f>
        <v>149,9612</v>
      </c>
      <c r="M30" s="6" t="s">
        <v>27</v>
      </c>
    </row>
    <row r="32" spans="1:13" ht="15">
      <c r="A32" s="46" t="s">
        <v>28</v>
      </c>
      <c r="B32" s="46"/>
      <c r="C32" s="46"/>
      <c r="D32" s="46"/>
      <c r="E32" s="46"/>
      <c r="F32" s="46"/>
      <c r="G32" s="46"/>
      <c r="H32" s="46"/>
      <c r="I32" s="46"/>
      <c r="J32" s="46"/>
      <c r="K32" s="46"/>
      <c r="L32" s="46"/>
    </row>
    <row r="33" spans="1:13">
      <c r="A33" s="17" t="s">
        <v>724</v>
      </c>
      <c r="B33" s="17" t="s">
        <v>725</v>
      </c>
      <c r="C33" s="17" t="s">
        <v>726</v>
      </c>
      <c r="D33" s="17" t="str">
        <f>"0,6251"</f>
        <v>0,6251</v>
      </c>
      <c r="E33" s="17" t="s">
        <v>207</v>
      </c>
      <c r="F33" s="17" t="s">
        <v>19</v>
      </c>
      <c r="G33" s="19" t="s">
        <v>24</v>
      </c>
      <c r="H33" s="19" t="s">
        <v>25</v>
      </c>
      <c r="I33" s="19" t="s">
        <v>36</v>
      </c>
      <c r="J33" s="18"/>
      <c r="K33" s="17" t="str">
        <f>"100,0"</f>
        <v>100,0</v>
      </c>
      <c r="L33" s="19" t="str">
        <f>"62,5100"</f>
        <v>62,5100</v>
      </c>
      <c r="M33" s="17" t="s">
        <v>27</v>
      </c>
    </row>
    <row r="34" spans="1:13">
      <c r="A34" s="20" t="s">
        <v>728</v>
      </c>
      <c r="B34" s="20" t="s">
        <v>729</v>
      </c>
      <c r="C34" s="20" t="s">
        <v>730</v>
      </c>
      <c r="D34" s="20" t="str">
        <f>"0,6448"</f>
        <v>0,6448</v>
      </c>
      <c r="E34" s="20" t="s">
        <v>18</v>
      </c>
      <c r="F34" s="20" t="s">
        <v>618</v>
      </c>
      <c r="G34" s="22" t="s">
        <v>731</v>
      </c>
      <c r="H34" s="22" t="s">
        <v>35</v>
      </c>
      <c r="I34" s="22" t="s">
        <v>208</v>
      </c>
      <c r="J34" s="21"/>
      <c r="K34" s="20" t="str">
        <f>"180,0"</f>
        <v>180,0</v>
      </c>
      <c r="L34" s="22" t="str">
        <f>"116,0640"</f>
        <v>116,0640</v>
      </c>
      <c r="M34" s="20" t="s">
        <v>27</v>
      </c>
    </row>
    <row r="36" spans="1:13" ht="15">
      <c r="A36" s="46" t="s">
        <v>74</v>
      </c>
      <c r="B36" s="46"/>
      <c r="C36" s="46"/>
      <c r="D36" s="46"/>
      <c r="E36" s="46"/>
      <c r="F36" s="46"/>
      <c r="G36" s="46"/>
      <c r="H36" s="46"/>
      <c r="I36" s="46"/>
      <c r="J36" s="46"/>
      <c r="K36" s="46"/>
      <c r="L36" s="46"/>
    </row>
    <row r="37" spans="1:13">
      <c r="A37" s="17" t="s">
        <v>733</v>
      </c>
      <c r="B37" s="17" t="s">
        <v>734</v>
      </c>
      <c r="C37" s="17" t="s">
        <v>735</v>
      </c>
      <c r="D37" s="17" t="str">
        <f>"0,6045"</f>
        <v>0,6045</v>
      </c>
      <c r="E37" s="17" t="s">
        <v>207</v>
      </c>
      <c r="F37" s="17" t="s">
        <v>19</v>
      </c>
      <c r="G37" s="19" t="s">
        <v>265</v>
      </c>
      <c r="H37" s="19" t="s">
        <v>79</v>
      </c>
      <c r="I37" s="19" t="s">
        <v>104</v>
      </c>
      <c r="J37" s="18"/>
      <c r="K37" s="17" t="str">
        <f>"230,0"</f>
        <v>230,0</v>
      </c>
      <c r="L37" s="19" t="str">
        <f>"139,0350"</f>
        <v>139,0350</v>
      </c>
      <c r="M37" s="17" t="s">
        <v>27</v>
      </c>
    </row>
    <row r="38" spans="1:13">
      <c r="A38" s="23" t="s">
        <v>322</v>
      </c>
      <c r="B38" s="23" t="s">
        <v>323</v>
      </c>
      <c r="C38" s="23" t="s">
        <v>736</v>
      </c>
      <c r="D38" s="23" t="str">
        <f>"0,5939"</f>
        <v>0,5939</v>
      </c>
      <c r="E38" s="23" t="s">
        <v>18</v>
      </c>
      <c r="F38" s="23" t="s">
        <v>19</v>
      </c>
      <c r="G38" s="25" t="s">
        <v>737</v>
      </c>
      <c r="H38" s="24"/>
      <c r="I38" s="24"/>
      <c r="J38" s="24"/>
      <c r="K38" s="23" t="str">
        <f>"247,5"</f>
        <v>247,5</v>
      </c>
      <c r="L38" s="25" t="str">
        <f>"146,9903"</f>
        <v>146,9903</v>
      </c>
      <c r="M38" s="23" t="s">
        <v>27</v>
      </c>
    </row>
    <row r="39" spans="1:13">
      <c r="A39" s="23" t="s">
        <v>738</v>
      </c>
      <c r="B39" s="23" t="s">
        <v>552</v>
      </c>
      <c r="C39" s="23" t="s">
        <v>739</v>
      </c>
      <c r="D39" s="23" t="str">
        <f>"0,5982"</f>
        <v>0,5982</v>
      </c>
      <c r="E39" s="23" t="s">
        <v>18</v>
      </c>
      <c r="F39" s="23" t="s">
        <v>19</v>
      </c>
      <c r="G39" s="25" t="s">
        <v>35</v>
      </c>
      <c r="H39" s="25" t="s">
        <v>208</v>
      </c>
      <c r="I39" s="24" t="s">
        <v>611</v>
      </c>
      <c r="J39" s="24"/>
      <c r="K39" s="23" t="str">
        <f>"180,0"</f>
        <v>180,0</v>
      </c>
      <c r="L39" s="25" t="str">
        <f>"107,6760"</f>
        <v>107,6760</v>
      </c>
      <c r="M39" s="23" t="s">
        <v>27</v>
      </c>
    </row>
    <row r="40" spans="1:13">
      <c r="A40" s="20" t="s">
        <v>741</v>
      </c>
      <c r="B40" s="20" t="s">
        <v>742</v>
      </c>
      <c r="C40" s="20" t="s">
        <v>743</v>
      </c>
      <c r="D40" s="20" t="str">
        <f>"0,5973"</f>
        <v>0,5973</v>
      </c>
      <c r="E40" s="20" t="s">
        <v>18</v>
      </c>
      <c r="F40" s="20" t="s">
        <v>19</v>
      </c>
      <c r="G40" s="22" t="s">
        <v>208</v>
      </c>
      <c r="H40" s="21" t="s">
        <v>209</v>
      </c>
      <c r="I40" s="21"/>
      <c r="J40" s="21"/>
      <c r="K40" s="20" t="str">
        <f>"180,0"</f>
        <v>180,0</v>
      </c>
      <c r="L40" s="22" t="str">
        <f>"107,5140"</f>
        <v>107,5140</v>
      </c>
      <c r="M40" s="20" t="s">
        <v>27</v>
      </c>
    </row>
    <row r="42" spans="1:13" ht="15">
      <c r="A42" s="46" t="s">
        <v>136</v>
      </c>
      <c r="B42" s="46"/>
      <c r="C42" s="46"/>
      <c r="D42" s="46"/>
      <c r="E42" s="46"/>
      <c r="F42" s="46"/>
      <c r="G42" s="46"/>
      <c r="H42" s="46"/>
      <c r="I42" s="46"/>
      <c r="J42" s="46"/>
      <c r="K42" s="46"/>
      <c r="L42" s="46"/>
    </row>
    <row r="43" spans="1:13">
      <c r="A43" s="27" t="s">
        <v>860</v>
      </c>
      <c r="B43" s="6" t="s">
        <v>31</v>
      </c>
      <c r="C43" s="6" t="s">
        <v>744</v>
      </c>
      <c r="D43" s="6" t="str">
        <f>"0,5555"</f>
        <v>0,5555</v>
      </c>
      <c r="E43" s="6" t="s">
        <v>141</v>
      </c>
      <c r="F43" s="6" t="s">
        <v>19</v>
      </c>
      <c r="G43" s="7" t="s">
        <v>216</v>
      </c>
      <c r="H43" s="7" t="s">
        <v>355</v>
      </c>
      <c r="I43" s="8" t="s">
        <v>745</v>
      </c>
      <c r="J43" s="8"/>
      <c r="K43" s="6" t="str">
        <f>"290,0"</f>
        <v>290,0</v>
      </c>
      <c r="L43" s="7" t="str">
        <f>"161,0950"</f>
        <v>161,0950</v>
      </c>
      <c r="M43" s="6" t="s">
        <v>27</v>
      </c>
    </row>
    <row r="45" spans="1:13" ht="15">
      <c r="A45" s="46" t="s">
        <v>143</v>
      </c>
      <c r="B45" s="46"/>
      <c r="C45" s="46"/>
      <c r="D45" s="46"/>
      <c r="E45" s="46"/>
      <c r="F45" s="46"/>
      <c r="G45" s="46"/>
      <c r="H45" s="46"/>
      <c r="I45" s="46"/>
      <c r="J45" s="46"/>
      <c r="K45" s="46"/>
      <c r="L45" s="46"/>
    </row>
    <row r="46" spans="1:13">
      <c r="A46" s="17" t="s">
        <v>747</v>
      </c>
      <c r="B46" s="17" t="s">
        <v>748</v>
      </c>
      <c r="C46" s="17" t="s">
        <v>749</v>
      </c>
      <c r="D46" s="17" t="str">
        <f>"0,5448"</f>
        <v>0,5448</v>
      </c>
      <c r="E46" s="17" t="s">
        <v>18</v>
      </c>
      <c r="F46" s="17" t="s">
        <v>19</v>
      </c>
      <c r="G46" s="18" t="s">
        <v>104</v>
      </c>
      <c r="H46" s="19" t="s">
        <v>750</v>
      </c>
      <c r="I46" s="18" t="s">
        <v>215</v>
      </c>
      <c r="J46" s="18"/>
      <c r="K46" s="17" t="str">
        <f>"242,5"</f>
        <v>242,5</v>
      </c>
      <c r="L46" s="19" t="str">
        <f>"132,1140"</f>
        <v>132,1140</v>
      </c>
      <c r="M46" s="17" t="s">
        <v>27</v>
      </c>
    </row>
    <row r="47" spans="1:13">
      <c r="A47" s="20" t="s">
        <v>752</v>
      </c>
      <c r="B47" s="20" t="s">
        <v>753</v>
      </c>
      <c r="C47" s="20" t="s">
        <v>152</v>
      </c>
      <c r="D47" s="20" t="str">
        <f>"0,5437"</f>
        <v>0,5437</v>
      </c>
      <c r="E47" s="20" t="s">
        <v>422</v>
      </c>
      <c r="F47" s="20" t="s">
        <v>423</v>
      </c>
      <c r="G47" s="22" t="s">
        <v>265</v>
      </c>
      <c r="H47" s="22" t="s">
        <v>103</v>
      </c>
      <c r="I47" s="22" t="s">
        <v>79</v>
      </c>
      <c r="J47" s="21"/>
      <c r="K47" s="20" t="str">
        <f>"225,0"</f>
        <v>225,0</v>
      </c>
      <c r="L47" s="22" t="str">
        <f>"122,3325"</f>
        <v>122,3325</v>
      </c>
      <c r="M47" s="20" t="s">
        <v>27</v>
      </c>
    </row>
    <row r="49" spans="1:13" ht="15">
      <c r="A49" s="46" t="s">
        <v>155</v>
      </c>
      <c r="B49" s="46"/>
      <c r="C49" s="46"/>
      <c r="D49" s="46"/>
      <c r="E49" s="46"/>
      <c r="F49" s="46"/>
      <c r="G49" s="46"/>
      <c r="H49" s="46"/>
      <c r="I49" s="46"/>
      <c r="J49" s="46"/>
      <c r="K49" s="46"/>
      <c r="L49" s="46"/>
    </row>
    <row r="50" spans="1:13">
      <c r="A50" s="17" t="s">
        <v>755</v>
      </c>
      <c r="B50" s="17" t="s">
        <v>756</v>
      </c>
      <c r="C50" s="17" t="s">
        <v>757</v>
      </c>
      <c r="D50" s="17" t="str">
        <f>"0,5306"</f>
        <v>0,5306</v>
      </c>
      <c r="E50" s="17" t="s">
        <v>486</v>
      </c>
      <c r="F50" s="17" t="s">
        <v>19</v>
      </c>
      <c r="G50" s="19" t="s">
        <v>320</v>
      </c>
      <c r="H50" s="19" t="s">
        <v>148</v>
      </c>
      <c r="I50" s="19" t="s">
        <v>104</v>
      </c>
      <c r="J50" s="18"/>
      <c r="K50" s="17" t="str">
        <f>"230,0"</f>
        <v>230,0</v>
      </c>
      <c r="L50" s="19" t="str">
        <f>"122,0380"</f>
        <v>122,0380</v>
      </c>
      <c r="M50" s="17" t="s">
        <v>27</v>
      </c>
    </row>
    <row r="51" spans="1:13">
      <c r="A51" s="20" t="s">
        <v>357</v>
      </c>
      <c r="B51" s="20" t="s">
        <v>358</v>
      </c>
      <c r="C51" s="20" t="s">
        <v>359</v>
      </c>
      <c r="D51" s="20" t="str">
        <f>"0,5258"</f>
        <v>0,5258</v>
      </c>
      <c r="E51" s="20" t="s">
        <v>345</v>
      </c>
      <c r="F51" s="20" t="s">
        <v>19</v>
      </c>
      <c r="G51" s="22" t="s">
        <v>274</v>
      </c>
      <c r="H51" s="21"/>
      <c r="I51" s="21"/>
      <c r="J51" s="21"/>
      <c r="K51" s="20" t="str">
        <f>"250,0"</f>
        <v>250,0</v>
      </c>
      <c r="L51" s="22" t="str">
        <f>"131,4500"</f>
        <v>131,4500</v>
      </c>
      <c r="M51" s="20" t="s">
        <v>27</v>
      </c>
    </row>
    <row r="53" spans="1:13" ht="15">
      <c r="E53" s="9" t="s">
        <v>40</v>
      </c>
      <c r="F53" s="26" t="s">
        <v>847</v>
      </c>
    </row>
    <row r="54" spans="1:13" ht="15">
      <c r="E54" s="9" t="s">
        <v>41</v>
      </c>
      <c r="F54" s="26" t="s">
        <v>848</v>
      </c>
    </row>
    <row r="55" spans="1:13" ht="15">
      <c r="E55" s="9" t="s">
        <v>42</v>
      </c>
      <c r="F55" s="26" t="s">
        <v>849</v>
      </c>
    </row>
    <row r="56" spans="1:13" ht="15">
      <c r="E56" s="9" t="s">
        <v>43</v>
      </c>
      <c r="F56" s="26" t="s">
        <v>850</v>
      </c>
    </row>
    <row r="57" spans="1:13" ht="15">
      <c r="E57" s="9" t="s">
        <v>43</v>
      </c>
      <c r="F57" s="26" t="s">
        <v>851</v>
      </c>
    </row>
    <row r="58" spans="1:13" ht="15">
      <c r="E58" s="9" t="s">
        <v>44</v>
      </c>
      <c r="F58" s="26" t="s">
        <v>852</v>
      </c>
    </row>
    <row r="59" spans="1:13" ht="15">
      <c r="E59" s="9"/>
    </row>
    <row r="61" spans="1:13" ht="18">
      <c r="A61" s="10" t="s">
        <v>45</v>
      </c>
      <c r="B61" s="10"/>
    </row>
    <row r="62" spans="1:13" ht="15">
      <c r="A62" s="11" t="s">
        <v>81</v>
      </c>
      <c r="B62" s="11"/>
    </row>
    <row r="63" spans="1:13" ht="14.25">
      <c r="A63" s="13"/>
      <c r="B63" s="14" t="s">
        <v>82</v>
      </c>
    </row>
    <row r="64" spans="1:13" ht="15">
      <c r="A64" s="15" t="s">
        <v>48</v>
      </c>
      <c r="B64" s="15" t="s">
        <v>49</v>
      </c>
      <c r="C64" s="15" t="s">
        <v>50</v>
      </c>
      <c r="D64" s="15" t="s">
        <v>51</v>
      </c>
      <c r="E64" s="15" t="s">
        <v>52</v>
      </c>
    </row>
    <row r="65" spans="1:5">
      <c r="A65" s="12" t="s">
        <v>68</v>
      </c>
      <c r="B65" s="5" t="s">
        <v>83</v>
      </c>
      <c r="C65" s="5" t="s">
        <v>84</v>
      </c>
      <c r="D65" s="5" t="s">
        <v>73</v>
      </c>
      <c r="E65" s="16" t="s">
        <v>758</v>
      </c>
    </row>
    <row r="66" spans="1:5">
      <c r="A66" s="12" t="s">
        <v>288</v>
      </c>
      <c r="B66" s="5" t="s">
        <v>232</v>
      </c>
      <c r="C66" s="5" t="s">
        <v>235</v>
      </c>
      <c r="D66" s="5" t="s">
        <v>72</v>
      </c>
      <c r="E66" s="16" t="s">
        <v>759</v>
      </c>
    </row>
    <row r="67" spans="1:5">
      <c r="A67" s="12" t="s">
        <v>713</v>
      </c>
      <c r="B67" s="5" t="s">
        <v>232</v>
      </c>
      <c r="C67" s="5" t="s">
        <v>54</v>
      </c>
      <c r="D67" s="5" t="s">
        <v>36</v>
      </c>
      <c r="E67" s="16" t="s">
        <v>760</v>
      </c>
    </row>
    <row r="69" spans="1:5" ht="14.25">
      <c r="A69" s="13"/>
      <c r="B69" s="14" t="s">
        <v>629</v>
      </c>
    </row>
    <row r="70" spans="1:5" ht="15">
      <c r="A70" s="15" t="s">
        <v>48</v>
      </c>
      <c r="B70" s="15" t="s">
        <v>49</v>
      </c>
      <c r="C70" s="15" t="s">
        <v>50</v>
      </c>
      <c r="D70" s="15" t="s">
        <v>51</v>
      </c>
      <c r="E70" s="15" t="s">
        <v>52</v>
      </c>
    </row>
    <row r="71" spans="1:5">
      <c r="A71" s="12" t="s">
        <v>705</v>
      </c>
      <c r="B71" s="5" t="s">
        <v>106</v>
      </c>
      <c r="C71" s="5" t="s">
        <v>22</v>
      </c>
      <c r="D71" s="5" t="s">
        <v>202</v>
      </c>
      <c r="E71" s="16" t="s">
        <v>761</v>
      </c>
    </row>
    <row r="73" spans="1:5" ht="14.25">
      <c r="A73" s="13"/>
      <c r="B73" s="14" t="s">
        <v>57</v>
      </c>
    </row>
    <row r="74" spans="1:5" ht="15">
      <c r="A74" s="15" t="s">
        <v>48</v>
      </c>
      <c r="B74" s="15" t="s">
        <v>49</v>
      </c>
      <c r="C74" s="15" t="s">
        <v>50</v>
      </c>
      <c r="D74" s="15" t="s">
        <v>51</v>
      </c>
      <c r="E74" s="15" t="s">
        <v>52</v>
      </c>
    </row>
    <row r="75" spans="1:5">
      <c r="A75" s="12" t="s">
        <v>283</v>
      </c>
      <c r="B75" s="5" t="s">
        <v>57</v>
      </c>
      <c r="C75" s="5" t="s">
        <v>84</v>
      </c>
      <c r="D75" s="5" t="s">
        <v>73</v>
      </c>
      <c r="E75" s="16" t="s">
        <v>762</v>
      </c>
    </row>
    <row r="76" spans="1:5">
      <c r="A76" s="12" t="s">
        <v>709</v>
      </c>
      <c r="B76" s="5" t="s">
        <v>57</v>
      </c>
      <c r="C76" s="5" t="s">
        <v>169</v>
      </c>
      <c r="D76" s="5" t="s">
        <v>202</v>
      </c>
      <c r="E76" s="16" t="s">
        <v>763</v>
      </c>
    </row>
    <row r="77" spans="1:5">
      <c r="A77" s="12" t="s">
        <v>700</v>
      </c>
      <c r="B77" s="5" t="s">
        <v>57</v>
      </c>
      <c r="C77" s="5" t="s">
        <v>235</v>
      </c>
      <c r="D77" s="5" t="s">
        <v>38</v>
      </c>
      <c r="E77" s="16" t="s">
        <v>764</v>
      </c>
    </row>
    <row r="78" spans="1:5">
      <c r="A78" s="12" t="s">
        <v>695</v>
      </c>
      <c r="B78" s="5" t="s">
        <v>57</v>
      </c>
      <c r="C78" s="5" t="s">
        <v>765</v>
      </c>
      <c r="D78" s="5" t="s">
        <v>125</v>
      </c>
      <c r="E78" s="16" t="s">
        <v>766</v>
      </c>
    </row>
    <row r="81" spans="1:5" ht="15">
      <c r="A81" s="11" t="s">
        <v>46</v>
      </c>
      <c r="B81" s="11"/>
    </row>
    <row r="82" spans="1:5" ht="14.25">
      <c r="A82" s="13"/>
      <c r="B82" s="14" t="s">
        <v>47</v>
      </c>
    </row>
    <row r="83" spans="1:5" ht="15">
      <c r="A83" s="15" t="s">
        <v>48</v>
      </c>
      <c r="B83" s="15" t="s">
        <v>49</v>
      </c>
      <c r="C83" s="15" t="s">
        <v>50</v>
      </c>
      <c r="D83" s="15" t="s">
        <v>51</v>
      </c>
      <c r="E83" s="15" t="s">
        <v>52</v>
      </c>
    </row>
    <row r="84" spans="1:5">
      <c r="A84" s="28" t="s">
        <v>861</v>
      </c>
      <c r="B84" s="5" t="s">
        <v>53</v>
      </c>
      <c r="C84" s="5" t="s">
        <v>36</v>
      </c>
      <c r="D84" s="5" t="s">
        <v>355</v>
      </c>
      <c r="E84" s="16" t="s">
        <v>767</v>
      </c>
    </row>
    <row r="85" spans="1:5">
      <c r="A85" s="12" t="s">
        <v>732</v>
      </c>
      <c r="B85" s="5" t="s">
        <v>232</v>
      </c>
      <c r="C85" s="5" t="s">
        <v>25</v>
      </c>
      <c r="D85" s="5" t="s">
        <v>104</v>
      </c>
      <c r="E85" s="16" t="s">
        <v>768</v>
      </c>
    </row>
    <row r="86" spans="1:5">
      <c r="A86" s="12" t="s">
        <v>723</v>
      </c>
      <c r="B86" s="5" t="s">
        <v>83</v>
      </c>
      <c r="C86" s="5" t="s">
        <v>54</v>
      </c>
      <c r="D86" s="5" t="s">
        <v>36</v>
      </c>
      <c r="E86" s="16" t="s">
        <v>769</v>
      </c>
    </row>
    <row r="88" spans="1:5" ht="14.25">
      <c r="A88" s="13"/>
      <c r="B88" s="14" t="s">
        <v>105</v>
      </c>
    </row>
    <row r="89" spans="1:5" ht="15">
      <c r="A89" s="15" t="s">
        <v>48</v>
      </c>
      <c r="B89" s="15" t="s">
        <v>49</v>
      </c>
      <c r="C89" s="15" t="s">
        <v>50</v>
      </c>
      <c r="D89" s="15" t="s">
        <v>51</v>
      </c>
      <c r="E89" s="15" t="s">
        <v>52</v>
      </c>
    </row>
    <row r="90" spans="1:5">
      <c r="A90" s="12" t="s">
        <v>718</v>
      </c>
      <c r="B90" s="5" t="s">
        <v>106</v>
      </c>
      <c r="C90" s="5" t="s">
        <v>58</v>
      </c>
      <c r="D90" s="5" t="s">
        <v>722</v>
      </c>
      <c r="E90" s="16" t="s">
        <v>770</v>
      </c>
    </row>
    <row r="91" spans="1:5">
      <c r="A91" s="12" t="s">
        <v>754</v>
      </c>
      <c r="B91" s="5" t="s">
        <v>106</v>
      </c>
      <c r="C91" s="5" t="s">
        <v>202</v>
      </c>
      <c r="D91" s="5" t="s">
        <v>104</v>
      </c>
      <c r="E91" s="16" t="s">
        <v>771</v>
      </c>
    </row>
    <row r="92" spans="1:5">
      <c r="A92" s="12" t="s">
        <v>727</v>
      </c>
      <c r="B92" s="5" t="s">
        <v>106</v>
      </c>
      <c r="C92" s="5" t="s">
        <v>54</v>
      </c>
      <c r="D92" s="5" t="s">
        <v>208</v>
      </c>
      <c r="E92" s="16" t="s">
        <v>772</v>
      </c>
    </row>
    <row r="94" spans="1:5" ht="14.25">
      <c r="A94" s="13"/>
      <c r="B94" s="14" t="s">
        <v>57</v>
      </c>
    </row>
    <row r="95" spans="1:5" ht="15">
      <c r="A95" s="15" t="s">
        <v>48</v>
      </c>
      <c r="B95" s="15" t="s">
        <v>49</v>
      </c>
      <c r="C95" s="15" t="s">
        <v>50</v>
      </c>
      <c r="D95" s="15" t="s">
        <v>51</v>
      </c>
      <c r="E95" s="15" t="s">
        <v>52</v>
      </c>
    </row>
    <row r="96" spans="1:5">
      <c r="A96" s="12" t="s">
        <v>321</v>
      </c>
      <c r="B96" s="5" t="s">
        <v>57</v>
      </c>
      <c r="C96" s="5" t="s">
        <v>25</v>
      </c>
      <c r="D96" s="5" t="s">
        <v>80</v>
      </c>
      <c r="E96" s="16" t="s">
        <v>773</v>
      </c>
    </row>
    <row r="97" spans="1:5">
      <c r="A97" s="12" t="s">
        <v>746</v>
      </c>
      <c r="B97" s="5" t="s">
        <v>57</v>
      </c>
      <c r="C97" s="5" t="s">
        <v>117</v>
      </c>
      <c r="D97" s="5" t="s">
        <v>750</v>
      </c>
      <c r="E97" s="16" t="s">
        <v>774</v>
      </c>
    </row>
    <row r="98" spans="1:5">
      <c r="A98" s="12" t="s">
        <v>356</v>
      </c>
      <c r="B98" s="5" t="s">
        <v>57</v>
      </c>
      <c r="C98" s="5" t="s">
        <v>202</v>
      </c>
      <c r="D98" s="5" t="s">
        <v>274</v>
      </c>
      <c r="E98" s="16" t="s">
        <v>775</v>
      </c>
    </row>
    <row r="99" spans="1:5">
      <c r="A99" s="12" t="s">
        <v>751</v>
      </c>
      <c r="B99" s="5" t="s">
        <v>57</v>
      </c>
      <c r="C99" s="5" t="s">
        <v>117</v>
      </c>
      <c r="D99" s="5" t="s">
        <v>79</v>
      </c>
      <c r="E99" s="16" t="s">
        <v>776</v>
      </c>
    </row>
    <row r="100" spans="1:5">
      <c r="A100" s="12" t="s">
        <v>550</v>
      </c>
      <c r="B100" s="5" t="s">
        <v>57</v>
      </c>
      <c r="C100" s="5" t="s">
        <v>25</v>
      </c>
      <c r="D100" s="5" t="s">
        <v>208</v>
      </c>
      <c r="E100" s="16" t="s">
        <v>777</v>
      </c>
    </row>
    <row r="101" spans="1:5">
      <c r="A101" s="12" t="s">
        <v>740</v>
      </c>
      <c r="B101" s="5" t="s">
        <v>57</v>
      </c>
      <c r="C101" s="5" t="s">
        <v>25</v>
      </c>
      <c r="D101" s="5" t="s">
        <v>208</v>
      </c>
      <c r="E101" s="16" t="s">
        <v>778</v>
      </c>
    </row>
    <row r="106" spans="1:5" ht="18">
      <c r="A106" s="10" t="s">
        <v>61</v>
      </c>
      <c r="B106" s="10"/>
    </row>
    <row r="107" spans="1:5" ht="15">
      <c r="A107" s="15" t="s">
        <v>62</v>
      </c>
      <c r="B107" s="15" t="s">
        <v>63</v>
      </c>
      <c r="C107" s="15" t="s">
        <v>64</v>
      </c>
    </row>
    <row r="108" spans="1:5">
      <c r="A108" s="5" t="s">
        <v>18</v>
      </c>
      <c r="B108" s="5" t="s">
        <v>779</v>
      </c>
      <c r="C108" s="5" t="s">
        <v>780</v>
      </c>
    </row>
    <row r="109" spans="1:5">
      <c r="A109" s="5" t="s">
        <v>207</v>
      </c>
      <c r="B109" s="5" t="s">
        <v>242</v>
      </c>
      <c r="C109" s="5" t="s">
        <v>781</v>
      </c>
    </row>
    <row r="110" spans="1:5">
      <c r="A110" s="5" t="s">
        <v>95</v>
      </c>
      <c r="B110" s="5" t="s">
        <v>390</v>
      </c>
      <c r="C110" s="5" t="s">
        <v>782</v>
      </c>
    </row>
    <row r="111" spans="1:5">
      <c r="A111" s="5" t="s">
        <v>141</v>
      </c>
      <c r="B111" s="5" t="s">
        <v>65</v>
      </c>
      <c r="C111" s="26" t="s">
        <v>862</v>
      </c>
    </row>
    <row r="112" spans="1:5">
      <c r="A112" s="5" t="s">
        <v>345</v>
      </c>
      <c r="B112" s="5" t="s">
        <v>109</v>
      </c>
      <c r="C112" s="5" t="s">
        <v>693</v>
      </c>
    </row>
    <row r="113" spans="1:3">
      <c r="A113" s="5" t="s">
        <v>486</v>
      </c>
      <c r="B113" s="5" t="s">
        <v>109</v>
      </c>
      <c r="C113" s="5" t="s">
        <v>783</v>
      </c>
    </row>
    <row r="114" spans="1:3">
      <c r="A114" s="5" t="s">
        <v>422</v>
      </c>
      <c r="B114" s="5" t="s">
        <v>393</v>
      </c>
      <c r="C114" s="5" t="s">
        <v>784</v>
      </c>
    </row>
  </sheetData>
  <mergeCells count="24">
    <mergeCell ref="A1:M2"/>
    <mergeCell ref="A3:A4"/>
    <mergeCell ref="B3:B4"/>
    <mergeCell ref="C3:C4"/>
    <mergeCell ref="D3:D4"/>
    <mergeCell ref="E3:E4"/>
    <mergeCell ref="F3:F4"/>
    <mergeCell ref="G3:J3"/>
    <mergeCell ref="K3:K4"/>
    <mergeCell ref="L3:L4"/>
    <mergeCell ref="M3:M4"/>
    <mergeCell ref="A5:L5"/>
    <mergeCell ref="A8:L8"/>
    <mergeCell ref="A12:L12"/>
    <mergeCell ref="A36:L36"/>
    <mergeCell ref="A42:L42"/>
    <mergeCell ref="A45:L45"/>
    <mergeCell ref="A49:L49"/>
    <mergeCell ref="A16:L16"/>
    <mergeCell ref="A19:L19"/>
    <mergeCell ref="A22:L22"/>
    <mergeCell ref="A25:L25"/>
    <mergeCell ref="A29:L29"/>
    <mergeCell ref="A32:L3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M180"/>
  <sheetViews>
    <sheetView workbookViewId="0">
      <selection sqref="A1:M2"/>
    </sheetView>
  </sheetViews>
  <sheetFormatPr defaultRowHeight="12.75"/>
  <cols>
    <col min="1" max="1" width="31.85546875" style="5" bestFit="1" customWidth="1"/>
    <col min="2" max="2" width="57.7109375" style="5" bestFit="1" customWidth="1"/>
    <col min="3" max="3" width="168.42578125" style="5" bestFit="1" customWidth="1"/>
    <col min="4" max="4" width="9.28515625" style="5" bestFit="1" customWidth="1"/>
    <col min="5" max="5" width="22.7109375" style="5" bestFit="1" customWidth="1"/>
    <col min="6" max="6" width="35.7109375" style="5" bestFit="1" customWidth="1"/>
    <col min="7" max="9" width="5.5703125" style="4" bestFit="1" customWidth="1"/>
    <col min="10" max="10" width="4.85546875" style="4" bestFit="1" customWidth="1"/>
    <col min="11" max="11" width="7.85546875" style="5" bestFit="1" customWidth="1"/>
    <col min="12" max="12" width="8.5703125" style="4" bestFit="1" customWidth="1"/>
    <col min="13" max="13" width="8.85546875" style="5" bestFit="1" customWidth="1"/>
    <col min="14" max="16384" width="9.140625" style="4"/>
  </cols>
  <sheetData>
    <row r="1" spans="1:13" s="3" customFormat="1" ht="29.1" customHeight="1">
      <c r="A1" s="39" t="s">
        <v>874</v>
      </c>
      <c r="B1" s="40"/>
      <c r="C1" s="40"/>
      <c r="D1" s="40"/>
      <c r="E1" s="40"/>
      <c r="F1" s="40"/>
      <c r="G1" s="40"/>
      <c r="H1" s="40"/>
      <c r="I1" s="40"/>
      <c r="J1" s="40"/>
      <c r="K1" s="40"/>
      <c r="L1" s="40"/>
      <c r="M1" s="41"/>
    </row>
    <row r="2" spans="1:13" s="3" customFormat="1" ht="62.1" customHeight="1" thickBot="1">
      <c r="A2" s="42"/>
      <c r="B2" s="43"/>
      <c r="C2" s="43"/>
      <c r="D2" s="43"/>
      <c r="E2" s="43"/>
      <c r="F2" s="43"/>
      <c r="G2" s="43"/>
      <c r="H2" s="43"/>
      <c r="I2" s="43"/>
      <c r="J2" s="43"/>
      <c r="K2" s="43"/>
      <c r="L2" s="43"/>
      <c r="M2" s="44"/>
    </row>
    <row r="3" spans="1:13" s="1" customFormat="1" ht="12.75" customHeight="1">
      <c r="A3" s="32" t="s">
        <v>0</v>
      </c>
      <c r="B3" s="34" t="s">
        <v>9</v>
      </c>
      <c r="C3" s="34" t="s">
        <v>11</v>
      </c>
      <c r="D3" s="36" t="s">
        <v>12</v>
      </c>
      <c r="E3" s="36" t="s">
        <v>7</v>
      </c>
      <c r="F3" s="36" t="s">
        <v>10</v>
      </c>
      <c r="G3" s="36" t="s">
        <v>2</v>
      </c>
      <c r="H3" s="36"/>
      <c r="I3" s="36"/>
      <c r="J3" s="36"/>
      <c r="K3" s="36" t="s">
        <v>90</v>
      </c>
      <c r="L3" s="36" t="s">
        <v>6</v>
      </c>
      <c r="M3" s="37" t="s">
        <v>5</v>
      </c>
    </row>
    <row r="4" spans="1:13" s="1" customFormat="1" ht="21" customHeight="1" thickBot="1">
      <c r="A4" s="33"/>
      <c r="B4" s="35"/>
      <c r="C4" s="35"/>
      <c r="D4" s="35"/>
      <c r="E4" s="35"/>
      <c r="F4" s="35"/>
      <c r="G4" s="2">
        <v>1</v>
      </c>
      <c r="H4" s="2">
        <v>2</v>
      </c>
      <c r="I4" s="2">
        <v>3</v>
      </c>
      <c r="J4" s="2" t="s">
        <v>8</v>
      </c>
      <c r="K4" s="35"/>
      <c r="L4" s="35"/>
      <c r="M4" s="38"/>
    </row>
    <row r="5" spans="1:13" ht="15">
      <c r="A5" s="45" t="s">
        <v>395</v>
      </c>
      <c r="B5" s="45"/>
      <c r="C5" s="45"/>
      <c r="D5" s="45"/>
      <c r="E5" s="45"/>
      <c r="F5" s="45"/>
      <c r="G5" s="45"/>
      <c r="H5" s="45"/>
      <c r="I5" s="45"/>
      <c r="J5" s="45"/>
      <c r="K5" s="45"/>
      <c r="L5" s="45"/>
    </row>
    <row r="6" spans="1:13">
      <c r="A6" s="6" t="s">
        <v>397</v>
      </c>
      <c r="B6" s="6" t="s">
        <v>398</v>
      </c>
      <c r="C6" s="6" t="s">
        <v>399</v>
      </c>
      <c r="D6" s="6" t="str">
        <f>"1,1396"</f>
        <v>1,1396</v>
      </c>
      <c r="E6" s="6" t="s">
        <v>141</v>
      </c>
      <c r="F6" s="6" t="s">
        <v>19</v>
      </c>
      <c r="G6" s="7" t="s">
        <v>292</v>
      </c>
      <c r="H6" s="7" t="s">
        <v>302</v>
      </c>
      <c r="I6" s="8" t="s">
        <v>303</v>
      </c>
      <c r="J6" s="8"/>
      <c r="K6" s="6" t="str">
        <f>"62,5"</f>
        <v>62,5</v>
      </c>
      <c r="L6" s="7" t="str">
        <f>"80,4878"</f>
        <v>80,4878</v>
      </c>
      <c r="M6" s="6" t="s">
        <v>27</v>
      </c>
    </row>
    <row r="8" spans="1:13" ht="15">
      <c r="A8" s="46" t="s">
        <v>67</v>
      </c>
      <c r="B8" s="46"/>
      <c r="C8" s="46"/>
      <c r="D8" s="46"/>
      <c r="E8" s="46"/>
      <c r="F8" s="46"/>
      <c r="G8" s="46"/>
      <c r="H8" s="46"/>
      <c r="I8" s="46"/>
      <c r="J8" s="46"/>
      <c r="K8" s="46"/>
      <c r="L8" s="46"/>
    </row>
    <row r="9" spans="1:13">
      <c r="A9" s="17" t="s">
        <v>401</v>
      </c>
      <c r="B9" s="17" t="s">
        <v>402</v>
      </c>
      <c r="C9" s="17" t="s">
        <v>403</v>
      </c>
      <c r="D9" s="17" t="str">
        <f>"0,9888"</f>
        <v>0,9888</v>
      </c>
      <c r="E9" s="17" t="s">
        <v>141</v>
      </c>
      <c r="F9" s="17" t="s">
        <v>19</v>
      </c>
      <c r="G9" s="19" t="s">
        <v>292</v>
      </c>
      <c r="H9" s="19" t="s">
        <v>22</v>
      </c>
      <c r="I9" s="19" t="s">
        <v>302</v>
      </c>
      <c r="J9" s="18"/>
      <c r="K9" s="17" t="str">
        <f>"62,5"</f>
        <v>62,5</v>
      </c>
      <c r="L9" s="19" t="str">
        <f>"61,8000"</f>
        <v>61,8000</v>
      </c>
      <c r="M9" s="17" t="s">
        <v>27</v>
      </c>
    </row>
    <row r="10" spans="1:13">
      <c r="A10" s="20" t="s">
        <v>405</v>
      </c>
      <c r="B10" s="20" t="s">
        <v>406</v>
      </c>
      <c r="C10" s="20" t="s">
        <v>407</v>
      </c>
      <c r="D10" s="20" t="str">
        <f>"0,9770"</f>
        <v>0,9770</v>
      </c>
      <c r="E10" s="20" t="s">
        <v>141</v>
      </c>
      <c r="F10" s="20" t="s">
        <v>408</v>
      </c>
      <c r="G10" s="22" t="s">
        <v>409</v>
      </c>
      <c r="H10" s="22" t="s">
        <v>23</v>
      </c>
      <c r="I10" s="21" t="s">
        <v>21</v>
      </c>
      <c r="J10" s="21"/>
      <c r="K10" s="20" t="str">
        <f>"47,5"</f>
        <v>47,5</v>
      </c>
      <c r="L10" s="22" t="str">
        <f>"46,4075"</f>
        <v>46,4075</v>
      </c>
      <c r="M10" s="20" t="s">
        <v>27</v>
      </c>
    </row>
    <row r="12" spans="1:13" ht="15">
      <c r="A12" s="46" t="s">
        <v>183</v>
      </c>
      <c r="B12" s="46"/>
      <c r="C12" s="46"/>
      <c r="D12" s="46"/>
      <c r="E12" s="46"/>
      <c r="F12" s="46"/>
      <c r="G12" s="46"/>
      <c r="H12" s="46"/>
      <c r="I12" s="46"/>
      <c r="J12" s="46"/>
      <c r="K12" s="46"/>
      <c r="L12" s="46"/>
    </row>
    <row r="13" spans="1:13">
      <c r="A13" s="17" t="s">
        <v>411</v>
      </c>
      <c r="B13" s="17" t="s">
        <v>412</v>
      </c>
      <c r="C13" s="17" t="s">
        <v>413</v>
      </c>
      <c r="D13" s="17" t="str">
        <f>"0,9124"</f>
        <v>0,9124</v>
      </c>
      <c r="E13" s="17" t="s">
        <v>18</v>
      </c>
      <c r="F13" s="17" t="s">
        <v>153</v>
      </c>
      <c r="G13" s="18" t="s">
        <v>414</v>
      </c>
      <c r="H13" s="19" t="s">
        <v>414</v>
      </c>
      <c r="I13" s="19" t="s">
        <v>287</v>
      </c>
      <c r="J13" s="18"/>
      <c r="K13" s="17" t="str">
        <f>"57,5"</f>
        <v>57,5</v>
      </c>
      <c r="L13" s="19" t="str">
        <f>"56,6600"</f>
        <v>56,6600</v>
      </c>
      <c r="M13" s="17" t="s">
        <v>27</v>
      </c>
    </row>
    <row r="14" spans="1:13">
      <c r="A14" s="23" t="s">
        <v>416</v>
      </c>
      <c r="B14" s="23" t="s">
        <v>417</v>
      </c>
      <c r="C14" s="23" t="s">
        <v>418</v>
      </c>
      <c r="D14" s="23" t="str">
        <f>"0,9426"</f>
        <v>0,9426</v>
      </c>
      <c r="E14" s="23" t="s">
        <v>18</v>
      </c>
      <c r="F14" s="23" t="s">
        <v>19</v>
      </c>
      <c r="G14" s="25" t="s">
        <v>297</v>
      </c>
      <c r="H14" s="25" t="s">
        <v>21</v>
      </c>
      <c r="I14" s="24" t="s">
        <v>287</v>
      </c>
      <c r="J14" s="24"/>
      <c r="K14" s="23" t="str">
        <f>"50,0"</f>
        <v>50,0</v>
      </c>
      <c r="L14" s="25" t="str">
        <f>"53,2569"</f>
        <v>53,2569</v>
      </c>
      <c r="M14" s="23" t="s">
        <v>27</v>
      </c>
    </row>
    <row r="15" spans="1:13">
      <c r="A15" s="23" t="s">
        <v>420</v>
      </c>
      <c r="B15" s="23" t="s">
        <v>421</v>
      </c>
      <c r="C15" s="23" t="s">
        <v>291</v>
      </c>
      <c r="D15" s="23" t="str">
        <f>"0,9201"</f>
        <v>0,9201</v>
      </c>
      <c r="E15" s="23" t="s">
        <v>422</v>
      </c>
      <c r="F15" s="23" t="s">
        <v>423</v>
      </c>
      <c r="G15" s="25" t="s">
        <v>296</v>
      </c>
      <c r="H15" s="24" t="s">
        <v>58</v>
      </c>
      <c r="I15" s="24" t="s">
        <v>424</v>
      </c>
      <c r="J15" s="24"/>
      <c r="K15" s="23" t="str">
        <f>"70,0"</f>
        <v>70,0</v>
      </c>
      <c r="L15" s="25" t="str">
        <f>"64,4070"</f>
        <v>64,4070</v>
      </c>
      <c r="M15" s="23" t="s">
        <v>27</v>
      </c>
    </row>
    <row r="16" spans="1:13">
      <c r="A16" s="20" t="s">
        <v>426</v>
      </c>
      <c r="B16" s="20" t="s">
        <v>427</v>
      </c>
      <c r="C16" s="20" t="s">
        <v>428</v>
      </c>
      <c r="D16" s="20" t="str">
        <f>"0,9173"</f>
        <v>0,9173</v>
      </c>
      <c r="E16" s="20" t="s">
        <v>141</v>
      </c>
      <c r="F16" s="20" t="s">
        <v>19</v>
      </c>
      <c r="G16" s="22" t="s">
        <v>287</v>
      </c>
      <c r="H16" s="22" t="s">
        <v>302</v>
      </c>
      <c r="I16" s="21" t="s">
        <v>169</v>
      </c>
      <c r="J16" s="21"/>
      <c r="K16" s="20" t="str">
        <f>"62,5"</f>
        <v>62,5</v>
      </c>
      <c r="L16" s="22" t="str">
        <f>"57,3344"</f>
        <v>57,3344</v>
      </c>
      <c r="M16" s="20" t="s">
        <v>27</v>
      </c>
    </row>
    <row r="18" spans="1:13" ht="15">
      <c r="A18" s="46" t="s">
        <v>119</v>
      </c>
      <c r="B18" s="46"/>
      <c r="C18" s="46"/>
      <c r="D18" s="46"/>
      <c r="E18" s="46"/>
      <c r="F18" s="46"/>
      <c r="G18" s="46"/>
      <c r="H18" s="46"/>
      <c r="I18" s="46"/>
      <c r="J18" s="46"/>
      <c r="K18" s="46"/>
      <c r="L18" s="46"/>
    </row>
    <row r="19" spans="1:13">
      <c r="A19" s="17" t="s">
        <v>430</v>
      </c>
      <c r="B19" s="17" t="s">
        <v>431</v>
      </c>
      <c r="C19" s="17" t="s">
        <v>432</v>
      </c>
      <c r="D19" s="17" t="str">
        <f>"0,8142"</f>
        <v>0,8142</v>
      </c>
      <c r="E19" s="17" t="s">
        <v>141</v>
      </c>
      <c r="F19" s="17" t="s">
        <v>408</v>
      </c>
      <c r="G19" s="19" t="s">
        <v>287</v>
      </c>
      <c r="H19" s="19" t="s">
        <v>22</v>
      </c>
      <c r="I19" s="18" t="s">
        <v>302</v>
      </c>
      <c r="J19" s="18"/>
      <c r="K19" s="17" t="str">
        <f>"60,0"</f>
        <v>60,0</v>
      </c>
      <c r="L19" s="19" t="str">
        <f>"52,7634"</f>
        <v>52,7634</v>
      </c>
      <c r="M19" s="17" t="s">
        <v>27</v>
      </c>
    </row>
    <row r="20" spans="1:13">
      <c r="A20" s="23" t="s">
        <v>434</v>
      </c>
      <c r="B20" s="23" t="s">
        <v>435</v>
      </c>
      <c r="C20" s="23" t="s">
        <v>436</v>
      </c>
      <c r="D20" s="23" t="str">
        <f>"0,8026"</f>
        <v>0,8026</v>
      </c>
      <c r="E20" s="23" t="s">
        <v>141</v>
      </c>
      <c r="F20" s="23" t="s">
        <v>437</v>
      </c>
      <c r="G20" s="25" t="s">
        <v>292</v>
      </c>
      <c r="H20" s="25" t="s">
        <v>287</v>
      </c>
      <c r="I20" s="24" t="s">
        <v>22</v>
      </c>
      <c r="J20" s="24"/>
      <c r="K20" s="23" t="str">
        <f>"57,5"</f>
        <v>57,5</v>
      </c>
      <c r="L20" s="25" t="str">
        <f>"47,0725"</f>
        <v>47,0725</v>
      </c>
      <c r="M20" s="23" t="s">
        <v>27</v>
      </c>
    </row>
    <row r="21" spans="1:13">
      <c r="A21" s="20" t="s">
        <v>438</v>
      </c>
      <c r="B21" s="20" t="s">
        <v>122</v>
      </c>
      <c r="C21" s="20" t="s">
        <v>123</v>
      </c>
      <c r="D21" s="20" t="str">
        <f>"0,7822"</f>
        <v>0,7822</v>
      </c>
      <c r="E21" s="20" t="s">
        <v>18</v>
      </c>
      <c r="F21" s="20" t="s">
        <v>124</v>
      </c>
      <c r="G21" s="21" t="s">
        <v>25</v>
      </c>
      <c r="H21" s="21" t="s">
        <v>125</v>
      </c>
      <c r="I21" s="21"/>
      <c r="J21" s="21"/>
      <c r="K21" s="20" t="str">
        <f>"0,0"</f>
        <v>0,0</v>
      </c>
      <c r="L21" s="22" t="str">
        <f>"0,0000"</f>
        <v>0,0000</v>
      </c>
      <c r="M21" s="20" t="s">
        <v>27</v>
      </c>
    </row>
    <row r="23" spans="1:13" ht="15">
      <c r="A23" s="46" t="s">
        <v>119</v>
      </c>
      <c r="B23" s="46"/>
      <c r="C23" s="46"/>
      <c r="D23" s="46"/>
      <c r="E23" s="46"/>
      <c r="F23" s="46"/>
      <c r="G23" s="46"/>
      <c r="H23" s="46"/>
      <c r="I23" s="46"/>
      <c r="J23" s="46"/>
      <c r="K23" s="46"/>
      <c r="L23" s="46"/>
    </row>
    <row r="24" spans="1:13">
      <c r="A24" s="17" t="s">
        <v>440</v>
      </c>
      <c r="B24" s="17" t="s">
        <v>441</v>
      </c>
      <c r="C24" s="17" t="s">
        <v>442</v>
      </c>
      <c r="D24" s="17" t="str">
        <f>"0,7498"</f>
        <v>0,7498</v>
      </c>
      <c r="E24" s="17" t="s">
        <v>141</v>
      </c>
      <c r="F24" s="17" t="s">
        <v>19</v>
      </c>
      <c r="G24" s="19" t="s">
        <v>23</v>
      </c>
      <c r="H24" s="19" t="s">
        <v>414</v>
      </c>
      <c r="I24" s="19" t="s">
        <v>292</v>
      </c>
      <c r="J24" s="18"/>
      <c r="K24" s="17" t="str">
        <f>"55,0"</f>
        <v>55,0</v>
      </c>
      <c r="L24" s="19" t="str">
        <f>"50,7206"</f>
        <v>50,7206</v>
      </c>
      <c r="M24" s="17" t="s">
        <v>27</v>
      </c>
    </row>
    <row r="25" spans="1:13">
      <c r="A25" s="23" t="s">
        <v>444</v>
      </c>
      <c r="B25" s="23" t="s">
        <v>445</v>
      </c>
      <c r="C25" s="23" t="s">
        <v>446</v>
      </c>
      <c r="D25" s="23" t="str">
        <f>"0,7519"</f>
        <v>0,7519</v>
      </c>
      <c r="E25" s="23" t="s">
        <v>18</v>
      </c>
      <c r="F25" s="23" t="s">
        <v>423</v>
      </c>
      <c r="G25" s="25" t="s">
        <v>201</v>
      </c>
      <c r="H25" s="25" t="s">
        <v>202</v>
      </c>
      <c r="I25" s="24" t="s">
        <v>447</v>
      </c>
      <c r="J25" s="24"/>
      <c r="K25" s="23" t="str">
        <f>"125,0"</f>
        <v>125,0</v>
      </c>
      <c r="L25" s="25" t="str">
        <f>"97,7470"</f>
        <v>97,7470</v>
      </c>
      <c r="M25" s="23" t="s">
        <v>27</v>
      </c>
    </row>
    <row r="26" spans="1:13">
      <c r="A26" s="23" t="s">
        <v>449</v>
      </c>
      <c r="B26" s="23" t="s">
        <v>450</v>
      </c>
      <c r="C26" s="23" t="s">
        <v>451</v>
      </c>
      <c r="D26" s="23" t="str">
        <f>"0,7263"</f>
        <v>0,7263</v>
      </c>
      <c r="E26" s="23" t="s">
        <v>422</v>
      </c>
      <c r="F26" s="23" t="s">
        <v>423</v>
      </c>
      <c r="G26" s="24" t="s">
        <v>36</v>
      </c>
      <c r="H26" s="25" t="s">
        <v>36</v>
      </c>
      <c r="I26" s="24" t="s">
        <v>37</v>
      </c>
      <c r="J26" s="24"/>
      <c r="K26" s="23" t="str">
        <f>"100,0"</f>
        <v>100,0</v>
      </c>
      <c r="L26" s="25" t="str">
        <f>"76,9878"</f>
        <v>76,9878</v>
      </c>
      <c r="M26" s="23" t="s">
        <v>27</v>
      </c>
    </row>
    <row r="27" spans="1:13">
      <c r="A27" s="23" t="s">
        <v>453</v>
      </c>
      <c r="B27" s="23" t="s">
        <v>454</v>
      </c>
      <c r="C27" s="23" t="s">
        <v>455</v>
      </c>
      <c r="D27" s="23" t="str">
        <f>"0,7337"</f>
        <v>0,7337</v>
      </c>
      <c r="E27" s="23" t="s">
        <v>422</v>
      </c>
      <c r="F27" s="23" t="s">
        <v>423</v>
      </c>
      <c r="G27" s="25" t="s">
        <v>73</v>
      </c>
      <c r="H27" s="24" t="s">
        <v>202</v>
      </c>
      <c r="I27" s="24" t="s">
        <v>202</v>
      </c>
      <c r="J27" s="24"/>
      <c r="K27" s="23" t="str">
        <f>"120,0"</f>
        <v>120,0</v>
      </c>
      <c r="L27" s="25" t="str">
        <f>"89,8049"</f>
        <v>89,8049</v>
      </c>
      <c r="M27" s="23" t="s">
        <v>27</v>
      </c>
    </row>
    <row r="28" spans="1:13">
      <c r="A28" s="30" t="s">
        <v>863</v>
      </c>
      <c r="B28" s="23" t="s">
        <v>457</v>
      </c>
      <c r="C28" s="23" t="s">
        <v>458</v>
      </c>
      <c r="D28" s="23" t="str">
        <f>"0,7839"</f>
        <v>0,7839</v>
      </c>
      <c r="E28" s="23" t="s">
        <v>141</v>
      </c>
      <c r="F28" s="23" t="s">
        <v>19</v>
      </c>
      <c r="G28" s="25" t="s">
        <v>72</v>
      </c>
      <c r="H28" s="24" t="s">
        <v>340</v>
      </c>
      <c r="I28" s="24" t="s">
        <v>447</v>
      </c>
      <c r="J28" s="24"/>
      <c r="K28" s="23" t="str">
        <f>"115,0"</f>
        <v>115,0</v>
      </c>
      <c r="L28" s="25" t="str">
        <f>"90,1485"</f>
        <v>90,1485</v>
      </c>
      <c r="M28" s="23" t="s">
        <v>27</v>
      </c>
    </row>
    <row r="29" spans="1:13">
      <c r="A29" s="20" t="s">
        <v>460</v>
      </c>
      <c r="B29" s="20" t="s">
        <v>461</v>
      </c>
      <c r="C29" s="20" t="s">
        <v>462</v>
      </c>
      <c r="D29" s="20" t="str">
        <f>"0,7418"</f>
        <v>0,7418</v>
      </c>
      <c r="E29" s="20" t="s">
        <v>18</v>
      </c>
      <c r="F29" s="20" t="s">
        <v>463</v>
      </c>
      <c r="G29" s="22" t="s">
        <v>464</v>
      </c>
      <c r="H29" s="21"/>
      <c r="I29" s="21"/>
      <c r="J29" s="21"/>
      <c r="K29" s="20" t="str">
        <f>"65,0"</f>
        <v>65,0</v>
      </c>
      <c r="L29" s="22" t="str">
        <f>"100,6771"</f>
        <v>100,6771</v>
      </c>
      <c r="M29" s="20" t="s">
        <v>27</v>
      </c>
    </row>
    <row r="31" spans="1:13" ht="15">
      <c r="A31" s="46" t="s">
        <v>13</v>
      </c>
      <c r="B31" s="46"/>
      <c r="C31" s="46"/>
      <c r="D31" s="46"/>
      <c r="E31" s="46"/>
      <c r="F31" s="46"/>
      <c r="G31" s="46"/>
      <c r="H31" s="46"/>
      <c r="I31" s="46"/>
      <c r="J31" s="46"/>
      <c r="K31" s="46"/>
      <c r="L31" s="46"/>
    </row>
    <row r="32" spans="1:13">
      <c r="A32" s="17" t="s">
        <v>466</v>
      </c>
      <c r="B32" s="17" t="s">
        <v>467</v>
      </c>
      <c r="C32" s="17" t="s">
        <v>468</v>
      </c>
      <c r="D32" s="17" t="str">
        <f>"0,6859"</f>
        <v>0,6859</v>
      </c>
      <c r="E32" s="17" t="s">
        <v>207</v>
      </c>
      <c r="F32" s="17" t="s">
        <v>19</v>
      </c>
      <c r="G32" s="19" t="s">
        <v>58</v>
      </c>
      <c r="H32" s="18" t="s">
        <v>189</v>
      </c>
      <c r="I32" s="18" t="s">
        <v>189</v>
      </c>
      <c r="J32" s="18"/>
      <c r="K32" s="17" t="str">
        <f>"75,0"</f>
        <v>75,0</v>
      </c>
      <c r="L32" s="19" t="str">
        <f>"63,2743"</f>
        <v>63,2743</v>
      </c>
      <c r="M32" s="17" t="s">
        <v>27</v>
      </c>
    </row>
    <row r="33" spans="1:13">
      <c r="A33" s="23" t="s">
        <v>470</v>
      </c>
      <c r="B33" s="23" t="s">
        <v>471</v>
      </c>
      <c r="C33" s="23" t="s">
        <v>472</v>
      </c>
      <c r="D33" s="23" t="str">
        <f>"0,7142"</f>
        <v>0,7142</v>
      </c>
      <c r="E33" s="23" t="s">
        <v>18</v>
      </c>
      <c r="F33" s="23" t="s">
        <v>19</v>
      </c>
      <c r="G33" s="25" t="s">
        <v>58</v>
      </c>
      <c r="H33" s="25" t="s">
        <v>54</v>
      </c>
      <c r="I33" s="24" t="s">
        <v>189</v>
      </c>
      <c r="J33" s="24"/>
      <c r="K33" s="23" t="str">
        <f>"82,5"</f>
        <v>82,5</v>
      </c>
      <c r="L33" s="25" t="str">
        <f>"63,6308"</f>
        <v>63,6308</v>
      </c>
      <c r="M33" s="23" t="s">
        <v>27</v>
      </c>
    </row>
    <row r="34" spans="1:13">
      <c r="A34" s="23" t="s">
        <v>474</v>
      </c>
      <c r="B34" s="23" t="s">
        <v>475</v>
      </c>
      <c r="C34" s="23" t="s">
        <v>476</v>
      </c>
      <c r="D34" s="23" t="str">
        <f>"0,6855"</f>
        <v>0,6855</v>
      </c>
      <c r="E34" s="23" t="s">
        <v>95</v>
      </c>
      <c r="F34" s="23" t="s">
        <v>96</v>
      </c>
      <c r="G34" s="25" t="s">
        <v>117</v>
      </c>
      <c r="H34" s="25" t="s">
        <v>73</v>
      </c>
      <c r="I34" s="24" t="s">
        <v>202</v>
      </c>
      <c r="J34" s="24"/>
      <c r="K34" s="23" t="str">
        <f>"120,0"</f>
        <v>120,0</v>
      </c>
      <c r="L34" s="25" t="str">
        <f>"84,7278"</f>
        <v>84,7278</v>
      </c>
      <c r="M34" s="23" t="s">
        <v>27</v>
      </c>
    </row>
    <row r="35" spans="1:13">
      <c r="A35" s="23" t="s">
        <v>478</v>
      </c>
      <c r="B35" s="23" t="s">
        <v>479</v>
      </c>
      <c r="C35" s="23" t="s">
        <v>480</v>
      </c>
      <c r="D35" s="23" t="str">
        <f>"0,7044"</f>
        <v>0,7044</v>
      </c>
      <c r="E35" s="23" t="s">
        <v>18</v>
      </c>
      <c r="F35" s="23" t="s">
        <v>481</v>
      </c>
      <c r="G35" s="25" t="s">
        <v>24</v>
      </c>
      <c r="H35" s="24" t="s">
        <v>25</v>
      </c>
      <c r="I35" s="24" t="s">
        <v>25</v>
      </c>
      <c r="J35" s="24"/>
      <c r="K35" s="23" t="str">
        <f>"80,0"</f>
        <v>80,0</v>
      </c>
      <c r="L35" s="25" t="str">
        <f>"56,9155"</f>
        <v>56,9155</v>
      </c>
      <c r="M35" s="23" t="s">
        <v>27</v>
      </c>
    </row>
    <row r="36" spans="1:13">
      <c r="A36" s="23" t="s">
        <v>483</v>
      </c>
      <c r="B36" s="23" t="s">
        <v>484</v>
      </c>
      <c r="C36" s="23" t="s">
        <v>485</v>
      </c>
      <c r="D36" s="23" t="str">
        <f>"0,6748"</f>
        <v>0,6748</v>
      </c>
      <c r="E36" s="23" t="s">
        <v>486</v>
      </c>
      <c r="F36" s="23" t="s">
        <v>487</v>
      </c>
      <c r="G36" s="25" t="s">
        <v>202</v>
      </c>
      <c r="H36" s="24" t="s">
        <v>488</v>
      </c>
      <c r="I36" s="24" t="s">
        <v>488</v>
      </c>
      <c r="J36" s="24"/>
      <c r="K36" s="23" t="str">
        <f>"125,0"</f>
        <v>125,0</v>
      </c>
      <c r="L36" s="25" t="str">
        <f>"84,3562"</f>
        <v>84,3562</v>
      </c>
      <c r="M36" s="23" t="s">
        <v>27</v>
      </c>
    </row>
    <row r="37" spans="1:13">
      <c r="A37" s="23" t="s">
        <v>490</v>
      </c>
      <c r="B37" s="23" t="s">
        <v>491</v>
      </c>
      <c r="C37" s="23" t="s">
        <v>492</v>
      </c>
      <c r="D37" s="23" t="str">
        <f>"0,6680"</f>
        <v>0,6680</v>
      </c>
      <c r="E37" s="23" t="s">
        <v>18</v>
      </c>
      <c r="F37" s="23" t="s">
        <v>408</v>
      </c>
      <c r="G37" s="24" t="s">
        <v>202</v>
      </c>
      <c r="H37" s="25" t="s">
        <v>202</v>
      </c>
      <c r="I37" s="24" t="s">
        <v>447</v>
      </c>
      <c r="J37" s="24"/>
      <c r="K37" s="23" t="str">
        <f>"125,0"</f>
        <v>125,0</v>
      </c>
      <c r="L37" s="25" t="str">
        <f>"83,5000"</f>
        <v>83,5000</v>
      </c>
      <c r="M37" s="23" t="s">
        <v>27</v>
      </c>
    </row>
    <row r="38" spans="1:13">
      <c r="A38" s="23" t="s">
        <v>494</v>
      </c>
      <c r="B38" s="23" t="s">
        <v>495</v>
      </c>
      <c r="C38" s="23" t="s">
        <v>468</v>
      </c>
      <c r="D38" s="23" t="str">
        <f>"0,6859"</f>
        <v>0,6859</v>
      </c>
      <c r="E38" s="23" t="s">
        <v>422</v>
      </c>
      <c r="F38" s="23" t="s">
        <v>423</v>
      </c>
      <c r="G38" s="24" t="s">
        <v>73</v>
      </c>
      <c r="H38" s="25" t="s">
        <v>202</v>
      </c>
      <c r="I38" s="24" t="s">
        <v>100</v>
      </c>
      <c r="J38" s="24"/>
      <c r="K38" s="23" t="str">
        <f>"125,0"</f>
        <v>125,0</v>
      </c>
      <c r="L38" s="25" t="str">
        <f>"86,5091"</f>
        <v>86,5091</v>
      </c>
      <c r="M38" s="23" t="s">
        <v>27</v>
      </c>
    </row>
    <row r="39" spans="1:13">
      <c r="A39" s="20" t="s">
        <v>497</v>
      </c>
      <c r="B39" s="20" t="s">
        <v>498</v>
      </c>
      <c r="C39" s="20" t="s">
        <v>499</v>
      </c>
      <c r="D39" s="20" t="str">
        <f>"0,6789"</f>
        <v>0,6789</v>
      </c>
      <c r="E39" s="20" t="s">
        <v>422</v>
      </c>
      <c r="F39" s="20" t="s">
        <v>19</v>
      </c>
      <c r="G39" s="22" t="s">
        <v>73</v>
      </c>
      <c r="H39" s="22" t="s">
        <v>202</v>
      </c>
      <c r="I39" s="22" t="s">
        <v>100</v>
      </c>
      <c r="J39" s="21"/>
      <c r="K39" s="20" t="str">
        <f>"130,0"</f>
        <v>130,0</v>
      </c>
      <c r="L39" s="22" t="str">
        <f>"150,0369"</f>
        <v>150,0369</v>
      </c>
      <c r="M39" s="20" t="s">
        <v>500</v>
      </c>
    </row>
    <row r="41" spans="1:13" ht="15">
      <c r="A41" s="46" t="s">
        <v>28</v>
      </c>
      <c r="B41" s="46"/>
      <c r="C41" s="46"/>
      <c r="D41" s="46"/>
      <c r="E41" s="46"/>
      <c r="F41" s="46"/>
      <c r="G41" s="46"/>
      <c r="H41" s="46"/>
      <c r="I41" s="46"/>
      <c r="J41" s="46"/>
      <c r="K41" s="46"/>
      <c r="L41" s="46"/>
    </row>
    <row r="42" spans="1:13">
      <c r="A42" s="17" t="s">
        <v>502</v>
      </c>
      <c r="B42" s="17" t="s">
        <v>503</v>
      </c>
      <c r="C42" s="17" t="s">
        <v>504</v>
      </c>
      <c r="D42" s="17" t="str">
        <f>"0,6367"</f>
        <v>0,6367</v>
      </c>
      <c r="E42" s="17" t="s">
        <v>422</v>
      </c>
      <c r="F42" s="17" t="s">
        <v>423</v>
      </c>
      <c r="G42" s="19" t="s">
        <v>319</v>
      </c>
      <c r="H42" s="19" t="s">
        <v>313</v>
      </c>
      <c r="I42" s="18" t="s">
        <v>97</v>
      </c>
      <c r="J42" s="18"/>
      <c r="K42" s="17" t="str">
        <f>"147,5"</f>
        <v>147,5</v>
      </c>
      <c r="L42" s="19" t="str">
        <f>"93,9132"</f>
        <v>93,9132</v>
      </c>
      <c r="M42" s="17" t="s">
        <v>27</v>
      </c>
    </row>
    <row r="43" spans="1:13">
      <c r="A43" s="23" t="s">
        <v>506</v>
      </c>
      <c r="B43" s="23" t="s">
        <v>507</v>
      </c>
      <c r="C43" s="23" t="s">
        <v>508</v>
      </c>
      <c r="D43" s="23" t="str">
        <f>"0,6329"</f>
        <v>0,6329</v>
      </c>
      <c r="E43" s="23" t="s">
        <v>486</v>
      </c>
      <c r="F43" s="23" t="s">
        <v>509</v>
      </c>
      <c r="G43" s="25" t="s">
        <v>73</v>
      </c>
      <c r="H43" s="24" t="s">
        <v>100</v>
      </c>
      <c r="I43" s="25" t="s">
        <v>100</v>
      </c>
      <c r="J43" s="24"/>
      <c r="K43" s="23" t="str">
        <f>"130,0"</f>
        <v>130,0</v>
      </c>
      <c r="L43" s="25" t="str">
        <f>"82,2770"</f>
        <v>82,2770</v>
      </c>
      <c r="M43" s="23" t="s">
        <v>27</v>
      </c>
    </row>
    <row r="44" spans="1:13">
      <c r="A44" s="20" t="s">
        <v>511</v>
      </c>
      <c r="B44" s="20" t="s">
        <v>512</v>
      </c>
      <c r="C44" s="20" t="s">
        <v>513</v>
      </c>
      <c r="D44" s="20" t="str">
        <f>"0,6209"</f>
        <v>0,6209</v>
      </c>
      <c r="E44" s="20" t="s">
        <v>514</v>
      </c>
      <c r="F44" s="20" t="s">
        <v>19</v>
      </c>
      <c r="G44" s="22" t="s">
        <v>117</v>
      </c>
      <c r="H44" s="21" t="s">
        <v>73</v>
      </c>
      <c r="I44" s="22" t="s">
        <v>73</v>
      </c>
      <c r="J44" s="21"/>
      <c r="K44" s="20" t="str">
        <f>"120,0"</f>
        <v>120,0</v>
      </c>
      <c r="L44" s="22" t="str">
        <f>"74,5080"</f>
        <v>74,5080</v>
      </c>
      <c r="M44" s="20" t="s">
        <v>27</v>
      </c>
    </row>
    <row r="46" spans="1:13" ht="15">
      <c r="A46" s="46" t="s">
        <v>74</v>
      </c>
      <c r="B46" s="46"/>
      <c r="C46" s="46"/>
      <c r="D46" s="46"/>
      <c r="E46" s="46"/>
      <c r="F46" s="46"/>
      <c r="G46" s="46"/>
      <c r="H46" s="46"/>
      <c r="I46" s="46"/>
      <c r="J46" s="46"/>
      <c r="K46" s="46"/>
      <c r="L46" s="46"/>
    </row>
    <row r="47" spans="1:13">
      <c r="A47" s="17" t="s">
        <v>516</v>
      </c>
      <c r="B47" s="17" t="s">
        <v>517</v>
      </c>
      <c r="C47" s="17" t="s">
        <v>518</v>
      </c>
      <c r="D47" s="17" t="str">
        <f>"0,5881"</f>
        <v>0,5881</v>
      </c>
      <c r="E47" s="17" t="s">
        <v>18</v>
      </c>
      <c r="F47" s="17" t="s">
        <v>519</v>
      </c>
      <c r="G47" s="18" t="s">
        <v>202</v>
      </c>
      <c r="H47" s="19" t="s">
        <v>202</v>
      </c>
      <c r="I47" s="18" t="s">
        <v>100</v>
      </c>
      <c r="J47" s="18"/>
      <c r="K47" s="17" t="str">
        <f>"125,0"</f>
        <v>125,0</v>
      </c>
      <c r="L47" s="19" t="str">
        <f>"86,7448"</f>
        <v>86,7448</v>
      </c>
      <c r="M47" s="17" t="s">
        <v>27</v>
      </c>
    </row>
    <row r="48" spans="1:13">
      <c r="A48" s="23" t="s">
        <v>521</v>
      </c>
      <c r="B48" s="23" t="s">
        <v>522</v>
      </c>
      <c r="C48" s="23" t="s">
        <v>523</v>
      </c>
      <c r="D48" s="23" t="str">
        <f>"0,5912"</f>
        <v>0,5912</v>
      </c>
      <c r="E48" s="23" t="s">
        <v>422</v>
      </c>
      <c r="F48" s="23" t="s">
        <v>423</v>
      </c>
      <c r="G48" s="25" t="s">
        <v>72</v>
      </c>
      <c r="H48" s="24" t="s">
        <v>73</v>
      </c>
      <c r="I48" s="25" t="s">
        <v>202</v>
      </c>
      <c r="J48" s="24"/>
      <c r="K48" s="23" t="str">
        <f>"125,0"</f>
        <v>125,0</v>
      </c>
      <c r="L48" s="25" t="str">
        <f>"79,8120"</f>
        <v>79,8120</v>
      </c>
      <c r="M48" s="23" t="s">
        <v>27</v>
      </c>
    </row>
    <row r="49" spans="1:13">
      <c r="A49" s="23" t="s">
        <v>525</v>
      </c>
      <c r="B49" s="23" t="s">
        <v>526</v>
      </c>
      <c r="C49" s="23" t="s">
        <v>527</v>
      </c>
      <c r="D49" s="23" t="str">
        <f>"0,6100"</f>
        <v>0,6100</v>
      </c>
      <c r="E49" s="23" t="s">
        <v>18</v>
      </c>
      <c r="F49" s="23" t="s">
        <v>19</v>
      </c>
      <c r="G49" s="25" t="s">
        <v>175</v>
      </c>
      <c r="H49" s="25" t="s">
        <v>97</v>
      </c>
      <c r="I49" s="24" t="s">
        <v>98</v>
      </c>
      <c r="J49" s="24"/>
      <c r="K49" s="23" t="str">
        <f>"150,0"</f>
        <v>150,0</v>
      </c>
      <c r="L49" s="25" t="str">
        <f>"96,9900"</f>
        <v>96,9900</v>
      </c>
      <c r="M49" s="23" t="s">
        <v>27</v>
      </c>
    </row>
    <row r="50" spans="1:13">
      <c r="A50" s="23" t="s">
        <v>529</v>
      </c>
      <c r="B50" s="23" t="s">
        <v>530</v>
      </c>
      <c r="C50" s="23" t="s">
        <v>531</v>
      </c>
      <c r="D50" s="23" t="str">
        <f>"0,6029"</f>
        <v>0,6029</v>
      </c>
      <c r="E50" s="23" t="s">
        <v>207</v>
      </c>
      <c r="F50" s="23" t="s">
        <v>19</v>
      </c>
      <c r="G50" s="25" t="s">
        <v>100</v>
      </c>
      <c r="H50" s="24" t="s">
        <v>101</v>
      </c>
      <c r="I50" s="24" t="s">
        <v>101</v>
      </c>
      <c r="J50" s="24"/>
      <c r="K50" s="23" t="str">
        <f>"130,0"</f>
        <v>130,0</v>
      </c>
      <c r="L50" s="25" t="str">
        <f>"80,7283"</f>
        <v>80,7283</v>
      </c>
      <c r="M50" s="23" t="s">
        <v>27</v>
      </c>
    </row>
    <row r="51" spans="1:13">
      <c r="A51" s="23" t="s">
        <v>533</v>
      </c>
      <c r="B51" s="23" t="s">
        <v>534</v>
      </c>
      <c r="C51" s="23" t="s">
        <v>535</v>
      </c>
      <c r="D51" s="23" t="str">
        <f>"0,5897"</f>
        <v>0,5897</v>
      </c>
      <c r="E51" s="23" t="s">
        <v>486</v>
      </c>
      <c r="F51" s="23" t="s">
        <v>33</v>
      </c>
      <c r="G51" s="25" t="s">
        <v>175</v>
      </c>
      <c r="H51" s="25" t="s">
        <v>313</v>
      </c>
      <c r="I51" s="24" t="s">
        <v>98</v>
      </c>
      <c r="J51" s="24"/>
      <c r="K51" s="23" t="str">
        <f>"147,5"</f>
        <v>147,5</v>
      </c>
      <c r="L51" s="25" t="str">
        <f>"86,9807"</f>
        <v>86,9807</v>
      </c>
      <c r="M51" s="23" t="s">
        <v>27</v>
      </c>
    </row>
    <row r="52" spans="1:13">
      <c r="A52" s="23" t="s">
        <v>537</v>
      </c>
      <c r="B52" s="23" t="s">
        <v>538</v>
      </c>
      <c r="C52" s="23" t="s">
        <v>539</v>
      </c>
      <c r="D52" s="23" t="str">
        <f>"0,5877"</f>
        <v>0,5877</v>
      </c>
      <c r="E52" s="23" t="s">
        <v>18</v>
      </c>
      <c r="F52" s="23" t="s">
        <v>19</v>
      </c>
      <c r="G52" s="25" t="s">
        <v>202</v>
      </c>
      <c r="H52" s="25" t="s">
        <v>101</v>
      </c>
      <c r="I52" s="24" t="s">
        <v>319</v>
      </c>
      <c r="J52" s="24"/>
      <c r="K52" s="23" t="str">
        <f>"135,0"</f>
        <v>135,0</v>
      </c>
      <c r="L52" s="25" t="str">
        <f>"79,3395"</f>
        <v>79,3395</v>
      </c>
      <c r="M52" s="23" t="s">
        <v>27</v>
      </c>
    </row>
    <row r="53" spans="1:13">
      <c r="A53" s="23" t="s">
        <v>541</v>
      </c>
      <c r="B53" s="23" t="s">
        <v>542</v>
      </c>
      <c r="C53" s="23" t="s">
        <v>543</v>
      </c>
      <c r="D53" s="23" t="str">
        <f>"0,6132"</f>
        <v>0,6132</v>
      </c>
      <c r="E53" s="23" t="s">
        <v>164</v>
      </c>
      <c r="F53" s="23" t="s">
        <v>544</v>
      </c>
      <c r="G53" s="25" t="s">
        <v>72</v>
      </c>
      <c r="H53" s="25" t="s">
        <v>340</v>
      </c>
      <c r="I53" s="24" t="s">
        <v>202</v>
      </c>
      <c r="J53" s="24"/>
      <c r="K53" s="23" t="str">
        <f>"122,5"</f>
        <v>122,5</v>
      </c>
      <c r="L53" s="25" t="str">
        <f>"75,1170"</f>
        <v>75,1170</v>
      </c>
      <c r="M53" s="23" t="s">
        <v>27</v>
      </c>
    </row>
    <row r="54" spans="1:13">
      <c r="A54" s="23" t="s">
        <v>546</v>
      </c>
      <c r="B54" s="23" t="s">
        <v>547</v>
      </c>
      <c r="C54" s="23" t="s">
        <v>548</v>
      </c>
      <c r="D54" s="23" t="str">
        <f>"0,6018"</f>
        <v>0,6018</v>
      </c>
      <c r="E54" s="23" t="s">
        <v>18</v>
      </c>
      <c r="F54" s="23" t="s">
        <v>549</v>
      </c>
      <c r="G54" s="24" t="s">
        <v>100</v>
      </c>
      <c r="H54" s="24" t="s">
        <v>100</v>
      </c>
      <c r="I54" s="24" t="s">
        <v>100</v>
      </c>
      <c r="J54" s="24"/>
      <c r="K54" s="23" t="str">
        <f>"0,0"</f>
        <v>0,0</v>
      </c>
      <c r="L54" s="25" t="str">
        <f>"0,0000"</f>
        <v>0,0000</v>
      </c>
      <c r="M54" s="23" t="s">
        <v>27</v>
      </c>
    </row>
    <row r="55" spans="1:13">
      <c r="A55" s="23" t="s">
        <v>551</v>
      </c>
      <c r="B55" s="23" t="s">
        <v>552</v>
      </c>
      <c r="C55" s="23" t="s">
        <v>553</v>
      </c>
      <c r="D55" s="23" t="str">
        <f>"0,5984"</f>
        <v>0,5984</v>
      </c>
      <c r="E55" s="23" t="s">
        <v>18</v>
      </c>
      <c r="F55" s="23" t="s">
        <v>19</v>
      </c>
      <c r="G55" s="24" t="s">
        <v>100</v>
      </c>
      <c r="H55" s="24" t="s">
        <v>100</v>
      </c>
      <c r="I55" s="24" t="s">
        <v>100</v>
      </c>
      <c r="J55" s="24"/>
      <c r="K55" s="23" t="str">
        <f>"0,0"</f>
        <v>0,0</v>
      </c>
      <c r="L55" s="25" t="str">
        <f>"0,0000"</f>
        <v>0,0000</v>
      </c>
      <c r="M55" s="23" t="s">
        <v>27</v>
      </c>
    </row>
    <row r="56" spans="1:13">
      <c r="A56" s="23" t="s">
        <v>554</v>
      </c>
      <c r="B56" s="23" t="s">
        <v>555</v>
      </c>
      <c r="C56" s="23" t="s">
        <v>556</v>
      </c>
      <c r="D56" s="23" t="str">
        <f>"0,5935"</f>
        <v>0,5935</v>
      </c>
      <c r="E56" s="23" t="s">
        <v>18</v>
      </c>
      <c r="F56" s="23" t="s">
        <v>318</v>
      </c>
      <c r="G56" s="24" t="s">
        <v>202</v>
      </c>
      <c r="H56" s="24" t="s">
        <v>101</v>
      </c>
      <c r="I56" s="24" t="s">
        <v>101</v>
      </c>
      <c r="J56" s="24"/>
      <c r="K56" s="23" t="str">
        <f>"0,0"</f>
        <v>0,0</v>
      </c>
      <c r="L56" s="25" t="str">
        <f>"0,0000"</f>
        <v>0,0000</v>
      </c>
      <c r="M56" s="23" t="s">
        <v>27</v>
      </c>
    </row>
    <row r="57" spans="1:13">
      <c r="A57" s="20" t="s">
        <v>331</v>
      </c>
      <c r="B57" s="20" t="s">
        <v>332</v>
      </c>
      <c r="C57" s="20" t="s">
        <v>333</v>
      </c>
      <c r="D57" s="20" t="str">
        <f>"0,5883"</f>
        <v>0,5883</v>
      </c>
      <c r="E57" s="20" t="s">
        <v>18</v>
      </c>
      <c r="F57" s="20" t="s">
        <v>334</v>
      </c>
      <c r="G57" s="22" t="s">
        <v>97</v>
      </c>
      <c r="H57" s="21"/>
      <c r="I57" s="21"/>
      <c r="J57" s="21"/>
      <c r="K57" s="20" t="str">
        <f>"150,0"</f>
        <v>150,0</v>
      </c>
      <c r="L57" s="22" t="str">
        <f>"88,2450"</f>
        <v>88,2450</v>
      </c>
      <c r="M57" s="20" t="s">
        <v>27</v>
      </c>
    </row>
    <row r="59" spans="1:13" ht="15">
      <c r="A59" s="46" t="s">
        <v>136</v>
      </c>
      <c r="B59" s="46"/>
      <c r="C59" s="46"/>
      <c r="D59" s="46"/>
      <c r="E59" s="46"/>
      <c r="F59" s="46"/>
      <c r="G59" s="46"/>
      <c r="H59" s="46"/>
      <c r="I59" s="46"/>
      <c r="J59" s="46"/>
      <c r="K59" s="46"/>
      <c r="L59" s="46"/>
    </row>
    <row r="60" spans="1:13">
      <c r="A60" s="17" t="s">
        <v>558</v>
      </c>
      <c r="B60" s="17" t="s">
        <v>559</v>
      </c>
      <c r="C60" s="17" t="s">
        <v>224</v>
      </c>
      <c r="D60" s="17" t="str">
        <f>"0,5619"</f>
        <v>0,5619</v>
      </c>
      <c r="E60" s="17" t="s">
        <v>514</v>
      </c>
      <c r="F60" s="17" t="s">
        <v>19</v>
      </c>
      <c r="G60" s="19" t="s">
        <v>319</v>
      </c>
      <c r="H60" s="19" t="s">
        <v>98</v>
      </c>
      <c r="I60" s="18" t="s">
        <v>99</v>
      </c>
      <c r="J60" s="18"/>
      <c r="K60" s="17" t="str">
        <f>"155,0"</f>
        <v>155,0</v>
      </c>
      <c r="L60" s="19" t="str">
        <f>"87,0945"</f>
        <v>87,0945</v>
      </c>
      <c r="M60" s="17" t="s">
        <v>27</v>
      </c>
    </row>
    <row r="61" spans="1:13">
      <c r="A61" s="23" t="s">
        <v>561</v>
      </c>
      <c r="B61" s="23" t="s">
        <v>562</v>
      </c>
      <c r="C61" s="23" t="s">
        <v>563</v>
      </c>
      <c r="D61" s="23" t="str">
        <f>"0,5678"</f>
        <v>0,5678</v>
      </c>
      <c r="E61" s="23" t="s">
        <v>18</v>
      </c>
      <c r="F61" s="23" t="s">
        <v>19</v>
      </c>
      <c r="G61" s="25" t="s">
        <v>102</v>
      </c>
      <c r="H61" s="24" t="s">
        <v>97</v>
      </c>
      <c r="I61" s="24" t="s">
        <v>97</v>
      </c>
      <c r="J61" s="24"/>
      <c r="K61" s="23" t="str">
        <f>"142,5"</f>
        <v>142,5</v>
      </c>
      <c r="L61" s="25" t="str">
        <f>"80,9115"</f>
        <v>80,9115</v>
      </c>
      <c r="M61" s="23" t="s">
        <v>27</v>
      </c>
    </row>
    <row r="62" spans="1:13">
      <c r="A62" s="23" t="s">
        <v>565</v>
      </c>
      <c r="B62" s="23" t="s">
        <v>566</v>
      </c>
      <c r="C62" s="23" t="s">
        <v>563</v>
      </c>
      <c r="D62" s="23" t="str">
        <f>"0,5678"</f>
        <v>0,5678</v>
      </c>
      <c r="E62" s="23" t="s">
        <v>164</v>
      </c>
      <c r="F62" s="23" t="s">
        <v>544</v>
      </c>
      <c r="G62" s="25" t="s">
        <v>202</v>
      </c>
      <c r="H62" s="25" t="s">
        <v>567</v>
      </c>
      <c r="I62" s="25" t="s">
        <v>175</v>
      </c>
      <c r="J62" s="24"/>
      <c r="K62" s="23" t="str">
        <f>"140,0"</f>
        <v>140,0</v>
      </c>
      <c r="L62" s="25" t="str">
        <f>"79,4920"</f>
        <v>79,4920</v>
      </c>
      <c r="M62" s="23" t="s">
        <v>27</v>
      </c>
    </row>
    <row r="63" spans="1:13">
      <c r="A63" s="23" t="s">
        <v>569</v>
      </c>
      <c r="B63" s="23" t="s">
        <v>570</v>
      </c>
      <c r="C63" s="23" t="s">
        <v>571</v>
      </c>
      <c r="D63" s="23" t="str">
        <f>"0,5598"</f>
        <v>0,5598</v>
      </c>
      <c r="E63" s="23" t="s">
        <v>422</v>
      </c>
      <c r="F63" s="23" t="s">
        <v>423</v>
      </c>
      <c r="G63" s="25" t="s">
        <v>134</v>
      </c>
      <c r="H63" s="25" t="s">
        <v>572</v>
      </c>
      <c r="I63" s="24" t="s">
        <v>154</v>
      </c>
      <c r="J63" s="24"/>
      <c r="K63" s="23" t="str">
        <f>"172,5"</f>
        <v>172,5</v>
      </c>
      <c r="L63" s="25" t="str">
        <f>"96,5655"</f>
        <v>96,5655</v>
      </c>
      <c r="M63" s="23" t="s">
        <v>27</v>
      </c>
    </row>
    <row r="64" spans="1:13">
      <c r="A64" s="23" t="s">
        <v>574</v>
      </c>
      <c r="B64" s="23" t="s">
        <v>575</v>
      </c>
      <c r="C64" s="23" t="s">
        <v>576</v>
      </c>
      <c r="D64" s="23" t="str">
        <f>"0,5573"</f>
        <v>0,5573</v>
      </c>
      <c r="E64" s="23" t="s">
        <v>486</v>
      </c>
      <c r="F64" s="23" t="s">
        <v>549</v>
      </c>
      <c r="G64" s="25" t="s">
        <v>97</v>
      </c>
      <c r="H64" s="24" t="s">
        <v>98</v>
      </c>
      <c r="I64" s="24" t="s">
        <v>98</v>
      </c>
      <c r="J64" s="24"/>
      <c r="K64" s="23" t="str">
        <f>"150,0"</f>
        <v>150,0</v>
      </c>
      <c r="L64" s="25" t="str">
        <f>"86,1864"</f>
        <v>86,1864</v>
      </c>
      <c r="M64" s="23" t="s">
        <v>27</v>
      </c>
    </row>
    <row r="65" spans="1:13">
      <c r="A65" s="20" t="s">
        <v>578</v>
      </c>
      <c r="B65" s="20" t="s">
        <v>579</v>
      </c>
      <c r="C65" s="20" t="s">
        <v>580</v>
      </c>
      <c r="D65" s="20" t="str">
        <f>"0,5581"</f>
        <v>0,5581</v>
      </c>
      <c r="E65" s="20" t="s">
        <v>18</v>
      </c>
      <c r="F65" s="20" t="s">
        <v>19</v>
      </c>
      <c r="G65" s="22" t="s">
        <v>36</v>
      </c>
      <c r="H65" s="22" t="s">
        <v>117</v>
      </c>
      <c r="I65" s="22" t="s">
        <v>72</v>
      </c>
      <c r="J65" s="21"/>
      <c r="K65" s="20" t="str">
        <f>"115,0"</f>
        <v>115,0</v>
      </c>
      <c r="L65" s="22" t="str">
        <f>"132,3422"</f>
        <v>132,3422</v>
      </c>
      <c r="M65" s="20" t="s">
        <v>27</v>
      </c>
    </row>
    <row r="67" spans="1:13" ht="15">
      <c r="A67" s="46" t="s">
        <v>143</v>
      </c>
      <c r="B67" s="46"/>
      <c r="C67" s="46"/>
      <c r="D67" s="46"/>
      <c r="E67" s="46"/>
      <c r="F67" s="46"/>
      <c r="G67" s="46"/>
      <c r="H67" s="46"/>
      <c r="I67" s="46"/>
      <c r="J67" s="46"/>
      <c r="K67" s="46"/>
      <c r="L67" s="46"/>
    </row>
    <row r="68" spans="1:13">
      <c r="A68" s="17" t="s">
        <v>582</v>
      </c>
      <c r="B68" s="17" t="s">
        <v>583</v>
      </c>
      <c r="C68" s="17" t="s">
        <v>584</v>
      </c>
      <c r="D68" s="17" t="str">
        <f>"0,5416"</f>
        <v>0,5416</v>
      </c>
      <c r="E68" s="17" t="s">
        <v>18</v>
      </c>
      <c r="F68" s="17" t="s">
        <v>19</v>
      </c>
      <c r="G68" s="19" t="s">
        <v>208</v>
      </c>
      <c r="H68" s="18" t="s">
        <v>256</v>
      </c>
      <c r="I68" s="18" t="s">
        <v>256</v>
      </c>
      <c r="J68" s="18"/>
      <c r="K68" s="17" t="str">
        <f>"180,0"</f>
        <v>180,0</v>
      </c>
      <c r="L68" s="19" t="str">
        <f>"100,4126"</f>
        <v>100,4126</v>
      </c>
      <c r="M68" s="17" t="s">
        <v>27</v>
      </c>
    </row>
    <row r="69" spans="1:13">
      <c r="A69" s="23" t="s">
        <v>586</v>
      </c>
      <c r="B69" s="23" t="s">
        <v>587</v>
      </c>
      <c r="C69" s="23" t="s">
        <v>588</v>
      </c>
      <c r="D69" s="23" t="str">
        <f>"0,5377"</f>
        <v>0,5377</v>
      </c>
      <c r="E69" s="23" t="s">
        <v>18</v>
      </c>
      <c r="F69" s="23" t="s">
        <v>589</v>
      </c>
      <c r="G69" s="25" t="s">
        <v>34</v>
      </c>
      <c r="H69" s="25" t="s">
        <v>134</v>
      </c>
      <c r="I69" s="24" t="s">
        <v>572</v>
      </c>
      <c r="J69" s="24"/>
      <c r="K69" s="23" t="str">
        <f>"167,5"</f>
        <v>167,5</v>
      </c>
      <c r="L69" s="25" t="str">
        <f>"90,0647"</f>
        <v>90,0647</v>
      </c>
      <c r="M69" s="23" t="s">
        <v>27</v>
      </c>
    </row>
    <row r="70" spans="1:13">
      <c r="A70" s="23" t="s">
        <v>591</v>
      </c>
      <c r="B70" s="23" t="s">
        <v>592</v>
      </c>
      <c r="C70" s="23" t="s">
        <v>593</v>
      </c>
      <c r="D70" s="23" t="str">
        <f>"0,5398"</f>
        <v>0,5398</v>
      </c>
      <c r="E70" s="23" t="s">
        <v>422</v>
      </c>
      <c r="F70" s="23" t="s">
        <v>423</v>
      </c>
      <c r="G70" s="25" t="s">
        <v>175</v>
      </c>
      <c r="H70" s="25" t="s">
        <v>319</v>
      </c>
      <c r="I70" s="24" t="s">
        <v>594</v>
      </c>
      <c r="J70" s="24"/>
      <c r="K70" s="23" t="str">
        <f>"145,0"</f>
        <v>145,0</v>
      </c>
      <c r="L70" s="25" t="str">
        <f>"78,2710"</f>
        <v>78,2710</v>
      </c>
      <c r="M70" s="23" t="s">
        <v>27</v>
      </c>
    </row>
    <row r="71" spans="1:13">
      <c r="A71" s="23" t="s">
        <v>595</v>
      </c>
      <c r="B71" s="23" t="s">
        <v>596</v>
      </c>
      <c r="C71" s="23" t="s">
        <v>597</v>
      </c>
      <c r="D71" s="23" t="str">
        <f>"0,5366"</f>
        <v>0,5366</v>
      </c>
      <c r="E71" s="23" t="s">
        <v>18</v>
      </c>
      <c r="F71" s="23" t="s">
        <v>19</v>
      </c>
      <c r="G71" s="24" t="s">
        <v>134</v>
      </c>
      <c r="H71" s="24" t="s">
        <v>134</v>
      </c>
      <c r="I71" s="24" t="s">
        <v>134</v>
      </c>
      <c r="J71" s="24"/>
      <c r="K71" s="23" t="str">
        <f>"0,0"</f>
        <v>0,0</v>
      </c>
      <c r="L71" s="25" t="str">
        <f>"0,0000"</f>
        <v>0,0000</v>
      </c>
      <c r="M71" s="23" t="s">
        <v>27</v>
      </c>
    </row>
    <row r="72" spans="1:13">
      <c r="A72" s="23" t="s">
        <v>599</v>
      </c>
      <c r="B72" s="23" t="s">
        <v>600</v>
      </c>
      <c r="C72" s="23" t="s">
        <v>601</v>
      </c>
      <c r="D72" s="23" t="str">
        <f>"0,5402"</f>
        <v>0,5402</v>
      </c>
      <c r="E72" s="23" t="s">
        <v>18</v>
      </c>
      <c r="F72" s="23" t="s">
        <v>19</v>
      </c>
      <c r="G72" s="24" t="s">
        <v>97</v>
      </c>
      <c r="H72" s="24" t="s">
        <v>97</v>
      </c>
      <c r="I72" s="25" t="s">
        <v>97</v>
      </c>
      <c r="J72" s="24"/>
      <c r="K72" s="23" t="str">
        <f>"150,0"</f>
        <v>150,0</v>
      </c>
      <c r="L72" s="25" t="str">
        <f>"97,5601"</f>
        <v>97,5601</v>
      </c>
      <c r="M72" s="23" t="s">
        <v>27</v>
      </c>
    </row>
    <row r="73" spans="1:13">
      <c r="A73" s="20" t="s">
        <v>603</v>
      </c>
      <c r="B73" s="20" t="s">
        <v>604</v>
      </c>
      <c r="C73" s="20" t="s">
        <v>605</v>
      </c>
      <c r="D73" s="20" t="str">
        <f>"0,5439"</f>
        <v>0,5439</v>
      </c>
      <c r="E73" s="20" t="s">
        <v>422</v>
      </c>
      <c r="F73" s="20" t="s">
        <v>423</v>
      </c>
      <c r="G73" s="22" t="s">
        <v>72</v>
      </c>
      <c r="H73" s="22" t="s">
        <v>73</v>
      </c>
      <c r="I73" s="21" t="s">
        <v>202</v>
      </c>
      <c r="J73" s="21"/>
      <c r="K73" s="20" t="str">
        <f>"120,0"</f>
        <v>120,0</v>
      </c>
      <c r="L73" s="22" t="str">
        <f>"90,0698"</f>
        <v>90,0698</v>
      </c>
      <c r="M73" s="20" t="s">
        <v>27</v>
      </c>
    </row>
    <row r="75" spans="1:13" ht="15">
      <c r="A75" s="46" t="s">
        <v>155</v>
      </c>
      <c r="B75" s="46"/>
      <c r="C75" s="46"/>
      <c r="D75" s="46"/>
      <c r="E75" s="46"/>
      <c r="F75" s="46"/>
      <c r="G75" s="46"/>
      <c r="H75" s="46"/>
      <c r="I75" s="46"/>
      <c r="J75" s="46"/>
      <c r="K75" s="46"/>
      <c r="L75" s="46"/>
    </row>
    <row r="76" spans="1:13">
      <c r="A76" s="17" t="s">
        <v>607</v>
      </c>
      <c r="B76" s="17" t="s">
        <v>608</v>
      </c>
      <c r="C76" s="17" t="s">
        <v>609</v>
      </c>
      <c r="D76" s="17" t="str">
        <f>"0,5214"</f>
        <v>0,5214</v>
      </c>
      <c r="E76" s="17" t="s">
        <v>18</v>
      </c>
      <c r="F76" s="17" t="s">
        <v>610</v>
      </c>
      <c r="G76" s="19" t="s">
        <v>209</v>
      </c>
      <c r="H76" s="19" t="s">
        <v>611</v>
      </c>
      <c r="I76" s="18" t="s">
        <v>612</v>
      </c>
      <c r="J76" s="18"/>
      <c r="K76" s="17" t="str">
        <f>"197,5"</f>
        <v>197,5</v>
      </c>
      <c r="L76" s="19" t="str">
        <f>"102,9765"</f>
        <v>102,9765</v>
      </c>
      <c r="M76" s="17" t="s">
        <v>27</v>
      </c>
    </row>
    <row r="77" spans="1:13">
      <c r="A77" s="23" t="s">
        <v>614</v>
      </c>
      <c r="B77" s="23" t="s">
        <v>615</v>
      </c>
      <c r="C77" s="23" t="s">
        <v>616</v>
      </c>
      <c r="D77" s="23" t="str">
        <f>"0,5210"</f>
        <v>0,5210</v>
      </c>
      <c r="E77" s="23" t="s">
        <v>617</v>
      </c>
      <c r="F77" s="23" t="s">
        <v>618</v>
      </c>
      <c r="G77" s="25" t="s">
        <v>319</v>
      </c>
      <c r="H77" s="25" t="s">
        <v>98</v>
      </c>
      <c r="I77" s="25" t="s">
        <v>34</v>
      </c>
      <c r="J77" s="24"/>
      <c r="K77" s="23" t="str">
        <f>"160,0"</f>
        <v>160,0</v>
      </c>
      <c r="L77" s="25" t="str">
        <f>"83,3600"</f>
        <v>83,3600</v>
      </c>
      <c r="M77" s="23" t="s">
        <v>27</v>
      </c>
    </row>
    <row r="78" spans="1:13">
      <c r="A78" s="23" t="s">
        <v>619</v>
      </c>
      <c r="B78" s="23" t="s">
        <v>358</v>
      </c>
      <c r="C78" s="23" t="s">
        <v>359</v>
      </c>
      <c r="D78" s="23" t="str">
        <f>"0,5258"</f>
        <v>0,5258</v>
      </c>
      <c r="E78" s="23" t="s">
        <v>345</v>
      </c>
      <c r="F78" s="23" t="s">
        <v>19</v>
      </c>
      <c r="G78" s="25" t="s">
        <v>98</v>
      </c>
      <c r="H78" s="24"/>
      <c r="I78" s="24"/>
      <c r="J78" s="24"/>
      <c r="K78" s="23" t="str">
        <f>"155,0"</f>
        <v>155,0</v>
      </c>
      <c r="L78" s="25" t="str">
        <f>"81,4990"</f>
        <v>81,4990</v>
      </c>
      <c r="M78" s="23" t="s">
        <v>27</v>
      </c>
    </row>
    <row r="79" spans="1:13">
      <c r="A79" s="20" t="s">
        <v>621</v>
      </c>
      <c r="B79" s="20" t="s">
        <v>622</v>
      </c>
      <c r="C79" s="20" t="s">
        <v>623</v>
      </c>
      <c r="D79" s="20" t="str">
        <f>"0,5259"</f>
        <v>0,5259</v>
      </c>
      <c r="E79" s="20" t="s">
        <v>18</v>
      </c>
      <c r="F79" s="20" t="s">
        <v>165</v>
      </c>
      <c r="G79" s="22" t="s">
        <v>99</v>
      </c>
      <c r="H79" s="22" t="s">
        <v>35</v>
      </c>
      <c r="I79" s="21" t="s">
        <v>154</v>
      </c>
      <c r="J79" s="21"/>
      <c r="K79" s="20" t="str">
        <f>"170,0"</f>
        <v>170,0</v>
      </c>
      <c r="L79" s="22" t="str">
        <f>"108,0882"</f>
        <v>108,0882</v>
      </c>
      <c r="M79" s="20" t="s">
        <v>27</v>
      </c>
    </row>
    <row r="81" spans="1:6" ht="15">
      <c r="E81" s="9" t="s">
        <v>40</v>
      </c>
      <c r="F81" s="26" t="s">
        <v>847</v>
      </c>
    </row>
    <row r="82" spans="1:6" ht="15">
      <c r="E82" s="9" t="s">
        <v>41</v>
      </c>
      <c r="F82" s="26" t="s">
        <v>848</v>
      </c>
    </row>
    <row r="83" spans="1:6" ht="15">
      <c r="E83" s="9" t="s">
        <v>42</v>
      </c>
      <c r="F83" s="26" t="s">
        <v>849</v>
      </c>
    </row>
    <row r="84" spans="1:6" ht="15">
      <c r="E84" s="9" t="s">
        <v>43</v>
      </c>
      <c r="F84" s="26" t="s">
        <v>850</v>
      </c>
    </row>
    <row r="85" spans="1:6" ht="15">
      <c r="E85" s="9" t="s">
        <v>43</v>
      </c>
      <c r="F85" s="26" t="s">
        <v>851</v>
      </c>
    </row>
    <row r="86" spans="1:6" ht="15">
      <c r="E86" s="9" t="s">
        <v>44</v>
      </c>
      <c r="F86" s="26" t="s">
        <v>852</v>
      </c>
    </row>
    <row r="87" spans="1:6" ht="15">
      <c r="E87" s="9"/>
    </row>
    <row r="89" spans="1:6" ht="18">
      <c r="A89" s="10" t="s">
        <v>45</v>
      </c>
      <c r="B89" s="10"/>
    </row>
    <row r="90" spans="1:6" ht="15">
      <c r="A90" s="11" t="s">
        <v>81</v>
      </c>
      <c r="B90" s="11"/>
    </row>
    <row r="91" spans="1:6" ht="14.25">
      <c r="A91" s="13"/>
      <c r="B91" s="14" t="s">
        <v>82</v>
      </c>
    </row>
    <row r="92" spans="1:6" ht="15">
      <c r="A92" s="15" t="s">
        <v>48</v>
      </c>
      <c r="B92" s="15" t="s">
        <v>49</v>
      </c>
      <c r="C92" s="15" t="s">
        <v>50</v>
      </c>
      <c r="D92" s="15" t="s">
        <v>51</v>
      </c>
      <c r="E92" s="15" t="s">
        <v>52</v>
      </c>
    </row>
    <row r="93" spans="1:6">
      <c r="A93" s="12" t="s">
        <v>396</v>
      </c>
      <c r="B93" s="5" t="s">
        <v>83</v>
      </c>
      <c r="C93" s="5" t="s">
        <v>624</v>
      </c>
      <c r="D93" s="5" t="s">
        <v>302</v>
      </c>
      <c r="E93" s="16" t="s">
        <v>625</v>
      </c>
    </row>
    <row r="94" spans="1:6">
      <c r="A94" s="12" t="s">
        <v>410</v>
      </c>
      <c r="B94" s="5" t="s">
        <v>232</v>
      </c>
      <c r="C94" s="5" t="s">
        <v>235</v>
      </c>
      <c r="D94" s="5" t="s">
        <v>287</v>
      </c>
      <c r="E94" s="16" t="s">
        <v>626</v>
      </c>
    </row>
    <row r="95" spans="1:6">
      <c r="A95" s="12" t="s">
        <v>415</v>
      </c>
      <c r="B95" s="5" t="s">
        <v>232</v>
      </c>
      <c r="C95" s="5" t="s">
        <v>235</v>
      </c>
      <c r="D95" s="5" t="s">
        <v>21</v>
      </c>
      <c r="E95" s="16" t="s">
        <v>627</v>
      </c>
    </row>
    <row r="96" spans="1:6">
      <c r="A96" s="12" t="s">
        <v>429</v>
      </c>
      <c r="B96" s="5" t="s">
        <v>232</v>
      </c>
      <c r="C96" s="5" t="s">
        <v>169</v>
      </c>
      <c r="D96" s="5" t="s">
        <v>22</v>
      </c>
      <c r="E96" s="16" t="s">
        <v>628</v>
      </c>
    </row>
    <row r="98" spans="1:5" ht="14.25">
      <c r="A98" s="13"/>
      <c r="B98" s="14" t="s">
        <v>629</v>
      </c>
    </row>
    <row r="99" spans="1:5" ht="15">
      <c r="A99" s="15" t="s">
        <v>48</v>
      </c>
      <c r="B99" s="15" t="s">
        <v>49</v>
      </c>
      <c r="C99" s="15" t="s">
        <v>50</v>
      </c>
      <c r="D99" s="15" t="s">
        <v>51</v>
      </c>
      <c r="E99" s="15" t="s">
        <v>52</v>
      </c>
    </row>
    <row r="100" spans="1:5">
      <c r="A100" s="12" t="s">
        <v>400</v>
      </c>
      <c r="B100" s="5" t="s">
        <v>106</v>
      </c>
      <c r="C100" s="5" t="s">
        <v>84</v>
      </c>
      <c r="D100" s="5" t="s">
        <v>302</v>
      </c>
      <c r="E100" s="16" t="s">
        <v>630</v>
      </c>
    </row>
    <row r="101" spans="1:5">
      <c r="A101" s="12" t="s">
        <v>433</v>
      </c>
      <c r="B101" s="5" t="s">
        <v>106</v>
      </c>
      <c r="C101" s="5" t="s">
        <v>169</v>
      </c>
      <c r="D101" s="5" t="s">
        <v>287</v>
      </c>
      <c r="E101" s="16" t="s">
        <v>631</v>
      </c>
    </row>
    <row r="103" spans="1:5" ht="14.25">
      <c r="A103" s="13"/>
      <c r="B103" s="14" t="s">
        <v>57</v>
      </c>
    </row>
    <row r="104" spans="1:5" ht="15">
      <c r="A104" s="15" t="s">
        <v>48</v>
      </c>
      <c r="B104" s="15" t="s">
        <v>49</v>
      </c>
      <c r="C104" s="15" t="s">
        <v>50</v>
      </c>
      <c r="D104" s="15" t="s">
        <v>51</v>
      </c>
      <c r="E104" s="15" t="s">
        <v>52</v>
      </c>
    </row>
    <row r="105" spans="1:5">
      <c r="A105" s="12" t="s">
        <v>419</v>
      </c>
      <c r="B105" s="5" t="s">
        <v>57</v>
      </c>
      <c r="C105" s="5" t="s">
        <v>235</v>
      </c>
      <c r="D105" s="5" t="s">
        <v>296</v>
      </c>
      <c r="E105" s="16" t="s">
        <v>632</v>
      </c>
    </row>
    <row r="106" spans="1:5">
      <c r="A106" s="12" t="s">
        <v>425</v>
      </c>
      <c r="B106" s="5" t="s">
        <v>57</v>
      </c>
      <c r="C106" s="5" t="s">
        <v>235</v>
      </c>
      <c r="D106" s="5" t="s">
        <v>302</v>
      </c>
      <c r="E106" s="16" t="s">
        <v>633</v>
      </c>
    </row>
    <row r="108" spans="1:5" ht="14.25">
      <c r="A108" s="13"/>
      <c r="B108" s="14" t="s">
        <v>86</v>
      </c>
    </row>
    <row r="109" spans="1:5" ht="15">
      <c r="A109" s="15" t="s">
        <v>48</v>
      </c>
      <c r="B109" s="15" t="s">
        <v>49</v>
      </c>
      <c r="C109" s="15" t="s">
        <v>50</v>
      </c>
      <c r="D109" s="15" t="s">
        <v>51</v>
      </c>
      <c r="E109" s="15" t="s">
        <v>52</v>
      </c>
    </row>
    <row r="110" spans="1:5">
      <c r="A110" s="12" t="s">
        <v>404</v>
      </c>
      <c r="B110" s="5" t="s">
        <v>177</v>
      </c>
      <c r="C110" s="5" t="s">
        <v>84</v>
      </c>
      <c r="D110" s="5" t="s">
        <v>23</v>
      </c>
      <c r="E110" s="16" t="s">
        <v>634</v>
      </c>
    </row>
    <row r="113" spans="1:5" ht="15">
      <c r="A113" s="11" t="s">
        <v>46</v>
      </c>
      <c r="B113" s="11"/>
    </row>
    <row r="114" spans="1:5" ht="14.25">
      <c r="A114" s="13"/>
      <c r="B114" s="14" t="s">
        <v>47</v>
      </c>
    </row>
    <row r="115" spans="1:5" ht="15">
      <c r="A115" s="15" t="s">
        <v>48</v>
      </c>
      <c r="B115" s="15" t="s">
        <v>49</v>
      </c>
      <c r="C115" s="15" t="s">
        <v>50</v>
      </c>
      <c r="D115" s="15" t="s">
        <v>51</v>
      </c>
      <c r="E115" s="15" t="s">
        <v>52</v>
      </c>
    </row>
    <row r="116" spans="1:5">
      <c r="A116" s="12" t="s">
        <v>443</v>
      </c>
      <c r="B116" s="5" t="s">
        <v>53</v>
      </c>
      <c r="C116" s="5" t="s">
        <v>169</v>
      </c>
      <c r="D116" s="5" t="s">
        <v>202</v>
      </c>
      <c r="E116" s="16" t="s">
        <v>635</v>
      </c>
    </row>
    <row r="117" spans="1:5">
      <c r="A117" s="12" t="s">
        <v>524</v>
      </c>
      <c r="B117" s="5" t="s">
        <v>53</v>
      </c>
      <c r="C117" s="5" t="s">
        <v>25</v>
      </c>
      <c r="D117" s="5" t="s">
        <v>97</v>
      </c>
      <c r="E117" s="16" t="s">
        <v>636</v>
      </c>
    </row>
    <row r="118" spans="1:5">
      <c r="A118" s="12" t="s">
        <v>515</v>
      </c>
      <c r="B118" s="5" t="s">
        <v>83</v>
      </c>
      <c r="C118" s="5" t="s">
        <v>25</v>
      </c>
      <c r="D118" s="5" t="s">
        <v>202</v>
      </c>
      <c r="E118" s="16" t="s">
        <v>637</v>
      </c>
    </row>
    <row r="119" spans="1:5">
      <c r="A119" s="12" t="s">
        <v>520</v>
      </c>
      <c r="B119" s="5" t="s">
        <v>232</v>
      </c>
      <c r="C119" s="5" t="s">
        <v>25</v>
      </c>
      <c r="D119" s="5" t="s">
        <v>202</v>
      </c>
      <c r="E119" s="16" t="s">
        <v>638</v>
      </c>
    </row>
    <row r="120" spans="1:5">
      <c r="A120" s="12" t="s">
        <v>448</v>
      </c>
      <c r="B120" s="5" t="s">
        <v>53</v>
      </c>
      <c r="C120" s="5" t="s">
        <v>169</v>
      </c>
      <c r="D120" s="5" t="s">
        <v>36</v>
      </c>
      <c r="E120" s="16" t="s">
        <v>639</v>
      </c>
    </row>
    <row r="121" spans="1:5">
      <c r="A121" s="12" t="s">
        <v>469</v>
      </c>
      <c r="B121" s="5" t="s">
        <v>232</v>
      </c>
      <c r="C121" s="5" t="s">
        <v>58</v>
      </c>
      <c r="D121" s="5" t="s">
        <v>54</v>
      </c>
      <c r="E121" s="16" t="s">
        <v>640</v>
      </c>
    </row>
    <row r="122" spans="1:5">
      <c r="A122" s="12" t="s">
        <v>465</v>
      </c>
      <c r="B122" s="5" t="s">
        <v>83</v>
      </c>
      <c r="C122" s="5" t="s">
        <v>58</v>
      </c>
      <c r="D122" s="5" t="s">
        <v>58</v>
      </c>
      <c r="E122" s="16" t="s">
        <v>641</v>
      </c>
    </row>
    <row r="123" spans="1:5">
      <c r="A123" s="12" t="s">
        <v>439</v>
      </c>
      <c r="B123" s="5" t="s">
        <v>83</v>
      </c>
      <c r="C123" s="5" t="s">
        <v>169</v>
      </c>
      <c r="D123" s="5" t="s">
        <v>292</v>
      </c>
      <c r="E123" s="16" t="s">
        <v>642</v>
      </c>
    </row>
    <row r="125" spans="1:5" ht="14.25">
      <c r="A125" s="13"/>
      <c r="B125" s="14" t="s">
        <v>105</v>
      </c>
    </row>
    <row r="126" spans="1:5" ht="15">
      <c r="A126" s="15" t="s">
        <v>48</v>
      </c>
      <c r="B126" s="15" t="s">
        <v>49</v>
      </c>
      <c r="C126" s="15" t="s">
        <v>50</v>
      </c>
      <c r="D126" s="15" t="s">
        <v>51</v>
      </c>
      <c r="E126" s="15" t="s">
        <v>52</v>
      </c>
    </row>
    <row r="127" spans="1:5">
      <c r="A127" s="12" t="s">
        <v>606</v>
      </c>
      <c r="B127" s="5" t="s">
        <v>106</v>
      </c>
      <c r="C127" s="5" t="s">
        <v>202</v>
      </c>
      <c r="D127" s="5" t="s">
        <v>611</v>
      </c>
      <c r="E127" s="16" t="s">
        <v>643</v>
      </c>
    </row>
    <row r="128" spans="1:5">
      <c r="A128" s="12" t="s">
        <v>581</v>
      </c>
      <c r="B128" s="5" t="s">
        <v>106</v>
      </c>
      <c r="C128" s="5" t="s">
        <v>117</v>
      </c>
      <c r="D128" s="5" t="s">
        <v>208</v>
      </c>
      <c r="E128" s="16" t="s">
        <v>644</v>
      </c>
    </row>
    <row r="129" spans="1:5">
      <c r="A129" s="12" t="s">
        <v>452</v>
      </c>
      <c r="B129" s="5" t="s">
        <v>106</v>
      </c>
      <c r="C129" s="5" t="s">
        <v>169</v>
      </c>
      <c r="D129" s="5" t="s">
        <v>73</v>
      </c>
      <c r="E129" s="16" t="s">
        <v>645</v>
      </c>
    </row>
    <row r="130" spans="1:5">
      <c r="A130" s="12" t="s">
        <v>473</v>
      </c>
      <c r="B130" s="5" t="s">
        <v>106</v>
      </c>
      <c r="C130" s="5" t="s">
        <v>58</v>
      </c>
      <c r="D130" s="5" t="s">
        <v>73</v>
      </c>
      <c r="E130" s="16" t="s">
        <v>646</v>
      </c>
    </row>
    <row r="131" spans="1:5">
      <c r="A131" s="12" t="s">
        <v>528</v>
      </c>
      <c r="B131" s="5" t="s">
        <v>106</v>
      </c>
      <c r="C131" s="5" t="s">
        <v>25</v>
      </c>
      <c r="D131" s="5" t="s">
        <v>100</v>
      </c>
      <c r="E131" s="16" t="s">
        <v>647</v>
      </c>
    </row>
    <row r="132" spans="1:5">
      <c r="A132" s="12" t="s">
        <v>477</v>
      </c>
      <c r="B132" s="5" t="s">
        <v>106</v>
      </c>
      <c r="C132" s="5" t="s">
        <v>58</v>
      </c>
      <c r="D132" s="5" t="s">
        <v>24</v>
      </c>
      <c r="E132" s="16" t="s">
        <v>648</v>
      </c>
    </row>
    <row r="134" spans="1:5" ht="14.25">
      <c r="A134" s="13"/>
      <c r="B134" s="14" t="s">
        <v>57</v>
      </c>
    </row>
    <row r="135" spans="1:5" ht="15">
      <c r="A135" s="15" t="s">
        <v>48</v>
      </c>
      <c r="B135" s="15" t="s">
        <v>49</v>
      </c>
      <c r="C135" s="15" t="s">
        <v>50</v>
      </c>
      <c r="D135" s="15" t="s">
        <v>51</v>
      </c>
      <c r="E135" s="15" t="s">
        <v>52</v>
      </c>
    </row>
    <row r="136" spans="1:5">
      <c r="A136" s="12" t="s">
        <v>501</v>
      </c>
      <c r="B136" s="5" t="s">
        <v>57</v>
      </c>
      <c r="C136" s="5" t="s">
        <v>54</v>
      </c>
      <c r="D136" s="5" t="s">
        <v>313</v>
      </c>
      <c r="E136" s="16" t="s">
        <v>649</v>
      </c>
    </row>
    <row r="137" spans="1:5">
      <c r="A137" s="12" t="s">
        <v>456</v>
      </c>
      <c r="B137" s="5" t="s">
        <v>57</v>
      </c>
      <c r="C137" s="5" t="s">
        <v>169</v>
      </c>
      <c r="D137" s="5" t="s">
        <v>72</v>
      </c>
      <c r="E137" s="16" t="s">
        <v>650</v>
      </c>
    </row>
    <row r="138" spans="1:5">
      <c r="A138" s="12" t="s">
        <v>557</v>
      </c>
      <c r="B138" s="5" t="s">
        <v>57</v>
      </c>
      <c r="C138" s="5" t="s">
        <v>36</v>
      </c>
      <c r="D138" s="5" t="s">
        <v>98</v>
      </c>
      <c r="E138" s="16" t="s">
        <v>651</v>
      </c>
    </row>
    <row r="139" spans="1:5">
      <c r="A139" s="12" t="s">
        <v>532</v>
      </c>
      <c r="B139" s="5" t="s">
        <v>57</v>
      </c>
      <c r="C139" s="5" t="s">
        <v>25</v>
      </c>
      <c r="D139" s="5" t="s">
        <v>313</v>
      </c>
      <c r="E139" s="16" t="s">
        <v>652</v>
      </c>
    </row>
    <row r="140" spans="1:5">
      <c r="A140" s="12" t="s">
        <v>482</v>
      </c>
      <c r="B140" s="5" t="s">
        <v>57</v>
      </c>
      <c r="C140" s="5" t="s">
        <v>58</v>
      </c>
      <c r="D140" s="5" t="s">
        <v>202</v>
      </c>
      <c r="E140" s="16" t="s">
        <v>653</v>
      </c>
    </row>
    <row r="141" spans="1:5">
      <c r="A141" s="12" t="s">
        <v>489</v>
      </c>
      <c r="B141" s="5" t="s">
        <v>57</v>
      </c>
      <c r="C141" s="5" t="s">
        <v>58</v>
      </c>
      <c r="D141" s="5" t="s">
        <v>202</v>
      </c>
      <c r="E141" s="16" t="s">
        <v>654</v>
      </c>
    </row>
    <row r="142" spans="1:5">
      <c r="A142" s="12" t="s">
        <v>613</v>
      </c>
      <c r="B142" s="5" t="s">
        <v>57</v>
      </c>
      <c r="C142" s="5" t="s">
        <v>202</v>
      </c>
      <c r="D142" s="5" t="s">
        <v>34</v>
      </c>
      <c r="E142" s="16" t="s">
        <v>655</v>
      </c>
    </row>
    <row r="143" spans="1:5">
      <c r="A143" s="12" t="s">
        <v>505</v>
      </c>
      <c r="B143" s="5" t="s">
        <v>57</v>
      </c>
      <c r="C143" s="5" t="s">
        <v>54</v>
      </c>
      <c r="D143" s="5" t="s">
        <v>100</v>
      </c>
      <c r="E143" s="16" t="s">
        <v>656</v>
      </c>
    </row>
    <row r="144" spans="1:5">
      <c r="A144" s="12" t="s">
        <v>356</v>
      </c>
      <c r="B144" s="5" t="s">
        <v>57</v>
      </c>
      <c r="C144" s="5" t="s">
        <v>202</v>
      </c>
      <c r="D144" s="5" t="s">
        <v>98</v>
      </c>
      <c r="E144" s="16" t="s">
        <v>657</v>
      </c>
    </row>
    <row r="145" spans="1:5">
      <c r="A145" s="12" t="s">
        <v>560</v>
      </c>
      <c r="B145" s="5" t="s">
        <v>57</v>
      </c>
      <c r="C145" s="5" t="s">
        <v>36</v>
      </c>
      <c r="D145" s="5" t="s">
        <v>102</v>
      </c>
      <c r="E145" s="16" t="s">
        <v>658</v>
      </c>
    </row>
    <row r="146" spans="1:5">
      <c r="A146" s="12" t="s">
        <v>564</v>
      </c>
      <c r="B146" s="5" t="s">
        <v>57</v>
      </c>
      <c r="C146" s="5" t="s">
        <v>36</v>
      </c>
      <c r="D146" s="5" t="s">
        <v>175</v>
      </c>
      <c r="E146" s="16" t="s">
        <v>659</v>
      </c>
    </row>
    <row r="147" spans="1:5">
      <c r="A147" s="12" t="s">
        <v>536</v>
      </c>
      <c r="B147" s="5" t="s">
        <v>57</v>
      </c>
      <c r="C147" s="5" t="s">
        <v>25</v>
      </c>
      <c r="D147" s="5" t="s">
        <v>101</v>
      </c>
      <c r="E147" s="16" t="s">
        <v>660</v>
      </c>
    </row>
    <row r="148" spans="1:5">
      <c r="A148" s="12" t="s">
        <v>540</v>
      </c>
      <c r="B148" s="5" t="s">
        <v>57</v>
      </c>
      <c r="C148" s="5" t="s">
        <v>25</v>
      </c>
      <c r="D148" s="5" t="s">
        <v>340</v>
      </c>
      <c r="E148" s="16" t="s">
        <v>661</v>
      </c>
    </row>
    <row r="149" spans="1:5">
      <c r="A149" s="12" t="s">
        <v>510</v>
      </c>
      <c r="B149" s="5" t="s">
        <v>57</v>
      </c>
      <c r="C149" s="5" t="s">
        <v>54</v>
      </c>
      <c r="D149" s="5" t="s">
        <v>73</v>
      </c>
      <c r="E149" s="16" t="s">
        <v>662</v>
      </c>
    </row>
    <row r="151" spans="1:5" ht="14.25">
      <c r="A151" s="13"/>
      <c r="B151" s="14" t="s">
        <v>86</v>
      </c>
    </row>
    <row r="152" spans="1:5" ht="15">
      <c r="A152" s="15" t="s">
        <v>48</v>
      </c>
      <c r="B152" s="15" t="s">
        <v>49</v>
      </c>
      <c r="C152" s="15" t="s">
        <v>50</v>
      </c>
      <c r="D152" s="15" t="s">
        <v>51</v>
      </c>
      <c r="E152" s="15" t="s">
        <v>52</v>
      </c>
    </row>
    <row r="153" spans="1:5">
      <c r="A153" s="12" t="s">
        <v>496</v>
      </c>
      <c r="B153" s="5" t="s">
        <v>663</v>
      </c>
      <c r="C153" s="5" t="s">
        <v>58</v>
      </c>
      <c r="D153" s="5" t="s">
        <v>100</v>
      </c>
      <c r="E153" s="16" t="s">
        <v>664</v>
      </c>
    </row>
    <row r="154" spans="1:5">
      <c r="A154" s="12" t="s">
        <v>577</v>
      </c>
      <c r="B154" s="5" t="s">
        <v>665</v>
      </c>
      <c r="C154" s="5" t="s">
        <v>36</v>
      </c>
      <c r="D154" s="5" t="s">
        <v>72</v>
      </c>
      <c r="E154" s="16" t="s">
        <v>666</v>
      </c>
    </row>
    <row r="155" spans="1:5">
      <c r="A155" s="12" t="s">
        <v>620</v>
      </c>
      <c r="B155" s="5" t="s">
        <v>667</v>
      </c>
      <c r="C155" s="5" t="s">
        <v>202</v>
      </c>
      <c r="D155" s="5" t="s">
        <v>35</v>
      </c>
      <c r="E155" s="16" t="s">
        <v>668</v>
      </c>
    </row>
    <row r="156" spans="1:5">
      <c r="A156" s="12" t="s">
        <v>459</v>
      </c>
      <c r="B156" s="5" t="s">
        <v>669</v>
      </c>
      <c r="C156" s="5" t="s">
        <v>169</v>
      </c>
      <c r="D156" s="5" t="s">
        <v>303</v>
      </c>
      <c r="E156" s="16" t="s">
        <v>670</v>
      </c>
    </row>
    <row r="157" spans="1:5">
      <c r="A157" s="12" t="s">
        <v>598</v>
      </c>
      <c r="B157" s="5" t="s">
        <v>667</v>
      </c>
      <c r="C157" s="5" t="s">
        <v>117</v>
      </c>
      <c r="D157" s="5" t="s">
        <v>97</v>
      </c>
      <c r="E157" s="16" t="s">
        <v>671</v>
      </c>
    </row>
    <row r="158" spans="1:5">
      <c r="A158" s="12" t="s">
        <v>568</v>
      </c>
      <c r="B158" s="5" t="s">
        <v>177</v>
      </c>
      <c r="C158" s="5" t="s">
        <v>36</v>
      </c>
      <c r="D158" s="5" t="s">
        <v>572</v>
      </c>
      <c r="E158" s="16" t="s">
        <v>672</v>
      </c>
    </row>
    <row r="159" spans="1:5">
      <c r="A159" s="12" t="s">
        <v>602</v>
      </c>
      <c r="B159" s="5" t="s">
        <v>383</v>
      </c>
      <c r="C159" s="5" t="s">
        <v>117</v>
      </c>
      <c r="D159" s="5" t="s">
        <v>73</v>
      </c>
      <c r="E159" s="16" t="s">
        <v>673</v>
      </c>
    </row>
    <row r="160" spans="1:5">
      <c r="A160" s="12" t="s">
        <v>585</v>
      </c>
      <c r="B160" s="5" t="s">
        <v>177</v>
      </c>
      <c r="C160" s="5" t="s">
        <v>117</v>
      </c>
      <c r="D160" s="5" t="s">
        <v>134</v>
      </c>
      <c r="E160" s="16" t="s">
        <v>674</v>
      </c>
    </row>
    <row r="161" spans="1:5">
      <c r="A161" s="12" t="s">
        <v>330</v>
      </c>
      <c r="B161" s="5" t="s">
        <v>177</v>
      </c>
      <c r="C161" s="5" t="s">
        <v>25</v>
      </c>
      <c r="D161" s="5" t="s">
        <v>97</v>
      </c>
      <c r="E161" s="16" t="s">
        <v>675</v>
      </c>
    </row>
    <row r="162" spans="1:5">
      <c r="A162" s="12" t="s">
        <v>493</v>
      </c>
      <c r="B162" s="5" t="s">
        <v>177</v>
      </c>
      <c r="C162" s="5" t="s">
        <v>58</v>
      </c>
      <c r="D162" s="5" t="s">
        <v>202</v>
      </c>
      <c r="E162" s="16" t="s">
        <v>676</v>
      </c>
    </row>
    <row r="163" spans="1:5">
      <c r="A163" s="12" t="s">
        <v>573</v>
      </c>
      <c r="B163" s="5" t="s">
        <v>177</v>
      </c>
      <c r="C163" s="5" t="s">
        <v>36</v>
      </c>
      <c r="D163" s="5" t="s">
        <v>97</v>
      </c>
      <c r="E163" s="16" t="s">
        <v>677</v>
      </c>
    </row>
    <row r="164" spans="1:5">
      <c r="A164" s="12" t="s">
        <v>590</v>
      </c>
      <c r="B164" s="5" t="s">
        <v>177</v>
      </c>
      <c r="C164" s="5" t="s">
        <v>117</v>
      </c>
      <c r="D164" s="5" t="s">
        <v>319</v>
      </c>
      <c r="E164" s="16" t="s">
        <v>678</v>
      </c>
    </row>
    <row r="169" spans="1:5" ht="18">
      <c r="A169" s="10" t="s">
        <v>61</v>
      </c>
      <c r="B169" s="10"/>
    </row>
    <row r="170" spans="1:5" ht="15">
      <c r="A170" s="15" t="s">
        <v>62</v>
      </c>
      <c r="B170" s="15" t="s">
        <v>63</v>
      </c>
      <c r="C170" s="15" t="s">
        <v>64</v>
      </c>
    </row>
    <row r="171" spans="1:5">
      <c r="A171" s="5" t="s">
        <v>18</v>
      </c>
      <c r="B171" s="5" t="s">
        <v>679</v>
      </c>
      <c r="C171" s="5" t="s">
        <v>680</v>
      </c>
    </row>
    <row r="172" spans="1:5">
      <c r="A172" s="5" t="s">
        <v>422</v>
      </c>
      <c r="B172" s="5" t="s">
        <v>681</v>
      </c>
      <c r="C172" s="5" t="s">
        <v>682</v>
      </c>
    </row>
    <row r="173" spans="1:5">
      <c r="A173" s="5" t="s">
        <v>141</v>
      </c>
      <c r="B173" s="5" t="s">
        <v>683</v>
      </c>
      <c r="C173" s="26" t="s">
        <v>864</v>
      </c>
    </row>
    <row r="174" spans="1:5">
      <c r="A174" s="5" t="s">
        <v>486</v>
      </c>
      <c r="B174" s="5" t="s">
        <v>684</v>
      </c>
      <c r="C174" s="5" t="s">
        <v>685</v>
      </c>
    </row>
    <row r="175" spans="1:5">
      <c r="A175" s="5" t="s">
        <v>207</v>
      </c>
      <c r="B175" s="5" t="s">
        <v>65</v>
      </c>
      <c r="C175" s="5" t="s">
        <v>686</v>
      </c>
    </row>
    <row r="176" spans="1:5">
      <c r="A176" s="5" t="s">
        <v>514</v>
      </c>
      <c r="B176" s="5" t="s">
        <v>687</v>
      </c>
      <c r="C176" s="5" t="s">
        <v>688</v>
      </c>
    </row>
    <row r="177" spans="1:3">
      <c r="A177" s="5" t="s">
        <v>164</v>
      </c>
      <c r="B177" s="5" t="s">
        <v>689</v>
      </c>
      <c r="C177" s="5" t="s">
        <v>690</v>
      </c>
    </row>
    <row r="178" spans="1:3">
      <c r="A178" s="5" t="s">
        <v>617</v>
      </c>
      <c r="B178" s="5" t="s">
        <v>109</v>
      </c>
      <c r="C178" s="5" t="s">
        <v>691</v>
      </c>
    </row>
    <row r="179" spans="1:3">
      <c r="A179" s="5" t="s">
        <v>95</v>
      </c>
      <c r="B179" s="5" t="s">
        <v>109</v>
      </c>
      <c r="C179" s="5" t="s">
        <v>692</v>
      </c>
    </row>
    <row r="180" spans="1:3">
      <c r="A180" s="5" t="s">
        <v>345</v>
      </c>
      <c r="B180" s="5" t="s">
        <v>393</v>
      </c>
      <c r="C180" s="5" t="s">
        <v>693</v>
      </c>
    </row>
  </sheetData>
  <mergeCells count="22">
    <mergeCell ref="A1:M2"/>
    <mergeCell ref="A3:A4"/>
    <mergeCell ref="B3:B4"/>
    <mergeCell ref="C3:C4"/>
    <mergeCell ref="D3:D4"/>
    <mergeCell ref="E3:E4"/>
    <mergeCell ref="F3:F4"/>
    <mergeCell ref="G3:J3"/>
    <mergeCell ref="K3:K4"/>
    <mergeCell ref="L3:L4"/>
    <mergeCell ref="A67:L67"/>
    <mergeCell ref="A75:L75"/>
    <mergeCell ref="A18:L18"/>
    <mergeCell ref="A23:L23"/>
    <mergeCell ref="A31:L31"/>
    <mergeCell ref="A41:L41"/>
    <mergeCell ref="A46:L46"/>
    <mergeCell ref="A59:L59"/>
    <mergeCell ref="M3:M4"/>
    <mergeCell ref="A5:L5"/>
    <mergeCell ref="A8:L8"/>
    <mergeCell ref="A12:L1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U91"/>
  <sheetViews>
    <sheetView topLeftCell="C1" workbookViewId="0">
      <selection sqref="A1:U2"/>
    </sheetView>
  </sheetViews>
  <sheetFormatPr defaultRowHeight="12.75"/>
  <cols>
    <col min="1" max="1" width="31.85546875" style="5" bestFit="1" customWidth="1"/>
    <col min="2" max="2" width="29" style="5" bestFit="1" customWidth="1"/>
    <col min="3" max="3" width="89.7109375" style="5" bestFit="1" customWidth="1"/>
    <col min="4" max="4" width="9.28515625" style="5" bestFit="1" customWidth="1"/>
    <col min="5" max="5" width="22.7109375" style="5" bestFit="1" customWidth="1"/>
    <col min="6" max="6" width="35.7109375" style="5" bestFit="1" customWidth="1"/>
    <col min="7" max="9" width="5.5703125" style="4" bestFit="1" customWidth="1"/>
    <col min="10" max="10" width="4.85546875" style="4" bestFit="1" customWidth="1"/>
    <col min="11" max="13" width="5.5703125" style="4" bestFit="1" customWidth="1"/>
    <col min="14" max="14" width="4.85546875" style="4" bestFit="1" customWidth="1"/>
    <col min="15" max="17" width="5.5703125" style="4" bestFit="1" customWidth="1"/>
    <col min="18" max="18" width="4.85546875" style="4" bestFit="1" customWidth="1"/>
    <col min="19" max="19" width="7.85546875" style="5" bestFit="1" customWidth="1"/>
    <col min="20" max="20" width="8.5703125" style="4" bestFit="1" customWidth="1"/>
    <col min="21" max="21" width="8.85546875" style="5" bestFit="1" customWidth="1"/>
    <col min="22" max="16384" width="9.140625" style="4"/>
  </cols>
  <sheetData>
    <row r="1" spans="1:21" s="3" customFormat="1" ht="29.1" customHeight="1">
      <c r="A1" s="39" t="s">
        <v>873</v>
      </c>
      <c r="B1" s="40"/>
      <c r="C1" s="40"/>
      <c r="D1" s="40"/>
      <c r="E1" s="40"/>
      <c r="F1" s="40"/>
      <c r="G1" s="40"/>
      <c r="H1" s="40"/>
      <c r="I1" s="40"/>
      <c r="J1" s="40"/>
      <c r="K1" s="40"/>
      <c r="L1" s="40"/>
      <c r="M1" s="40"/>
      <c r="N1" s="40"/>
      <c r="O1" s="40"/>
      <c r="P1" s="40"/>
      <c r="Q1" s="40"/>
      <c r="R1" s="40"/>
      <c r="S1" s="40"/>
      <c r="T1" s="40"/>
      <c r="U1" s="41"/>
    </row>
    <row r="2" spans="1:21" s="3" customFormat="1" ht="62.1" customHeight="1" thickBot="1">
      <c r="A2" s="42"/>
      <c r="B2" s="43"/>
      <c r="C2" s="43"/>
      <c r="D2" s="43"/>
      <c r="E2" s="43"/>
      <c r="F2" s="43"/>
      <c r="G2" s="43"/>
      <c r="H2" s="43"/>
      <c r="I2" s="43"/>
      <c r="J2" s="43"/>
      <c r="K2" s="43"/>
      <c r="L2" s="43"/>
      <c r="M2" s="43"/>
      <c r="N2" s="43"/>
      <c r="O2" s="43"/>
      <c r="P2" s="43"/>
      <c r="Q2" s="43"/>
      <c r="R2" s="43"/>
      <c r="S2" s="43"/>
      <c r="T2" s="43"/>
      <c r="U2" s="44"/>
    </row>
    <row r="3" spans="1:21" s="1" customFormat="1" ht="12.75" customHeight="1">
      <c r="A3" s="32" t="s">
        <v>0</v>
      </c>
      <c r="B3" s="34" t="s">
        <v>9</v>
      </c>
      <c r="C3" s="34" t="s">
        <v>11</v>
      </c>
      <c r="D3" s="36" t="s">
        <v>12</v>
      </c>
      <c r="E3" s="36" t="s">
        <v>7</v>
      </c>
      <c r="F3" s="36" t="s">
        <v>10</v>
      </c>
      <c r="G3" s="36" t="s">
        <v>1</v>
      </c>
      <c r="H3" s="36"/>
      <c r="I3" s="36"/>
      <c r="J3" s="36"/>
      <c r="K3" s="36" t="s">
        <v>2</v>
      </c>
      <c r="L3" s="36"/>
      <c r="M3" s="36"/>
      <c r="N3" s="36"/>
      <c r="O3" s="36" t="s">
        <v>3</v>
      </c>
      <c r="P3" s="36"/>
      <c r="Q3" s="36"/>
      <c r="R3" s="36"/>
      <c r="S3" s="36" t="s">
        <v>4</v>
      </c>
      <c r="T3" s="36" t="s">
        <v>6</v>
      </c>
      <c r="U3" s="37" t="s">
        <v>5</v>
      </c>
    </row>
    <row r="4" spans="1:21" s="1" customFormat="1" ht="21" customHeight="1" thickBot="1">
      <c r="A4" s="33"/>
      <c r="B4" s="35"/>
      <c r="C4" s="35"/>
      <c r="D4" s="35"/>
      <c r="E4" s="35"/>
      <c r="F4" s="35"/>
      <c r="G4" s="2">
        <v>1</v>
      </c>
      <c r="H4" s="2">
        <v>2</v>
      </c>
      <c r="I4" s="2">
        <v>3</v>
      </c>
      <c r="J4" s="2" t="s">
        <v>8</v>
      </c>
      <c r="K4" s="2">
        <v>1</v>
      </c>
      <c r="L4" s="2">
        <v>2</v>
      </c>
      <c r="M4" s="2">
        <v>3</v>
      </c>
      <c r="N4" s="2" t="s">
        <v>8</v>
      </c>
      <c r="O4" s="2">
        <v>1</v>
      </c>
      <c r="P4" s="2">
        <v>2</v>
      </c>
      <c r="Q4" s="2">
        <v>3</v>
      </c>
      <c r="R4" s="2" t="s">
        <v>8</v>
      </c>
      <c r="S4" s="35"/>
      <c r="T4" s="35"/>
      <c r="U4" s="38"/>
    </row>
    <row r="5" spans="1:21" ht="15">
      <c r="A5" s="45" t="s">
        <v>67</v>
      </c>
      <c r="B5" s="45"/>
      <c r="C5" s="45"/>
      <c r="D5" s="45"/>
      <c r="E5" s="45"/>
      <c r="F5" s="45"/>
      <c r="G5" s="45"/>
      <c r="H5" s="45"/>
      <c r="I5" s="45"/>
      <c r="J5" s="45"/>
      <c r="K5" s="45"/>
      <c r="L5" s="45"/>
      <c r="M5" s="45"/>
      <c r="N5" s="45"/>
      <c r="O5" s="45"/>
      <c r="P5" s="45"/>
      <c r="Q5" s="45"/>
      <c r="R5" s="45"/>
      <c r="S5" s="45"/>
      <c r="T5" s="45"/>
    </row>
    <row r="6" spans="1:21">
      <c r="A6" s="6" t="s">
        <v>284</v>
      </c>
      <c r="B6" s="6" t="s">
        <v>285</v>
      </c>
      <c r="C6" s="6" t="s">
        <v>286</v>
      </c>
      <c r="D6" s="6" t="str">
        <f>"0,9927"</f>
        <v>0,9927</v>
      </c>
      <c r="E6" s="6" t="s">
        <v>95</v>
      </c>
      <c r="F6" s="6" t="s">
        <v>96</v>
      </c>
      <c r="G6" s="7" t="s">
        <v>36</v>
      </c>
      <c r="H6" s="8" t="s">
        <v>117</v>
      </c>
      <c r="I6" s="7" t="s">
        <v>117</v>
      </c>
      <c r="J6" s="8"/>
      <c r="K6" s="8" t="s">
        <v>287</v>
      </c>
      <c r="L6" s="8" t="s">
        <v>287</v>
      </c>
      <c r="M6" s="8" t="s">
        <v>287</v>
      </c>
      <c r="N6" s="8"/>
      <c r="O6" s="8" t="s">
        <v>117</v>
      </c>
      <c r="P6" s="8"/>
      <c r="Q6" s="8"/>
      <c r="R6" s="8"/>
      <c r="S6" s="6" t="str">
        <f>"0,0"</f>
        <v>0,0</v>
      </c>
      <c r="T6" s="7" t="str">
        <f>"0,0000"</f>
        <v>0,0000</v>
      </c>
      <c r="U6" s="6" t="s">
        <v>27</v>
      </c>
    </row>
    <row r="8" spans="1:21" ht="15">
      <c r="A8" s="46" t="s">
        <v>183</v>
      </c>
      <c r="B8" s="46"/>
      <c r="C8" s="46"/>
      <c r="D8" s="46"/>
      <c r="E8" s="46"/>
      <c r="F8" s="46"/>
      <c r="G8" s="46"/>
      <c r="H8" s="46"/>
      <c r="I8" s="46"/>
      <c r="J8" s="46"/>
      <c r="K8" s="46"/>
      <c r="L8" s="46"/>
      <c r="M8" s="46"/>
      <c r="N8" s="46"/>
      <c r="O8" s="46"/>
      <c r="P8" s="46"/>
      <c r="Q8" s="46"/>
      <c r="R8" s="46"/>
      <c r="S8" s="46"/>
      <c r="T8" s="46"/>
    </row>
    <row r="9" spans="1:21">
      <c r="A9" s="17" t="s">
        <v>289</v>
      </c>
      <c r="B9" s="17" t="s">
        <v>290</v>
      </c>
      <c r="C9" s="17" t="s">
        <v>291</v>
      </c>
      <c r="D9" s="17" t="str">
        <f>"0,9201"</f>
        <v>0,9201</v>
      </c>
      <c r="E9" s="17" t="s">
        <v>95</v>
      </c>
      <c r="F9" s="17" t="s">
        <v>96</v>
      </c>
      <c r="G9" s="18" t="s">
        <v>24</v>
      </c>
      <c r="H9" s="19" t="s">
        <v>24</v>
      </c>
      <c r="I9" s="19" t="s">
        <v>189</v>
      </c>
      <c r="J9" s="18"/>
      <c r="K9" s="19" t="s">
        <v>21</v>
      </c>
      <c r="L9" s="19" t="s">
        <v>292</v>
      </c>
      <c r="M9" s="18" t="s">
        <v>287</v>
      </c>
      <c r="N9" s="18"/>
      <c r="O9" s="19" t="s">
        <v>36</v>
      </c>
      <c r="P9" s="19" t="s">
        <v>117</v>
      </c>
      <c r="Q9" s="19" t="s">
        <v>72</v>
      </c>
      <c r="R9" s="18"/>
      <c r="S9" s="17" t="str">
        <f>"255,0"</f>
        <v>255,0</v>
      </c>
      <c r="T9" s="19" t="str">
        <f>"253,3955"</f>
        <v>253,3955</v>
      </c>
      <c r="U9" s="17" t="s">
        <v>27</v>
      </c>
    </row>
    <row r="10" spans="1:21">
      <c r="A10" s="20" t="s">
        <v>294</v>
      </c>
      <c r="B10" s="20" t="s">
        <v>295</v>
      </c>
      <c r="C10" s="20" t="s">
        <v>187</v>
      </c>
      <c r="D10" s="20" t="str">
        <f>"0,9312"</f>
        <v>0,9312</v>
      </c>
      <c r="E10" s="20" t="s">
        <v>95</v>
      </c>
      <c r="F10" s="20" t="s">
        <v>96</v>
      </c>
      <c r="G10" s="22" t="s">
        <v>22</v>
      </c>
      <c r="H10" s="21" t="s">
        <v>296</v>
      </c>
      <c r="I10" s="22" t="s">
        <v>58</v>
      </c>
      <c r="J10" s="21"/>
      <c r="K10" s="22" t="s">
        <v>297</v>
      </c>
      <c r="L10" s="21" t="s">
        <v>23</v>
      </c>
      <c r="M10" s="21" t="s">
        <v>23</v>
      </c>
      <c r="N10" s="21"/>
      <c r="O10" s="22" t="s">
        <v>25</v>
      </c>
      <c r="P10" s="22" t="s">
        <v>36</v>
      </c>
      <c r="Q10" s="22" t="s">
        <v>37</v>
      </c>
      <c r="R10" s="21"/>
      <c r="S10" s="20" t="str">
        <f>"225,0"</f>
        <v>225,0</v>
      </c>
      <c r="T10" s="22" t="str">
        <f>"209,5200"</f>
        <v>209,5200</v>
      </c>
      <c r="U10" s="20" t="s">
        <v>27</v>
      </c>
    </row>
    <row r="12" spans="1:21" ht="15">
      <c r="A12" s="46" t="s">
        <v>119</v>
      </c>
      <c r="B12" s="46"/>
      <c r="C12" s="46"/>
      <c r="D12" s="46"/>
      <c r="E12" s="46"/>
      <c r="F12" s="46"/>
      <c r="G12" s="46"/>
      <c r="H12" s="46"/>
      <c r="I12" s="46"/>
      <c r="J12" s="46"/>
      <c r="K12" s="46"/>
      <c r="L12" s="46"/>
      <c r="M12" s="46"/>
      <c r="N12" s="46"/>
      <c r="O12" s="46"/>
      <c r="P12" s="46"/>
      <c r="Q12" s="46"/>
      <c r="R12" s="46"/>
      <c r="S12" s="46"/>
      <c r="T12" s="46"/>
    </row>
    <row r="13" spans="1:21">
      <c r="A13" s="6" t="s">
        <v>299</v>
      </c>
      <c r="B13" s="6" t="s">
        <v>300</v>
      </c>
      <c r="C13" s="6" t="s">
        <v>194</v>
      </c>
      <c r="D13" s="6" t="str">
        <f>"0,7788"</f>
        <v>0,7788</v>
      </c>
      <c r="E13" s="6" t="s">
        <v>207</v>
      </c>
      <c r="F13" s="6" t="s">
        <v>301</v>
      </c>
      <c r="G13" s="7" t="s">
        <v>22</v>
      </c>
      <c r="H13" s="7" t="s">
        <v>302</v>
      </c>
      <c r="I13" s="7" t="s">
        <v>303</v>
      </c>
      <c r="J13" s="8"/>
      <c r="K13" s="8" t="s">
        <v>304</v>
      </c>
      <c r="L13" s="8" t="s">
        <v>304</v>
      </c>
      <c r="M13" s="7" t="s">
        <v>304</v>
      </c>
      <c r="N13" s="8"/>
      <c r="O13" s="7" t="s">
        <v>296</v>
      </c>
      <c r="P13" s="7" t="s">
        <v>58</v>
      </c>
      <c r="Q13" s="7" t="s">
        <v>24</v>
      </c>
      <c r="R13" s="8"/>
      <c r="S13" s="6" t="str">
        <f>"182,5"</f>
        <v>182,5</v>
      </c>
      <c r="T13" s="7" t="str">
        <f>"142,1219"</f>
        <v>142,1219</v>
      </c>
      <c r="U13" s="6" t="s">
        <v>27</v>
      </c>
    </row>
    <row r="15" spans="1:21" ht="15">
      <c r="A15" s="46" t="s">
        <v>119</v>
      </c>
      <c r="B15" s="46"/>
      <c r="C15" s="46"/>
      <c r="D15" s="46"/>
      <c r="E15" s="46"/>
      <c r="F15" s="46"/>
      <c r="G15" s="46"/>
      <c r="H15" s="46"/>
      <c r="I15" s="46"/>
      <c r="J15" s="46"/>
      <c r="K15" s="46"/>
      <c r="L15" s="46"/>
      <c r="M15" s="46"/>
      <c r="N15" s="46"/>
      <c r="O15" s="46"/>
      <c r="P15" s="46"/>
      <c r="Q15" s="46"/>
      <c r="R15" s="46"/>
      <c r="S15" s="46"/>
      <c r="T15" s="46"/>
    </row>
    <row r="16" spans="1:21">
      <c r="A16" s="6" t="s">
        <v>306</v>
      </c>
      <c r="B16" s="6" t="s">
        <v>307</v>
      </c>
      <c r="C16" s="6" t="s">
        <v>308</v>
      </c>
      <c r="D16" s="6" t="str">
        <f>"0,7393"</f>
        <v>0,7393</v>
      </c>
      <c r="E16" s="6" t="s">
        <v>95</v>
      </c>
      <c r="F16" s="6" t="s">
        <v>96</v>
      </c>
      <c r="G16" s="7" t="s">
        <v>34</v>
      </c>
      <c r="H16" s="8" t="s">
        <v>35</v>
      </c>
      <c r="I16" s="8" t="s">
        <v>35</v>
      </c>
      <c r="J16" s="8"/>
      <c r="K16" s="7" t="s">
        <v>125</v>
      </c>
      <c r="L16" s="8" t="s">
        <v>36</v>
      </c>
      <c r="M16" s="7" t="s">
        <v>36</v>
      </c>
      <c r="N16" s="8"/>
      <c r="O16" s="7" t="s">
        <v>135</v>
      </c>
      <c r="P16" s="7" t="s">
        <v>39</v>
      </c>
      <c r="Q16" s="7" t="s">
        <v>142</v>
      </c>
      <c r="R16" s="8"/>
      <c r="S16" s="6" t="str">
        <f>"455,0"</f>
        <v>455,0</v>
      </c>
      <c r="T16" s="7" t="str">
        <f>"336,3588"</f>
        <v>336,3588</v>
      </c>
      <c r="U16" s="6" t="s">
        <v>27</v>
      </c>
    </row>
    <row r="18" spans="1:21" ht="15">
      <c r="A18" s="46" t="s">
        <v>28</v>
      </c>
      <c r="B18" s="46"/>
      <c r="C18" s="46"/>
      <c r="D18" s="46"/>
      <c r="E18" s="46"/>
      <c r="F18" s="46"/>
      <c r="G18" s="46"/>
      <c r="H18" s="46"/>
      <c r="I18" s="46"/>
      <c r="J18" s="46"/>
      <c r="K18" s="46"/>
      <c r="L18" s="46"/>
      <c r="M18" s="46"/>
      <c r="N18" s="46"/>
      <c r="O18" s="46"/>
      <c r="P18" s="46"/>
      <c r="Q18" s="46"/>
      <c r="R18" s="46"/>
      <c r="S18" s="46"/>
      <c r="T18" s="46"/>
    </row>
    <row r="19" spans="1:21">
      <c r="A19" s="6" t="s">
        <v>310</v>
      </c>
      <c r="B19" s="6" t="s">
        <v>311</v>
      </c>
      <c r="C19" s="6" t="s">
        <v>312</v>
      </c>
      <c r="D19" s="6" t="str">
        <f>"0,6201"</f>
        <v>0,6201</v>
      </c>
      <c r="E19" s="6" t="s">
        <v>18</v>
      </c>
      <c r="F19" s="6" t="s">
        <v>33</v>
      </c>
      <c r="G19" s="7" t="s">
        <v>100</v>
      </c>
      <c r="H19" s="7" t="s">
        <v>97</v>
      </c>
      <c r="I19" s="8"/>
      <c r="J19" s="8"/>
      <c r="K19" s="7" t="s">
        <v>202</v>
      </c>
      <c r="L19" s="7" t="s">
        <v>101</v>
      </c>
      <c r="M19" s="8" t="s">
        <v>313</v>
      </c>
      <c r="N19" s="8"/>
      <c r="O19" s="7" t="s">
        <v>209</v>
      </c>
      <c r="P19" s="7" t="s">
        <v>265</v>
      </c>
      <c r="Q19" s="8"/>
      <c r="R19" s="8"/>
      <c r="S19" s="6" t="str">
        <f>"490,0"</f>
        <v>490,0</v>
      </c>
      <c r="T19" s="7" t="str">
        <f>"303,8245"</f>
        <v>303,8245</v>
      </c>
      <c r="U19" s="6" t="s">
        <v>27</v>
      </c>
    </row>
    <row r="21" spans="1:21" ht="15">
      <c r="A21" s="46" t="s">
        <v>74</v>
      </c>
      <c r="B21" s="46"/>
      <c r="C21" s="46"/>
      <c r="D21" s="46"/>
      <c r="E21" s="46"/>
      <c r="F21" s="46"/>
      <c r="G21" s="46"/>
      <c r="H21" s="46"/>
      <c r="I21" s="46"/>
      <c r="J21" s="46"/>
      <c r="K21" s="46"/>
      <c r="L21" s="46"/>
      <c r="M21" s="46"/>
      <c r="N21" s="46"/>
      <c r="O21" s="46"/>
      <c r="P21" s="46"/>
      <c r="Q21" s="46"/>
      <c r="R21" s="46"/>
      <c r="S21" s="46"/>
      <c r="T21" s="46"/>
    </row>
    <row r="22" spans="1:21">
      <c r="A22" s="17" t="s">
        <v>315</v>
      </c>
      <c r="B22" s="17" t="s">
        <v>316</v>
      </c>
      <c r="C22" s="17" t="s">
        <v>317</v>
      </c>
      <c r="D22" s="17" t="str">
        <f>"0,5861"</f>
        <v>0,5861</v>
      </c>
      <c r="E22" s="17" t="s">
        <v>18</v>
      </c>
      <c r="F22" s="17" t="s">
        <v>318</v>
      </c>
      <c r="G22" s="18" t="s">
        <v>135</v>
      </c>
      <c r="H22" s="19" t="s">
        <v>135</v>
      </c>
      <c r="I22" s="19" t="s">
        <v>208</v>
      </c>
      <c r="J22" s="18"/>
      <c r="K22" s="19" t="s">
        <v>175</v>
      </c>
      <c r="L22" s="19" t="s">
        <v>319</v>
      </c>
      <c r="M22" s="19" t="s">
        <v>97</v>
      </c>
      <c r="N22" s="18"/>
      <c r="O22" s="19" t="s">
        <v>209</v>
      </c>
      <c r="P22" s="19" t="s">
        <v>59</v>
      </c>
      <c r="Q22" s="19" t="s">
        <v>320</v>
      </c>
      <c r="R22" s="18"/>
      <c r="S22" s="17" t="str">
        <f>"540,0"</f>
        <v>540,0</v>
      </c>
      <c r="T22" s="19" t="str">
        <f>"329,1538"</f>
        <v>329,1538</v>
      </c>
      <c r="U22" s="17" t="s">
        <v>27</v>
      </c>
    </row>
    <row r="23" spans="1:21">
      <c r="A23" s="23" t="s">
        <v>322</v>
      </c>
      <c r="B23" s="23" t="s">
        <v>323</v>
      </c>
      <c r="C23" s="23" t="s">
        <v>324</v>
      </c>
      <c r="D23" s="23" t="str">
        <f>"0,5941"</f>
        <v>0,5941</v>
      </c>
      <c r="E23" s="23" t="s">
        <v>18</v>
      </c>
      <c r="F23" s="23" t="s">
        <v>19</v>
      </c>
      <c r="G23" s="25" t="s">
        <v>35</v>
      </c>
      <c r="H23" s="24" t="s">
        <v>208</v>
      </c>
      <c r="I23" s="24" t="s">
        <v>208</v>
      </c>
      <c r="J23" s="24"/>
      <c r="K23" s="25" t="s">
        <v>73</v>
      </c>
      <c r="L23" s="24" t="s">
        <v>202</v>
      </c>
      <c r="M23" s="25" t="s">
        <v>202</v>
      </c>
      <c r="N23" s="24"/>
      <c r="O23" s="25" t="s">
        <v>79</v>
      </c>
      <c r="P23" s="25" t="s">
        <v>80</v>
      </c>
      <c r="Q23" s="24" t="s">
        <v>325</v>
      </c>
      <c r="R23" s="24"/>
      <c r="S23" s="23" t="str">
        <f>"542,5"</f>
        <v>542,5</v>
      </c>
      <c r="T23" s="25" t="str">
        <f>"322,2992"</f>
        <v>322,2992</v>
      </c>
      <c r="U23" s="23" t="s">
        <v>27</v>
      </c>
    </row>
    <row r="24" spans="1:21">
      <c r="A24" s="23" t="s">
        <v>327</v>
      </c>
      <c r="B24" s="23" t="s">
        <v>328</v>
      </c>
      <c r="C24" s="23" t="s">
        <v>329</v>
      </c>
      <c r="D24" s="23" t="str">
        <f>"0,5910"</f>
        <v>0,5910</v>
      </c>
      <c r="E24" s="23" t="s">
        <v>164</v>
      </c>
      <c r="F24" s="23" t="s">
        <v>301</v>
      </c>
      <c r="G24" s="25" t="s">
        <v>73</v>
      </c>
      <c r="H24" s="25" t="s">
        <v>100</v>
      </c>
      <c r="I24" s="25" t="s">
        <v>101</v>
      </c>
      <c r="J24" s="24"/>
      <c r="K24" s="25" t="s">
        <v>36</v>
      </c>
      <c r="L24" s="24" t="s">
        <v>37</v>
      </c>
      <c r="M24" s="25" t="s">
        <v>37</v>
      </c>
      <c r="N24" s="24"/>
      <c r="O24" s="25" t="s">
        <v>100</v>
      </c>
      <c r="P24" s="25" t="s">
        <v>175</v>
      </c>
      <c r="Q24" s="25" t="s">
        <v>97</v>
      </c>
      <c r="R24" s="24"/>
      <c r="S24" s="23" t="str">
        <f>"390,0"</f>
        <v>390,0</v>
      </c>
      <c r="T24" s="25" t="str">
        <f>"230,4900"</f>
        <v>230,4900</v>
      </c>
      <c r="U24" s="23" t="s">
        <v>27</v>
      </c>
    </row>
    <row r="25" spans="1:21">
      <c r="A25" s="23" t="s">
        <v>331</v>
      </c>
      <c r="B25" s="23" t="s">
        <v>332</v>
      </c>
      <c r="C25" s="23" t="s">
        <v>333</v>
      </c>
      <c r="D25" s="23" t="str">
        <f>"0,5883"</f>
        <v>0,5883</v>
      </c>
      <c r="E25" s="23" t="s">
        <v>18</v>
      </c>
      <c r="F25" s="23" t="s">
        <v>334</v>
      </c>
      <c r="G25" s="25" t="s">
        <v>98</v>
      </c>
      <c r="H25" s="25" t="s">
        <v>99</v>
      </c>
      <c r="I25" s="25" t="s">
        <v>134</v>
      </c>
      <c r="J25" s="24"/>
      <c r="K25" s="25" t="s">
        <v>175</v>
      </c>
      <c r="L25" s="25" t="s">
        <v>313</v>
      </c>
      <c r="M25" s="25" t="s">
        <v>97</v>
      </c>
      <c r="N25" s="24"/>
      <c r="O25" s="25" t="s">
        <v>209</v>
      </c>
      <c r="P25" s="25" t="s">
        <v>59</v>
      </c>
      <c r="Q25" s="25" t="s">
        <v>265</v>
      </c>
      <c r="R25" s="24"/>
      <c r="S25" s="23" t="str">
        <f>"522,5"</f>
        <v>522,5</v>
      </c>
      <c r="T25" s="25" t="str">
        <f>"307,3867"</f>
        <v>307,3867</v>
      </c>
      <c r="U25" s="23" t="s">
        <v>27</v>
      </c>
    </row>
    <row r="26" spans="1:21">
      <c r="A26" s="20" t="s">
        <v>336</v>
      </c>
      <c r="B26" s="20" t="s">
        <v>337</v>
      </c>
      <c r="C26" s="20" t="s">
        <v>338</v>
      </c>
      <c r="D26" s="20" t="str">
        <f>"0,5926"</f>
        <v>0,5926</v>
      </c>
      <c r="E26" s="20" t="s">
        <v>95</v>
      </c>
      <c r="F26" s="20" t="s">
        <v>339</v>
      </c>
      <c r="G26" s="22" t="s">
        <v>36</v>
      </c>
      <c r="H26" s="22" t="s">
        <v>72</v>
      </c>
      <c r="I26" s="22" t="s">
        <v>202</v>
      </c>
      <c r="J26" s="21"/>
      <c r="K26" s="22" t="s">
        <v>37</v>
      </c>
      <c r="L26" s="22" t="s">
        <v>72</v>
      </c>
      <c r="M26" s="21" t="s">
        <v>340</v>
      </c>
      <c r="N26" s="21"/>
      <c r="O26" s="22" t="s">
        <v>35</v>
      </c>
      <c r="P26" s="22" t="s">
        <v>209</v>
      </c>
      <c r="Q26" s="21" t="s">
        <v>265</v>
      </c>
      <c r="R26" s="21"/>
      <c r="S26" s="20" t="str">
        <f>"430,0"</f>
        <v>430,0</v>
      </c>
      <c r="T26" s="22" t="str">
        <f>"377,1306"</f>
        <v>377,1306</v>
      </c>
      <c r="U26" s="20" t="s">
        <v>27</v>
      </c>
    </row>
    <row r="28" spans="1:21" ht="15">
      <c r="A28" s="46" t="s">
        <v>136</v>
      </c>
      <c r="B28" s="46"/>
      <c r="C28" s="46"/>
      <c r="D28" s="46"/>
      <c r="E28" s="46"/>
      <c r="F28" s="46"/>
      <c r="G28" s="46"/>
      <c r="H28" s="46"/>
      <c r="I28" s="46"/>
      <c r="J28" s="46"/>
      <c r="K28" s="46"/>
      <c r="L28" s="46"/>
      <c r="M28" s="46"/>
      <c r="N28" s="46"/>
      <c r="O28" s="46"/>
      <c r="P28" s="46"/>
      <c r="Q28" s="46"/>
      <c r="R28" s="46"/>
      <c r="S28" s="46"/>
      <c r="T28" s="46"/>
    </row>
    <row r="29" spans="1:21">
      <c r="A29" s="6" t="s">
        <v>342</v>
      </c>
      <c r="B29" s="6" t="s">
        <v>343</v>
      </c>
      <c r="C29" s="6" t="s">
        <v>344</v>
      </c>
      <c r="D29" s="6" t="str">
        <f>"0,5699"</f>
        <v>0,5699</v>
      </c>
      <c r="E29" s="6" t="s">
        <v>345</v>
      </c>
      <c r="F29" s="6" t="s">
        <v>19</v>
      </c>
      <c r="G29" s="8" t="s">
        <v>34</v>
      </c>
      <c r="H29" s="7" t="s">
        <v>35</v>
      </c>
      <c r="I29" s="8" t="s">
        <v>208</v>
      </c>
      <c r="J29" s="8"/>
      <c r="K29" s="7" t="s">
        <v>73</v>
      </c>
      <c r="L29" s="7" t="s">
        <v>100</v>
      </c>
      <c r="M29" s="8" t="s">
        <v>175</v>
      </c>
      <c r="N29" s="8"/>
      <c r="O29" s="7" t="s">
        <v>208</v>
      </c>
      <c r="P29" s="7" t="s">
        <v>209</v>
      </c>
      <c r="Q29" s="7" t="s">
        <v>142</v>
      </c>
      <c r="R29" s="8"/>
      <c r="S29" s="6" t="str">
        <f>"495,0"</f>
        <v>495,0</v>
      </c>
      <c r="T29" s="7" t="str">
        <f>"282,1005"</f>
        <v>282,1005</v>
      </c>
      <c r="U29" s="6" t="s">
        <v>27</v>
      </c>
    </row>
    <row r="31" spans="1:21" ht="15">
      <c r="A31" s="46" t="s">
        <v>143</v>
      </c>
      <c r="B31" s="46"/>
      <c r="C31" s="46"/>
      <c r="D31" s="46"/>
      <c r="E31" s="46"/>
      <c r="F31" s="46"/>
      <c r="G31" s="46"/>
      <c r="H31" s="46"/>
      <c r="I31" s="46"/>
      <c r="J31" s="46"/>
      <c r="K31" s="46"/>
      <c r="L31" s="46"/>
      <c r="M31" s="46"/>
      <c r="N31" s="46"/>
      <c r="O31" s="46"/>
      <c r="P31" s="46"/>
      <c r="Q31" s="46"/>
      <c r="R31" s="46"/>
      <c r="S31" s="46"/>
      <c r="T31" s="46"/>
    </row>
    <row r="32" spans="1:21">
      <c r="A32" s="17" t="s">
        <v>347</v>
      </c>
      <c r="B32" s="17" t="s">
        <v>348</v>
      </c>
      <c r="C32" s="17" t="s">
        <v>349</v>
      </c>
      <c r="D32" s="17" t="str">
        <f>"0,5399"</f>
        <v>0,5399</v>
      </c>
      <c r="E32" s="17" t="s">
        <v>345</v>
      </c>
      <c r="F32" s="17" t="s">
        <v>19</v>
      </c>
      <c r="G32" s="19" t="s">
        <v>208</v>
      </c>
      <c r="H32" s="19" t="s">
        <v>59</v>
      </c>
      <c r="I32" s="19" t="s">
        <v>320</v>
      </c>
      <c r="J32" s="18"/>
      <c r="K32" s="19" t="s">
        <v>101</v>
      </c>
      <c r="L32" s="18" t="s">
        <v>313</v>
      </c>
      <c r="M32" s="18" t="s">
        <v>313</v>
      </c>
      <c r="N32" s="18"/>
      <c r="O32" s="19" t="s">
        <v>208</v>
      </c>
      <c r="P32" s="19" t="s">
        <v>59</v>
      </c>
      <c r="Q32" s="19" t="s">
        <v>103</v>
      </c>
      <c r="R32" s="18"/>
      <c r="S32" s="17" t="str">
        <f>"560,0"</f>
        <v>560,0</v>
      </c>
      <c r="T32" s="19" t="str">
        <f>"302,3440"</f>
        <v>302,3440</v>
      </c>
      <c r="U32" s="17" t="s">
        <v>27</v>
      </c>
    </row>
    <row r="33" spans="1:21">
      <c r="A33" s="20" t="s">
        <v>351</v>
      </c>
      <c r="B33" s="20" t="s">
        <v>352</v>
      </c>
      <c r="C33" s="20" t="s">
        <v>353</v>
      </c>
      <c r="D33" s="20" t="str">
        <f>"0,5405"</f>
        <v>0,5405</v>
      </c>
      <c r="E33" s="20" t="s">
        <v>18</v>
      </c>
      <c r="F33" s="20" t="s">
        <v>354</v>
      </c>
      <c r="G33" s="21" t="s">
        <v>229</v>
      </c>
      <c r="H33" s="22" t="s">
        <v>229</v>
      </c>
      <c r="I33" s="22" t="s">
        <v>355</v>
      </c>
      <c r="J33" s="21"/>
      <c r="K33" s="21" t="s">
        <v>208</v>
      </c>
      <c r="L33" s="22" t="s">
        <v>208</v>
      </c>
      <c r="M33" s="21" t="s">
        <v>39</v>
      </c>
      <c r="N33" s="21"/>
      <c r="O33" s="22" t="s">
        <v>275</v>
      </c>
      <c r="P33" s="21" t="s">
        <v>229</v>
      </c>
      <c r="Q33" s="21" t="s">
        <v>229</v>
      </c>
      <c r="R33" s="21"/>
      <c r="S33" s="20" t="str">
        <f>"740,0"</f>
        <v>740,0</v>
      </c>
      <c r="T33" s="22" t="str">
        <f>"399,9700"</f>
        <v>399,9700</v>
      </c>
      <c r="U33" s="20" t="s">
        <v>27</v>
      </c>
    </row>
    <row r="35" spans="1:21" ht="15">
      <c r="A35" s="46" t="s">
        <v>155</v>
      </c>
      <c r="B35" s="46"/>
      <c r="C35" s="46"/>
      <c r="D35" s="46"/>
      <c r="E35" s="46"/>
      <c r="F35" s="46"/>
      <c r="G35" s="46"/>
      <c r="H35" s="46"/>
      <c r="I35" s="46"/>
      <c r="J35" s="46"/>
      <c r="K35" s="46"/>
      <c r="L35" s="46"/>
      <c r="M35" s="46"/>
      <c r="N35" s="46"/>
      <c r="O35" s="46"/>
      <c r="P35" s="46"/>
      <c r="Q35" s="46"/>
      <c r="R35" s="46"/>
      <c r="S35" s="46"/>
      <c r="T35" s="46"/>
    </row>
    <row r="36" spans="1:21">
      <c r="A36" s="6" t="s">
        <v>357</v>
      </c>
      <c r="B36" s="6" t="s">
        <v>358</v>
      </c>
      <c r="C36" s="6" t="s">
        <v>359</v>
      </c>
      <c r="D36" s="6" t="str">
        <f>"0,5258"</f>
        <v>0,5258</v>
      </c>
      <c r="E36" s="6" t="s">
        <v>345</v>
      </c>
      <c r="F36" s="6" t="s">
        <v>19</v>
      </c>
      <c r="G36" s="7" t="s">
        <v>208</v>
      </c>
      <c r="H36" s="7" t="s">
        <v>59</v>
      </c>
      <c r="I36" s="7" t="s">
        <v>103</v>
      </c>
      <c r="J36" s="8"/>
      <c r="K36" s="7" t="s">
        <v>175</v>
      </c>
      <c r="L36" s="7" t="s">
        <v>98</v>
      </c>
      <c r="M36" s="8" t="s">
        <v>135</v>
      </c>
      <c r="N36" s="8"/>
      <c r="O36" s="7" t="s">
        <v>360</v>
      </c>
      <c r="P36" s="7" t="s">
        <v>166</v>
      </c>
      <c r="Q36" s="7" t="s">
        <v>274</v>
      </c>
      <c r="R36" s="8"/>
      <c r="S36" s="6" t="str">
        <f>"620,0"</f>
        <v>620,0</v>
      </c>
      <c r="T36" s="7" t="str">
        <f>"325,9960"</f>
        <v>325,9960</v>
      </c>
      <c r="U36" s="6" t="s">
        <v>27</v>
      </c>
    </row>
    <row r="38" spans="1:21" ht="15">
      <c r="E38" s="9" t="s">
        <v>40</v>
      </c>
      <c r="F38" s="26" t="s">
        <v>847</v>
      </c>
    </row>
    <row r="39" spans="1:21" ht="15">
      <c r="E39" s="9" t="s">
        <v>41</v>
      </c>
      <c r="F39" s="26" t="s">
        <v>848</v>
      </c>
    </row>
    <row r="40" spans="1:21" ht="15">
      <c r="E40" s="9" t="s">
        <v>42</v>
      </c>
      <c r="F40" s="26" t="s">
        <v>849</v>
      </c>
    </row>
    <row r="41" spans="1:21" ht="15">
      <c r="E41" s="9" t="s">
        <v>43</v>
      </c>
      <c r="F41" s="26" t="s">
        <v>850</v>
      </c>
    </row>
    <row r="42" spans="1:21" ht="15">
      <c r="E42" s="9" t="s">
        <v>43</v>
      </c>
      <c r="F42" s="26" t="s">
        <v>851</v>
      </c>
    </row>
    <row r="43" spans="1:21" ht="15">
      <c r="E43" s="9" t="s">
        <v>44</v>
      </c>
      <c r="F43" s="26" t="s">
        <v>852</v>
      </c>
    </row>
    <row r="44" spans="1:21" ht="15">
      <c r="E44" s="9"/>
    </row>
    <row r="46" spans="1:21" ht="18">
      <c r="A46" s="10" t="s">
        <v>45</v>
      </c>
      <c r="B46" s="10"/>
    </row>
    <row r="47" spans="1:21" ht="15">
      <c r="A47" s="11" t="s">
        <v>81</v>
      </c>
      <c r="B47" s="11"/>
    </row>
    <row r="48" spans="1:21" ht="14.25">
      <c r="A48" s="13"/>
      <c r="B48" s="14" t="s">
        <v>82</v>
      </c>
    </row>
    <row r="49" spans="1:5" ht="15">
      <c r="A49" s="15" t="s">
        <v>48</v>
      </c>
      <c r="B49" s="15" t="s">
        <v>49</v>
      </c>
      <c r="C49" s="15" t="s">
        <v>50</v>
      </c>
      <c r="D49" s="15" t="s">
        <v>51</v>
      </c>
      <c r="E49" s="15" t="s">
        <v>52</v>
      </c>
    </row>
    <row r="50" spans="1:5">
      <c r="A50" s="12" t="s">
        <v>288</v>
      </c>
      <c r="B50" s="5" t="s">
        <v>232</v>
      </c>
      <c r="C50" s="5" t="s">
        <v>235</v>
      </c>
      <c r="D50" s="5" t="s">
        <v>361</v>
      </c>
      <c r="E50" s="16" t="s">
        <v>362</v>
      </c>
    </row>
    <row r="52" spans="1:5" ht="14.25">
      <c r="A52" s="13"/>
      <c r="B52" s="14" t="s">
        <v>57</v>
      </c>
    </row>
    <row r="53" spans="1:5" ht="15">
      <c r="A53" s="15" t="s">
        <v>48</v>
      </c>
      <c r="B53" s="15" t="s">
        <v>49</v>
      </c>
      <c r="C53" s="15" t="s">
        <v>50</v>
      </c>
      <c r="D53" s="15" t="s">
        <v>51</v>
      </c>
      <c r="E53" s="15" t="s">
        <v>52</v>
      </c>
    </row>
    <row r="54" spans="1:5">
      <c r="A54" s="12" t="s">
        <v>293</v>
      </c>
      <c r="B54" s="5" t="s">
        <v>57</v>
      </c>
      <c r="C54" s="5" t="s">
        <v>235</v>
      </c>
      <c r="D54" s="5" t="s">
        <v>79</v>
      </c>
      <c r="E54" s="16" t="s">
        <v>363</v>
      </c>
    </row>
    <row r="55" spans="1:5">
      <c r="A55" s="12" t="s">
        <v>298</v>
      </c>
      <c r="B55" s="5" t="s">
        <v>57</v>
      </c>
      <c r="C55" s="5" t="s">
        <v>169</v>
      </c>
      <c r="D55" s="5" t="s">
        <v>251</v>
      </c>
      <c r="E55" s="16" t="s">
        <v>364</v>
      </c>
    </row>
    <row r="58" spans="1:5" ht="15">
      <c r="A58" s="11" t="s">
        <v>46</v>
      </c>
      <c r="B58" s="11"/>
    </row>
    <row r="59" spans="1:5" ht="14.25">
      <c r="A59" s="13"/>
      <c r="B59" s="14" t="s">
        <v>47</v>
      </c>
    </row>
    <row r="60" spans="1:5" ht="15">
      <c r="A60" s="15" t="s">
        <v>48</v>
      </c>
      <c r="B60" s="15" t="s">
        <v>49</v>
      </c>
      <c r="C60" s="15" t="s">
        <v>50</v>
      </c>
      <c r="D60" s="15" t="s">
        <v>51</v>
      </c>
      <c r="E60" s="15" t="s">
        <v>52</v>
      </c>
    </row>
    <row r="61" spans="1:5">
      <c r="A61" s="12" t="s">
        <v>314</v>
      </c>
      <c r="B61" s="5" t="s">
        <v>53</v>
      </c>
      <c r="C61" s="5" t="s">
        <v>25</v>
      </c>
      <c r="D61" s="5" t="s">
        <v>365</v>
      </c>
      <c r="E61" s="16" t="s">
        <v>366</v>
      </c>
    </row>
    <row r="63" spans="1:5" ht="14.25">
      <c r="A63" s="13"/>
      <c r="B63" s="14" t="s">
        <v>105</v>
      </c>
    </row>
    <row r="64" spans="1:5" ht="15">
      <c r="A64" s="15" t="s">
        <v>48</v>
      </c>
      <c r="B64" s="15" t="s">
        <v>49</v>
      </c>
      <c r="C64" s="15" t="s">
        <v>50</v>
      </c>
      <c r="D64" s="15" t="s">
        <v>51</v>
      </c>
      <c r="E64" s="15" t="s">
        <v>52</v>
      </c>
    </row>
    <row r="65" spans="1:5">
      <c r="A65" s="12" t="s">
        <v>346</v>
      </c>
      <c r="B65" s="5" t="s">
        <v>106</v>
      </c>
      <c r="C65" s="5" t="s">
        <v>117</v>
      </c>
      <c r="D65" s="5" t="s">
        <v>367</v>
      </c>
      <c r="E65" s="16" t="s">
        <v>368</v>
      </c>
    </row>
    <row r="67" spans="1:5" ht="14.25">
      <c r="A67" s="13"/>
      <c r="B67" s="14" t="s">
        <v>57</v>
      </c>
    </row>
    <row r="68" spans="1:5" ht="15">
      <c r="A68" s="15" t="s">
        <v>48</v>
      </c>
      <c r="B68" s="15" t="s">
        <v>49</v>
      </c>
      <c r="C68" s="15" t="s">
        <v>50</v>
      </c>
      <c r="D68" s="15" t="s">
        <v>51</v>
      </c>
      <c r="E68" s="15" t="s">
        <v>52</v>
      </c>
    </row>
    <row r="69" spans="1:5">
      <c r="A69" s="12" t="s">
        <v>350</v>
      </c>
      <c r="B69" s="5" t="s">
        <v>57</v>
      </c>
      <c r="C69" s="5" t="s">
        <v>117</v>
      </c>
      <c r="D69" s="5" t="s">
        <v>369</v>
      </c>
      <c r="E69" s="16" t="s">
        <v>370</v>
      </c>
    </row>
    <row r="70" spans="1:5">
      <c r="A70" s="12" t="s">
        <v>305</v>
      </c>
      <c r="B70" s="5" t="s">
        <v>57</v>
      </c>
      <c r="C70" s="5" t="s">
        <v>169</v>
      </c>
      <c r="D70" s="5" t="s">
        <v>371</v>
      </c>
      <c r="E70" s="16" t="s">
        <v>372</v>
      </c>
    </row>
    <row r="71" spans="1:5">
      <c r="A71" s="12" t="s">
        <v>356</v>
      </c>
      <c r="B71" s="5" t="s">
        <v>57</v>
      </c>
      <c r="C71" s="5" t="s">
        <v>202</v>
      </c>
      <c r="D71" s="5" t="s">
        <v>373</v>
      </c>
      <c r="E71" s="16" t="s">
        <v>374</v>
      </c>
    </row>
    <row r="72" spans="1:5">
      <c r="A72" s="12" t="s">
        <v>321</v>
      </c>
      <c r="B72" s="5" t="s">
        <v>57</v>
      </c>
      <c r="C72" s="5" t="s">
        <v>25</v>
      </c>
      <c r="D72" s="5" t="s">
        <v>375</v>
      </c>
      <c r="E72" s="16" t="s">
        <v>376</v>
      </c>
    </row>
    <row r="73" spans="1:5">
      <c r="A73" s="12" t="s">
        <v>309</v>
      </c>
      <c r="B73" s="5" t="s">
        <v>57</v>
      </c>
      <c r="C73" s="5" t="s">
        <v>54</v>
      </c>
      <c r="D73" s="5" t="s">
        <v>377</v>
      </c>
      <c r="E73" s="16" t="s">
        <v>378</v>
      </c>
    </row>
    <row r="74" spans="1:5">
      <c r="A74" s="12" t="s">
        <v>341</v>
      </c>
      <c r="B74" s="5" t="s">
        <v>57</v>
      </c>
      <c r="C74" s="5" t="s">
        <v>36</v>
      </c>
      <c r="D74" s="5" t="s">
        <v>379</v>
      </c>
      <c r="E74" s="16" t="s">
        <v>380</v>
      </c>
    </row>
    <row r="75" spans="1:5">
      <c r="A75" s="12" t="s">
        <v>326</v>
      </c>
      <c r="B75" s="5" t="s">
        <v>57</v>
      </c>
      <c r="C75" s="5" t="s">
        <v>25</v>
      </c>
      <c r="D75" s="5" t="s">
        <v>381</v>
      </c>
      <c r="E75" s="16" t="s">
        <v>382</v>
      </c>
    </row>
    <row r="77" spans="1:5" ht="14.25">
      <c r="A77" s="13"/>
      <c r="B77" s="14" t="s">
        <v>86</v>
      </c>
    </row>
    <row r="78" spans="1:5" ht="15">
      <c r="A78" s="15" t="s">
        <v>48</v>
      </c>
      <c r="B78" s="15" t="s">
        <v>49</v>
      </c>
      <c r="C78" s="15" t="s">
        <v>50</v>
      </c>
      <c r="D78" s="15" t="s">
        <v>51</v>
      </c>
      <c r="E78" s="15" t="s">
        <v>52</v>
      </c>
    </row>
    <row r="79" spans="1:5">
      <c r="A79" s="12" t="s">
        <v>335</v>
      </c>
      <c r="B79" s="5" t="s">
        <v>383</v>
      </c>
      <c r="C79" s="5" t="s">
        <v>25</v>
      </c>
      <c r="D79" s="5" t="s">
        <v>384</v>
      </c>
      <c r="E79" s="16" t="s">
        <v>385</v>
      </c>
    </row>
    <row r="80" spans="1:5">
      <c r="A80" s="12" t="s">
        <v>330</v>
      </c>
      <c r="B80" s="5" t="s">
        <v>177</v>
      </c>
      <c r="C80" s="5" t="s">
        <v>25</v>
      </c>
      <c r="D80" s="5" t="s">
        <v>386</v>
      </c>
      <c r="E80" s="16" t="s">
        <v>387</v>
      </c>
    </row>
    <row r="85" spans="1:3" ht="18">
      <c r="A85" s="10" t="s">
        <v>61</v>
      </c>
      <c r="B85" s="10"/>
    </row>
    <row r="86" spans="1:3" ht="15">
      <c r="A86" s="15" t="s">
        <v>62</v>
      </c>
      <c r="B86" s="15" t="s">
        <v>63</v>
      </c>
      <c r="C86" s="15" t="s">
        <v>64</v>
      </c>
    </row>
    <row r="87" spans="1:3">
      <c r="A87" s="5" t="s">
        <v>18</v>
      </c>
      <c r="B87" s="5" t="s">
        <v>179</v>
      </c>
      <c r="C87" s="5" t="s">
        <v>388</v>
      </c>
    </row>
    <row r="88" spans="1:3">
      <c r="A88" s="5" t="s">
        <v>95</v>
      </c>
      <c r="B88" s="5" t="s">
        <v>242</v>
      </c>
      <c r="C88" s="5" t="s">
        <v>389</v>
      </c>
    </row>
    <row r="89" spans="1:3">
      <c r="A89" s="5" t="s">
        <v>345</v>
      </c>
      <c r="B89" s="5" t="s">
        <v>390</v>
      </c>
      <c r="C89" s="5" t="s">
        <v>391</v>
      </c>
    </row>
    <row r="90" spans="1:3">
      <c r="A90" s="5" t="s">
        <v>207</v>
      </c>
      <c r="B90" s="5" t="s">
        <v>109</v>
      </c>
      <c r="C90" s="5" t="s">
        <v>392</v>
      </c>
    </row>
    <row r="91" spans="1:3">
      <c r="A91" s="5" t="s">
        <v>164</v>
      </c>
      <c r="B91" s="5" t="s">
        <v>393</v>
      </c>
      <c r="C91" s="5" t="s">
        <v>394</v>
      </c>
    </row>
  </sheetData>
  <mergeCells count="22">
    <mergeCell ref="A1:U2"/>
    <mergeCell ref="A3:A4"/>
    <mergeCell ref="B3:B4"/>
    <mergeCell ref="C3:C4"/>
    <mergeCell ref="D3:D4"/>
    <mergeCell ref="E3:E4"/>
    <mergeCell ref="F3:F4"/>
    <mergeCell ref="G3:J3"/>
    <mergeCell ref="K3:N3"/>
    <mergeCell ref="O3:R3"/>
    <mergeCell ref="S3:S4"/>
    <mergeCell ref="T3:T4"/>
    <mergeCell ref="U3:U4"/>
    <mergeCell ref="A5:T5"/>
    <mergeCell ref="A8:T8"/>
    <mergeCell ref="A12:T12"/>
    <mergeCell ref="A15:T15"/>
    <mergeCell ref="A18:T18"/>
    <mergeCell ref="A21:T21"/>
    <mergeCell ref="A28:T28"/>
    <mergeCell ref="A31:T31"/>
    <mergeCell ref="A35:T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Люб. тяга софт экип.</vt:lpstr>
      <vt:lpstr>Люб. жим софт экип.</vt:lpstr>
      <vt:lpstr>Люб. ПЛ. софт экип.</vt:lpstr>
      <vt:lpstr>Люб. тяга 1.слой</vt:lpstr>
      <vt:lpstr>Люб. присед б.э.</vt:lpstr>
      <vt:lpstr>Люб. жим 1.слой</vt:lpstr>
      <vt:lpstr>Люб. тяга б.э.</vt:lpstr>
      <vt:lpstr>Люб. жим б.э.</vt:lpstr>
      <vt:lpstr>Люб. ПЛ. б.э.</vt:lpstr>
      <vt:lpstr>ПРО жим софт экип.</vt:lpstr>
      <vt:lpstr>ПРО ПЛ. софт экип.</vt:lpstr>
      <vt:lpstr>ПРО жим 1.слой</vt:lpstr>
      <vt:lpstr>ПРО тяга б.э.</vt:lpstr>
      <vt:lpstr>ПРО жим б.э.</vt:lpstr>
      <vt:lpstr>ПРО ПЛ. б.э.</vt:lpstr>
      <vt:lpstr>СОВ тяга</vt:lpstr>
      <vt:lpstr>СОВ ПЛ.</vt:lpstr>
      <vt:lpstr>НЖ Любители с.вес</vt:lpstr>
      <vt:lpstr>НЖ ПРО с.вес</vt:lpstr>
      <vt:lpstr>Пауэрспорт Любители</vt:lpstr>
      <vt:lpstr>РЖ ПРО 55 кг</vt:lpstr>
      <vt:lpstr>РЖ Любители 55 кг</vt:lpstr>
      <vt:lpstr>РЖ Любители 35 кг</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Tomchin</dc:creator>
  <cp:lastModifiedBy>Андрей</cp:lastModifiedBy>
  <cp:lastPrinted>2015-07-16T19:10:53Z</cp:lastPrinted>
  <dcterms:created xsi:type="dcterms:W3CDTF">2002-06-16T13:36:44Z</dcterms:created>
  <dcterms:modified xsi:type="dcterms:W3CDTF">2017-03-10T16:58:42Z</dcterms:modified>
</cp:coreProperties>
</file>