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5" windowWidth="11340" windowHeight="9690" firstSheet="5" activeTab="6"/>
  </bookViews>
  <sheets>
    <sheet name="Люб. жим софт экип." sheetId="31" r:id="rId1"/>
    <sheet name="Люб. ПЛ. софт экип." sheetId="30" r:id="rId2"/>
    <sheet name="Люб. присед 1.слой" sheetId="29" r:id="rId3"/>
    <sheet name="Люб. тяга 1.слой" sheetId="28" r:id="rId4"/>
    <sheet name="Люб. жим 1.слой" sheetId="25" r:id="rId5"/>
    <sheet name="Люб. тяга б.э." sheetId="23" r:id="rId6"/>
    <sheet name="Люб. жим б.э." sheetId="22" r:id="rId7"/>
    <sheet name="Люб. ПЛ. б.э." sheetId="21" r:id="rId8"/>
    <sheet name="ПРО жим софт экип. 3сл." sheetId="20" r:id="rId9"/>
    <sheet name="ПРО присед софт экип." sheetId="19" r:id="rId10"/>
    <sheet name="ПРО тяга софт экип." sheetId="18" r:id="rId11"/>
    <sheet name="ПРО присед мн.слой" sheetId="17" r:id="rId12"/>
    <sheet name="ПРО жим софт экип." sheetId="16" r:id="rId13"/>
    <sheet name="ПРО ПЛ. софт экип." sheetId="15" r:id="rId14"/>
    <sheet name="ПРО тяга мн.слой" sheetId="14" r:id="rId15"/>
    <sheet name="ПРО жим мн.слой" sheetId="12" r:id="rId16"/>
    <sheet name="ПРО ПЛ. мн.слой" sheetId="11" r:id="rId17"/>
    <sheet name="ПРО тяга б.э." sheetId="10" r:id="rId18"/>
    <sheet name="ПРО жим б.э." sheetId="9" r:id="rId19"/>
    <sheet name="ПРО ПЛ. б.э." sheetId="8" r:id="rId20"/>
    <sheet name="СОВ тяга" sheetId="7" r:id="rId21"/>
    <sheet name="Военный жим. Любители" sheetId="39" r:id="rId22"/>
    <sheet name="Народный жим. Любители" sheetId="37" r:id="rId23"/>
    <sheet name="Пауэрспорт ПРО" sheetId="33" r:id="rId24"/>
    <sheet name="Русский жим. Любители 35 кг." sheetId="34" r:id="rId25"/>
    <sheet name="Русский жим ПРО. 35 кг." sheetId="35" r:id="rId26"/>
    <sheet name="Русский жим ПРО. 55 кг." sheetId="36" r:id="rId27"/>
  </sheets>
  <calcPr calcId="125725" refMode="R1C1"/>
</workbook>
</file>

<file path=xl/calcChain.xml><?xml version="1.0" encoding="utf-8"?>
<calcChain xmlns="http://schemas.openxmlformats.org/spreadsheetml/2006/main">
  <c r="D6" i="39"/>
  <c r="P7" i="33"/>
  <c r="O7"/>
  <c r="D7"/>
  <c r="P6"/>
  <c r="O6"/>
  <c r="D6"/>
  <c r="L10" i="31"/>
  <c r="K10"/>
  <c r="D10"/>
  <c r="L9"/>
  <c r="K9"/>
  <c r="D9"/>
  <c r="L6"/>
  <c r="K6"/>
  <c r="D6"/>
  <c r="T6" i="30"/>
  <c r="S6"/>
  <c r="D6"/>
  <c r="L6" i="29"/>
  <c r="K6"/>
  <c r="D6"/>
  <c r="L9" i="28"/>
  <c r="K9"/>
  <c r="D9"/>
  <c r="L6"/>
  <c r="K6"/>
  <c r="D6"/>
  <c r="L10" i="25"/>
  <c r="K10"/>
  <c r="D10"/>
  <c r="L7"/>
  <c r="K7"/>
  <c r="D7"/>
  <c r="L6"/>
  <c r="K6"/>
  <c r="D6"/>
  <c r="L34" i="23"/>
  <c r="K34"/>
  <c r="D34"/>
  <c r="L31"/>
  <c r="K31"/>
  <c r="D31"/>
  <c r="L30"/>
  <c r="K30"/>
  <c r="D30"/>
  <c r="L27"/>
  <c r="K27"/>
  <c r="D27"/>
  <c r="L26"/>
  <c r="K26"/>
  <c r="D26"/>
  <c r="L25"/>
  <c r="K25"/>
  <c r="D25"/>
  <c r="L22"/>
  <c r="K22"/>
  <c r="D22"/>
  <c r="L21"/>
  <c r="K21"/>
  <c r="D21"/>
  <c r="L20"/>
  <c r="K20"/>
  <c r="D20"/>
  <c r="L19"/>
  <c r="K19"/>
  <c r="D19"/>
  <c r="L16"/>
  <c r="K16"/>
  <c r="D16"/>
  <c r="L13"/>
  <c r="K13"/>
  <c r="D13"/>
  <c r="L12"/>
  <c r="K12"/>
  <c r="D12"/>
  <c r="L9"/>
  <c r="K9"/>
  <c r="D9"/>
  <c r="L6"/>
  <c r="K6"/>
  <c r="D6"/>
  <c r="L62" i="22"/>
  <c r="K62"/>
  <c r="D62"/>
  <c r="L61"/>
  <c r="K61"/>
  <c r="D61"/>
  <c r="L60"/>
  <c r="K60"/>
  <c r="D60"/>
  <c r="L57"/>
  <c r="K57"/>
  <c r="D57"/>
  <c r="L56"/>
  <c r="K56"/>
  <c r="D56"/>
  <c r="L55"/>
  <c r="K55"/>
  <c r="D55"/>
  <c r="L54"/>
  <c r="K54"/>
  <c r="D54"/>
  <c r="L53"/>
  <c r="K53"/>
  <c r="D53"/>
  <c r="L50"/>
  <c r="K50"/>
  <c r="D50"/>
  <c r="L49"/>
  <c r="K49"/>
  <c r="D49"/>
  <c r="L48"/>
  <c r="K48"/>
  <c r="D48"/>
  <c r="L47"/>
  <c r="K47"/>
  <c r="D47"/>
  <c r="L46"/>
  <c r="K46"/>
  <c r="D46"/>
  <c r="L45"/>
  <c r="K45"/>
  <c r="D45"/>
  <c r="L44"/>
  <c r="K44"/>
  <c r="D44"/>
  <c r="L43"/>
  <c r="K43"/>
  <c r="D43"/>
  <c r="L42"/>
  <c r="K42"/>
  <c r="D42"/>
  <c r="L39"/>
  <c r="K39"/>
  <c r="D39"/>
  <c r="L38"/>
  <c r="K38"/>
  <c r="D38"/>
  <c r="L37"/>
  <c r="K37"/>
  <c r="D37"/>
  <c r="L36"/>
  <c r="K36"/>
  <c r="D36"/>
  <c r="L35"/>
  <c r="K35"/>
  <c r="D35"/>
  <c r="L34"/>
  <c r="K34"/>
  <c r="D34"/>
  <c r="L33"/>
  <c r="K33"/>
  <c r="D33"/>
  <c r="L30"/>
  <c r="K30"/>
  <c r="D30"/>
  <c r="L29"/>
  <c r="K29"/>
  <c r="D29"/>
  <c r="L28"/>
  <c r="K28"/>
  <c r="D28"/>
  <c r="L27"/>
  <c r="K27"/>
  <c r="D27"/>
  <c r="L24"/>
  <c r="K24"/>
  <c r="D24"/>
  <c r="L23"/>
  <c r="K23"/>
  <c r="D23"/>
  <c r="L22"/>
  <c r="K22"/>
  <c r="D22"/>
  <c r="L21"/>
  <c r="K21"/>
  <c r="D21"/>
  <c r="L20"/>
  <c r="K20"/>
  <c r="D20"/>
  <c r="L19"/>
  <c r="K19"/>
  <c r="D19"/>
  <c r="L16"/>
  <c r="K16"/>
  <c r="D16"/>
  <c r="L13"/>
  <c r="K13"/>
  <c r="D13"/>
  <c r="L10"/>
  <c r="K10"/>
  <c r="D10"/>
  <c r="L9"/>
  <c r="K9"/>
  <c r="D9"/>
  <c r="L6"/>
  <c r="K6"/>
  <c r="D6"/>
  <c r="T33" i="21"/>
  <c r="S33"/>
  <c r="D33"/>
  <c r="T30"/>
  <c r="S30"/>
  <c r="D30"/>
  <c r="T27"/>
  <c r="S27"/>
  <c r="D27"/>
  <c r="T26"/>
  <c r="S26"/>
  <c r="D26"/>
  <c r="T25"/>
  <c r="S25"/>
  <c r="D25"/>
  <c r="T22"/>
  <c r="S22"/>
  <c r="D22"/>
  <c r="T19"/>
  <c r="S19"/>
  <c r="D19"/>
  <c r="T16"/>
  <c r="S16"/>
  <c r="D16"/>
  <c r="T15"/>
  <c r="S15"/>
  <c r="D15"/>
  <c r="T12"/>
  <c r="S12"/>
  <c r="D12"/>
  <c r="T9"/>
  <c r="S9"/>
  <c r="D9"/>
  <c r="T6"/>
  <c r="S6"/>
  <c r="D6"/>
  <c r="L9" i="20"/>
  <c r="K9"/>
  <c r="D9"/>
  <c r="L6"/>
  <c r="K6"/>
  <c r="D6"/>
  <c r="L6" i="19"/>
  <c r="K6"/>
  <c r="D6"/>
  <c r="L6" i="18"/>
  <c r="K6"/>
  <c r="D6"/>
  <c r="L6" i="17"/>
  <c r="K6"/>
  <c r="D6"/>
  <c r="L12" i="16"/>
  <c r="K12"/>
  <c r="D12"/>
  <c r="L9"/>
  <c r="K9"/>
  <c r="D9"/>
  <c r="L6"/>
  <c r="K6"/>
  <c r="D6"/>
  <c r="T8" i="15"/>
  <c r="S8"/>
  <c r="D8"/>
  <c r="T7"/>
  <c r="S7"/>
  <c r="D7"/>
  <c r="T6"/>
  <c r="S6"/>
  <c r="D6"/>
  <c r="L6" i="14"/>
  <c r="K6"/>
  <c r="D6"/>
  <c r="L6" i="12"/>
  <c r="K6"/>
  <c r="D6"/>
  <c r="T6" i="11"/>
  <c r="S6"/>
  <c r="D6"/>
  <c r="L15" i="10"/>
  <c r="K15"/>
  <c r="D15"/>
  <c r="L12"/>
  <c r="K12"/>
  <c r="D12"/>
  <c r="L9"/>
  <c r="K9"/>
  <c r="D9"/>
  <c r="L6"/>
  <c r="K6"/>
  <c r="D6"/>
  <c r="L18" i="9"/>
  <c r="K18"/>
  <c r="D18"/>
  <c r="L17"/>
  <c r="K17"/>
  <c r="D17"/>
  <c r="L16"/>
  <c r="K16"/>
  <c r="D16"/>
  <c r="L13"/>
  <c r="K13"/>
  <c r="D13"/>
  <c r="L10"/>
  <c r="K10"/>
  <c r="D10"/>
  <c r="L7"/>
  <c r="K7"/>
  <c r="D7"/>
  <c r="L6"/>
  <c r="K6"/>
  <c r="D6"/>
  <c r="T9" i="8"/>
  <c r="S9"/>
  <c r="D9"/>
  <c r="T6"/>
  <c r="S6"/>
  <c r="D6"/>
  <c r="L6" i="7"/>
  <c r="K6"/>
  <c r="D6"/>
</calcChain>
</file>

<file path=xl/sharedStrings.xml><?xml version="1.0" encoding="utf-8"?>
<sst xmlns="http://schemas.openxmlformats.org/spreadsheetml/2006/main" count="3034" uniqueCount="789">
  <si>
    <t>ФИО</t>
  </si>
  <si>
    <t>Присед</t>
  </si>
  <si>
    <t>Жим</t>
  </si>
  <si>
    <t>Тяга</t>
  </si>
  <si>
    <t>Сумма</t>
  </si>
  <si>
    <t>Тренер</t>
  </si>
  <si>
    <t>Очки</t>
  </si>
  <si>
    <t>Команда</t>
  </si>
  <si>
    <t>Рек</t>
  </si>
  <si>
    <t>Возр груп
Год. р./Возраст</t>
  </si>
  <si>
    <t>Город/область</t>
  </si>
  <si>
    <t>Соб.
Вес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</si>
  <si>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</si>
  <si>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</si>
  <si>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</si>
  <si>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</si>
  <si>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</si>
  <si>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</si>
  <si>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>Результат</t>
  </si>
  <si>
    <t>Shv/Mel</t>
  </si>
  <si>
    <t>ВЕСОВАЯ КАТЕГОРИЯ   75</t>
  </si>
  <si>
    <t>Папанов Алексей</t>
  </si>
  <si>
    <t>1. Папанов Алексей</t>
  </si>
  <si>
    <t>Открытая (14.09.1985)/32</t>
  </si>
  <si>
    <t>72,00</t>
  </si>
  <si>
    <t xml:space="preserve">AlexFitnes </t>
  </si>
  <si>
    <t xml:space="preserve">Белгород/Белгородская область </t>
  </si>
  <si>
    <t>90,0</t>
  </si>
  <si>
    <t>105,0</t>
  </si>
  <si>
    <t>110,0</t>
  </si>
  <si>
    <t xml:space="preserve">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</si>
  <si>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</si>
  <si>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</si>
  <si>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</si>
  <si>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</si>
  <si>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</si>
  <si>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</si>
  <si>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</si>
  <si>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75,0</t>
  </si>
  <si>
    <t>75,5370</t>
  </si>
  <si>
    <t xml:space="preserve">Командное первенство </t>
  </si>
  <si>
    <t xml:space="preserve">Команда </t>
  </si>
  <si>
    <t xml:space="preserve">Очки </t>
  </si>
  <si>
    <t xml:space="preserve">Участники </t>
  </si>
  <si>
    <t xml:space="preserve">12(12) </t>
  </si>
  <si>
    <t xml:space="preserve">Папанов Алексей </t>
  </si>
  <si>
    <t>ВЕСОВАЯ КАТЕГОРИЯ   56</t>
  </si>
  <si>
    <t>Саласина Елизавета</t>
  </si>
  <si>
    <t>1. Саласина Елизавета</t>
  </si>
  <si>
    <t>Девушки 14 - 15 (28.12.2001)/15</t>
  </si>
  <si>
    <t>55,10</t>
  </si>
  <si>
    <t xml:space="preserve">Курск </t>
  </si>
  <si>
    <t xml:space="preserve">Курск/Курская область </t>
  </si>
  <si>
    <t>80,0</t>
  </si>
  <si>
    <t>52,5</t>
  </si>
  <si>
    <t>57,5</t>
  </si>
  <si>
    <t>60,0</t>
  </si>
  <si>
    <t>117,5</t>
  </si>
  <si>
    <t>122,5</t>
  </si>
  <si>
    <t>ВЕСОВАЯ КАТЕГОРИЯ   90</t>
  </si>
  <si>
    <t>Иркабаев Варис</t>
  </si>
  <si>
    <t>1. Иркабаев Варис</t>
  </si>
  <si>
    <t>Мастера 55 - 59 (24.04.1963)/54</t>
  </si>
  <si>
    <t>86,25</t>
  </si>
  <si>
    <t xml:space="preserve">Zeus </t>
  </si>
  <si>
    <t xml:space="preserve">Уфа/Башкортостан </t>
  </si>
  <si>
    <t>170,0</t>
  </si>
  <si>
    <t>180,0</t>
  </si>
  <si>
    <t>200,0</t>
  </si>
  <si>
    <t>150,0</t>
  </si>
  <si>
    <t>155,0</t>
  </si>
  <si>
    <t>160,0</t>
  </si>
  <si>
    <t>215,0</t>
  </si>
  <si>
    <t>220,0</t>
  </si>
  <si>
    <t>230,0</t>
  </si>
  <si>
    <t xml:space="preserve">Женщины </t>
  </si>
  <si>
    <t xml:space="preserve">Девушки </t>
  </si>
  <si>
    <t xml:space="preserve">Юноши 14 - 15 </t>
  </si>
  <si>
    <t>56,0</t>
  </si>
  <si>
    <t>270,0</t>
  </si>
  <si>
    <t>294,4501</t>
  </si>
  <si>
    <t xml:space="preserve">Мастера </t>
  </si>
  <si>
    <t xml:space="preserve">Мастера 55 - 59 </t>
  </si>
  <si>
    <t>590,0</t>
  </si>
  <si>
    <t>471,6832</t>
  </si>
  <si>
    <t xml:space="preserve">Иркабаев Варис </t>
  </si>
  <si>
    <t xml:space="preserve">Саласина Елизавета </t>
  </si>
  <si>
    <t>ВЕСОВАЯ КАТЕГОРИЯ   67.5</t>
  </si>
  <si>
    <t>Василенко Дарья</t>
  </si>
  <si>
    <t>1. Василенко Дарья</t>
  </si>
  <si>
    <t>Юниорки 20 - 23 (09.07.1996)/21</t>
  </si>
  <si>
    <t>64,20</t>
  </si>
  <si>
    <t xml:space="preserve">ТриЛайф </t>
  </si>
  <si>
    <t>50,0</t>
  </si>
  <si>
    <t>55,0</t>
  </si>
  <si>
    <t>62,5</t>
  </si>
  <si>
    <t>Галич Инга</t>
  </si>
  <si>
    <t>1. Галич Инга</t>
  </si>
  <si>
    <t>Мастера 45 - 49 (18.01.1970)/47</t>
  </si>
  <si>
    <t>66,30</t>
  </si>
  <si>
    <t xml:space="preserve">Лично </t>
  </si>
  <si>
    <t xml:space="preserve">Санкт-Петербург </t>
  </si>
  <si>
    <t>95,0</t>
  </si>
  <si>
    <t>100,0</t>
  </si>
  <si>
    <t>Умаров Стас</t>
  </si>
  <si>
    <t>1. Умаров Стас</t>
  </si>
  <si>
    <t>Открытая (12.09.1986)/31</t>
  </si>
  <si>
    <t>74,70</t>
  </si>
  <si>
    <t xml:space="preserve">Лиски/Воронежская область </t>
  </si>
  <si>
    <t>177,5</t>
  </si>
  <si>
    <t>ВЕСОВАЯ КАТЕГОРИЯ   82.5</t>
  </si>
  <si>
    <t>Непобедимый Эдгар</t>
  </si>
  <si>
    <t>1. Непобедимый Эдгар</t>
  </si>
  <si>
    <t>Открытая (08.08.1982)/35</t>
  </si>
  <si>
    <t>80,60</t>
  </si>
  <si>
    <t>120,0</t>
  </si>
  <si>
    <t>130,0</t>
  </si>
  <si>
    <t>135,0</t>
  </si>
  <si>
    <t>ВЕСОВАЯ КАТЕГОРИЯ   100</t>
  </si>
  <si>
    <t>Болтенков Денис</t>
  </si>
  <si>
    <t>1. Болтенков Денис</t>
  </si>
  <si>
    <t>Открытая (13.07.1981)/36</t>
  </si>
  <si>
    <t>95,50</t>
  </si>
  <si>
    <t xml:space="preserve">Губкин/Белгородская область </t>
  </si>
  <si>
    <t>205,0</t>
  </si>
  <si>
    <t>207,5</t>
  </si>
  <si>
    <t>Передерий Дмитрий</t>
  </si>
  <si>
    <t>2. Передерий Дмитрий</t>
  </si>
  <si>
    <t>Открытая (24.08.1980)/37</t>
  </si>
  <si>
    <t>95,20</t>
  </si>
  <si>
    <t xml:space="preserve">Донецк/Ростовская область </t>
  </si>
  <si>
    <t>190,0</t>
  </si>
  <si>
    <t>Провоторов Александр</t>
  </si>
  <si>
    <t>3. Провоторов Александр</t>
  </si>
  <si>
    <t>Открытая (10.05.1993)/24</t>
  </si>
  <si>
    <t>98,50</t>
  </si>
  <si>
    <t xml:space="preserve">ФОК Олимпийский </t>
  </si>
  <si>
    <t xml:space="preserve">Строитель/Белгородская область </t>
  </si>
  <si>
    <t xml:space="preserve">Юниорки </t>
  </si>
  <si>
    <t xml:space="preserve">Юниоры 20 - 23 </t>
  </si>
  <si>
    <t>67,5</t>
  </si>
  <si>
    <t>45,6205</t>
  </si>
  <si>
    <t xml:space="preserve">Мастера 45 - 49 </t>
  </si>
  <si>
    <t>82,0895</t>
  </si>
  <si>
    <t>118,3215</t>
  </si>
  <si>
    <t>117,5072</t>
  </si>
  <si>
    <t>102,0960</t>
  </si>
  <si>
    <t>94,8260</t>
  </si>
  <si>
    <t>82,5</t>
  </si>
  <si>
    <t>84,9825</t>
  </si>
  <si>
    <t xml:space="preserve">24(12+12) </t>
  </si>
  <si>
    <t xml:space="preserve">Галич Инга, Болтенков Денис </t>
  </si>
  <si>
    <t xml:space="preserve">21(12+9) </t>
  </si>
  <si>
    <t xml:space="preserve">Василенко Дарья, Передерий Дмитрий </t>
  </si>
  <si>
    <t xml:space="preserve">Умаров Стас </t>
  </si>
  <si>
    <t xml:space="preserve">Непобедимый Эдгар </t>
  </si>
  <si>
    <t xml:space="preserve">8(8) </t>
  </si>
  <si>
    <t xml:space="preserve">Провоторов Александр </t>
  </si>
  <si>
    <t>Беглов Юрий</t>
  </si>
  <si>
    <t>1. Беглов Юрий</t>
  </si>
  <si>
    <t>Мастера 40 - 44 (03.06.1975)/42</t>
  </si>
  <si>
    <t>81,20</t>
  </si>
  <si>
    <t xml:space="preserve">Воронеж/Воронежская область </t>
  </si>
  <si>
    <t>210,0</t>
  </si>
  <si>
    <t>Немчинов Александр</t>
  </si>
  <si>
    <t>1. Немчинов Александр</t>
  </si>
  <si>
    <t>Мастера 65 - 69 (10.11.1951)/65</t>
  </si>
  <si>
    <t>89,60</t>
  </si>
  <si>
    <t>227,5</t>
  </si>
  <si>
    <t>237,5</t>
  </si>
  <si>
    <t>247,5</t>
  </si>
  <si>
    <t>Малышко Андрей</t>
  </si>
  <si>
    <t>1. Малышко Андрей</t>
  </si>
  <si>
    <t>Открытая (30.03.1978)/39</t>
  </si>
  <si>
    <t>98,00</t>
  </si>
  <si>
    <t>240,0</t>
  </si>
  <si>
    <t>250,0</t>
  </si>
  <si>
    <t>ВЕСОВАЯ КАТЕГОРИЯ   140</t>
  </si>
  <si>
    <t>Поберухин Вадим</t>
  </si>
  <si>
    <t>1. Поберухин Вадим</t>
  </si>
  <si>
    <t>Мастера 55 - 59 (18.07.1961)/56</t>
  </si>
  <si>
    <t>128,70</t>
  </si>
  <si>
    <t>280,0</t>
  </si>
  <si>
    <t>139,7750</t>
  </si>
  <si>
    <t xml:space="preserve">Мастера 65 - 69 </t>
  </si>
  <si>
    <t>278,8949</t>
  </si>
  <si>
    <t>140,0</t>
  </si>
  <si>
    <t>206,8306</t>
  </si>
  <si>
    <t xml:space="preserve">Мастера 40 - 44 </t>
  </si>
  <si>
    <t>132,6855</t>
  </si>
  <si>
    <t xml:space="preserve">36(12+12+12) </t>
  </si>
  <si>
    <t xml:space="preserve">Беглов Юрий, Малышко Андрей, Поберухин Вадим </t>
  </si>
  <si>
    <t xml:space="preserve">Немчинов Александр </t>
  </si>
  <si>
    <t>ВЕСОВАЯ КАТЕГОРИЯ   125</t>
  </si>
  <si>
    <t>Микао Михаил</t>
  </si>
  <si>
    <t>1. Микао Михаил</t>
  </si>
  <si>
    <t>Открытая (29.07.1985)/32</t>
  </si>
  <si>
    <t>122,70</t>
  </si>
  <si>
    <t xml:space="preserve">Светогор </t>
  </si>
  <si>
    <t xml:space="preserve">Краснодар/Краснодарский край </t>
  </si>
  <si>
    <t>375,0</t>
  </si>
  <si>
    <t>395,0</t>
  </si>
  <si>
    <t>290,0</t>
  </si>
  <si>
    <t>300,0</t>
  </si>
  <si>
    <t>305,0</t>
  </si>
  <si>
    <t>260,0</t>
  </si>
  <si>
    <t>272,5</t>
  </si>
  <si>
    <t>125,0</t>
  </si>
  <si>
    <t>955,0</t>
  </si>
  <si>
    <t>500,5155</t>
  </si>
  <si>
    <t xml:space="preserve">Микао Михаил </t>
  </si>
  <si>
    <t>-. Евтушенко Павел</t>
  </si>
  <si>
    <t>Открытая (09.01.1985)/32</t>
  </si>
  <si>
    <t>97,20</t>
  </si>
  <si>
    <t>Наволокин Антон</t>
  </si>
  <si>
    <t>1. Наволокин Антон</t>
  </si>
  <si>
    <t>Открытая (01.01.1986)/31</t>
  </si>
  <si>
    <t>129,90</t>
  </si>
  <si>
    <t>315,0</t>
  </si>
  <si>
    <t>325,0</t>
  </si>
  <si>
    <t>162,2628</t>
  </si>
  <si>
    <t xml:space="preserve">Наволокин Антон </t>
  </si>
  <si>
    <t>Анищенко Вадим</t>
  </si>
  <si>
    <t>1. Анищенко Вадим</t>
  </si>
  <si>
    <t>Открытая (29.03.1971)/46</t>
  </si>
  <si>
    <t>96,95</t>
  </si>
  <si>
    <t xml:space="preserve">ДЮСШ №4 </t>
  </si>
  <si>
    <t>Молодых Дмитрий</t>
  </si>
  <si>
    <t>1. Молодых Дмитрий</t>
  </si>
  <si>
    <t>Мастера 40 - 44 (26.02.1977)/40</t>
  </si>
  <si>
    <t>99,45</t>
  </si>
  <si>
    <t>195,0</t>
  </si>
  <si>
    <t>275,0</t>
  </si>
  <si>
    <t>-. Гринев Дмитрий</t>
  </si>
  <si>
    <t>Мастера 40 - 44 (16.05.1977)/40</t>
  </si>
  <si>
    <t>95,25</t>
  </si>
  <si>
    <t>245,0</t>
  </si>
  <si>
    <t>255,0</t>
  </si>
  <si>
    <t>650,0</t>
  </si>
  <si>
    <t>365,3325</t>
  </si>
  <si>
    <t>755,0</t>
  </si>
  <si>
    <t>419,3270</t>
  </si>
  <si>
    <t xml:space="preserve">Молодых Дмитрий </t>
  </si>
  <si>
    <t xml:space="preserve">Анищенко Вадим </t>
  </si>
  <si>
    <t>Сериченко Александр</t>
  </si>
  <si>
    <t>1. Сериченко Александр</t>
  </si>
  <si>
    <t>Открытая (01.10.1989)/28</t>
  </si>
  <si>
    <t>89,40</t>
  </si>
  <si>
    <t xml:space="preserve">Русская сила </t>
  </si>
  <si>
    <t>225,0</t>
  </si>
  <si>
    <t>Молчанов Юрий</t>
  </si>
  <si>
    <t>1. Молчанов Юрий</t>
  </si>
  <si>
    <t>Мастера 65 - 69 (08.12.1951)/65</t>
  </si>
  <si>
    <t>99,90</t>
  </si>
  <si>
    <t xml:space="preserve">Брянск </t>
  </si>
  <si>
    <t xml:space="preserve">Брянск/Брянская область </t>
  </si>
  <si>
    <t>185,0</t>
  </si>
  <si>
    <t>149,3848</t>
  </si>
  <si>
    <t>117,5400</t>
  </si>
  <si>
    <t>196,8874</t>
  </si>
  <si>
    <t xml:space="preserve">Молчанов Юрий </t>
  </si>
  <si>
    <t xml:space="preserve">Сериченко Александр </t>
  </si>
  <si>
    <t>207,0195</t>
  </si>
  <si>
    <t>Мастера 45 - 49 (29.03.1971)/46</t>
  </si>
  <si>
    <t>138,1912</t>
  </si>
  <si>
    <t>126,1746</t>
  </si>
  <si>
    <t>Мастера 50 - 54 (02.09.1966)/51</t>
  </si>
  <si>
    <t xml:space="preserve">Самост </t>
  </si>
  <si>
    <t>ВЕСОВАЯ КАТЕГОРИЯ   110</t>
  </si>
  <si>
    <t>-. Молчанов Сергей</t>
  </si>
  <si>
    <t>Мастера 40 - 44 (15.03.1973)/44</t>
  </si>
  <si>
    <t>107,40</t>
  </si>
  <si>
    <t>310,0</t>
  </si>
  <si>
    <t xml:space="preserve">Самостоятельно </t>
  </si>
  <si>
    <t xml:space="preserve">Мастера 50 - 54 </t>
  </si>
  <si>
    <t>166,8443</t>
  </si>
  <si>
    <t xml:space="preserve">Громов Сергей </t>
  </si>
  <si>
    <t>ВЕСОВАЯ КАТЕГОРИЯ   52</t>
  </si>
  <si>
    <t>Джулай Анастасия</t>
  </si>
  <si>
    <t>1. Джулай Анастасия</t>
  </si>
  <si>
    <t>Открытая (25.03.1985)/32</t>
  </si>
  <si>
    <t>51,60</t>
  </si>
  <si>
    <t xml:space="preserve">Старый Оскол/Белгородская область </t>
  </si>
  <si>
    <t>87,5</t>
  </si>
  <si>
    <t>107,5</t>
  </si>
  <si>
    <t>112,5</t>
  </si>
  <si>
    <t>ВЕСОВАЯ КАТЕГОРИЯ   44</t>
  </si>
  <si>
    <t>Орлов Александр</t>
  </si>
  <si>
    <t>1. Орлов Александр</t>
  </si>
  <si>
    <t>Юноши 14 - 15 (18.09.2004)/13</t>
  </si>
  <si>
    <t>42,40</t>
  </si>
  <si>
    <t>40,0</t>
  </si>
  <si>
    <t>35,0</t>
  </si>
  <si>
    <t>70,0</t>
  </si>
  <si>
    <t>ВЕСОВАЯ КАТЕГОРИЯ   60</t>
  </si>
  <si>
    <t>Южанин Егор</t>
  </si>
  <si>
    <t>1. Южанин Егор</t>
  </si>
  <si>
    <t>Юноши 14 - 15 (18.02.2004)/13</t>
  </si>
  <si>
    <t>58,60</t>
  </si>
  <si>
    <t>115,0</t>
  </si>
  <si>
    <t>Одинцов Иван</t>
  </si>
  <si>
    <t>1. Одинцов Иван</t>
  </si>
  <si>
    <t>Юноши 16 - 17 (24.07.2000)/17</t>
  </si>
  <si>
    <t xml:space="preserve">Валуйки </t>
  </si>
  <si>
    <t xml:space="preserve">Валуйки/Белгородская область </t>
  </si>
  <si>
    <t>Бондарь Иван</t>
  </si>
  <si>
    <t>1. Бондарь Иван</t>
  </si>
  <si>
    <t>Открытая (24.02.1991)/26</t>
  </si>
  <si>
    <t>73,50</t>
  </si>
  <si>
    <t>Воронин Павел</t>
  </si>
  <si>
    <t>1. Воронин Павел</t>
  </si>
  <si>
    <t>Юноши 18 - 19 (17.09.1999)/18</t>
  </si>
  <si>
    <t>79,25</t>
  </si>
  <si>
    <t>145,0</t>
  </si>
  <si>
    <t>165,0</t>
  </si>
  <si>
    <t>175,0</t>
  </si>
  <si>
    <t>Кулаков Евгений</t>
  </si>
  <si>
    <t>1. Кулаков Евгений</t>
  </si>
  <si>
    <t>Открытая (24.03.1987)/30</t>
  </si>
  <si>
    <t>96,30</t>
  </si>
  <si>
    <t xml:space="preserve">TitanTeam </t>
  </si>
  <si>
    <t>235,0</t>
  </si>
  <si>
    <t>Чамсаев Шамиль</t>
  </si>
  <si>
    <t>1. Чамсаев Шамиль</t>
  </si>
  <si>
    <t>Открытая (29.12.1979)/37</t>
  </si>
  <si>
    <t>109,00</t>
  </si>
  <si>
    <t xml:space="preserve">Избербаш/Дагестан </t>
  </si>
  <si>
    <t xml:space="preserve">Тулпаров Шамиль </t>
  </si>
  <si>
    <t>Жиров Дмитрий</t>
  </si>
  <si>
    <t>2. Жиров Дмитрий</t>
  </si>
  <si>
    <t>Открытая (05.12.1985)/31</t>
  </si>
  <si>
    <t>107,70</t>
  </si>
  <si>
    <t>Маслов Дмитрий</t>
  </si>
  <si>
    <t>1. Маслов Дмитрий</t>
  </si>
  <si>
    <t>Мастера 40 - 44 (26.06.1977)/40</t>
  </si>
  <si>
    <t>105,00</t>
  </si>
  <si>
    <t>Очкалов Максим</t>
  </si>
  <si>
    <t>1. Очкалов Максим</t>
  </si>
  <si>
    <t>Открытая (03.05.1989)/28</t>
  </si>
  <si>
    <t>118,90</t>
  </si>
  <si>
    <t>252,5</t>
  </si>
  <si>
    <t>Чернов Владислав</t>
  </si>
  <si>
    <t>1. Чернов Владислав</t>
  </si>
  <si>
    <t>Юноши 18 - 19 (29.03.1999)/18</t>
  </si>
  <si>
    <t>128,20</t>
  </si>
  <si>
    <t>52,0</t>
  </si>
  <si>
    <t>243,8625</t>
  </si>
  <si>
    <t xml:space="preserve">Юноши </t>
  </si>
  <si>
    <t xml:space="preserve">Юноши 18 - 19 </t>
  </si>
  <si>
    <t>570,0</t>
  </si>
  <si>
    <t>312,4681</t>
  </si>
  <si>
    <t xml:space="preserve">Юноши 16 - 17 </t>
  </si>
  <si>
    <t>410,0</t>
  </si>
  <si>
    <t>304,0708</t>
  </si>
  <si>
    <t>425,0</t>
  </si>
  <si>
    <t>287,1037</t>
  </si>
  <si>
    <t>44,0</t>
  </si>
  <si>
    <t>255,2902</t>
  </si>
  <si>
    <t>245,9016</t>
  </si>
  <si>
    <t>710,0</t>
  </si>
  <si>
    <t>381,7670</t>
  </si>
  <si>
    <t>655,0</t>
  </si>
  <si>
    <t>345,8400</t>
  </si>
  <si>
    <t>610,0</t>
  </si>
  <si>
    <t>329,0950</t>
  </si>
  <si>
    <t>540,0</t>
  </si>
  <si>
    <t>304,5060</t>
  </si>
  <si>
    <t>445,0</t>
  </si>
  <si>
    <t>300,4640</t>
  </si>
  <si>
    <t>535,0</t>
  </si>
  <si>
    <t>290,8795</t>
  </si>
  <si>
    <t xml:space="preserve">45(12+9+12+12) </t>
  </si>
  <si>
    <t xml:space="preserve">Одинцов Иван, Жиров Дмитрий, Воронин Павел, Маслов Дмитрий </t>
  </si>
  <si>
    <t xml:space="preserve">Чамсаев Шамиль, Южанин Егор, Джулай Анастасия </t>
  </si>
  <si>
    <t xml:space="preserve">Бондарь Иван, Орлов Александр, Чернов Владислав </t>
  </si>
  <si>
    <t xml:space="preserve">Очкалов Максим, Кулаков Евгений </t>
  </si>
  <si>
    <t>ВЕСОВАЯ КАТЕГОРИЯ   48</t>
  </si>
  <si>
    <t>Девушки 14 - 15 (09.06.2005)/12</t>
  </si>
  <si>
    <t>47,80</t>
  </si>
  <si>
    <t>72,5</t>
  </si>
  <si>
    <t>Евдокимова Екатерина</t>
  </si>
  <si>
    <t>2. Евдокимова Екатерина</t>
  </si>
  <si>
    <t>Открытая (02.10.1991)/26</t>
  </si>
  <si>
    <t>52,00</t>
  </si>
  <si>
    <t>45,0</t>
  </si>
  <si>
    <t>47,5</t>
  </si>
  <si>
    <t>Аксенова Юлия</t>
  </si>
  <si>
    <t>1. Аксенова Юлия</t>
  </si>
  <si>
    <t>Девушки 18 - 19 (25.06.1999)/18</t>
  </si>
  <si>
    <t>67,50</t>
  </si>
  <si>
    <t>65,0</t>
  </si>
  <si>
    <t>Открытая (10.01.1993)/24</t>
  </si>
  <si>
    <t>65,00</t>
  </si>
  <si>
    <t>Шутеев Евгений</t>
  </si>
  <si>
    <t>1. Шутеев Евгений</t>
  </si>
  <si>
    <t>Юноши 14 - 15 (30.10.2002)/14</t>
  </si>
  <si>
    <t>71,20</t>
  </si>
  <si>
    <t>85,0</t>
  </si>
  <si>
    <t>Гамалей Владимир</t>
  </si>
  <si>
    <t>2. Гамалей Владимир</t>
  </si>
  <si>
    <t>Юноши 14 - 15 (06.07.2002)/15</t>
  </si>
  <si>
    <t>69,60</t>
  </si>
  <si>
    <t>Корниенко Вадим</t>
  </si>
  <si>
    <t>1. Корниенко Вадим</t>
  </si>
  <si>
    <t>Юниоры 20 - 23 (27.02.1995)/22</t>
  </si>
  <si>
    <t>74,20</t>
  </si>
  <si>
    <t>127,5</t>
  </si>
  <si>
    <t>137,5</t>
  </si>
  <si>
    <t>Иванов Андрей</t>
  </si>
  <si>
    <t>1. Иванов Андрей</t>
  </si>
  <si>
    <t>Открытая (08.12.1981)/35</t>
  </si>
  <si>
    <t>73,90</t>
  </si>
  <si>
    <t>Морозов Эдуард</t>
  </si>
  <si>
    <t>1. Морозов Эдуард</t>
  </si>
  <si>
    <t>Мастера 40 - 44 (13.12.1976)/40</t>
  </si>
  <si>
    <t>74,80</t>
  </si>
  <si>
    <t xml:space="preserve">Морозов Эдуард </t>
  </si>
  <si>
    <t>Татаркин Александр</t>
  </si>
  <si>
    <t>1. Татаркин Александр</t>
  </si>
  <si>
    <t>Мастера 60 - 64 (16.08.1955)/62</t>
  </si>
  <si>
    <t>75,00</t>
  </si>
  <si>
    <t>Шипилов Роман</t>
  </si>
  <si>
    <t>1. Шипилов Роман</t>
  </si>
  <si>
    <t>Юноши 18 - 19 (04.06.1998)/19</t>
  </si>
  <si>
    <t>81,80</t>
  </si>
  <si>
    <t>142,5</t>
  </si>
  <si>
    <t>147,5</t>
  </si>
  <si>
    <t>Шушпанов Андрей</t>
  </si>
  <si>
    <t>1. Шушпанов Андрей</t>
  </si>
  <si>
    <t>Открытая (01.06.1979)/38</t>
  </si>
  <si>
    <t>79,00</t>
  </si>
  <si>
    <t>Примак Александр</t>
  </si>
  <si>
    <t>2. Примак Александр</t>
  </si>
  <si>
    <t>Открытая (18.04.1987)/30</t>
  </si>
  <si>
    <t>Сильченко Александр</t>
  </si>
  <si>
    <t>1. Сильченко Александр</t>
  </si>
  <si>
    <t>Мастера 40 - 44 (24.07.1975)/42</t>
  </si>
  <si>
    <t>80,50</t>
  </si>
  <si>
    <t>Степанов Михаил</t>
  </si>
  <si>
    <t>1. Степанов Михаил</t>
  </si>
  <si>
    <t>Юноши 16 - 17 (25.01.2001)/16</t>
  </si>
  <si>
    <t>87,50</t>
  </si>
  <si>
    <t>Акимкин Иван</t>
  </si>
  <si>
    <t>1. Акимкин Иван</t>
  </si>
  <si>
    <t>Открытая (23.11.1988)/28</t>
  </si>
  <si>
    <t>84,00</t>
  </si>
  <si>
    <t>167,5</t>
  </si>
  <si>
    <t>Карпачев Андрей</t>
  </si>
  <si>
    <t>2. Карпачев Андрей</t>
  </si>
  <si>
    <t>Открытая (26.02.1986)/31</t>
  </si>
  <si>
    <t>89,50</t>
  </si>
  <si>
    <t>157,5</t>
  </si>
  <si>
    <t>162,5</t>
  </si>
  <si>
    <t>Бельтюков Евгений</t>
  </si>
  <si>
    <t>3. Бельтюков Евгений</t>
  </si>
  <si>
    <t>Открытая (30.07.1976)/41</t>
  </si>
  <si>
    <t>88,00</t>
  </si>
  <si>
    <t>Алтухов Дмитрий</t>
  </si>
  <si>
    <t>4. Алтухов Дмитрий</t>
  </si>
  <si>
    <t>Открытая (19.12.1986)/30</t>
  </si>
  <si>
    <t>88,45</t>
  </si>
  <si>
    <t>1. Бельтюков Евгений</t>
  </si>
  <si>
    <t>Мастера 40 - 44 (30.07.1976)/41</t>
  </si>
  <si>
    <t>Кизилов Сергей</t>
  </si>
  <si>
    <t>2. Кизилов Сергей</t>
  </si>
  <si>
    <t>Мастера 40 - 44 (25.01.1975)/42</t>
  </si>
  <si>
    <t>86,45</t>
  </si>
  <si>
    <t>Юноши 18 - 19 (20.03.1998)/19</t>
  </si>
  <si>
    <t>98,20</t>
  </si>
  <si>
    <t>Тарасов Александр</t>
  </si>
  <si>
    <t>1. Тарасов Александр</t>
  </si>
  <si>
    <t>Открытая (16.05.1970)/47</t>
  </si>
  <si>
    <t>99,35</t>
  </si>
  <si>
    <t xml:space="preserve">Шебекино/Белгородская область </t>
  </si>
  <si>
    <t>217,5</t>
  </si>
  <si>
    <t>Тимофеев Дмитрий</t>
  </si>
  <si>
    <t>2. Тимофеев Дмитрий</t>
  </si>
  <si>
    <t>Открытая (29.08.1976)/41</t>
  </si>
  <si>
    <t>Калакуцкий Руслан</t>
  </si>
  <si>
    <t>3. Калакуцкий Руслан</t>
  </si>
  <si>
    <t>Открытая (22.04.1979)/38</t>
  </si>
  <si>
    <t>96,90</t>
  </si>
  <si>
    <t>Литовченко Александр</t>
  </si>
  <si>
    <t>4. Литовченко Александр</t>
  </si>
  <si>
    <t>Открытая (26.06.1986)/31</t>
  </si>
  <si>
    <t>98,70</t>
  </si>
  <si>
    <t>Мешковой Александр</t>
  </si>
  <si>
    <t>5. Мешковой Александр</t>
  </si>
  <si>
    <t>Открытая (28.12.1987)/29</t>
  </si>
  <si>
    <t>97,90</t>
  </si>
  <si>
    <t>1. Тимофеев Дмитрий</t>
  </si>
  <si>
    <t>Мастера 40 - 44 (29.08.1976)/41</t>
  </si>
  <si>
    <t>Мастера 45 - 49 (16.05.1970)/47</t>
  </si>
  <si>
    <t>Карпачев Михаил</t>
  </si>
  <si>
    <t>1. Карпачев Михаил</t>
  </si>
  <si>
    <t>Мастера 55 - 59 (11.11.1959)/57</t>
  </si>
  <si>
    <t>98,90</t>
  </si>
  <si>
    <t>1. Жиров Дмитрий</t>
  </si>
  <si>
    <t>Лазарев Виталий</t>
  </si>
  <si>
    <t>2. Лазарев Виталий</t>
  </si>
  <si>
    <t>Открытая (25.08.1988)/29</t>
  </si>
  <si>
    <t>107,00</t>
  </si>
  <si>
    <t>Дроздов Игорь</t>
  </si>
  <si>
    <t>1. Дроздов Игорь</t>
  </si>
  <si>
    <t>Мастера 40 - 44 (14.02.1977)/40</t>
  </si>
  <si>
    <t>108,30</t>
  </si>
  <si>
    <t>-. Толстых Виктор</t>
  </si>
  <si>
    <t>Мастера 50 - 54 (07.06.1965)/52</t>
  </si>
  <si>
    <t>Команов Юрий</t>
  </si>
  <si>
    <t>1. Команов Юрий</t>
  </si>
  <si>
    <t>Мастера 55 - 59 (28.06.1961)/56</t>
  </si>
  <si>
    <t>106,10</t>
  </si>
  <si>
    <t>Сарычев Тимур</t>
  </si>
  <si>
    <t>1. Сарычев Тимур</t>
  </si>
  <si>
    <t>Открытая (19.03.1990)/27</t>
  </si>
  <si>
    <t>123,80</t>
  </si>
  <si>
    <t>202,5</t>
  </si>
  <si>
    <t>Киселев Борис</t>
  </si>
  <si>
    <t>2. Киселев Борис</t>
  </si>
  <si>
    <t>Открытая (12.12.1982)/34</t>
  </si>
  <si>
    <t>120,70</t>
  </si>
  <si>
    <t>3. Очкалов Максим</t>
  </si>
  <si>
    <t>48,0</t>
  </si>
  <si>
    <t>89,3632</t>
  </si>
  <si>
    <t>49,5285</t>
  </si>
  <si>
    <t>51,2111</t>
  </si>
  <si>
    <t>46,0441</t>
  </si>
  <si>
    <t>97,1880</t>
  </si>
  <si>
    <t>80,7634</t>
  </si>
  <si>
    <t>72,4636</t>
  </si>
  <si>
    <t>69,7133</t>
  </si>
  <si>
    <t>50,0273</t>
  </si>
  <si>
    <t xml:space="preserve">Юниоры </t>
  </si>
  <si>
    <t>86,2921</t>
  </si>
  <si>
    <t>116,6865</t>
  </si>
  <si>
    <t>112,7100</t>
  </si>
  <si>
    <t>105,8468</t>
  </si>
  <si>
    <t>102,4597</t>
  </si>
  <si>
    <t>99,9970</t>
  </si>
  <si>
    <t>99,8075</t>
  </si>
  <si>
    <t>98,2275</t>
  </si>
  <si>
    <t>97,4835</t>
  </si>
  <si>
    <t>95,8200</t>
  </si>
  <si>
    <t>92,7630</t>
  </si>
  <si>
    <t>92,6260</t>
  </si>
  <si>
    <t>92,4998</t>
  </si>
  <si>
    <t>91,9925</t>
  </si>
  <si>
    <t>91,6980</t>
  </si>
  <si>
    <t>90,5612</t>
  </si>
  <si>
    <t>87,1200</t>
  </si>
  <si>
    <t>86,7070</t>
  </si>
  <si>
    <t>81,0750</t>
  </si>
  <si>
    <t xml:space="preserve">Мастера 60 - 64 </t>
  </si>
  <si>
    <t>145,7747</t>
  </si>
  <si>
    <t>127,4217</t>
  </si>
  <si>
    <t>100,7392</t>
  </si>
  <si>
    <t>98,5222</t>
  </si>
  <si>
    <t>95,6015</t>
  </si>
  <si>
    <t>94,7674</t>
  </si>
  <si>
    <t>92,2685</t>
  </si>
  <si>
    <t>91,5612</t>
  </si>
  <si>
    <t>86,2983</t>
  </si>
  <si>
    <t>69,9348</t>
  </si>
  <si>
    <t xml:space="preserve">81(12+12+12+9+12+12+12) </t>
  </si>
  <si>
    <t xml:space="preserve">Команов Юрий, Жиров Дмитрий, Шушпанов Андрей, Тимофеев Дмитрий, Тимофеев Дмитрий, Степанов Михаил, Татаркин Александр </t>
  </si>
  <si>
    <t xml:space="preserve">69(12+9+12+12+12+12) </t>
  </si>
  <si>
    <t xml:space="preserve">67(12+9+12+12+7+9+6) </t>
  </si>
  <si>
    <t xml:space="preserve">Акимкин Иван, Киселев Борис, Дроздов Игорь, Морозов Эдуард, Алтухов Дмитрий, Гамалей Владимир, Мешковой Александр </t>
  </si>
  <si>
    <t xml:space="preserve">47(12+9+9+8+9) </t>
  </si>
  <si>
    <t xml:space="preserve">Карпачев Михаил, Кизилов Сергей, Карпачев Андрей, Калакуцкий Руслан, Евдокимова Екатерина </t>
  </si>
  <si>
    <t xml:space="preserve">43(12+12+12+7) </t>
  </si>
  <si>
    <t xml:space="preserve">Тарасов Александр, Тарасов Александр, Корниенко Вадим, Литовченко Александр </t>
  </si>
  <si>
    <t xml:space="preserve">32(12+8+12) </t>
  </si>
  <si>
    <t xml:space="preserve">Иванов Андрей, Бельтюков Евгений, Бельтюков Евгений </t>
  </si>
  <si>
    <t xml:space="preserve">Шутеев Евгений </t>
  </si>
  <si>
    <t xml:space="preserve">Очкалов Максим </t>
  </si>
  <si>
    <t>Самойлова Анна</t>
  </si>
  <si>
    <t>1. Самойлова Анна</t>
  </si>
  <si>
    <t>Открытая (12.06.1987)/30</t>
  </si>
  <si>
    <t>47,60</t>
  </si>
  <si>
    <t xml:space="preserve">Сериченко А. </t>
  </si>
  <si>
    <t>Грищенко Екатерина</t>
  </si>
  <si>
    <t>1. Грищенко Екатерина</t>
  </si>
  <si>
    <t>Открытая (10.06.1993)/24</t>
  </si>
  <si>
    <t>Цыганко Андрей</t>
  </si>
  <si>
    <t>1. Цыганко Андрей</t>
  </si>
  <si>
    <t>Юноши 14 - 15 (09.09.2003)/14</t>
  </si>
  <si>
    <t>82,00</t>
  </si>
  <si>
    <t>Юноши 18 - 19 (02.03.1999)/18</t>
  </si>
  <si>
    <t>82,30</t>
  </si>
  <si>
    <t>187,5</t>
  </si>
  <si>
    <t>Кравцов Павел</t>
  </si>
  <si>
    <t>1. Кравцов Павел</t>
  </si>
  <si>
    <t>Открытая (18.06.1993)/24</t>
  </si>
  <si>
    <t>75,45</t>
  </si>
  <si>
    <t>Тишин Павел</t>
  </si>
  <si>
    <t>2. Тишин Павел</t>
  </si>
  <si>
    <t>Открытая (23.05.1987)/30</t>
  </si>
  <si>
    <t>81,45</t>
  </si>
  <si>
    <t>Мотайло Дмитрий</t>
  </si>
  <si>
    <t>1. Мотайло Дмитрий</t>
  </si>
  <si>
    <t>Открытая (06.06.1985)/32</t>
  </si>
  <si>
    <t>95,15</t>
  </si>
  <si>
    <t>2. Кулаков Евгений</t>
  </si>
  <si>
    <t>Бабичев Евгений</t>
  </si>
  <si>
    <t>3. Бабичев Евгений</t>
  </si>
  <si>
    <t>Открытая (18.12.1986)/30</t>
  </si>
  <si>
    <t>99,80</t>
  </si>
  <si>
    <t>82,5475</t>
  </si>
  <si>
    <t>124,9680</t>
  </si>
  <si>
    <t>104,8609</t>
  </si>
  <si>
    <t>83,7156</t>
  </si>
  <si>
    <t>133,4945</t>
  </si>
  <si>
    <t>123,2846</t>
  </si>
  <si>
    <t>84,1431</t>
  </si>
  <si>
    <t>143,8436</t>
  </si>
  <si>
    <t>141,8375</t>
  </si>
  <si>
    <t>139,8020</t>
  </si>
  <si>
    <t>137,2800</t>
  </si>
  <si>
    <t>118,4190</t>
  </si>
  <si>
    <t>112,4730</t>
  </si>
  <si>
    <t>102,5825</t>
  </si>
  <si>
    <t>122,3325</t>
  </si>
  <si>
    <t xml:space="preserve">60(12+12+12+12+12) </t>
  </si>
  <si>
    <t xml:space="preserve">Чамсаев Шамиль, Мотайло Дмитрий, Кравцов Павел, Грищенко Екатерина, Джулай Анастасия </t>
  </si>
  <si>
    <t xml:space="preserve">33(9+12+12) </t>
  </si>
  <si>
    <t xml:space="preserve">Тишин Павел, Самойлова Анна, Цыганко Андрей </t>
  </si>
  <si>
    <t xml:space="preserve">Одинцов Иван, Маслов Дмитрий </t>
  </si>
  <si>
    <t>Юноши 18 - 19 (06.01.1998)/19</t>
  </si>
  <si>
    <t>74,50</t>
  </si>
  <si>
    <t>Еськов Михаил</t>
  </si>
  <si>
    <t>1. Еськов Михаил</t>
  </si>
  <si>
    <t>Открытая (08.02.1989)/28</t>
  </si>
  <si>
    <t>70,20</t>
  </si>
  <si>
    <t>Григорян Арман</t>
  </si>
  <si>
    <t>1. Григорян Арман</t>
  </si>
  <si>
    <t>Юниоры 20 - 23 (01.06.1994)/23</t>
  </si>
  <si>
    <t>103,00</t>
  </si>
  <si>
    <t>104,2080</t>
  </si>
  <si>
    <t>142,3500</t>
  </si>
  <si>
    <t>108,7170</t>
  </si>
  <si>
    <t xml:space="preserve">Еськов Михаил </t>
  </si>
  <si>
    <t xml:space="preserve">Григорян Арман </t>
  </si>
  <si>
    <t>Юноши 16 - 17 (18.12.1999)/17</t>
  </si>
  <si>
    <t>79,10</t>
  </si>
  <si>
    <t>Иванов Александр</t>
  </si>
  <si>
    <t>1. Иванов Александр</t>
  </si>
  <si>
    <t>Открытая (11.01.1982)/35</t>
  </si>
  <si>
    <t>95,60</t>
  </si>
  <si>
    <t>120,6198</t>
  </si>
  <si>
    <t>141,5000</t>
  </si>
  <si>
    <t xml:space="preserve">Иванов Александр </t>
  </si>
  <si>
    <t>277,5</t>
  </si>
  <si>
    <t>147,1600</t>
  </si>
  <si>
    <t>Долгополова Юлия</t>
  </si>
  <si>
    <t>1. Долгополова Юлия</t>
  </si>
  <si>
    <t>Открытая (19.01.1988)/29</t>
  </si>
  <si>
    <t>57,30</t>
  </si>
  <si>
    <t>223,6875</t>
  </si>
  <si>
    <t xml:space="preserve">Долгополова Юлия </t>
  </si>
  <si>
    <t>Калабина Ольга</t>
  </si>
  <si>
    <t>1. Калабина Ольга</t>
  </si>
  <si>
    <t>Открытая (05.12.1989)/27</t>
  </si>
  <si>
    <t>54,60</t>
  </si>
  <si>
    <t>Ващук Андрей</t>
  </si>
  <si>
    <t>1. Ващук Андрей</t>
  </si>
  <si>
    <t>Открытая (28.06.1960)/57</t>
  </si>
  <si>
    <t>106,30</t>
  </si>
  <si>
    <t>Мастера 55 - 59 (28.06.1960)/57</t>
  </si>
  <si>
    <t>55,8720</t>
  </si>
  <si>
    <t>94,7800</t>
  </si>
  <si>
    <t>140,2744</t>
  </si>
  <si>
    <t xml:space="preserve">Ващук Андрей, Ващук Андрей </t>
  </si>
  <si>
    <t xml:space="preserve">Калабина Ольга </t>
  </si>
  <si>
    <t>Коробейников Д.Ю.</t>
  </si>
  <si>
    <t>Кузьменко Е.В.</t>
  </si>
  <si>
    <t>Коныхов И.В.</t>
  </si>
  <si>
    <t>Коробейников М.Ю.</t>
  </si>
  <si>
    <t>Джулай А.А.</t>
  </si>
  <si>
    <t>Лыков Н.А.</t>
  </si>
  <si>
    <t>1. Филипов Константин</t>
  </si>
  <si>
    <t>Филипов Константин</t>
  </si>
  <si>
    <t>1. Садко Александр</t>
  </si>
  <si>
    <t>Садко Александр</t>
  </si>
  <si>
    <t>1. Девяткин Станислав</t>
  </si>
  <si>
    <t>Девяткин Станислав</t>
  </si>
  <si>
    <t xml:space="preserve">Аксенова Юлия, Лазарев Виталий, Крутько Наталья, Девяткин Станислав </t>
  </si>
  <si>
    <t>Крутько Наталья</t>
  </si>
  <si>
    <t>1. Крутько Наталья</t>
  </si>
  <si>
    <t>1. Савин Ярослав</t>
  </si>
  <si>
    <t>Савин Ярослав</t>
  </si>
  <si>
    <t>Аксенова Юлия, Бабичев Евгений, Савин Ярослав</t>
  </si>
  <si>
    <t>1. Халилов Магомед</t>
  </si>
  <si>
    <t>Халилов Магомед</t>
  </si>
  <si>
    <t xml:space="preserve">Шипилов Роман, Примак Александр, Халилов Магомед, Сарычев Тимур, Сильченко Александр, Джулай Анастасия </t>
  </si>
  <si>
    <t>1. Косых Дмитрий</t>
  </si>
  <si>
    <t xml:space="preserve">
ПРО пауэрлифтинг без экипировки
Белгород/Белгородская область 20-22 октября 2017 г.</t>
  </si>
  <si>
    <t>Соб.
вес</t>
  </si>
  <si>
    <t>Армейский жим</t>
  </si>
  <si>
    <t>Подъем на бицес</t>
  </si>
  <si>
    <t>1. Нехаев Игорь</t>
  </si>
  <si>
    <t>Мастера 50 - 54 (03.04.1965)/51</t>
  </si>
  <si>
    <t xml:space="preserve">Гризли </t>
  </si>
  <si>
    <t>Открытая (03.04.1965)/51</t>
  </si>
  <si>
    <t>Нехаев Игорь</t>
  </si>
  <si>
    <t>104,8636</t>
  </si>
  <si>
    <t>Пауэрспорт. ПРО.
Белгород/Белгородская область 20-22 октября 2017 г.</t>
  </si>
  <si>
    <t>1. Осетров Евгений</t>
  </si>
  <si>
    <t>Юниорки 20 - 23 (09.07.1994)/23</t>
  </si>
  <si>
    <t>73.5</t>
  </si>
  <si>
    <t>50</t>
  </si>
  <si>
    <t>55</t>
  </si>
  <si>
    <t>60</t>
  </si>
  <si>
    <t>105</t>
  </si>
  <si>
    <t>70,8960</t>
  </si>
  <si>
    <t>Юниоры</t>
  </si>
  <si>
    <t xml:space="preserve">24 12+12) </t>
  </si>
  <si>
    <t>Осетров Евгений</t>
  </si>
  <si>
    <t>Юниоры 20 - 23</t>
  </si>
  <si>
    <t>75</t>
  </si>
  <si>
    <t>Жим мн. повт.</t>
  </si>
  <si>
    <t>Тоннаж</t>
  </si>
  <si>
    <t>Вес</t>
  </si>
  <si>
    <t>Повторы</t>
  </si>
  <si>
    <t>ВЕСОВАЯ КАТЕГОРИЯ   All</t>
  </si>
  <si>
    <t xml:space="preserve">Юноши 13 - 19 </t>
  </si>
  <si>
    <t>Воронова Елизавета</t>
  </si>
  <si>
    <t>1. Воронова Елизавета</t>
  </si>
  <si>
    <t>Юноши 13 - 15 (09.06.2005)/12</t>
  </si>
  <si>
    <t>ДЮСШ 4</t>
  </si>
  <si>
    <t>1610</t>
  </si>
  <si>
    <t>33,6820</t>
  </si>
  <si>
    <t>Русский Жим.
Любители 35 кг.
Белгород/Белгородская область 20-22 октября2017 г.</t>
  </si>
  <si>
    <t>48</t>
  </si>
  <si>
    <t>Русский Жим.
ПРО. 35 кг.
Белгород/Белгородская область 20-22 октября2017 г.</t>
  </si>
  <si>
    <t>1. Савина Галина</t>
  </si>
  <si>
    <t>Мастера  40 - 44 (03.09.1977)/40</t>
  </si>
  <si>
    <t>ZEUS</t>
  </si>
  <si>
    <t>Воронеж/Воронежская область</t>
  </si>
  <si>
    <t>66,80</t>
  </si>
  <si>
    <t>2240</t>
  </si>
  <si>
    <t>33,5329</t>
  </si>
  <si>
    <t>Мастера</t>
  </si>
  <si>
    <t>Савина Галина</t>
  </si>
  <si>
    <t>Мастера 40-44</t>
  </si>
  <si>
    <t>1. Степура Евгений</t>
  </si>
  <si>
    <t>Открытая 24 - 39 (22.07.1983)/34</t>
  </si>
  <si>
    <t>81,8</t>
  </si>
  <si>
    <t>2970,0</t>
  </si>
  <si>
    <t>36,3080</t>
  </si>
  <si>
    <t>Русский ЖИМ.
Профессионалы 55 кг.
Белгород/Белгородская область 20-22 октября 2017 г.</t>
  </si>
  <si>
    <t>Открытая 24 -39</t>
  </si>
  <si>
    <t>Открытая</t>
  </si>
  <si>
    <t>Степура Евгений</t>
  </si>
  <si>
    <t>НАП Н.Ж.</t>
  </si>
  <si>
    <t xml:space="preserve">НАП Н.Ж. </t>
  </si>
  <si>
    <t>Народный жим. 
Любители народный жим (1 вес)
Белгород/Белгородская область 20-22 октября 2017 г.</t>
  </si>
  <si>
    <t>1. Литовченко Александр</t>
  </si>
  <si>
    <t>100</t>
  </si>
  <si>
    <t>23</t>
  </si>
  <si>
    <t>2300</t>
  </si>
  <si>
    <t>Лично</t>
  </si>
  <si>
    <t>Мужчины</t>
  </si>
  <si>
    <t>Девушки</t>
  </si>
  <si>
    <t>Военный жим. Лбюители.
Белгород/Белгородская область 20-22 октября 2017 г.</t>
  </si>
  <si>
    <t>190</t>
  </si>
  <si>
    <t>200</t>
  </si>
  <si>
    <t>111,1600</t>
  </si>
  <si>
    <t xml:space="preserve">12 (12) </t>
  </si>
  <si>
    <t xml:space="preserve">
Любители жим лежа в софт экипировке
Белгород/Белгородская область 20-22 октября 2017 г.</t>
  </si>
  <si>
    <t xml:space="preserve">
Любители пауэрлифтинг в софт экипировке
Белгород/Белгородская область 20-22 октября 2017 г.</t>
  </si>
  <si>
    <t xml:space="preserve">
Любители присед в однослойной экипировке
Белгород/Белгородская область 20-22 октября 2017 г.</t>
  </si>
  <si>
    <t>Любители становая тяга в однослойной экипировке
Белгород/Белгородская область 20-22 октября 2017 г.</t>
  </si>
  <si>
    <t xml:space="preserve">
Любители жим лежа в однослойной экипировке
Белгород/Белгородская область 20-22 октября 2017 г.</t>
  </si>
  <si>
    <t xml:space="preserve">
Любители становая тяга без экипировки
Белгород/Белгородская область 20-22 октября 2017 г.</t>
  </si>
  <si>
    <t xml:space="preserve">
Любители жим лежа без экипировки
Белгород/Белгородская область 20-22 октября 2017 г.</t>
  </si>
  <si>
    <t xml:space="preserve">
Любители пауэрлифтинг без экипировки
Белгород/Белгородская область 20-22 октября 2017 г.</t>
  </si>
  <si>
    <t xml:space="preserve">
ПРО жим лежа в софт экипировке3сл.
Белгород/Белгородская область 20-22 октября 2017 г.</t>
  </si>
  <si>
    <t xml:space="preserve">
ПРО присед в софт экипировке
Белгород/Белгородская область 20-22 октября 2017 г.</t>
  </si>
  <si>
    <t xml:space="preserve">
ПРО становая тяга в софт экипировке
Белгород/Белгородская область 20-22 октября 2017 г.</t>
  </si>
  <si>
    <t xml:space="preserve">
ПРО присед в многослойной экипировке
Белгород/Белгородская область 20-22 октября 2017 г.</t>
  </si>
  <si>
    <t xml:space="preserve">
ПРО жим лежа в софт экипировке
Белгород/Белгородская область 20-22 октября 2017 г.</t>
  </si>
  <si>
    <t xml:space="preserve">
ПРО пауэрлифтинг в софт экипировке
Белгород/Белгородская область 20-22 октября 2017 г.</t>
  </si>
  <si>
    <t xml:space="preserve">
ПРО становая тяга в многослойной экипировке
Белгород/Белгородская область 20-22 октября 2017 г.</t>
  </si>
  <si>
    <t xml:space="preserve">
ПРО жим лежа в многослойной экипировке
Белгород/Белгородская область 20-22 октября 2017 г.</t>
  </si>
  <si>
    <t xml:space="preserve">
ПРО пауэрлифтинг в многослойной экипировке
Белгород/Белгородская область 20-22 октября 2017 г.</t>
  </si>
  <si>
    <t xml:space="preserve">
ПРО становая тяга без экипировки
Белгород/Белгородская область 20-22 октября 2017 г.</t>
  </si>
  <si>
    <t xml:space="preserve">
ПРО жим лежа без экипировки
Белгород/Белгородская область 20-22 октября 2017 г.</t>
  </si>
  <si>
    <t xml:space="preserve">
СОВ становая тяга
Белгород/Белгородская область 20-22 октября 2017 г.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</si>
</sst>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i/>
      <sz val="11"/>
      <name val="Arial Cyr"/>
      <charset val="204"/>
    </font>
    <font>
      <sz val="11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1"/>
      <name val="Arial Cyr"/>
      <charset val="204"/>
    </font>
    <font>
      <sz val="24"/>
      <color theme="1"/>
      <name val="Arial Cyr"/>
      <family val="2"/>
      <charset val="204"/>
    </font>
    <font>
      <b/>
      <sz val="24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2" xfId="0" applyNumberFormat="1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3" xfId="0" applyNumberFormat="1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left"/>
    </xf>
    <xf numFmtId="49" fontId="7" fillId="0" borderId="5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2" xfId="0" applyNumberFormat="1" applyFill="1" applyBorder="1" applyAlignment="1">
      <alignment horizontal="left"/>
    </xf>
    <xf numFmtId="49" fontId="0" fillId="0" borderId="3" xfId="0" applyNumberFormat="1" applyFill="1" applyBorder="1" applyAlignment="1">
      <alignment horizontal="left"/>
    </xf>
    <xf numFmtId="49" fontId="0" fillId="0" borderId="5" xfId="0" applyNumberForma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/>
    </xf>
    <xf numFmtId="49" fontId="0" fillId="0" borderId="2" xfId="0" applyNumberForma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49" fontId="8" fillId="0" borderId="2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14" fillId="2" borderId="10" xfId="0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/>
    </xf>
    <xf numFmtId="49" fontId="13" fillId="2" borderId="11" xfId="0" applyNumberFormat="1" applyFont="1" applyFill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center" vertical="center"/>
    </xf>
    <xf numFmtId="49" fontId="13" fillId="2" borderId="1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selection sqref="A1:M2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29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3.28515625" style="5" bestFit="1" customWidth="1"/>
    <col min="14" max="16384" width="9.140625" style="4"/>
  </cols>
  <sheetData>
    <row r="1" spans="1:13" s="3" customFormat="1" ht="29.1" customHeight="1">
      <c r="A1" s="56" t="s">
        <v>769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2</v>
      </c>
      <c r="H3" s="66"/>
      <c r="I3" s="66"/>
      <c r="J3" s="66"/>
      <c r="K3" s="66" t="s">
        <v>18</v>
      </c>
      <c r="L3" s="66" t="s">
        <v>6</v>
      </c>
      <c r="M3" s="67" t="s">
        <v>5</v>
      </c>
    </row>
    <row r="4" spans="1:13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65"/>
      <c r="L4" s="65"/>
      <c r="M4" s="68"/>
    </row>
    <row r="5" spans="1:13" ht="15">
      <c r="A5" s="54" t="s">
        <v>46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661</v>
      </c>
      <c r="B6" s="8" t="s">
        <v>662</v>
      </c>
      <c r="C6" s="8" t="s">
        <v>663</v>
      </c>
      <c r="D6" s="8" t="str">
        <f>"0,9312"</f>
        <v>0,9312</v>
      </c>
      <c r="E6" s="8" t="s">
        <v>248</v>
      </c>
      <c r="F6" s="8" t="s">
        <v>26</v>
      </c>
      <c r="G6" s="9" t="s">
        <v>56</v>
      </c>
      <c r="H6" s="9" t="s">
        <v>56</v>
      </c>
      <c r="I6" s="10" t="s">
        <v>56</v>
      </c>
      <c r="J6" s="9"/>
      <c r="K6" s="8" t="str">
        <f>"60,0"</f>
        <v>60,0</v>
      </c>
      <c r="L6" s="10" t="str">
        <f>"55,8720"</f>
        <v>55,8720</v>
      </c>
      <c r="M6" s="8" t="s">
        <v>580</v>
      </c>
    </row>
    <row r="8" spans="1:13" ht="15">
      <c r="A8" s="55" t="s">
        <v>268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3">
      <c r="A9" s="17" t="s">
        <v>665</v>
      </c>
      <c r="B9" s="17" t="s">
        <v>666</v>
      </c>
      <c r="C9" s="17" t="s">
        <v>667</v>
      </c>
      <c r="D9" s="17" t="str">
        <f>"0,5416"</f>
        <v>0,5416</v>
      </c>
      <c r="E9" s="17" t="s">
        <v>64</v>
      </c>
      <c r="F9" s="17" t="s">
        <v>26</v>
      </c>
      <c r="G9" s="19" t="s">
        <v>314</v>
      </c>
      <c r="H9" s="19" t="s">
        <v>315</v>
      </c>
      <c r="I9" s="18" t="s">
        <v>256</v>
      </c>
      <c r="J9" s="18"/>
      <c r="K9" s="17" t="str">
        <f>"175,0"</f>
        <v>175,0</v>
      </c>
      <c r="L9" s="19" t="str">
        <f>"94,7800"</f>
        <v>94,7800</v>
      </c>
      <c r="M9" s="17" t="s">
        <v>30</v>
      </c>
    </row>
    <row r="10" spans="1:13">
      <c r="A10" s="20" t="s">
        <v>665</v>
      </c>
      <c r="B10" s="20" t="s">
        <v>668</v>
      </c>
      <c r="C10" s="20" t="s">
        <v>667</v>
      </c>
      <c r="D10" s="20" t="str">
        <f>"0,5416"</f>
        <v>0,5416</v>
      </c>
      <c r="E10" s="20" t="s">
        <v>64</v>
      </c>
      <c r="F10" s="20" t="s">
        <v>26</v>
      </c>
      <c r="G10" s="22" t="s">
        <v>314</v>
      </c>
      <c r="H10" s="22" t="s">
        <v>315</v>
      </c>
      <c r="I10" s="21" t="s">
        <v>256</v>
      </c>
      <c r="J10" s="21"/>
      <c r="K10" s="20" t="str">
        <f>"175,0"</f>
        <v>175,0</v>
      </c>
      <c r="L10" s="22" t="str">
        <f>"140,2744"</f>
        <v>140,2744</v>
      </c>
      <c r="M10" s="20" t="s">
        <v>30</v>
      </c>
    </row>
    <row r="12" spans="1:13" ht="15">
      <c r="E12" s="6" t="s">
        <v>12</v>
      </c>
      <c r="F12" s="26" t="s">
        <v>674</v>
      </c>
    </row>
    <row r="13" spans="1:13" ht="15">
      <c r="E13" s="6" t="s">
        <v>13</v>
      </c>
      <c r="F13" s="26" t="s">
        <v>675</v>
      </c>
    </row>
    <row r="14" spans="1:13" ht="15">
      <c r="E14" s="6" t="s">
        <v>14</v>
      </c>
      <c r="F14" s="26" t="s">
        <v>676</v>
      </c>
    </row>
    <row r="15" spans="1:13" ht="15">
      <c r="E15" s="6" t="s">
        <v>15</v>
      </c>
      <c r="F15" s="26" t="s">
        <v>677</v>
      </c>
    </row>
    <row r="16" spans="1:13" ht="15">
      <c r="E16" s="6" t="s">
        <v>15</v>
      </c>
      <c r="F16" s="26" t="s">
        <v>679</v>
      </c>
    </row>
    <row r="17" spans="1:6" ht="15">
      <c r="E17" s="6" t="s">
        <v>16</v>
      </c>
      <c r="F17" s="26" t="s">
        <v>678</v>
      </c>
    </row>
    <row r="18" spans="1:6" ht="15">
      <c r="E18" s="6"/>
    </row>
    <row r="20" spans="1:6" ht="18">
      <c r="A20" s="7" t="s">
        <v>17</v>
      </c>
      <c r="B20" s="7"/>
    </row>
    <row r="21" spans="1:6" ht="15">
      <c r="A21" s="11" t="s">
        <v>75</v>
      </c>
      <c r="B21" s="11"/>
    </row>
    <row r="22" spans="1:6" ht="14.25">
      <c r="A22" s="13"/>
      <c r="B22" s="14" t="s">
        <v>32</v>
      </c>
    </row>
    <row r="23" spans="1:6" ht="15">
      <c r="A23" s="15" t="s">
        <v>33</v>
      </c>
      <c r="B23" s="15" t="s">
        <v>34</v>
      </c>
      <c r="C23" s="15" t="s">
        <v>35</v>
      </c>
      <c r="D23" s="15" t="s">
        <v>36</v>
      </c>
      <c r="E23" s="15" t="s">
        <v>37</v>
      </c>
    </row>
    <row r="24" spans="1:6">
      <c r="A24" s="12" t="s">
        <v>660</v>
      </c>
      <c r="B24" s="5" t="s">
        <v>32</v>
      </c>
      <c r="C24" s="5" t="s">
        <v>78</v>
      </c>
      <c r="D24" s="5" t="s">
        <v>56</v>
      </c>
      <c r="E24" s="16" t="s">
        <v>669</v>
      </c>
    </row>
    <row r="27" spans="1:6" ht="15">
      <c r="A27" s="11" t="s">
        <v>31</v>
      </c>
      <c r="B27" s="11"/>
    </row>
    <row r="28" spans="1:6" ht="14.25">
      <c r="A28" s="13"/>
      <c r="B28" s="14" t="s">
        <v>32</v>
      </c>
    </row>
    <row r="29" spans="1:6" ht="15">
      <c r="A29" s="15" t="s">
        <v>33</v>
      </c>
      <c r="B29" s="15" t="s">
        <v>34</v>
      </c>
      <c r="C29" s="15" t="s">
        <v>35</v>
      </c>
      <c r="D29" s="15" t="s">
        <v>36</v>
      </c>
      <c r="E29" s="15" t="s">
        <v>37</v>
      </c>
    </row>
    <row r="30" spans="1:6">
      <c r="A30" s="12" t="s">
        <v>664</v>
      </c>
      <c r="B30" s="5" t="s">
        <v>32</v>
      </c>
      <c r="C30" s="5" t="s">
        <v>29</v>
      </c>
      <c r="D30" s="5" t="s">
        <v>315</v>
      </c>
      <c r="E30" s="16" t="s">
        <v>670</v>
      </c>
    </row>
    <row r="32" spans="1:6" ht="14.25">
      <c r="A32" s="13"/>
      <c r="B32" s="14" t="s">
        <v>81</v>
      </c>
    </row>
    <row r="33" spans="1:5" ht="15">
      <c r="A33" s="15" t="s">
        <v>33</v>
      </c>
      <c r="B33" s="15" t="s">
        <v>34</v>
      </c>
      <c r="C33" s="15" t="s">
        <v>35</v>
      </c>
      <c r="D33" s="15" t="s">
        <v>36</v>
      </c>
      <c r="E33" s="15" t="s">
        <v>37</v>
      </c>
    </row>
    <row r="34" spans="1:5">
      <c r="A34" s="12" t="s">
        <v>664</v>
      </c>
      <c r="B34" s="5" t="s">
        <v>82</v>
      </c>
      <c r="C34" s="5" t="s">
        <v>29</v>
      </c>
      <c r="D34" s="5" t="s">
        <v>315</v>
      </c>
      <c r="E34" s="16" t="s">
        <v>671</v>
      </c>
    </row>
    <row r="39" spans="1:5" ht="18">
      <c r="A39" s="7" t="s">
        <v>40</v>
      </c>
      <c r="B39" s="7"/>
    </row>
    <row r="40" spans="1:5" ht="15">
      <c r="A40" s="15" t="s">
        <v>41</v>
      </c>
      <c r="B40" s="15" t="s">
        <v>42</v>
      </c>
      <c r="C40" s="15" t="s">
        <v>43</v>
      </c>
    </row>
    <row r="41" spans="1:5">
      <c r="A41" s="5" t="s">
        <v>64</v>
      </c>
      <c r="B41" s="5" t="s">
        <v>150</v>
      </c>
      <c r="C41" s="5" t="s">
        <v>672</v>
      </c>
    </row>
    <row r="42" spans="1:5">
      <c r="A42" s="5" t="s">
        <v>248</v>
      </c>
      <c r="B42" s="5" t="s">
        <v>44</v>
      </c>
      <c r="C42" s="5" t="s">
        <v>673</v>
      </c>
    </row>
  </sheetData>
  <mergeCells count="13">
    <mergeCell ref="K3:K4"/>
    <mergeCell ref="L3:L4"/>
    <mergeCell ref="M3:M4"/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H19" sqref="H19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16.8554687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6" t="s">
        <v>778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1</v>
      </c>
      <c r="H3" s="66"/>
      <c r="I3" s="66"/>
      <c r="J3" s="66"/>
      <c r="K3" s="66" t="s">
        <v>18</v>
      </c>
      <c r="L3" s="66" t="s">
        <v>6</v>
      </c>
      <c r="M3" s="67" t="s">
        <v>5</v>
      </c>
    </row>
    <row r="4" spans="1:13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65"/>
      <c r="L4" s="65"/>
      <c r="M4" s="68"/>
    </row>
    <row r="5" spans="1:13" ht="15">
      <c r="A5" s="54" t="s">
        <v>118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223</v>
      </c>
      <c r="B6" s="8" t="s">
        <v>263</v>
      </c>
      <c r="C6" s="8" t="s">
        <v>225</v>
      </c>
      <c r="D6" s="8" t="str">
        <f>"0,5620"</f>
        <v>0,5620</v>
      </c>
      <c r="E6" s="8" t="s">
        <v>226</v>
      </c>
      <c r="F6" s="8" t="s">
        <v>26</v>
      </c>
      <c r="G6" s="9" t="s">
        <v>68</v>
      </c>
      <c r="H6" s="10" t="s">
        <v>68</v>
      </c>
      <c r="I6" s="10" t="s">
        <v>163</v>
      </c>
      <c r="J6" s="9"/>
      <c r="K6" s="8" t="str">
        <f>"210,0"</f>
        <v>210,0</v>
      </c>
      <c r="L6" s="10" t="str">
        <f>"126,1746"</f>
        <v>126,1746</v>
      </c>
      <c r="M6" s="8" t="s">
        <v>30</v>
      </c>
    </row>
    <row r="8" spans="1:13" ht="15">
      <c r="E8" s="6" t="s">
        <v>12</v>
      </c>
      <c r="F8" s="26" t="s">
        <v>674</v>
      </c>
    </row>
    <row r="9" spans="1:13" ht="15">
      <c r="E9" s="6" t="s">
        <v>13</v>
      </c>
      <c r="F9" s="26" t="s">
        <v>675</v>
      </c>
    </row>
    <row r="10" spans="1:13" ht="15">
      <c r="E10" s="6" t="s">
        <v>14</v>
      </c>
      <c r="F10" s="26" t="s">
        <v>676</v>
      </c>
    </row>
    <row r="11" spans="1:13" ht="15">
      <c r="E11" s="6" t="s">
        <v>15</v>
      </c>
      <c r="F11" s="26" t="s">
        <v>677</v>
      </c>
    </row>
    <row r="12" spans="1:13" ht="15">
      <c r="E12" s="6" t="s">
        <v>15</v>
      </c>
      <c r="F12" s="26" t="s">
        <v>679</v>
      </c>
    </row>
    <row r="13" spans="1:13" ht="15">
      <c r="E13" s="6" t="s">
        <v>16</v>
      </c>
      <c r="F13" s="26" t="s">
        <v>678</v>
      </c>
    </row>
    <row r="14" spans="1:13" ht="15">
      <c r="E14" s="6"/>
    </row>
    <row r="16" spans="1:13" ht="18">
      <c r="A16" s="7" t="s">
        <v>17</v>
      </c>
      <c r="B16" s="7"/>
    </row>
    <row r="17" spans="1:5" ht="15">
      <c r="A17" s="11" t="s">
        <v>31</v>
      </c>
      <c r="B17" s="11"/>
    </row>
    <row r="18" spans="1:5" ht="14.25">
      <c r="A18" s="13"/>
      <c r="B18" s="14" t="s">
        <v>81</v>
      </c>
    </row>
    <row r="19" spans="1:5" ht="15">
      <c r="A19" s="15" t="s">
        <v>33</v>
      </c>
      <c r="B19" s="15" t="s">
        <v>34</v>
      </c>
      <c r="C19" s="15" t="s">
        <v>35</v>
      </c>
      <c r="D19" s="15" t="s">
        <v>36</v>
      </c>
      <c r="E19" s="15" t="s">
        <v>37</v>
      </c>
    </row>
    <row r="20" spans="1:5">
      <c r="A20" s="12" t="s">
        <v>222</v>
      </c>
      <c r="B20" s="5" t="s">
        <v>142</v>
      </c>
      <c r="C20" s="5" t="s">
        <v>103</v>
      </c>
      <c r="D20" s="5" t="s">
        <v>163</v>
      </c>
      <c r="E20" s="16" t="s">
        <v>265</v>
      </c>
    </row>
    <row r="25" spans="1:5" ht="18">
      <c r="A25" s="7" t="s">
        <v>40</v>
      </c>
      <c r="B25" s="7"/>
    </row>
    <row r="26" spans="1:5" ht="15">
      <c r="A26" s="15" t="s">
        <v>41</v>
      </c>
      <c r="B26" s="15" t="s">
        <v>42</v>
      </c>
      <c r="C26" s="15" t="s">
        <v>43</v>
      </c>
    </row>
    <row r="27" spans="1:5">
      <c r="A27" s="5" t="s">
        <v>226</v>
      </c>
      <c r="B27" s="5" t="s">
        <v>44</v>
      </c>
      <c r="C27" s="5" t="s">
        <v>243</v>
      </c>
    </row>
  </sheetData>
  <mergeCells count="12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F15" sqref="F15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16.8554687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6" t="s">
        <v>779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3</v>
      </c>
      <c r="H3" s="66"/>
      <c r="I3" s="66"/>
      <c r="J3" s="66"/>
      <c r="K3" s="66" t="s">
        <v>18</v>
      </c>
      <c r="L3" s="66" t="s">
        <v>6</v>
      </c>
      <c r="M3" s="67" t="s">
        <v>5</v>
      </c>
    </row>
    <row r="4" spans="1:13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65"/>
      <c r="L4" s="65"/>
      <c r="M4" s="68"/>
    </row>
    <row r="5" spans="1:13" ht="15">
      <c r="A5" s="54" t="s">
        <v>118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223</v>
      </c>
      <c r="B6" s="8" t="s">
        <v>263</v>
      </c>
      <c r="C6" s="8" t="s">
        <v>225</v>
      </c>
      <c r="D6" s="8" t="str">
        <f>"0,5620"</f>
        <v>0,5620</v>
      </c>
      <c r="E6" s="8" t="s">
        <v>226</v>
      </c>
      <c r="F6" s="8" t="s">
        <v>26</v>
      </c>
      <c r="G6" s="10" t="s">
        <v>73</v>
      </c>
      <c r="H6" s="10" t="s">
        <v>74</v>
      </c>
      <c r="I6" s="9" t="s">
        <v>175</v>
      </c>
      <c r="J6" s="9"/>
      <c r="K6" s="8" t="str">
        <f>"230,0"</f>
        <v>230,0</v>
      </c>
      <c r="L6" s="10" t="str">
        <f>"138,1912"</f>
        <v>138,1912</v>
      </c>
      <c r="M6" s="8" t="s">
        <v>30</v>
      </c>
    </row>
    <row r="8" spans="1:13" ht="15">
      <c r="E8" s="6" t="s">
        <v>12</v>
      </c>
      <c r="F8" s="26" t="s">
        <v>674</v>
      </c>
    </row>
    <row r="9" spans="1:13" ht="15">
      <c r="E9" s="6" t="s">
        <v>13</v>
      </c>
      <c r="F9" s="26" t="s">
        <v>675</v>
      </c>
    </row>
    <row r="10" spans="1:13" ht="15">
      <c r="E10" s="6" t="s">
        <v>14</v>
      </c>
      <c r="F10" s="26" t="s">
        <v>676</v>
      </c>
    </row>
    <row r="11" spans="1:13" ht="15">
      <c r="E11" s="6" t="s">
        <v>15</v>
      </c>
      <c r="F11" s="26" t="s">
        <v>677</v>
      </c>
    </row>
    <row r="12" spans="1:13" ht="15">
      <c r="E12" s="6" t="s">
        <v>15</v>
      </c>
      <c r="F12" s="26" t="s">
        <v>679</v>
      </c>
    </row>
    <row r="13" spans="1:13" ht="15">
      <c r="E13" s="6" t="s">
        <v>16</v>
      </c>
      <c r="F13" s="26" t="s">
        <v>678</v>
      </c>
    </row>
    <row r="14" spans="1:13" ht="15">
      <c r="E14" s="6"/>
    </row>
    <row r="16" spans="1:13" ht="18">
      <c r="A16" s="7" t="s">
        <v>17</v>
      </c>
      <c r="B16" s="7"/>
    </row>
    <row r="17" spans="1:5" ht="15">
      <c r="A17" s="11" t="s">
        <v>31</v>
      </c>
      <c r="B17" s="11"/>
    </row>
    <row r="18" spans="1:5" ht="14.25">
      <c r="A18" s="13"/>
      <c r="B18" s="14" t="s">
        <v>81</v>
      </c>
    </row>
    <row r="19" spans="1:5" ht="15">
      <c r="A19" s="15" t="s">
        <v>33</v>
      </c>
      <c r="B19" s="15" t="s">
        <v>34</v>
      </c>
      <c r="C19" s="15" t="s">
        <v>35</v>
      </c>
      <c r="D19" s="15" t="s">
        <v>36</v>
      </c>
      <c r="E19" s="15" t="s">
        <v>37</v>
      </c>
    </row>
    <row r="20" spans="1:5">
      <c r="A20" s="12" t="s">
        <v>222</v>
      </c>
      <c r="B20" s="5" t="s">
        <v>142</v>
      </c>
      <c r="C20" s="5" t="s">
        <v>103</v>
      </c>
      <c r="D20" s="5" t="s">
        <v>74</v>
      </c>
      <c r="E20" s="16" t="s">
        <v>264</v>
      </c>
    </row>
    <row r="25" spans="1:5" ht="18">
      <c r="A25" s="7" t="s">
        <v>40</v>
      </c>
      <c r="B25" s="7"/>
    </row>
    <row r="26" spans="1:5" ht="15">
      <c r="A26" s="15" t="s">
        <v>41</v>
      </c>
      <c r="B26" s="15" t="s">
        <v>42</v>
      </c>
      <c r="C26" s="15" t="s">
        <v>43</v>
      </c>
    </row>
    <row r="27" spans="1:5">
      <c r="A27" s="5" t="s">
        <v>226</v>
      </c>
      <c r="B27" s="5" t="s">
        <v>44</v>
      </c>
      <c r="C27" s="5" t="s">
        <v>243</v>
      </c>
    </row>
  </sheetData>
  <mergeCells count="12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G16" sqref="G16"/>
    </sheetView>
  </sheetViews>
  <sheetFormatPr defaultRowHeight="12.75"/>
  <cols>
    <col min="1" max="1" width="31.85546875" style="5" bestFit="1" customWidth="1"/>
    <col min="2" max="2" width="22.85546875" style="5" bestFit="1" customWidth="1"/>
    <col min="3" max="3" width="14.285156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6" t="s">
        <v>780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1</v>
      </c>
      <c r="H3" s="66"/>
      <c r="I3" s="66"/>
      <c r="J3" s="66"/>
      <c r="K3" s="66" t="s">
        <v>18</v>
      </c>
      <c r="L3" s="66" t="s">
        <v>6</v>
      </c>
      <c r="M3" s="67" t="s">
        <v>5</v>
      </c>
    </row>
    <row r="4" spans="1:13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65"/>
      <c r="L4" s="65"/>
      <c r="M4" s="68"/>
    </row>
    <row r="5" spans="1:13" ht="15">
      <c r="A5" s="54" t="s">
        <v>193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195</v>
      </c>
      <c r="B6" s="8" t="s">
        <v>196</v>
      </c>
      <c r="C6" s="8" t="s">
        <v>197</v>
      </c>
      <c r="D6" s="8" t="str">
        <f>"0,5241"</f>
        <v>0,5241</v>
      </c>
      <c r="E6" s="8" t="s">
        <v>198</v>
      </c>
      <c r="F6" s="8" t="s">
        <v>199</v>
      </c>
      <c r="G6" s="9" t="s">
        <v>200</v>
      </c>
      <c r="H6" s="10" t="s">
        <v>200</v>
      </c>
      <c r="I6" s="10" t="s">
        <v>201</v>
      </c>
      <c r="J6" s="9"/>
      <c r="K6" s="8" t="str">
        <f>"395,0"</f>
        <v>395,0</v>
      </c>
      <c r="L6" s="10" t="str">
        <f>"207,0195"</f>
        <v>207,0195</v>
      </c>
      <c r="M6" s="8" t="s">
        <v>30</v>
      </c>
    </row>
    <row r="8" spans="1:13" ht="15">
      <c r="E8" s="6" t="s">
        <v>12</v>
      </c>
      <c r="F8" s="26" t="s">
        <v>674</v>
      </c>
    </row>
    <row r="9" spans="1:13" ht="15">
      <c r="E9" s="6" t="s">
        <v>13</v>
      </c>
      <c r="F9" s="26" t="s">
        <v>675</v>
      </c>
    </row>
    <row r="10" spans="1:13" ht="15">
      <c r="E10" s="6" t="s">
        <v>14</v>
      </c>
      <c r="F10" s="26" t="s">
        <v>676</v>
      </c>
    </row>
    <row r="11" spans="1:13" ht="15">
      <c r="E11" s="6" t="s">
        <v>15</v>
      </c>
      <c r="F11" s="26" t="s">
        <v>677</v>
      </c>
    </row>
    <row r="12" spans="1:13" ht="15">
      <c r="E12" s="6" t="s">
        <v>15</v>
      </c>
      <c r="F12" s="26" t="s">
        <v>679</v>
      </c>
    </row>
    <row r="13" spans="1:13" ht="15">
      <c r="E13" s="6" t="s">
        <v>16</v>
      </c>
      <c r="F13" s="26" t="s">
        <v>678</v>
      </c>
    </row>
    <row r="14" spans="1:13" ht="15">
      <c r="E14" s="6"/>
    </row>
    <row r="16" spans="1:13" ht="18">
      <c r="A16" s="7" t="s">
        <v>17</v>
      </c>
      <c r="B16" s="7"/>
    </row>
    <row r="17" spans="1:5" ht="15">
      <c r="A17" s="11" t="s">
        <v>31</v>
      </c>
      <c r="B17" s="11"/>
    </row>
    <row r="18" spans="1:5" ht="14.25">
      <c r="A18" s="13"/>
      <c r="B18" s="14" t="s">
        <v>32</v>
      </c>
    </row>
    <row r="19" spans="1:5" ht="15">
      <c r="A19" s="15" t="s">
        <v>33</v>
      </c>
      <c r="B19" s="15" t="s">
        <v>34</v>
      </c>
      <c r="C19" s="15" t="s">
        <v>35</v>
      </c>
      <c r="D19" s="15" t="s">
        <v>36</v>
      </c>
      <c r="E19" s="15" t="s">
        <v>37</v>
      </c>
    </row>
    <row r="20" spans="1:5">
      <c r="A20" s="12" t="s">
        <v>194</v>
      </c>
      <c r="B20" s="5" t="s">
        <v>32</v>
      </c>
      <c r="C20" s="5" t="s">
        <v>207</v>
      </c>
      <c r="D20" s="5" t="s">
        <v>201</v>
      </c>
      <c r="E20" s="16" t="s">
        <v>262</v>
      </c>
    </row>
    <row r="25" spans="1:5" ht="18">
      <c r="A25" s="7" t="s">
        <v>40</v>
      </c>
      <c r="B25" s="7"/>
    </row>
    <row r="26" spans="1:5" ht="15">
      <c r="A26" s="15" t="s">
        <v>41</v>
      </c>
      <c r="B26" s="15" t="s">
        <v>42</v>
      </c>
      <c r="C26" s="15" t="s">
        <v>43</v>
      </c>
    </row>
    <row r="27" spans="1:5">
      <c r="A27" s="5" t="s">
        <v>198</v>
      </c>
      <c r="B27" s="5" t="s">
        <v>44</v>
      </c>
      <c r="C27" s="5" t="s">
        <v>210</v>
      </c>
    </row>
  </sheetData>
  <mergeCells count="12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40"/>
  <sheetViews>
    <sheetView workbookViewId="0">
      <selection activeCell="I18" sqref="I18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20.8554687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6" t="s">
        <v>781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2</v>
      </c>
      <c r="H3" s="66"/>
      <c r="I3" s="66"/>
      <c r="J3" s="66"/>
      <c r="K3" s="66" t="s">
        <v>18</v>
      </c>
      <c r="L3" s="66" t="s">
        <v>6</v>
      </c>
      <c r="M3" s="67" t="s">
        <v>5</v>
      </c>
    </row>
    <row r="4" spans="1:13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65"/>
      <c r="L4" s="65"/>
      <c r="M4" s="68"/>
    </row>
    <row r="5" spans="1:13" ht="15">
      <c r="A5" s="54" t="s">
        <v>59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245</v>
      </c>
      <c r="B6" s="8" t="s">
        <v>246</v>
      </c>
      <c r="C6" s="8" t="s">
        <v>247</v>
      </c>
      <c r="D6" s="8" t="str">
        <f>"0,5877"</f>
        <v>0,5877</v>
      </c>
      <c r="E6" s="8" t="s">
        <v>248</v>
      </c>
      <c r="F6" s="8" t="s">
        <v>26</v>
      </c>
      <c r="G6" s="10" t="s">
        <v>68</v>
      </c>
      <c r="H6" s="9" t="s">
        <v>249</v>
      </c>
      <c r="I6" s="9" t="s">
        <v>249</v>
      </c>
      <c r="J6" s="9"/>
      <c r="K6" s="8" t="str">
        <f>"200,0"</f>
        <v>200,0</v>
      </c>
      <c r="L6" s="10" t="str">
        <f>"117,5400"</f>
        <v>117,5400</v>
      </c>
      <c r="M6" s="8" t="s">
        <v>30</v>
      </c>
    </row>
    <row r="8" spans="1:13" ht="15">
      <c r="A8" s="55" t="s">
        <v>118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3">
      <c r="A9" s="8" t="s">
        <v>251</v>
      </c>
      <c r="B9" s="8" t="s">
        <v>252</v>
      </c>
      <c r="C9" s="8" t="s">
        <v>253</v>
      </c>
      <c r="D9" s="8" t="str">
        <f>"0,5543"</f>
        <v>0,5543</v>
      </c>
      <c r="E9" s="8" t="s">
        <v>254</v>
      </c>
      <c r="F9" s="8" t="s">
        <v>255</v>
      </c>
      <c r="G9" s="9" t="s">
        <v>66</v>
      </c>
      <c r="H9" s="10" t="s">
        <v>66</v>
      </c>
      <c r="I9" s="10" t="s">
        <v>256</v>
      </c>
      <c r="J9" s="9"/>
      <c r="K9" s="8" t="str">
        <f>"185,0"</f>
        <v>185,0</v>
      </c>
      <c r="L9" s="10" t="str">
        <f>"196,8874"</f>
        <v>196,8874</v>
      </c>
      <c r="M9" s="8" t="s">
        <v>30</v>
      </c>
    </row>
    <row r="11" spans="1:13" ht="15">
      <c r="A11" s="55" t="s">
        <v>177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13">
      <c r="A12" s="8" t="s">
        <v>215</v>
      </c>
      <c r="B12" s="8" t="s">
        <v>216</v>
      </c>
      <c r="C12" s="8" t="s">
        <v>217</v>
      </c>
      <c r="D12" s="8" t="str">
        <f>"0,5151"</f>
        <v>0,5151</v>
      </c>
      <c r="E12" s="8" t="s">
        <v>25</v>
      </c>
      <c r="F12" s="8" t="s">
        <v>26</v>
      </c>
      <c r="G12" s="10" t="s">
        <v>79</v>
      </c>
      <c r="H12" s="10" t="s">
        <v>202</v>
      </c>
      <c r="I12" s="9" t="s">
        <v>203</v>
      </c>
      <c r="J12" s="9"/>
      <c r="K12" s="8" t="str">
        <f>"290,0"</f>
        <v>290,0</v>
      </c>
      <c r="L12" s="10" t="str">
        <f>"149,3848"</f>
        <v>149,3848</v>
      </c>
      <c r="M12" s="8" t="s">
        <v>30</v>
      </c>
    </row>
    <row r="14" spans="1:13" ht="15">
      <c r="E14" s="6" t="s">
        <v>12</v>
      </c>
      <c r="F14" s="26" t="s">
        <v>674</v>
      </c>
    </row>
    <row r="15" spans="1:13" ht="15">
      <c r="E15" s="6" t="s">
        <v>13</v>
      </c>
      <c r="F15" s="26" t="s">
        <v>675</v>
      </c>
    </row>
    <row r="16" spans="1:13" ht="15">
      <c r="E16" s="6" t="s">
        <v>14</v>
      </c>
      <c r="F16" s="26" t="s">
        <v>676</v>
      </c>
    </row>
    <row r="17" spans="1:6" ht="15">
      <c r="E17" s="6" t="s">
        <v>15</v>
      </c>
      <c r="F17" s="26" t="s">
        <v>677</v>
      </c>
    </row>
    <row r="18" spans="1:6" ht="15">
      <c r="E18" s="6" t="s">
        <v>15</v>
      </c>
      <c r="F18" s="26" t="s">
        <v>679</v>
      </c>
    </row>
    <row r="19" spans="1:6" ht="15">
      <c r="E19" s="6" t="s">
        <v>16</v>
      </c>
      <c r="F19" s="26" t="s">
        <v>678</v>
      </c>
    </row>
    <row r="20" spans="1:6" ht="15">
      <c r="E20" s="6"/>
    </row>
    <row r="22" spans="1:6" ht="18">
      <c r="A22" s="7" t="s">
        <v>17</v>
      </c>
      <c r="B22" s="7"/>
    </row>
    <row r="23" spans="1:6" ht="15">
      <c r="A23" s="11" t="s">
        <v>31</v>
      </c>
      <c r="B23" s="11"/>
    </row>
    <row r="24" spans="1:6" ht="14.25">
      <c r="A24" s="13"/>
      <c r="B24" s="14" t="s">
        <v>32</v>
      </c>
    </row>
    <row r="25" spans="1:6" ht="15">
      <c r="A25" s="15" t="s">
        <v>33</v>
      </c>
      <c r="B25" s="15" t="s">
        <v>34</v>
      </c>
      <c r="C25" s="15" t="s">
        <v>35</v>
      </c>
      <c r="D25" s="15" t="s">
        <v>36</v>
      </c>
      <c r="E25" s="15" t="s">
        <v>37</v>
      </c>
    </row>
    <row r="26" spans="1:6">
      <c r="A26" s="12" t="s">
        <v>214</v>
      </c>
      <c r="B26" s="5" t="s">
        <v>32</v>
      </c>
      <c r="C26" s="5" t="s">
        <v>186</v>
      </c>
      <c r="D26" s="5" t="s">
        <v>202</v>
      </c>
      <c r="E26" s="16" t="s">
        <v>257</v>
      </c>
    </row>
    <row r="27" spans="1:6">
      <c r="A27" s="12" t="s">
        <v>244</v>
      </c>
      <c r="B27" s="5" t="s">
        <v>32</v>
      </c>
      <c r="C27" s="5" t="s">
        <v>27</v>
      </c>
      <c r="D27" s="5" t="s">
        <v>68</v>
      </c>
      <c r="E27" s="16" t="s">
        <v>258</v>
      </c>
    </row>
    <row r="29" spans="1:6" ht="14.25">
      <c r="A29" s="13"/>
      <c r="B29" s="14" t="s">
        <v>81</v>
      </c>
    </row>
    <row r="30" spans="1:6" ht="15">
      <c r="A30" s="15" t="s">
        <v>33</v>
      </c>
      <c r="B30" s="15" t="s">
        <v>34</v>
      </c>
      <c r="C30" s="15" t="s">
        <v>35</v>
      </c>
      <c r="D30" s="15" t="s">
        <v>36</v>
      </c>
      <c r="E30" s="15" t="s">
        <v>37</v>
      </c>
    </row>
    <row r="31" spans="1:6">
      <c r="A31" s="12" t="s">
        <v>250</v>
      </c>
      <c r="B31" s="5" t="s">
        <v>184</v>
      </c>
      <c r="C31" s="5" t="s">
        <v>103</v>
      </c>
      <c r="D31" s="5" t="s">
        <v>256</v>
      </c>
      <c r="E31" s="16" t="s">
        <v>259</v>
      </c>
    </row>
    <row r="36" spans="1:3" ht="18">
      <c r="A36" s="7" t="s">
        <v>40</v>
      </c>
      <c r="B36" s="7"/>
    </row>
    <row r="37" spans="1:3" ht="15">
      <c r="A37" s="15" t="s">
        <v>41</v>
      </c>
      <c r="B37" s="15" t="s">
        <v>42</v>
      </c>
      <c r="C37" s="15" t="s">
        <v>43</v>
      </c>
    </row>
    <row r="38" spans="1:3">
      <c r="A38" s="5" t="s">
        <v>25</v>
      </c>
      <c r="B38" s="5" t="s">
        <v>44</v>
      </c>
      <c r="C38" s="5" t="s">
        <v>221</v>
      </c>
    </row>
    <row r="39" spans="1:3">
      <c r="A39" s="5" t="s">
        <v>254</v>
      </c>
      <c r="B39" s="5" t="s">
        <v>44</v>
      </c>
      <c r="C39" s="5" t="s">
        <v>260</v>
      </c>
    </row>
    <row r="40" spans="1:3">
      <c r="A40" s="5" t="s">
        <v>248</v>
      </c>
      <c r="B40" s="5" t="s">
        <v>44</v>
      </c>
      <c r="C40" s="5" t="s">
        <v>261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  <mergeCell ref="A11:L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34"/>
  <sheetViews>
    <sheetView workbookViewId="0">
      <selection activeCell="F13" sqref="F13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17.710937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56" t="s">
        <v>782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21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1</v>
      </c>
      <c r="H3" s="66"/>
      <c r="I3" s="66"/>
      <c r="J3" s="66"/>
      <c r="K3" s="66" t="s">
        <v>2</v>
      </c>
      <c r="L3" s="66"/>
      <c r="M3" s="66"/>
      <c r="N3" s="66"/>
      <c r="O3" s="66" t="s">
        <v>3</v>
      </c>
      <c r="P3" s="66"/>
      <c r="Q3" s="66"/>
      <c r="R3" s="66"/>
      <c r="S3" s="66" t="s">
        <v>4</v>
      </c>
      <c r="T3" s="66" t="s">
        <v>6</v>
      </c>
      <c r="U3" s="67" t="s">
        <v>5</v>
      </c>
    </row>
    <row r="4" spans="1:21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65"/>
      <c r="T4" s="65"/>
      <c r="U4" s="68"/>
    </row>
    <row r="5" spans="1:21" ht="15">
      <c r="A5" s="54" t="s">
        <v>118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1">
      <c r="A6" s="17" t="s">
        <v>223</v>
      </c>
      <c r="B6" s="17" t="s">
        <v>224</v>
      </c>
      <c r="C6" s="17" t="s">
        <v>225</v>
      </c>
      <c r="D6" s="17" t="str">
        <f>"0,5620"</f>
        <v>0,5620</v>
      </c>
      <c r="E6" s="17" t="s">
        <v>226</v>
      </c>
      <c r="F6" s="17" t="s">
        <v>26</v>
      </c>
      <c r="G6" s="18" t="s">
        <v>68</v>
      </c>
      <c r="H6" s="19" t="s">
        <v>68</v>
      </c>
      <c r="I6" s="19" t="s">
        <v>163</v>
      </c>
      <c r="J6" s="18"/>
      <c r="K6" s="19" t="s">
        <v>68</v>
      </c>
      <c r="L6" s="19" t="s">
        <v>163</v>
      </c>
      <c r="M6" s="18" t="s">
        <v>73</v>
      </c>
      <c r="N6" s="18"/>
      <c r="O6" s="19" t="s">
        <v>73</v>
      </c>
      <c r="P6" s="19" t="s">
        <v>74</v>
      </c>
      <c r="Q6" s="18" t="s">
        <v>175</v>
      </c>
      <c r="R6" s="18"/>
      <c r="S6" s="17" t="str">
        <f>"650,0"</f>
        <v>650,0</v>
      </c>
      <c r="T6" s="19" t="str">
        <f>"365,3325"</f>
        <v>365,3325</v>
      </c>
      <c r="U6" s="17" t="s">
        <v>30</v>
      </c>
    </row>
    <row r="7" spans="1:21">
      <c r="A7" s="23" t="s">
        <v>228</v>
      </c>
      <c r="B7" s="23" t="s">
        <v>229</v>
      </c>
      <c r="C7" s="23" t="s">
        <v>230</v>
      </c>
      <c r="D7" s="23" t="str">
        <f>"0,5554"</f>
        <v>0,5554</v>
      </c>
      <c r="E7" s="23" t="s">
        <v>64</v>
      </c>
      <c r="F7" s="23" t="s">
        <v>26</v>
      </c>
      <c r="G7" s="25" t="s">
        <v>175</v>
      </c>
      <c r="H7" s="25" t="s">
        <v>176</v>
      </c>
      <c r="I7" s="25" t="s">
        <v>205</v>
      </c>
      <c r="J7" s="24"/>
      <c r="K7" s="25" t="s">
        <v>67</v>
      </c>
      <c r="L7" s="25" t="s">
        <v>131</v>
      </c>
      <c r="M7" s="24" t="s">
        <v>231</v>
      </c>
      <c r="N7" s="24"/>
      <c r="O7" s="25" t="s">
        <v>232</v>
      </c>
      <c r="P7" s="25" t="s">
        <v>203</v>
      </c>
      <c r="Q7" s="25" t="s">
        <v>204</v>
      </c>
      <c r="R7" s="24"/>
      <c r="S7" s="23" t="str">
        <f>"755,0"</f>
        <v>755,0</v>
      </c>
      <c r="T7" s="25" t="str">
        <f>"419,3270"</f>
        <v>419,3270</v>
      </c>
      <c r="U7" s="23" t="s">
        <v>30</v>
      </c>
    </row>
    <row r="8" spans="1:21">
      <c r="A8" s="20" t="s">
        <v>233</v>
      </c>
      <c r="B8" s="20" t="s">
        <v>234</v>
      </c>
      <c r="C8" s="20" t="s">
        <v>235</v>
      </c>
      <c r="D8" s="20" t="str">
        <f>"0,5670"</f>
        <v>0,5670</v>
      </c>
      <c r="E8" s="20" t="s">
        <v>226</v>
      </c>
      <c r="F8" s="20" t="s">
        <v>26</v>
      </c>
      <c r="G8" s="22" t="s">
        <v>236</v>
      </c>
      <c r="H8" s="21" t="s">
        <v>237</v>
      </c>
      <c r="I8" s="21" t="s">
        <v>237</v>
      </c>
      <c r="J8" s="21"/>
      <c r="K8" s="21" t="s">
        <v>73</v>
      </c>
      <c r="L8" s="21" t="s">
        <v>74</v>
      </c>
      <c r="M8" s="21" t="s">
        <v>74</v>
      </c>
      <c r="N8" s="21"/>
      <c r="O8" s="21" t="s">
        <v>79</v>
      </c>
      <c r="P8" s="21"/>
      <c r="Q8" s="21"/>
      <c r="R8" s="21"/>
      <c r="S8" s="20" t="str">
        <f>"0,0"</f>
        <v>0,0</v>
      </c>
      <c r="T8" s="22" t="str">
        <f>"0,0000"</f>
        <v>0,0000</v>
      </c>
      <c r="U8" s="20" t="s">
        <v>30</v>
      </c>
    </row>
    <row r="10" spans="1:21" ht="15">
      <c r="E10" s="6" t="s">
        <v>12</v>
      </c>
      <c r="F10" s="26" t="s">
        <v>674</v>
      </c>
    </row>
    <row r="11" spans="1:21" ht="15">
      <c r="E11" s="6" t="s">
        <v>13</v>
      </c>
      <c r="F11" s="26" t="s">
        <v>675</v>
      </c>
    </row>
    <row r="12" spans="1:21" ht="15">
      <c r="E12" s="6" t="s">
        <v>14</v>
      </c>
      <c r="F12" s="26" t="s">
        <v>676</v>
      </c>
    </row>
    <row r="13" spans="1:21" ht="15">
      <c r="E13" s="6" t="s">
        <v>15</v>
      </c>
      <c r="F13" s="26" t="s">
        <v>677</v>
      </c>
    </row>
    <row r="14" spans="1:21" ht="15">
      <c r="E14" s="6" t="s">
        <v>15</v>
      </c>
      <c r="F14" s="26" t="s">
        <v>679</v>
      </c>
    </row>
    <row r="15" spans="1:21" ht="15">
      <c r="E15" s="6" t="s">
        <v>16</v>
      </c>
      <c r="F15" s="26" t="s">
        <v>678</v>
      </c>
    </row>
    <row r="16" spans="1:21" ht="15">
      <c r="E16" s="6"/>
    </row>
    <row r="18" spans="1:5" ht="18">
      <c r="A18" s="7" t="s">
        <v>17</v>
      </c>
      <c r="B18" s="7"/>
    </row>
    <row r="19" spans="1:5" ht="15">
      <c r="A19" s="11" t="s">
        <v>31</v>
      </c>
      <c r="B19" s="11"/>
    </row>
    <row r="20" spans="1:5" ht="14.25">
      <c r="A20" s="13"/>
      <c r="B20" s="14" t="s">
        <v>32</v>
      </c>
    </row>
    <row r="21" spans="1:5" ht="15">
      <c r="A21" s="15" t="s">
        <v>33</v>
      </c>
      <c r="B21" s="15" t="s">
        <v>34</v>
      </c>
      <c r="C21" s="15" t="s">
        <v>35</v>
      </c>
      <c r="D21" s="15" t="s">
        <v>36</v>
      </c>
      <c r="E21" s="15" t="s">
        <v>37</v>
      </c>
    </row>
    <row r="22" spans="1:5">
      <c r="A22" s="12" t="s">
        <v>222</v>
      </c>
      <c r="B22" s="5" t="s">
        <v>32</v>
      </c>
      <c r="C22" s="5" t="s">
        <v>103</v>
      </c>
      <c r="D22" s="5" t="s">
        <v>238</v>
      </c>
      <c r="E22" s="16" t="s">
        <v>239</v>
      </c>
    </row>
    <row r="24" spans="1:5" ht="14.25">
      <c r="A24" s="13"/>
      <c r="B24" s="14" t="s">
        <v>81</v>
      </c>
    </row>
    <row r="25" spans="1:5" ht="15">
      <c r="A25" s="15" t="s">
        <v>33</v>
      </c>
      <c r="B25" s="15" t="s">
        <v>34</v>
      </c>
      <c r="C25" s="15" t="s">
        <v>35</v>
      </c>
      <c r="D25" s="15" t="s">
        <v>36</v>
      </c>
      <c r="E25" s="15" t="s">
        <v>37</v>
      </c>
    </row>
    <row r="26" spans="1:5">
      <c r="A26" s="12" t="s">
        <v>227</v>
      </c>
      <c r="B26" s="5" t="s">
        <v>188</v>
      </c>
      <c r="C26" s="5" t="s">
        <v>103</v>
      </c>
      <c r="D26" s="5" t="s">
        <v>240</v>
      </c>
      <c r="E26" s="16" t="s">
        <v>241</v>
      </c>
    </row>
    <row r="31" spans="1:5" ht="18">
      <c r="A31" s="7" t="s">
        <v>40</v>
      </c>
      <c r="B31" s="7"/>
    </row>
    <row r="32" spans="1:5" ht="15">
      <c r="A32" s="15" t="s">
        <v>41</v>
      </c>
      <c r="B32" s="15" t="s">
        <v>42</v>
      </c>
      <c r="C32" s="15" t="s">
        <v>43</v>
      </c>
    </row>
    <row r="33" spans="1:3">
      <c r="A33" s="5" t="s">
        <v>64</v>
      </c>
      <c r="B33" s="5" t="s">
        <v>44</v>
      </c>
      <c r="C33" s="5" t="s">
        <v>242</v>
      </c>
    </row>
    <row r="34" spans="1:3">
      <c r="A34" s="5" t="s">
        <v>226</v>
      </c>
      <c r="B34" s="5" t="s">
        <v>44</v>
      </c>
      <c r="C34" s="5" t="s">
        <v>243</v>
      </c>
    </row>
  </sheetData>
  <mergeCells count="14">
    <mergeCell ref="F3:F4"/>
    <mergeCell ref="G3:J3"/>
    <mergeCell ref="K3:N3"/>
    <mergeCell ref="O3:R3"/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F12" sqref="F12"/>
    </sheetView>
  </sheetViews>
  <sheetFormatPr defaultRowHeight="12.75"/>
  <cols>
    <col min="1" max="1" width="31.85546875" style="5" bestFit="1" customWidth="1"/>
    <col min="2" max="2" width="22.85546875" style="5" bestFit="1" customWidth="1"/>
    <col min="3" max="3" width="16.4257812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6" t="s">
        <v>783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3</v>
      </c>
      <c r="H3" s="66"/>
      <c r="I3" s="66"/>
      <c r="J3" s="66"/>
      <c r="K3" s="66" t="s">
        <v>18</v>
      </c>
      <c r="L3" s="66" t="s">
        <v>6</v>
      </c>
      <c r="M3" s="67" t="s">
        <v>5</v>
      </c>
    </row>
    <row r="4" spans="1:13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65"/>
      <c r="L4" s="65"/>
      <c r="M4" s="68"/>
    </row>
    <row r="5" spans="1:13" ht="15">
      <c r="A5" s="54" t="s">
        <v>177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215</v>
      </c>
      <c r="B6" s="8" t="s">
        <v>216</v>
      </c>
      <c r="C6" s="8" t="s">
        <v>217</v>
      </c>
      <c r="D6" s="8" t="str">
        <f>"0,5151"</f>
        <v>0,5151</v>
      </c>
      <c r="E6" s="8" t="s">
        <v>25</v>
      </c>
      <c r="F6" s="8" t="s">
        <v>26</v>
      </c>
      <c r="G6" s="9" t="s">
        <v>203</v>
      </c>
      <c r="H6" s="10" t="s">
        <v>218</v>
      </c>
      <c r="I6" s="9" t="s">
        <v>219</v>
      </c>
      <c r="J6" s="9"/>
      <c r="K6" s="8" t="str">
        <f>"315,0"</f>
        <v>315,0</v>
      </c>
      <c r="L6" s="10" t="str">
        <f>"162,2628"</f>
        <v>162,2628</v>
      </c>
      <c r="M6" s="8" t="s">
        <v>30</v>
      </c>
    </row>
    <row r="8" spans="1:13" ht="15">
      <c r="E8" s="6" t="s">
        <v>12</v>
      </c>
      <c r="F8" s="26" t="s">
        <v>674</v>
      </c>
    </row>
    <row r="9" spans="1:13" ht="15">
      <c r="E9" s="6" t="s">
        <v>13</v>
      </c>
      <c r="F9" s="26" t="s">
        <v>675</v>
      </c>
    </row>
    <row r="10" spans="1:13" ht="15">
      <c r="E10" s="6" t="s">
        <v>14</v>
      </c>
      <c r="F10" s="26" t="s">
        <v>676</v>
      </c>
    </row>
    <row r="11" spans="1:13" ht="15">
      <c r="E11" s="6" t="s">
        <v>15</v>
      </c>
      <c r="F11" s="26" t="s">
        <v>677</v>
      </c>
    </row>
    <row r="12" spans="1:13" ht="15">
      <c r="E12" s="6" t="s">
        <v>15</v>
      </c>
      <c r="F12" s="26" t="s">
        <v>679</v>
      </c>
    </row>
    <row r="13" spans="1:13" ht="15">
      <c r="E13" s="6" t="s">
        <v>16</v>
      </c>
      <c r="F13" s="26" t="s">
        <v>678</v>
      </c>
    </row>
    <row r="14" spans="1:13" ht="15">
      <c r="E14" s="6"/>
    </row>
    <row r="16" spans="1:13" ht="18">
      <c r="A16" s="7" t="s">
        <v>17</v>
      </c>
      <c r="B16" s="7"/>
    </row>
    <row r="17" spans="1:5" ht="15">
      <c r="A17" s="11" t="s">
        <v>31</v>
      </c>
      <c r="B17" s="11"/>
    </row>
    <row r="18" spans="1:5" ht="14.25">
      <c r="A18" s="13"/>
      <c r="B18" s="14" t="s">
        <v>32</v>
      </c>
    </row>
    <row r="19" spans="1:5" ht="15">
      <c r="A19" s="15" t="s">
        <v>33</v>
      </c>
      <c r="B19" s="15" t="s">
        <v>34</v>
      </c>
      <c r="C19" s="15" t="s">
        <v>35</v>
      </c>
      <c r="D19" s="15" t="s">
        <v>36</v>
      </c>
      <c r="E19" s="15" t="s">
        <v>37</v>
      </c>
    </row>
    <row r="20" spans="1:5">
      <c r="A20" s="12" t="s">
        <v>214</v>
      </c>
      <c r="B20" s="5" t="s">
        <v>32</v>
      </c>
      <c r="C20" s="5" t="s">
        <v>186</v>
      </c>
      <c r="D20" s="5" t="s">
        <v>218</v>
      </c>
      <c r="E20" s="16" t="s">
        <v>220</v>
      </c>
    </row>
    <row r="25" spans="1:5" ht="18">
      <c r="A25" s="7" t="s">
        <v>40</v>
      </c>
      <c r="B25" s="7"/>
    </row>
    <row r="26" spans="1:5" ht="15">
      <c r="A26" s="15" t="s">
        <v>41</v>
      </c>
      <c r="B26" s="15" t="s">
        <v>42</v>
      </c>
      <c r="C26" s="15" t="s">
        <v>43</v>
      </c>
    </row>
    <row r="27" spans="1:5">
      <c r="A27" s="5" t="s">
        <v>25</v>
      </c>
      <c r="B27" s="5" t="s">
        <v>44</v>
      </c>
      <c r="C27" s="5" t="s">
        <v>221</v>
      </c>
    </row>
  </sheetData>
  <mergeCells count="12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F13" sqref="F13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5.710937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6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6" t="s">
        <v>784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2</v>
      </c>
      <c r="H3" s="66"/>
      <c r="I3" s="66"/>
      <c r="J3" s="66"/>
      <c r="K3" s="66" t="s">
        <v>18</v>
      </c>
      <c r="L3" s="66" t="s">
        <v>6</v>
      </c>
      <c r="M3" s="67" t="s">
        <v>5</v>
      </c>
    </row>
    <row r="4" spans="1:13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65"/>
      <c r="L4" s="65"/>
      <c r="M4" s="68"/>
    </row>
    <row r="5" spans="1:13" ht="15">
      <c r="A5" s="54" t="s">
        <v>118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211</v>
      </c>
      <c r="B6" s="8" t="s">
        <v>212</v>
      </c>
      <c r="C6" s="8" t="s">
        <v>213</v>
      </c>
      <c r="D6" s="8" t="str">
        <f>"0,5613"</f>
        <v>0,5613</v>
      </c>
      <c r="E6" s="8" t="s">
        <v>25</v>
      </c>
      <c r="F6" s="8" t="s">
        <v>26</v>
      </c>
      <c r="G6" s="9" t="s">
        <v>203</v>
      </c>
      <c r="H6" s="9" t="s">
        <v>203</v>
      </c>
      <c r="I6" s="9" t="s">
        <v>203</v>
      </c>
      <c r="J6" s="9"/>
      <c r="K6" s="8" t="str">
        <f>"0,0"</f>
        <v>0,0</v>
      </c>
      <c r="L6" s="10" t="str">
        <f>"0,0000"</f>
        <v>0,0000</v>
      </c>
      <c r="M6" s="8" t="s">
        <v>30</v>
      </c>
    </row>
    <row r="8" spans="1:13" ht="15">
      <c r="E8" s="6" t="s">
        <v>12</v>
      </c>
      <c r="F8" s="26" t="s">
        <v>674</v>
      </c>
    </row>
    <row r="9" spans="1:13" ht="15">
      <c r="E9" s="6" t="s">
        <v>13</v>
      </c>
      <c r="F9" s="26" t="s">
        <v>675</v>
      </c>
    </row>
    <row r="10" spans="1:13" ht="15">
      <c r="E10" s="6" t="s">
        <v>14</v>
      </c>
      <c r="F10" s="26" t="s">
        <v>676</v>
      </c>
    </row>
    <row r="11" spans="1:13" ht="15">
      <c r="E11" s="6" t="s">
        <v>15</v>
      </c>
      <c r="F11" s="26" t="s">
        <v>677</v>
      </c>
    </row>
    <row r="12" spans="1:13" ht="15">
      <c r="E12" s="6" t="s">
        <v>15</v>
      </c>
      <c r="F12" s="26" t="s">
        <v>679</v>
      </c>
    </row>
    <row r="13" spans="1:13" ht="15">
      <c r="E13" s="6" t="s">
        <v>16</v>
      </c>
      <c r="F13" s="26" t="s">
        <v>678</v>
      </c>
    </row>
    <row r="14" spans="1:13" ht="15">
      <c r="E14" s="6"/>
    </row>
    <row r="16" spans="1:13" ht="18">
      <c r="A16" s="7" t="s">
        <v>17</v>
      </c>
      <c r="B16" s="7"/>
    </row>
  </sheetData>
  <mergeCells count="12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27"/>
  <sheetViews>
    <sheetView workbookViewId="0">
      <selection activeCell="F16" sqref="F16"/>
    </sheetView>
  </sheetViews>
  <sheetFormatPr defaultRowHeight="12.75"/>
  <cols>
    <col min="1" max="1" width="31.85546875" style="5" bestFit="1" customWidth="1"/>
    <col min="2" max="2" width="22.85546875" style="5" bestFit="1" customWidth="1"/>
    <col min="3" max="3" width="14.28515625" style="5" bestFit="1" customWidth="1"/>
    <col min="4" max="4" width="9.28515625" style="5" bestFit="1" customWidth="1"/>
    <col min="5" max="5" width="22.7109375" style="5" bestFit="1" customWidth="1"/>
    <col min="6" max="6" width="29.710937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56" t="s">
        <v>785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21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1</v>
      </c>
      <c r="H3" s="66"/>
      <c r="I3" s="66"/>
      <c r="J3" s="66"/>
      <c r="K3" s="66" t="s">
        <v>2</v>
      </c>
      <c r="L3" s="66"/>
      <c r="M3" s="66"/>
      <c r="N3" s="66"/>
      <c r="O3" s="66" t="s">
        <v>3</v>
      </c>
      <c r="P3" s="66"/>
      <c r="Q3" s="66"/>
      <c r="R3" s="66"/>
      <c r="S3" s="66" t="s">
        <v>4</v>
      </c>
      <c r="T3" s="66" t="s">
        <v>6</v>
      </c>
      <c r="U3" s="67" t="s">
        <v>5</v>
      </c>
    </row>
    <row r="4" spans="1:21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65"/>
      <c r="T4" s="65"/>
      <c r="U4" s="68"/>
    </row>
    <row r="5" spans="1:21" ht="15">
      <c r="A5" s="54" t="s">
        <v>193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1">
      <c r="A6" s="8" t="s">
        <v>195</v>
      </c>
      <c r="B6" s="8" t="s">
        <v>196</v>
      </c>
      <c r="C6" s="8" t="s">
        <v>197</v>
      </c>
      <c r="D6" s="8" t="str">
        <f>"0,5241"</f>
        <v>0,5241</v>
      </c>
      <c r="E6" s="8" t="s">
        <v>198</v>
      </c>
      <c r="F6" s="8" t="s">
        <v>199</v>
      </c>
      <c r="G6" s="9" t="s">
        <v>200</v>
      </c>
      <c r="H6" s="10" t="s">
        <v>200</v>
      </c>
      <c r="I6" s="10" t="s">
        <v>201</v>
      </c>
      <c r="J6" s="9"/>
      <c r="K6" s="10" t="s">
        <v>202</v>
      </c>
      <c r="L6" s="10" t="s">
        <v>203</v>
      </c>
      <c r="M6" s="9" t="s">
        <v>204</v>
      </c>
      <c r="N6" s="9"/>
      <c r="O6" s="10" t="s">
        <v>205</v>
      </c>
      <c r="P6" s="9" t="s">
        <v>206</v>
      </c>
      <c r="Q6" s="9" t="s">
        <v>206</v>
      </c>
      <c r="R6" s="9"/>
      <c r="S6" s="8" t="str">
        <f>"955,0"</f>
        <v>955,0</v>
      </c>
      <c r="T6" s="10" t="str">
        <f>"500,5155"</f>
        <v>500,5155</v>
      </c>
      <c r="U6" s="8" t="s">
        <v>30</v>
      </c>
    </row>
    <row r="8" spans="1:21" ht="15">
      <c r="E8" s="6" t="s">
        <v>12</v>
      </c>
      <c r="F8" s="26" t="s">
        <v>674</v>
      </c>
    </row>
    <row r="9" spans="1:21" ht="15">
      <c r="E9" s="6" t="s">
        <v>13</v>
      </c>
      <c r="F9" s="26" t="s">
        <v>675</v>
      </c>
    </row>
    <row r="10" spans="1:21" ht="15">
      <c r="E10" s="6" t="s">
        <v>14</v>
      </c>
      <c r="F10" s="26" t="s">
        <v>676</v>
      </c>
    </row>
    <row r="11" spans="1:21" ht="15">
      <c r="E11" s="6" t="s">
        <v>15</v>
      </c>
      <c r="F11" s="26" t="s">
        <v>677</v>
      </c>
    </row>
    <row r="12" spans="1:21" ht="15">
      <c r="E12" s="6" t="s">
        <v>15</v>
      </c>
      <c r="F12" s="26" t="s">
        <v>679</v>
      </c>
    </row>
    <row r="13" spans="1:21" ht="15">
      <c r="E13" s="6" t="s">
        <v>16</v>
      </c>
      <c r="F13" s="26" t="s">
        <v>678</v>
      </c>
    </row>
    <row r="14" spans="1:21" ht="15">
      <c r="E14" s="6"/>
    </row>
    <row r="16" spans="1:21" ht="18">
      <c r="A16" s="7" t="s">
        <v>17</v>
      </c>
      <c r="B16" s="7"/>
    </row>
    <row r="17" spans="1:5" ht="15">
      <c r="A17" s="11" t="s">
        <v>31</v>
      </c>
      <c r="B17" s="11"/>
    </row>
    <row r="18" spans="1:5" ht="14.25">
      <c r="A18" s="13"/>
      <c r="B18" s="14" t="s">
        <v>32</v>
      </c>
    </row>
    <row r="19" spans="1:5" ht="15">
      <c r="A19" s="15" t="s">
        <v>33</v>
      </c>
      <c r="B19" s="15" t="s">
        <v>34</v>
      </c>
      <c r="C19" s="15" t="s">
        <v>35</v>
      </c>
      <c r="D19" s="15" t="s">
        <v>36</v>
      </c>
      <c r="E19" s="15" t="s">
        <v>37</v>
      </c>
    </row>
    <row r="20" spans="1:5">
      <c r="A20" s="12" t="s">
        <v>194</v>
      </c>
      <c r="B20" s="5" t="s">
        <v>32</v>
      </c>
      <c r="C20" s="5" t="s">
        <v>207</v>
      </c>
      <c r="D20" s="5" t="s">
        <v>208</v>
      </c>
      <c r="E20" s="16" t="s">
        <v>209</v>
      </c>
    </row>
    <row r="25" spans="1:5" ht="18">
      <c r="A25" s="7" t="s">
        <v>40</v>
      </c>
      <c r="B25" s="7"/>
    </row>
    <row r="26" spans="1:5" ht="15">
      <c r="A26" s="15" t="s">
        <v>41</v>
      </c>
      <c r="B26" s="15" t="s">
        <v>42</v>
      </c>
      <c r="C26" s="15" t="s">
        <v>43</v>
      </c>
    </row>
    <row r="27" spans="1:5">
      <c r="A27" s="5" t="s">
        <v>198</v>
      </c>
      <c r="B27" s="5" t="s">
        <v>44</v>
      </c>
      <c r="C27" s="5" t="s">
        <v>210</v>
      </c>
    </row>
  </sheetData>
  <mergeCells count="14">
    <mergeCell ref="F3:F4"/>
    <mergeCell ref="G3:J3"/>
    <mergeCell ref="K3:N3"/>
    <mergeCell ref="O3:R3"/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C19" sqref="C19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47.4257812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6" t="s">
        <v>786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3</v>
      </c>
      <c r="H3" s="66"/>
      <c r="I3" s="66"/>
      <c r="J3" s="66"/>
      <c r="K3" s="66" t="s">
        <v>18</v>
      </c>
      <c r="L3" s="66" t="s">
        <v>6</v>
      </c>
      <c r="M3" s="67" t="s">
        <v>5</v>
      </c>
    </row>
    <row r="4" spans="1:13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65"/>
      <c r="L4" s="65"/>
      <c r="M4" s="68"/>
    </row>
    <row r="5" spans="1:13" ht="15">
      <c r="A5" s="54" t="s">
        <v>110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159</v>
      </c>
      <c r="B6" s="8" t="s">
        <v>160</v>
      </c>
      <c r="C6" s="8" t="s">
        <v>161</v>
      </c>
      <c r="D6" s="8" t="str">
        <f>"0,6262"</f>
        <v>0,6262</v>
      </c>
      <c r="E6" s="8" t="s">
        <v>64</v>
      </c>
      <c r="F6" s="8" t="s">
        <v>162</v>
      </c>
      <c r="G6" s="10" t="s">
        <v>131</v>
      </c>
      <c r="H6" s="10" t="s">
        <v>163</v>
      </c>
      <c r="I6" s="9" t="s">
        <v>72</v>
      </c>
      <c r="J6" s="9"/>
      <c r="K6" s="8" t="str">
        <f>"210,0"</f>
        <v>210,0</v>
      </c>
      <c r="L6" s="10" t="str">
        <f>"132,6855"</f>
        <v>132,6855</v>
      </c>
      <c r="M6" s="8" t="s">
        <v>30</v>
      </c>
    </row>
    <row r="8" spans="1:13" ht="15">
      <c r="A8" s="55" t="s">
        <v>59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3">
      <c r="A9" s="8" t="s">
        <v>165</v>
      </c>
      <c r="B9" s="8" t="s">
        <v>166</v>
      </c>
      <c r="C9" s="8" t="s">
        <v>167</v>
      </c>
      <c r="D9" s="8" t="str">
        <f>"0,5869"</f>
        <v>0,5869</v>
      </c>
      <c r="E9" s="8" t="s">
        <v>51</v>
      </c>
      <c r="F9" s="8" t="s">
        <v>52</v>
      </c>
      <c r="G9" s="10" t="s">
        <v>168</v>
      </c>
      <c r="H9" s="10" t="s">
        <v>169</v>
      </c>
      <c r="I9" s="10" t="s">
        <v>170</v>
      </c>
      <c r="J9" s="9"/>
      <c r="K9" s="8" t="str">
        <f>"247,5"</f>
        <v>247,5</v>
      </c>
      <c r="L9" s="10" t="str">
        <f>"278,8949"</f>
        <v>278,8949</v>
      </c>
      <c r="M9" s="8" t="s">
        <v>30</v>
      </c>
    </row>
    <row r="11" spans="1:13" ht="15">
      <c r="A11" s="55" t="s">
        <v>118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13">
      <c r="A12" s="8" t="s">
        <v>172</v>
      </c>
      <c r="B12" s="8" t="s">
        <v>173</v>
      </c>
      <c r="C12" s="8" t="s">
        <v>174</v>
      </c>
      <c r="D12" s="8" t="str">
        <f>"0,5591"</f>
        <v>0,5591</v>
      </c>
      <c r="E12" s="8" t="s">
        <v>64</v>
      </c>
      <c r="F12" s="8" t="s">
        <v>26</v>
      </c>
      <c r="G12" s="10" t="s">
        <v>73</v>
      </c>
      <c r="H12" s="10" t="s">
        <v>175</v>
      </c>
      <c r="I12" s="10" t="s">
        <v>176</v>
      </c>
      <c r="J12" s="9"/>
      <c r="K12" s="8" t="str">
        <f>"250,0"</f>
        <v>250,0</v>
      </c>
      <c r="L12" s="10" t="str">
        <f>"139,7750"</f>
        <v>139,7750</v>
      </c>
      <c r="M12" s="8" t="s">
        <v>30</v>
      </c>
    </row>
    <row r="14" spans="1:13" ht="15">
      <c r="A14" s="55" t="s">
        <v>177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pans="1:13">
      <c r="A15" s="8" t="s">
        <v>179</v>
      </c>
      <c r="B15" s="8" t="s">
        <v>180</v>
      </c>
      <c r="C15" s="8" t="s">
        <v>181</v>
      </c>
      <c r="D15" s="8" t="str">
        <f>"0,5166"</f>
        <v>0,5166</v>
      </c>
      <c r="E15" s="8" t="s">
        <v>64</v>
      </c>
      <c r="F15" s="8" t="s">
        <v>162</v>
      </c>
      <c r="G15" s="9" t="s">
        <v>79</v>
      </c>
      <c r="H15" s="10" t="s">
        <v>79</v>
      </c>
      <c r="I15" s="10" t="s">
        <v>182</v>
      </c>
      <c r="J15" s="9"/>
      <c r="K15" s="8" t="str">
        <f>"280,0"</f>
        <v>280,0</v>
      </c>
      <c r="L15" s="10" t="str">
        <f>"206,8306"</f>
        <v>206,8306</v>
      </c>
      <c r="M15" s="8" t="s">
        <v>30</v>
      </c>
    </row>
    <row r="17" spans="1:6" ht="15">
      <c r="E17" s="6" t="s">
        <v>12</v>
      </c>
      <c r="F17" s="26" t="s">
        <v>674</v>
      </c>
    </row>
    <row r="18" spans="1:6" ht="15">
      <c r="E18" s="6" t="s">
        <v>13</v>
      </c>
      <c r="F18" s="26" t="s">
        <v>675</v>
      </c>
    </row>
    <row r="19" spans="1:6" ht="15">
      <c r="E19" s="6" t="s">
        <v>14</v>
      </c>
      <c r="F19" s="26" t="s">
        <v>676</v>
      </c>
    </row>
    <row r="20" spans="1:6" ht="15">
      <c r="E20" s="6" t="s">
        <v>15</v>
      </c>
      <c r="F20" s="26" t="s">
        <v>677</v>
      </c>
    </row>
    <row r="21" spans="1:6" ht="15">
      <c r="E21" s="6" t="s">
        <v>15</v>
      </c>
      <c r="F21" s="26" t="s">
        <v>679</v>
      </c>
    </row>
    <row r="22" spans="1:6" ht="15">
      <c r="E22" s="6" t="s">
        <v>16</v>
      </c>
      <c r="F22" s="26" t="s">
        <v>678</v>
      </c>
    </row>
    <row r="23" spans="1:6" ht="15">
      <c r="E23" s="6"/>
    </row>
    <row r="25" spans="1:6" ht="18">
      <c r="A25" s="7" t="s">
        <v>17</v>
      </c>
      <c r="B25" s="7"/>
    </row>
    <row r="26" spans="1:6" ht="15">
      <c r="A26" s="11" t="s">
        <v>31</v>
      </c>
      <c r="B26" s="11"/>
    </row>
    <row r="27" spans="1:6" ht="14.25">
      <c r="A27" s="13"/>
      <c r="B27" s="14" t="s">
        <v>32</v>
      </c>
    </row>
    <row r="28" spans="1:6" ht="15">
      <c r="A28" s="15" t="s">
        <v>33</v>
      </c>
      <c r="B28" s="15" t="s">
        <v>34</v>
      </c>
      <c r="C28" s="15" t="s">
        <v>35</v>
      </c>
      <c r="D28" s="15" t="s">
        <v>36</v>
      </c>
      <c r="E28" s="15" t="s">
        <v>37</v>
      </c>
    </row>
    <row r="29" spans="1:6">
      <c r="A29" s="12" t="s">
        <v>171</v>
      </c>
      <c r="B29" s="5" t="s">
        <v>32</v>
      </c>
      <c r="C29" s="5" t="s">
        <v>103</v>
      </c>
      <c r="D29" s="5" t="s">
        <v>176</v>
      </c>
      <c r="E29" s="16" t="s">
        <v>183</v>
      </c>
    </row>
    <row r="31" spans="1:6" ht="14.25">
      <c r="A31" s="13"/>
      <c r="B31" s="14" t="s">
        <v>81</v>
      </c>
    </row>
    <row r="32" spans="1:6" ht="15">
      <c r="A32" s="15" t="s">
        <v>33</v>
      </c>
      <c r="B32" s="15" t="s">
        <v>34</v>
      </c>
      <c r="C32" s="15" t="s">
        <v>35</v>
      </c>
      <c r="D32" s="15" t="s">
        <v>36</v>
      </c>
      <c r="E32" s="15" t="s">
        <v>37</v>
      </c>
    </row>
    <row r="33" spans="1:5">
      <c r="A33" s="12" t="s">
        <v>164</v>
      </c>
      <c r="B33" s="5" t="s">
        <v>184</v>
      </c>
      <c r="C33" s="5" t="s">
        <v>27</v>
      </c>
      <c r="D33" s="5" t="s">
        <v>170</v>
      </c>
      <c r="E33" s="16" t="s">
        <v>185</v>
      </c>
    </row>
    <row r="34" spans="1:5">
      <c r="A34" s="12" t="s">
        <v>178</v>
      </c>
      <c r="B34" s="5" t="s">
        <v>82</v>
      </c>
      <c r="C34" s="5" t="s">
        <v>186</v>
      </c>
      <c r="D34" s="5" t="s">
        <v>182</v>
      </c>
      <c r="E34" s="16" t="s">
        <v>187</v>
      </c>
    </row>
    <row r="35" spans="1:5">
      <c r="A35" s="12" t="s">
        <v>158</v>
      </c>
      <c r="B35" s="5" t="s">
        <v>188</v>
      </c>
      <c r="C35" s="5" t="s">
        <v>148</v>
      </c>
      <c r="D35" s="5" t="s">
        <v>163</v>
      </c>
      <c r="E35" s="16" t="s">
        <v>189</v>
      </c>
    </row>
    <row r="40" spans="1:5" ht="18">
      <c r="A40" s="7" t="s">
        <v>40</v>
      </c>
      <c r="B40" s="7"/>
    </row>
    <row r="41" spans="1:5" ht="15">
      <c r="A41" s="15" t="s">
        <v>41</v>
      </c>
      <c r="B41" s="15" t="s">
        <v>42</v>
      </c>
      <c r="C41" s="15" t="s">
        <v>43</v>
      </c>
    </row>
    <row r="42" spans="1:5">
      <c r="A42" s="5" t="s">
        <v>64</v>
      </c>
      <c r="B42" s="5" t="s">
        <v>190</v>
      </c>
      <c r="C42" s="5" t="s">
        <v>191</v>
      </c>
    </row>
    <row r="43" spans="1:5">
      <c r="A43" s="5" t="s">
        <v>51</v>
      </c>
      <c r="B43" s="5" t="s">
        <v>44</v>
      </c>
      <c r="C43" s="5" t="s">
        <v>192</v>
      </c>
    </row>
  </sheetData>
  <mergeCells count="15">
    <mergeCell ref="A14:L14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57"/>
  <sheetViews>
    <sheetView workbookViewId="0">
      <selection activeCell="C20" sqref="C20"/>
    </sheetView>
  </sheetViews>
  <sheetFormatPr defaultRowHeight="12.75"/>
  <cols>
    <col min="1" max="1" width="31.85546875" style="5" bestFit="1" customWidth="1"/>
    <col min="2" max="2" width="29" style="5" bestFit="1" customWidth="1"/>
    <col min="3" max="3" width="35.85546875" style="5" bestFit="1" customWidth="1"/>
    <col min="4" max="4" width="9.28515625" style="5" bestFit="1" customWidth="1"/>
    <col min="5" max="5" width="22.7109375" style="5" bestFit="1" customWidth="1"/>
    <col min="6" max="6" width="30.855468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6" t="s">
        <v>787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2</v>
      </c>
      <c r="H3" s="66"/>
      <c r="I3" s="66"/>
      <c r="J3" s="66"/>
      <c r="K3" s="66" t="s">
        <v>18</v>
      </c>
      <c r="L3" s="66" t="s">
        <v>6</v>
      </c>
      <c r="M3" s="67" t="s">
        <v>5</v>
      </c>
    </row>
    <row r="4" spans="1:13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65"/>
      <c r="L4" s="65"/>
      <c r="M4" s="68"/>
    </row>
    <row r="5" spans="1:13" ht="15">
      <c r="A5" s="54" t="s">
        <v>87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17" t="s">
        <v>89</v>
      </c>
      <c r="B6" s="17" t="s">
        <v>90</v>
      </c>
      <c r="C6" s="17" t="s">
        <v>91</v>
      </c>
      <c r="D6" s="17" t="str">
        <f>"0,8132"</f>
        <v>0,8132</v>
      </c>
      <c r="E6" s="17" t="s">
        <v>92</v>
      </c>
      <c r="F6" s="17" t="s">
        <v>26</v>
      </c>
      <c r="G6" s="19" t="s">
        <v>93</v>
      </c>
      <c r="H6" s="19" t="s">
        <v>94</v>
      </c>
      <c r="I6" s="18" t="s">
        <v>95</v>
      </c>
      <c r="J6" s="18"/>
      <c r="K6" s="17" t="str">
        <f>"55,0"</f>
        <v>55,0</v>
      </c>
      <c r="L6" s="19" t="str">
        <f>"45,6205"</f>
        <v>45,6205</v>
      </c>
      <c r="M6" s="17" t="s">
        <v>30</v>
      </c>
    </row>
    <row r="7" spans="1:13">
      <c r="A7" s="20" t="s">
        <v>97</v>
      </c>
      <c r="B7" s="20" t="s">
        <v>98</v>
      </c>
      <c r="C7" s="20" t="s">
        <v>99</v>
      </c>
      <c r="D7" s="20" t="str">
        <f>"0,7913"</f>
        <v>0,7913</v>
      </c>
      <c r="E7" s="20" t="s">
        <v>100</v>
      </c>
      <c r="F7" s="20" t="s">
        <v>101</v>
      </c>
      <c r="G7" s="22" t="s">
        <v>102</v>
      </c>
      <c r="H7" s="21" t="s">
        <v>103</v>
      </c>
      <c r="I7" s="21" t="s">
        <v>103</v>
      </c>
      <c r="J7" s="21"/>
      <c r="K7" s="20" t="str">
        <f>"95,0"</f>
        <v>95,0</v>
      </c>
      <c r="L7" s="22" t="str">
        <f>"82,0895"</f>
        <v>82,0895</v>
      </c>
      <c r="M7" s="20" t="s">
        <v>30</v>
      </c>
    </row>
    <row r="9" spans="1:13" ht="15">
      <c r="A9" s="55" t="s">
        <v>20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3">
      <c r="A10" s="8" t="s">
        <v>105</v>
      </c>
      <c r="B10" s="8" t="s">
        <v>106</v>
      </c>
      <c r="C10" s="8" t="s">
        <v>107</v>
      </c>
      <c r="D10" s="8" t="str">
        <f>"0,6666"</f>
        <v>0,6666</v>
      </c>
      <c r="E10" s="8" t="s">
        <v>64</v>
      </c>
      <c r="F10" s="8" t="s">
        <v>108</v>
      </c>
      <c r="G10" s="10" t="s">
        <v>66</v>
      </c>
      <c r="H10" s="10" t="s">
        <v>109</v>
      </c>
      <c r="I10" s="9" t="s">
        <v>67</v>
      </c>
      <c r="J10" s="9"/>
      <c r="K10" s="8" t="str">
        <f>"177,5"</f>
        <v>177,5</v>
      </c>
      <c r="L10" s="10" t="str">
        <f>"118,3215"</f>
        <v>118,3215</v>
      </c>
      <c r="M10" s="8" t="s">
        <v>30</v>
      </c>
    </row>
    <row r="12" spans="1:13" ht="15">
      <c r="A12" s="55" t="s">
        <v>110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3">
      <c r="A13" s="8" t="s">
        <v>112</v>
      </c>
      <c r="B13" s="8" t="s">
        <v>113</v>
      </c>
      <c r="C13" s="8" t="s">
        <v>114</v>
      </c>
      <c r="D13" s="8" t="str">
        <f>"0,6295"</f>
        <v>0,6295</v>
      </c>
      <c r="E13" s="8" t="s">
        <v>51</v>
      </c>
      <c r="F13" s="8" t="s">
        <v>52</v>
      </c>
      <c r="G13" s="10" t="s">
        <v>115</v>
      </c>
      <c r="H13" s="10" t="s">
        <v>116</v>
      </c>
      <c r="I13" s="10" t="s">
        <v>117</v>
      </c>
      <c r="J13" s="9"/>
      <c r="K13" s="8" t="str">
        <f>"135,0"</f>
        <v>135,0</v>
      </c>
      <c r="L13" s="10" t="str">
        <f>"84,9825"</f>
        <v>84,9825</v>
      </c>
      <c r="M13" s="8" t="s">
        <v>30</v>
      </c>
    </row>
    <row r="15" spans="1:13" ht="15">
      <c r="A15" s="55" t="s">
        <v>118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3">
      <c r="A16" s="17" t="s">
        <v>120</v>
      </c>
      <c r="B16" s="17" t="s">
        <v>121</v>
      </c>
      <c r="C16" s="17" t="s">
        <v>122</v>
      </c>
      <c r="D16" s="17" t="str">
        <f>"0,5663"</f>
        <v>0,5663</v>
      </c>
      <c r="E16" s="17" t="s">
        <v>100</v>
      </c>
      <c r="F16" s="17" t="s">
        <v>123</v>
      </c>
      <c r="G16" s="19" t="s">
        <v>68</v>
      </c>
      <c r="H16" s="19" t="s">
        <v>124</v>
      </c>
      <c r="I16" s="19" t="s">
        <v>125</v>
      </c>
      <c r="J16" s="18"/>
      <c r="K16" s="17" t="str">
        <f>"207,5"</f>
        <v>207,5</v>
      </c>
      <c r="L16" s="19" t="str">
        <f>"117,5072"</f>
        <v>117,5072</v>
      </c>
      <c r="M16" s="17" t="s">
        <v>30</v>
      </c>
    </row>
    <row r="17" spans="1:13">
      <c r="A17" s="23" t="s">
        <v>127</v>
      </c>
      <c r="B17" s="23" t="s">
        <v>128</v>
      </c>
      <c r="C17" s="23" t="s">
        <v>129</v>
      </c>
      <c r="D17" s="23" t="str">
        <f>"0,5672"</f>
        <v>0,5672</v>
      </c>
      <c r="E17" s="23" t="s">
        <v>92</v>
      </c>
      <c r="F17" s="23" t="s">
        <v>130</v>
      </c>
      <c r="G17" s="25" t="s">
        <v>66</v>
      </c>
      <c r="H17" s="25" t="s">
        <v>67</v>
      </c>
      <c r="I17" s="24" t="s">
        <v>131</v>
      </c>
      <c r="J17" s="24"/>
      <c r="K17" s="23" t="str">
        <f>"180,0"</f>
        <v>180,0</v>
      </c>
      <c r="L17" s="25" t="str">
        <f>"102,0960"</f>
        <v>102,0960</v>
      </c>
      <c r="M17" s="23" t="s">
        <v>30</v>
      </c>
    </row>
    <row r="18" spans="1:13">
      <c r="A18" s="20" t="s">
        <v>133</v>
      </c>
      <c r="B18" s="20" t="s">
        <v>134</v>
      </c>
      <c r="C18" s="20" t="s">
        <v>135</v>
      </c>
      <c r="D18" s="20" t="str">
        <f>"0,5578"</f>
        <v>0,5578</v>
      </c>
      <c r="E18" s="20" t="s">
        <v>136</v>
      </c>
      <c r="F18" s="20" t="s">
        <v>137</v>
      </c>
      <c r="G18" s="22" t="s">
        <v>71</v>
      </c>
      <c r="H18" s="22" t="s">
        <v>66</v>
      </c>
      <c r="I18" s="21" t="s">
        <v>67</v>
      </c>
      <c r="J18" s="21"/>
      <c r="K18" s="20" t="str">
        <f>"170,0"</f>
        <v>170,0</v>
      </c>
      <c r="L18" s="22" t="str">
        <f>"94,8260"</f>
        <v>94,8260</v>
      </c>
      <c r="M18" s="20" t="s">
        <v>30</v>
      </c>
    </row>
    <row r="20" spans="1:13" ht="15">
      <c r="E20" s="6" t="s">
        <v>12</v>
      </c>
      <c r="F20" s="26" t="s">
        <v>674</v>
      </c>
    </row>
    <row r="21" spans="1:13" ht="15">
      <c r="E21" s="6" t="s">
        <v>13</v>
      </c>
      <c r="F21" s="26" t="s">
        <v>675</v>
      </c>
    </row>
    <row r="22" spans="1:13" ht="15">
      <c r="E22" s="6" t="s">
        <v>14</v>
      </c>
      <c r="F22" s="26" t="s">
        <v>676</v>
      </c>
    </row>
    <row r="23" spans="1:13" ht="15">
      <c r="E23" s="6" t="s">
        <v>15</v>
      </c>
      <c r="F23" s="26" t="s">
        <v>677</v>
      </c>
    </row>
    <row r="24" spans="1:13" ht="15">
      <c r="E24" s="6" t="s">
        <v>15</v>
      </c>
      <c r="F24" s="26" t="s">
        <v>679</v>
      </c>
    </row>
    <row r="25" spans="1:13" ht="15">
      <c r="E25" s="6" t="s">
        <v>16</v>
      </c>
      <c r="F25" s="26" t="s">
        <v>678</v>
      </c>
    </row>
    <row r="26" spans="1:13" ht="15">
      <c r="E26" s="6"/>
    </row>
    <row r="28" spans="1:13" ht="18">
      <c r="A28" s="7" t="s">
        <v>17</v>
      </c>
      <c r="B28" s="7"/>
    </row>
    <row r="29" spans="1:13" ht="15">
      <c r="A29" s="11" t="s">
        <v>75</v>
      </c>
      <c r="B29" s="11"/>
    </row>
    <row r="30" spans="1:13" ht="14.25">
      <c r="A30" s="13"/>
      <c r="B30" s="14" t="s">
        <v>138</v>
      </c>
    </row>
    <row r="31" spans="1:13" ht="15">
      <c r="A31" s="15" t="s">
        <v>33</v>
      </c>
      <c r="B31" s="15" t="s">
        <v>34</v>
      </c>
      <c r="C31" s="15" t="s">
        <v>35</v>
      </c>
      <c r="D31" s="15" t="s">
        <v>36</v>
      </c>
      <c r="E31" s="15" t="s">
        <v>37</v>
      </c>
    </row>
    <row r="32" spans="1:13">
      <c r="A32" s="12" t="s">
        <v>88</v>
      </c>
      <c r="B32" s="5" t="s">
        <v>139</v>
      </c>
      <c r="C32" s="5" t="s">
        <v>140</v>
      </c>
      <c r="D32" s="5" t="s">
        <v>94</v>
      </c>
      <c r="E32" s="16" t="s">
        <v>141</v>
      </c>
    </row>
    <row r="34" spans="1:5" ht="14.25">
      <c r="A34" s="13"/>
      <c r="B34" s="14" t="s">
        <v>81</v>
      </c>
    </row>
    <row r="35" spans="1:5" ht="15">
      <c r="A35" s="15" t="s">
        <v>33</v>
      </c>
      <c r="B35" s="15" t="s">
        <v>34</v>
      </c>
      <c r="C35" s="15" t="s">
        <v>35</v>
      </c>
      <c r="D35" s="15" t="s">
        <v>36</v>
      </c>
      <c r="E35" s="15" t="s">
        <v>37</v>
      </c>
    </row>
    <row r="36" spans="1:5">
      <c r="A36" s="12" t="s">
        <v>96</v>
      </c>
      <c r="B36" s="5" t="s">
        <v>142</v>
      </c>
      <c r="C36" s="5" t="s">
        <v>140</v>
      </c>
      <c r="D36" s="5" t="s">
        <v>102</v>
      </c>
      <c r="E36" s="16" t="s">
        <v>143</v>
      </c>
    </row>
    <row r="39" spans="1:5" ht="15">
      <c r="A39" s="11" t="s">
        <v>31</v>
      </c>
      <c r="B39" s="11"/>
    </row>
    <row r="40" spans="1:5" ht="14.25">
      <c r="A40" s="13"/>
      <c r="B40" s="14" t="s">
        <v>32</v>
      </c>
    </row>
    <row r="41" spans="1:5" ht="15">
      <c r="A41" s="15" t="s">
        <v>33</v>
      </c>
      <c r="B41" s="15" t="s">
        <v>34</v>
      </c>
      <c r="C41" s="15" t="s">
        <v>35</v>
      </c>
      <c r="D41" s="15" t="s">
        <v>36</v>
      </c>
      <c r="E41" s="15" t="s">
        <v>37</v>
      </c>
    </row>
    <row r="42" spans="1:5">
      <c r="A42" s="12" t="s">
        <v>104</v>
      </c>
      <c r="B42" s="5" t="s">
        <v>32</v>
      </c>
      <c r="C42" s="5" t="s">
        <v>38</v>
      </c>
      <c r="D42" s="5" t="s">
        <v>109</v>
      </c>
      <c r="E42" s="16" t="s">
        <v>144</v>
      </c>
    </row>
    <row r="43" spans="1:5">
      <c r="A43" s="12" t="s">
        <v>119</v>
      </c>
      <c r="B43" s="5" t="s">
        <v>32</v>
      </c>
      <c r="C43" s="5" t="s">
        <v>103</v>
      </c>
      <c r="D43" s="5" t="s">
        <v>125</v>
      </c>
      <c r="E43" s="16" t="s">
        <v>145</v>
      </c>
    </row>
    <row r="44" spans="1:5">
      <c r="A44" s="12" t="s">
        <v>126</v>
      </c>
      <c r="B44" s="5" t="s">
        <v>32</v>
      </c>
      <c r="C44" s="5" t="s">
        <v>103</v>
      </c>
      <c r="D44" s="5" t="s">
        <v>67</v>
      </c>
      <c r="E44" s="16" t="s">
        <v>146</v>
      </c>
    </row>
    <row r="45" spans="1:5">
      <c r="A45" s="12" t="s">
        <v>132</v>
      </c>
      <c r="B45" s="5" t="s">
        <v>32</v>
      </c>
      <c r="C45" s="5" t="s">
        <v>103</v>
      </c>
      <c r="D45" s="5" t="s">
        <v>66</v>
      </c>
      <c r="E45" s="16" t="s">
        <v>147</v>
      </c>
    </row>
    <row r="46" spans="1:5">
      <c r="A46" s="12" t="s">
        <v>111</v>
      </c>
      <c r="B46" s="5" t="s">
        <v>32</v>
      </c>
      <c r="C46" s="5" t="s">
        <v>148</v>
      </c>
      <c r="D46" s="5" t="s">
        <v>117</v>
      </c>
      <c r="E46" s="16" t="s">
        <v>149</v>
      </c>
    </row>
    <row r="51" spans="1:3" ht="18">
      <c r="A51" s="7" t="s">
        <v>40</v>
      </c>
      <c r="B51" s="7"/>
    </row>
    <row r="52" spans="1:3" ht="15">
      <c r="A52" s="15" t="s">
        <v>41</v>
      </c>
      <c r="B52" s="15" t="s">
        <v>42</v>
      </c>
      <c r="C52" s="15" t="s">
        <v>43</v>
      </c>
    </row>
    <row r="53" spans="1:3">
      <c r="A53" s="5" t="s">
        <v>100</v>
      </c>
      <c r="B53" s="5" t="s">
        <v>150</v>
      </c>
      <c r="C53" s="5" t="s">
        <v>151</v>
      </c>
    </row>
    <row r="54" spans="1:3">
      <c r="A54" s="5" t="s">
        <v>92</v>
      </c>
      <c r="B54" s="5" t="s">
        <v>152</v>
      </c>
      <c r="C54" s="5" t="s">
        <v>153</v>
      </c>
    </row>
    <row r="55" spans="1:3">
      <c r="A55" s="5" t="s">
        <v>64</v>
      </c>
      <c r="B55" s="5" t="s">
        <v>44</v>
      </c>
      <c r="C55" s="5" t="s">
        <v>154</v>
      </c>
    </row>
    <row r="56" spans="1:3">
      <c r="A56" s="5" t="s">
        <v>51</v>
      </c>
      <c r="B56" s="5" t="s">
        <v>44</v>
      </c>
      <c r="C56" s="5" t="s">
        <v>155</v>
      </c>
    </row>
    <row r="57" spans="1:3">
      <c r="A57" s="5" t="s">
        <v>136</v>
      </c>
      <c r="B57" s="5" t="s">
        <v>156</v>
      </c>
      <c r="C57" s="5" t="s">
        <v>157</v>
      </c>
    </row>
  </sheetData>
  <mergeCells count="15">
    <mergeCell ref="A15:L15"/>
    <mergeCell ref="K3:K4"/>
    <mergeCell ref="L3:L4"/>
    <mergeCell ref="M3:M4"/>
    <mergeCell ref="A5:L5"/>
    <mergeCell ref="A9:L9"/>
    <mergeCell ref="A12:L12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7"/>
  <sheetViews>
    <sheetView workbookViewId="0">
      <selection activeCell="J16" sqref="J16"/>
    </sheetView>
  </sheetViews>
  <sheetFormatPr defaultRowHeight="12.75"/>
  <cols>
    <col min="1" max="1" width="31.85546875" style="5" bestFit="1" customWidth="1"/>
    <col min="2" max="2" width="22.85546875" style="5" bestFit="1" customWidth="1"/>
    <col min="3" max="3" width="18.28515625" style="5" bestFit="1" customWidth="1"/>
    <col min="4" max="4" width="9.28515625" style="5" bestFit="1" customWidth="1"/>
    <col min="5" max="5" width="22.7109375" style="5" bestFit="1" customWidth="1"/>
    <col min="6" max="6" width="30.85546875" style="5" bestFit="1" customWidth="1"/>
    <col min="7" max="8" width="4.5703125" style="4" bestFit="1" customWidth="1"/>
    <col min="9" max="9" width="5.5703125" style="4" bestFit="1" customWidth="1"/>
    <col min="10" max="10" width="4.85546875" style="4" bestFit="1" customWidth="1"/>
    <col min="11" max="13" width="4.5703125" style="4" bestFit="1" customWidth="1"/>
    <col min="14" max="14" width="4.85546875" style="4" bestFit="1" customWidth="1"/>
    <col min="15" max="16" width="4.5703125" style="4" bestFit="1" customWidth="1"/>
    <col min="17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56" t="s">
        <v>770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21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1</v>
      </c>
      <c r="H3" s="66"/>
      <c r="I3" s="66"/>
      <c r="J3" s="66"/>
      <c r="K3" s="66" t="s">
        <v>2</v>
      </c>
      <c r="L3" s="66"/>
      <c r="M3" s="66"/>
      <c r="N3" s="66"/>
      <c r="O3" s="66" t="s">
        <v>3</v>
      </c>
      <c r="P3" s="66"/>
      <c r="Q3" s="66"/>
      <c r="R3" s="66"/>
      <c r="S3" s="66" t="s">
        <v>4</v>
      </c>
      <c r="T3" s="66" t="s">
        <v>6</v>
      </c>
      <c r="U3" s="67" t="s">
        <v>5</v>
      </c>
    </row>
    <row r="4" spans="1:21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65"/>
      <c r="T4" s="65"/>
      <c r="U4" s="68"/>
    </row>
    <row r="5" spans="1:21" ht="15">
      <c r="A5" s="54" t="s">
        <v>294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1">
      <c r="A6" s="8" t="s">
        <v>655</v>
      </c>
      <c r="B6" s="8" t="s">
        <v>656</v>
      </c>
      <c r="C6" s="8" t="s">
        <v>657</v>
      </c>
      <c r="D6" s="8" t="str">
        <f>"0,8947"</f>
        <v>0,8947</v>
      </c>
      <c r="E6" s="8" t="s">
        <v>136</v>
      </c>
      <c r="F6" s="8" t="s">
        <v>137</v>
      </c>
      <c r="G6" s="10" t="s">
        <v>53</v>
      </c>
      <c r="H6" s="10" t="s">
        <v>27</v>
      </c>
      <c r="I6" s="10" t="s">
        <v>103</v>
      </c>
      <c r="J6" s="9"/>
      <c r="K6" s="9" t="s">
        <v>93</v>
      </c>
      <c r="L6" s="9" t="s">
        <v>93</v>
      </c>
      <c r="M6" s="10" t="s">
        <v>93</v>
      </c>
      <c r="N6" s="9"/>
      <c r="O6" s="10" t="s">
        <v>53</v>
      </c>
      <c r="P6" s="10" t="s">
        <v>27</v>
      </c>
      <c r="Q6" s="10" t="s">
        <v>103</v>
      </c>
      <c r="R6" s="9"/>
      <c r="S6" s="8" t="str">
        <f>"250,0"</f>
        <v>250,0</v>
      </c>
      <c r="T6" s="10" t="str">
        <f>"223,6875"</f>
        <v>223,6875</v>
      </c>
      <c r="U6" s="8" t="s">
        <v>30</v>
      </c>
    </row>
    <row r="8" spans="1:21" ht="15">
      <c r="E8" s="6" t="s">
        <v>12</v>
      </c>
      <c r="F8" s="26" t="s">
        <v>674</v>
      </c>
    </row>
    <row r="9" spans="1:21" ht="15">
      <c r="E9" s="6" t="s">
        <v>13</v>
      </c>
      <c r="F9" s="26" t="s">
        <v>675</v>
      </c>
    </row>
    <row r="10" spans="1:21" ht="15">
      <c r="E10" s="6" t="s">
        <v>14</v>
      </c>
      <c r="F10" s="26" t="s">
        <v>676</v>
      </c>
    </row>
    <row r="11" spans="1:21" ht="15">
      <c r="E11" s="6" t="s">
        <v>15</v>
      </c>
      <c r="F11" s="26" t="s">
        <v>677</v>
      </c>
    </row>
    <row r="12" spans="1:21" ht="15">
      <c r="E12" s="6" t="s">
        <v>15</v>
      </c>
      <c r="F12" s="26" t="s">
        <v>679</v>
      </c>
    </row>
    <row r="13" spans="1:21" ht="15">
      <c r="E13" s="6" t="s">
        <v>16</v>
      </c>
      <c r="F13" s="26" t="s">
        <v>678</v>
      </c>
    </row>
    <row r="14" spans="1:21" ht="15">
      <c r="E14" s="6"/>
    </row>
    <row r="16" spans="1:21" ht="18">
      <c r="A16" s="7" t="s">
        <v>17</v>
      </c>
      <c r="B16" s="7"/>
    </row>
    <row r="17" spans="1:5" ht="15">
      <c r="A17" s="11" t="s">
        <v>75</v>
      </c>
      <c r="B17" s="11"/>
    </row>
    <row r="18" spans="1:5" ht="14.25">
      <c r="A18" s="13"/>
      <c r="B18" s="14" t="s">
        <v>32</v>
      </c>
    </row>
    <row r="19" spans="1:5" ht="15">
      <c r="A19" s="15" t="s">
        <v>33</v>
      </c>
      <c r="B19" s="15" t="s">
        <v>34</v>
      </c>
      <c r="C19" s="15" t="s">
        <v>35</v>
      </c>
      <c r="D19" s="15" t="s">
        <v>36</v>
      </c>
      <c r="E19" s="15" t="s">
        <v>37</v>
      </c>
    </row>
    <row r="20" spans="1:5">
      <c r="A20" s="12" t="s">
        <v>654</v>
      </c>
      <c r="B20" s="5" t="s">
        <v>32</v>
      </c>
      <c r="C20" s="5" t="s">
        <v>56</v>
      </c>
      <c r="D20" s="5" t="s">
        <v>176</v>
      </c>
      <c r="E20" s="16" t="s">
        <v>658</v>
      </c>
    </row>
    <row r="25" spans="1:5" ht="18">
      <c r="A25" s="7" t="s">
        <v>40</v>
      </c>
      <c r="B25" s="7"/>
    </row>
    <row r="26" spans="1:5" ht="15">
      <c r="A26" s="15" t="s">
        <v>41</v>
      </c>
      <c r="B26" s="15" t="s">
        <v>42</v>
      </c>
      <c r="C26" s="15" t="s">
        <v>43</v>
      </c>
    </row>
    <row r="27" spans="1:5">
      <c r="A27" s="5" t="s">
        <v>136</v>
      </c>
      <c r="B27" s="5" t="s">
        <v>44</v>
      </c>
      <c r="C27" s="5" t="s">
        <v>659</v>
      </c>
    </row>
  </sheetData>
  <mergeCells count="14">
    <mergeCell ref="F3:F4"/>
    <mergeCell ref="G3:J3"/>
    <mergeCell ref="K3:N3"/>
    <mergeCell ref="O3:R3"/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U37"/>
  <sheetViews>
    <sheetView workbookViewId="0">
      <selection activeCell="E11" sqref="E11:F16"/>
    </sheetView>
  </sheetViews>
  <sheetFormatPr defaultRowHeight="12.75"/>
  <cols>
    <col min="1" max="1" width="31.85546875" style="5" bestFit="1" customWidth="1"/>
    <col min="2" max="2" width="29" style="5" bestFit="1" customWidth="1"/>
    <col min="3" max="3" width="19.5703125" style="5" bestFit="1" customWidth="1"/>
    <col min="4" max="4" width="9.28515625" style="5" bestFit="1" customWidth="1"/>
    <col min="5" max="5" width="22.7109375" style="5" bestFit="1" customWidth="1"/>
    <col min="6" max="6" width="21.8554687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8.85546875" style="5" bestFit="1" customWidth="1"/>
    <col min="22" max="16384" width="9.140625" style="4"/>
  </cols>
  <sheetData>
    <row r="1" spans="1:21" s="3" customFormat="1" ht="29.1" customHeight="1">
      <c r="A1" s="56" t="s">
        <v>696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21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1</v>
      </c>
      <c r="H3" s="66"/>
      <c r="I3" s="66"/>
      <c r="J3" s="66"/>
      <c r="K3" s="66" t="s">
        <v>2</v>
      </c>
      <c r="L3" s="66"/>
      <c r="M3" s="66"/>
      <c r="N3" s="66"/>
      <c r="O3" s="66" t="s">
        <v>3</v>
      </c>
      <c r="P3" s="66"/>
      <c r="Q3" s="66"/>
      <c r="R3" s="66"/>
      <c r="S3" s="66" t="s">
        <v>4</v>
      </c>
      <c r="T3" s="66" t="s">
        <v>6</v>
      </c>
      <c r="U3" s="67" t="s">
        <v>5</v>
      </c>
    </row>
    <row r="4" spans="1:21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65"/>
      <c r="T4" s="65"/>
      <c r="U4" s="68"/>
    </row>
    <row r="5" spans="1:21" ht="15">
      <c r="A5" s="54" t="s">
        <v>46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1">
      <c r="A6" s="8" t="s">
        <v>48</v>
      </c>
      <c r="B6" s="8" t="s">
        <v>49</v>
      </c>
      <c r="C6" s="8" t="s">
        <v>50</v>
      </c>
      <c r="D6" s="8" t="str">
        <f>"0,9242"</f>
        <v>0,9242</v>
      </c>
      <c r="E6" s="8" t="s">
        <v>51</v>
      </c>
      <c r="F6" s="8" t="s">
        <v>52</v>
      </c>
      <c r="G6" s="10" t="s">
        <v>53</v>
      </c>
      <c r="H6" s="10" t="s">
        <v>27</v>
      </c>
      <c r="I6" s="9"/>
      <c r="J6" s="9"/>
      <c r="K6" s="10" t="s">
        <v>54</v>
      </c>
      <c r="L6" s="10" t="s">
        <v>55</v>
      </c>
      <c r="M6" s="9" t="s">
        <v>56</v>
      </c>
      <c r="N6" s="9"/>
      <c r="O6" s="10" t="s">
        <v>29</v>
      </c>
      <c r="P6" s="10" t="s">
        <v>57</v>
      </c>
      <c r="Q6" s="10" t="s">
        <v>58</v>
      </c>
      <c r="R6" s="9"/>
      <c r="S6" s="8" t="str">
        <f>"270,0"</f>
        <v>270,0</v>
      </c>
      <c r="T6" s="10" t="str">
        <f>"294,4501"</f>
        <v>294,4501</v>
      </c>
      <c r="U6" s="8" t="s">
        <v>30</v>
      </c>
    </row>
    <row r="8" spans="1:21" ht="15">
      <c r="A8" s="55" t="s">
        <v>59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spans="1:21">
      <c r="A9" s="8" t="s">
        <v>61</v>
      </c>
      <c r="B9" s="8" t="s">
        <v>62</v>
      </c>
      <c r="C9" s="8" t="s">
        <v>63</v>
      </c>
      <c r="D9" s="8" t="str">
        <f>"0,6011"</f>
        <v>0,6011</v>
      </c>
      <c r="E9" s="8" t="s">
        <v>64</v>
      </c>
      <c r="F9" s="8" t="s">
        <v>65</v>
      </c>
      <c r="G9" s="10" t="s">
        <v>66</v>
      </c>
      <c r="H9" s="10" t="s">
        <v>67</v>
      </c>
      <c r="I9" s="10" t="s">
        <v>68</v>
      </c>
      <c r="J9" s="9"/>
      <c r="K9" s="9" t="s">
        <v>69</v>
      </c>
      <c r="L9" s="10" t="s">
        <v>70</v>
      </c>
      <c r="M9" s="10" t="s">
        <v>71</v>
      </c>
      <c r="N9" s="9"/>
      <c r="O9" s="10" t="s">
        <v>72</v>
      </c>
      <c r="P9" s="10" t="s">
        <v>73</v>
      </c>
      <c r="Q9" s="10" t="s">
        <v>74</v>
      </c>
      <c r="R9" s="9"/>
      <c r="S9" s="8" t="str">
        <f>"590,0"</f>
        <v>590,0</v>
      </c>
      <c r="T9" s="10" t="str">
        <f>"471,6832"</f>
        <v>471,6832</v>
      </c>
      <c r="U9" s="8" t="s">
        <v>30</v>
      </c>
    </row>
    <row r="11" spans="1:21" ht="15">
      <c r="E11" s="6" t="s">
        <v>12</v>
      </c>
      <c r="F11" s="26" t="s">
        <v>674</v>
      </c>
    </row>
    <row r="12" spans="1:21" ht="15">
      <c r="E12" s="6" t="s">
        <v>13</v>
      </c>
      <c r="F12" s="26" t="s">
        <v>675</v>
      </c>
    </row>
    <row r="13" spans="1:21" ht="15">
      <c r="E13" s="6" t="s">
        <v>14</v>
      </c>
      <c r="F13" s="26" t="s">
        <v>676</v>
      </c>
    </row>
    <row r="14" spans="1:21" ht="15">
      <c r="E14" s="6" t="s">
        <v>15</v>
      </c>
      <c r="F14" s="26" t="s">
        <v>677</v>
      </c>
    </row>
    <row r="15" spans="1:21" ht="15">
      <c r="E15" s="6" t="s">
        <v>15</v>
      </c>
      <c r="F15" s="26" t="s">
        <v>679</v>
      </c>
    </row>
    <row r="16" spans="1:21" ht="15">
      <c r="E16" s="6" t="s">
        <v>16</v>
      </c>
      <c r="F16" s="26" t="s">
        <v>678</v>
      </c>
    </row>
    <row r="17" spans="1:5" ht="15">
      <c r="E17" s="6"/>
    </row>
    <row r="19" spans="1:5" ht="18">
      <c r="A19" s="7" t="s">
        <v>17</v>
      </c>
      <c r="B19" s="7"/>
    </row>
    <row r="20" spans="1:5" ht="15">
      <c r="A20" s="11" t="s">
        <v>75</v>
      </c>
      <c r="B20" s="11"/>
    </row>
    <row r="21" spans="1:5" ht="14.25">
      <c r="A21" s="13"/>
      <c r="B21" s="14" t="s">
        <v>76</v>
      </c>
    </row>
    <row r="22" spans="1:5" ht="15">
      <c r="A22" s="15" t="s">
        <v>33</v>
      </c>
      <c r="B22" s="15" t="s">
        <v>34</v>
      </c>
      <c r="C22" s="15" t="s">
        <v>35</v>
      </c>
      <c r="D22" s="15" t="s">
        <v>36</v>
      </c>
      <c r="E22" s="15" t="s">
        <v>37</v>
      </c>
    </row>
    <row r="23" spans="1:5">
      <c r="A23" s="12" t="s">
        <v>47</v>
      </c>
      <c r="B23" s="5" t="s">
        <v>77</v>
      </c>
      <c r="C23" s="5" t="s">
        <v>78</v>
      </c>
      <c r="D23" s="5" t="s">
        <v>79</v>
      </c>
      <c r="E23" s="16" t="s">
        <v>80</v>
      </c>
    </row>
    <row r="26" spans="1:5" ht="15">
      <c r="A26" s="11" t="s">
        <v>31</v>
      </c>
      <c r="B26" s="11"/>
    </row>
    <row r="27" spans="1:5" ht="14.25">
      <c r="A27" s="13"/>
      <c r="B27" s="14" t="s">
        <v>81</v>
      </c>
    </row>
    <row r="28" spans="1:5" ht="15">
      <c r="A28" s="15" t="s">
        <v>33</v>
      </c>
      <c r="B28" s="15" t="s">
        <v>34</v>
      </c>
      <c r="C28" s="15" t="s">
        <v>35</v>
      </c>
      <c r="D28" s="15" t="s">
        <v>36</v>
      </c>
      <c r="E28" s="15" t="s">
        <v>37</v>
      </c>
    </row>
    <row r="29" spans="1:5">
      <c r="A29" s="12" t="s">
        <v>60</v>
      </c>
      <c r="B29" s="5" t="s">
        <v>82</v>
      </c>
      <c r="C29" s="5" t="s">
        <v>27</v>
      </c>
      <c r="D29" s="5" t="s">
        <v>83</v>
      </c>
      <c r="E29" s="16" t="s">
        <v>84</v>
      </c>
    </row>
    <row r="34" spans="1:3" ht="18">
      <c r="A34" s="7" t="s">
        <v>40</v>
      </c>
      <c r="B34" s="7"/>
    </row>
    <row r="35" spans="1:3" ht="15">
      <c r="A35" s="15" t="s">
        <v>41</v>
      </c>
      <c r="B35" s="15" t="s">
        <v>42</v>
      </c>
      <c r="C35" s="15" t="s">
        <v>43</v>
      </c>
    </row>
    <row r="36" spans="1:3">
      <c r="A36" s="5" t="s">
        <v>64</v>
      </c>
      <c r="B36" s="5" t="s">
        <v>44</v>
      </c>
      <c r="C36" s="5" t="s">
        <v>85</v>
      </c>
    </row>
    <row r="37" spans="1:3">
      <c r="A37" s="5" t="s">
        <v>51</v>
      </c>
      <c r="B37" s="5" t="s">
        <v>44</v>
      </c>
      <c r="C37" s="5" t="s">
        <v>86</v>
      </c>
    </row>
  </sheetData>
  <mergeCells count="15">
    <mergeCell ref="A5:T5"/>
    <mergeCell ref="A8:T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H15" sqref="H15"/>
    </sheetView>
  </sheetViews>
  <sheetFormatPr defaultRowHeight="12.75"/>
  <cols>
    <col min="1" max="1" width="31.85546875" style="5" bestFit="1" customWidth="1"/>
    <col min="2" max="2" width="22.85546875" style="5" bestFit="1" customWidth="1"/>
    <col min="3" max="3" width="16.710937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7" width="4.5703125" style="4" bestFit="1" customWidth="1"/>
    <col min="8" max="9" width="5.5703125" style="4" bestFit="1" customWidth="1"/>
    <col min="10" max="10" width="4.85546875" style="4" bestFit="1" customWidth="1"/>
    <col min="11" max="11" width="7.85546875" style="5" bestFit="1" customWidth="1"/>
    <col min="12" max="12" width="7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6" t="s">
        <v>788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3</v>
      </c>
      <c r="H3" s="66"/>
      <c r="I3" s="66"/>
      <c r="J3" s="66"/>
      <c r="K3" s="66" t="s">
        <v>18</v>
      </c>
      <c r="L3" s="66" t="s">
        <v>6</v>
      </c>
      <c r="M3" s="67" t="s">
        <v>5</v>
      </c>
    </row>
    <row r="4" spans="1:13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65"/>
      <c r="L4" s="65"/>
      <c r="M4" s="68"/>
    </row>
    <row r="5" spans="1:13" ht="15">
      <c r="A5" s="54" t="s">
        <v>20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22</v>
      </c>
      <c r="B6" s="8" t="s">
        <v>23</v>
      </c>
      <c r="C6" s="8" t="s">
        <v>24</v>
      </c>
      <c r="D6" s="8" t="str">
        <f>"0,6867"</f>
        <v>0,6867</v>
      </c>
      <c r="E6" s="8" t="s">
        <v>25</v>
      </c>
      <c r="F6" s="8" t="s">
        <v>26</v>
      </c>
      <c r="G6" s="10" t="s">
        <v>27</v>
      </c>
      <c r="H6" s="10" t="s">
        <v>28</v>
      </c>
      <c r="I6" s="10" t="s">
        <v>29</v>
      </c>
      <c r="J6" s="9"/>
      <c r="K6" s="8" t="str">
        <f>"110,0"</f>
        <v>110,0</v>
      </c>
      <c r="L6" s="10" t="str">
        <f>"75,5370"</f>
        <v>75,5370</v>
      </c>
      <c r="M6" s="8" t="s">
        <v>30</v>
      </c>
    </row>
    <row r="8" spans="1:13" ht="15">
      <c r="E8" s="6" t="s">
        <v>12</v>
      </c>
      <c r="F8" s="26" t="s">
        <v>674</v>
      </c>
    </row>
    <row r="9" spans="1:13" ht="15">
      <c r="E9" s="6" t="s">
        <v>13</v>
      </c>
      <c r="F9" s="26" t="s">
        <v>675</v>
      </c>
    </row>
    <row r="10" spans="1:13" ht="15">
      <c r="E10" s="6" t="s">
        <v>14</v>
      </c>
      <c r="F10" s="26" t="s">
        <v>676</v>
      </c>
    </row>
    <row r="11" spans="1:13" ht="15">
      <c r="E11" s="6" t="s">
        <v>15</v>
      </c>
      <c r="F11" s="26" t="s">
        <v>677</v>
      </c>
    </row>
    <row r="12" spans="1:13" ht="15">
      <c r="E12" s="6" t="s">
        <v>15</v>
      </c>
      <c r="F12" s="26" t="s">
        <v>679</v>
      </c>
    </row>
    <row r="13" spans="1:13" ht="15">
      <c r="E13" s="6" t="s">
        <v>16</v>
      </c>
      <c r="F13" s="26" t="s">
        <v>678</v>
      </c>
    </row>
    <row r="14" spans="1:13" ht="15">
      <c r="E14" s="6"/>
    </row>
    <row r="16" spans="1:13" ht="18">
      <c r="A16" s="7" t="s">
        <v>17</v>
      </c>
      <c r="B16" s="7"/>
    </row>
    <row r="17" spans="1:5" ht="15">
      <c r="A17" s="11" t="s">
        <v>31</v>
      </c>
      <c r="B17" s="11"/>
    </row>
    <row r="18" spans="1:5" ht="14.25">
      <c r="A18" s="13"/>
      <c r="B18" s="14" t="s">
        <v>32</v>
      </c>
    </row>
    <row r="19" spans="1:5" ht="15">
      <c r="A19" s="15" t="s">
        <v>33</v>
      </c>
      <c r="B19" s="15" t="s">
        <v>34</v>
      </c>
      <c r="C19" s="15" t="s">
        <v>35</v>
      </c>
      <c r="D19" s="15" t="s">
        <v>36</v>
      </c>
      <c r="E19" s="15" t="s">
        <v>37</v>
      </c>
    </row>
    <row r="20" spans="1:5">
      <c r="A20" s="12" t="s">
        <v>21</v>
      </c>
      <c r="B20" s="5" t="s">
        <v>32</v>
      </c>
      <c r="C20" s="5" t="s">
        <v>38</v>
      </c>
      <c r="D20" s="5" t="s">
        <v>29</v>
      </c>
      <c r="E20" s="16" t="s">
        <v>39</v>
      </c>
    </row>
    <row r="25" spans="1:5" ht="18">
      <c r="A25" s="7" t="s">
        <v>40</v>
      </c>
      <c r="B25" s="7"/>
    </row>
    <row r="26" spans="1:5" ht="15">
      <c r="A26" s="15" t="s">
        <v>41</v>
      </c>
      <c r="B26" s="15" t="s">
        <v>42</v>
      </c>
      <c r="C26" s="15" t="s">
        <v>43</v>
      </c>
    </row>
    <row r="27" spans="1:5">
      <c r="A27" s="5" t="s">
        <v>25</v>
      </c>
      <c r="B27" s="5" t="s">
        <v>44</v>
      </c>
      <c r="C27" s="5" t="s">
        <v>45</v>
      </c>
    </row>
  </sheetData>
  <mergeCells count="12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57"/>
  <sheetViews>
    <sheetView workbookViewId="0">
      <selection activeCell="E28" sqref="E28"/>
    </sheetView>
  </sheetViews>
  <sheetFormatPr defaultRowHeight="12.75"/>
  <cols>
    <col min="1" max="1" width="24" customWidth="1"/>
    <col min="2" max="2" width="27.5703125" customWidth="1"/>
    <col min="3" max="3" width="19.7109375" customWidth="1"/>
    <col min="5" max="5" width="23.85546875" customWidth="1"/>
    <col min="6" max="6" width="33" customWidth="1"/>
    <col min="12" max="12" width="10.7109375" customWidth="1"/>
  </cols>
  <sheetData>
    <row r="1" spans="1:14" ht="64.5" customHeight="1">
      <c r="A1" s="56" t="s">
        <v>764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  <c r="N1" s="3"/>
    </row>
    <row r="2" spans="1:14" ht="13.5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3"/>
    </row>
    <row r="3" spans="1:14" ht="15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2</v>
      </c>
      <c r="H3" s="66"/>
      <c r="I3" s="66"/>
      <c r="J3" s="66"/>
      <c r="K3" s="66" t="s">
        <v>18</v>
      </c>
      <c r="L3" s="66" t="s">
        <v>6</v>
      </c>
      <c r="M3" s="67" t="s">
        <v>5</v>
      </c>
      <c r="N3" s="1"/>
    </row>
    <row r="4" spans="1:14" ht="15">
      <c r="A4" s="71"/>
      <c r="B4" s="72"/>
      <c r="C4" s="72"/>
      <c r="D4" s="72"/>
      <c r="E4" s="72"/>
      <c r="F4" s="72"/>
      <c r="G4" s="49">
        <v>1</v>
      </c>
      <c r="H4" s="49">
        <v>2</v>
      </c>
      <c r="I4" s="49">
        <v>3</v>
      </c>
      <c r="J4" s="49" t="s">
        <v>8</v>
      </c>
      <c r="K4" s="72"/>
      <c r="L4" s="72"/>
      <c r="M4" s="69"/>
      <c r="N4" s="1"/>
    </row>
    <row r="5" spans="1:14" ht="15">
      <c r="A5" s="70" t="s">
        <v>87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8"/>
      <c r="N5" s="4"/>
    </row>
    <row r="6" spans="1:14">
      <c r="A6" s="8" t="s">
        <v>470</v>
      </c>
      <c r="B6" s="8" t="s">
        <v>492</v>
      </c>
      <c r="C6" s="8" t="s">
        <v>472</v>
      </c>
      <c r="D6" s="8" t="str">
        <f>"0,5556"</f>
        <v>0,5556</v>
      </c>
      <c r="E6" s="8" t="s">
        <v>100</v>
      </c>
      <c r="F6" s="8" t="s">
        <v>473</v>
      </c>
      <c r="G6" s="35" t="s">
        <v>765</v>
      </c>
      <c r="H6" s="10" t="s">
        <v>766</v>
      </c>
      <c r="I6" s="9"/>
      <c r="J6" s="9"/>
      <c r="K6" s="35" t="s">
        <v>766</v>
      </c>
      <c r="L6" s="35" t="s">
        <v>767</v>
      </c>
      <c r="M6" s="8" t="s">
        <v>30</v>
      </c>
      <c r="N6" s="4"/>
    </row>
    <row r="7" spans="1:14">
      <c r="A7" s="5"/>
      <c r="B7" s="5"/>
      <c r="C7" s="5"/>
      <c r="D7" s="5"/>
      <c r="E7" s="5"/>
      <c r="F7" s="5"/>
      <c r="G7" s="4"/>
      <c r="H7" s="42"/>
      <c r="I7" s="42"/>
      <c r="J7" s="42"/>
      <c r="K7" s="5"/>
      <c r="L7" s="4"/>
      <c r="M7" s="5" t="s">
        <v>30</v>
      </c>
      <c r="N7" s="4"/>
    </row>
    <row r="8" spans="1:14">
      <c r="A8" s="5"/>
      <c r="B8" s="5"/>
      <c r="C8" s="5"/>
      <c r="D8" s="5"/>
      <c r="E8" s="5"/>
      <c r="F8" s="5"/>
      <c r="G8" s="4"/>
      <c r="H8" s="4"/>
      <c r="I8" s="4"/>
      <c r="J8" s="4"/>
      <c r="K8" s="5"/>
      <c r="L8" s="4"/>
      <c r="M8" s="5"/>
      <c r="N8" s="4"/>
    </row>
    <row r="9" spans="1:14" ht="15">
      <c r="A9" s="51"/>
      <c r="B9" s="51"/>
      <c r="C9" s="51"/>
      <c r="D9" s="51"/>
      <c r="E9" s="6" t="s">
        <v>12</v>
      </c>
      <c r="F9" s="26" t="s">
        <v>674</v>
      </c>
      <c r="G9" s="51"/>
      <c r="H9" s="51"/>
      <c r="I9" s="51"/>
      <c r="J9" s="51"/>
      <c r="K9" s="51"/>
      <c r="L9" s="51"/>
      <c r="M9" s="5"/>
      <c r="N9" s="4"/>
    </row>
    <row r="10" spans="1:14" ht="15">
      <c r="A10" s="5"/>
      <c r="B10" s="5"/>
      <c r="C10" s="5"/>
      <c r="D10" s="5"/>
      <c r="E10" s="6" t="s">
        <v>13</v>
      </c>
      <c r="F10" s="26" t="s">
        <v>675</v>
      </c>
      <c r="G10" s="4"/>
      <c r="H10" s="4"/>
      <c r="I10" s="42"/>
      <c r="J10" s="42"/>
      <c r="K10" s="5"/>
      <c r="L10" s="4"/>
      <c r="M10" s="5" t="s">
        <v>30</v>
      </c>
      <c r="N10" s="4"/>
    </row>
    <row r="11" spans="1:14" ht="15">
      <c r="A11" s="5"/>
      <c r="B11" s="5"/>
      <c r="C11" s="5"/>
      <c r="D11" s="5"/>
      <c r="E11" s="6" t="s">
        <v>14</v>
      </c>
      <c r="F11" s="26" t="s">
        <v>676</v>
      </c>
      <c r="G11" s="4"/>
      <c r="H11" s="4"/>
      <c r="I11" s="4"/>
      <c r="J11" s="4"/>
      <c r="K11" s="5"/>
      <c r="L11" s="4"/>
      <c r="M11" s="5"/>
      <c r="N11" s="4"/>
    </row>
    <row r="12" spans="1:14" ht="15">
      <c r="A12" s="51"/>
      <c r="B12" s="51"/>
      <c r="C12" s="51"/>
      <c r="D12" s="51"/>
      <c r="E12" s="6" t="s">
        <v>15</v>
      </c>
      <c r="F12" s="26" t="s">
        <v>677</v>
      </c>
      <c r="G12" s="51"/>
      <c r="H12" s="51"/>
      <c r="I12" s="51"/>
      <c r="J12" s="51"/>
      <c r="K12" s="51"/>
      <c r="L12" s="51"/>
      <c r="M12" s="5"/>
      <c r="N12" s="4"/>
    </row>
    <row r="13" spans="1:14" ht="15">
      <c r="A13" s="5"/>
      <c r="B13" s="5"/>
      <c r="C13" s="5"/>
      <c r="D13" s="5"/>
      <c r="E13" s="6" t="s">
        <v>15</v>
      </c>
      <c r="F13" s="26" t="s">
        <v>679</v>
      </c>
      <c r="G13" s="4"/>
      <c r="H13" s="4"/>
      <c r="I13" s="4"/>
      <c r="J13" s="42"/>
      <c r="K13" s="5"/>
      <c r="L13" s="4"/>
      <c r="M13" s="5"/>
      <c r="N13" s="4"/>
    </row>
    <row r="14" spans="1:14" ht="15">
      <c r="A14" s="5"/>
      <c r="B14" s="5"/>
      <c r="C14" s="5"/>
      <c r="D14" s="5"/>
      <c r="E14" s="6" t="s">
        <v>16</v>
      </c>
      <c r="F14" s="26" t="s">
        <v>678</v>
      </c>
      <c r="G14" s="4"/>
      <c r="H14" s="4"/>
      <c r="I14" s="4"/>
      <c r="J14" s="4"/>
      <c r="K14" s="5"/>
      <c r="L14" s="4"/>
      <c r="M14" s="5"/>
      <c r="N14" s="4"/>
    </row>
    <row r="15" spans="1:14" ht="13.5" customHeight="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"/>
      <c r="N15" s="4"/>
    </row>
    <row r="16" spans="1:14" ht="18">
      <c r="A16" s="7" t="s">
        <v>17</v>
      </c>
      <c r="B16" s="7"/>
      <c r="C16" s="5"/>
      <c r="D16" s="5"/>
      <c r="E16" s="5"/>
      <c r="F16" s="5"/>
      <c r="G16" s="4"/>
      <c r="H16" s="4"/>
      <c r="I16" s="4"/>
      <c r="J16" s="42"/>
      <c r="K16" s="5"/>
      <c r="L16" s="4"/>
      <c r="M16" s="5" t="s">
        <v>30</v>
      </c>
      <c r="N16" s="4"/>
    </row>
    <row r="17" spans="1:14" ht="15">
      <c r="A17" s="11" t="s">
        <v>762</v>
      </c>
      <c r="B17" s="11"/>
      <c r="C17" s="5"/>
      <c r="D17" s="5"/>
      <c r="E17" s="5"/>
      <c r="F17" s="5"/>
      <c r="G17" s="4"/>
      <c r="H17" s="4"/>
      <c r="I17" s="42"/>
      <c r="J17" s="42"/>
      <c r="K17" s="5"/>
      <c r="L17" s="4"/>
      <c r="M17" s="5" t="s">
        <v>30</v>
      </c>
      <c r="N17" s="4"/>
    </row>
    <row r="18" spans="1:14" ht="14.25">
      <c r="A18" s="13"/>
      <c r="B18" s="14"/>
      <c r="C18" s="5"/>
      <c r="D18" s="5"/>
      <c r="E18" s="5"/>
      <c r="F18" s="5"/>
      <c r="G18" s="4"/>
      <c r="H18" s="4"/>
      <c r="I18" s="42"/>
      <c r="J18" s="42"/>
      <c r="K18" s="5"/>
      <c r="L18" s="4"/>
      <c r="M18" s="5" t="s">
        <v>30</v>
      </c>
      <c r="N18" s="4"/>
    </row>
    <row r="19" spans="1:14" ht="14.25">
      <c r="A19" s="13"/>
      <c r="B19" s="52" t="s">
        <v>81</v>
      </c>
      <c r="C19" s="5"/>
      <c r="D19" s="5"/>
      <c r="E19" s="5"/>
      <c r="F19" s="5"/>
      <c r="G19" s="4"/>
      <c r="H19" s="4"/>
      <c r="I19" s="4"/>
      <c r="J19" s="4"/>
      <c r="K19" s="5"/>
      <c r="L19" s="4"/>
      <c r="M19" s="5"/>
      <c r="N19" s="4"/>
    </row>
    <row r="20" spans="1:14" ht="15">
      <c r="A20" s="53" t="s">
        <v>33</v>
      </c>
      <c r="B20" s="53" t="s">
        <v>34</v>
      </c>
      <c r="C20" s="53" t="s">
        <v>35</v>
      </c>
      <c r="D20" s="53" t="s">
        <v>36</v>
      </c>
      <c r="E20" s="53" t="s">
        <v>37</v>
      </c>
      <c r="G20" s="4"/>
      <c r="H20" s="4"/>
      <c r="I20" s="4"/>
      <c r="J20" s="4"/>
      <c r="K20" s="5"/>
      <c r="L20" s="4"/>
      <c r="M20" s="5"/>
      <c r="N20" s="4"/>
    </row>
    <row r="21" spans="1:14">
      <c r="A21" s="8" t="s">
        <v>470</v>
      </c>
      <c r="B21" s="10" t="s">
        <v>142</v>
      </c>
      <c r="C21" s="35" t="s">
        <v>758</v>
      </c>
      <c r="D21" s="35" t="s">
        <v>766</v>
      </c>
      <c r="E21" s="43" t="s">
        <v>767</v>
      </c>
      <c r="G21" s="4"/>
      <c r="H21" s="4"/>
      <c r="I21" s="4"/>
      <c r="J21" s="4"/>
      <c r="K21" s="5"/>
      <c r="L21" s="4"/>
      <c r="M21" s="5"/>
      <c r="N21" s="4"/>
    </row>
    <row r="22" spans="1:14">
      <c r="G22" s="4"/>
      <c r="H22" s="4"/>
      <c r="I22" s="4"/>
      <c r="J22" s="4"/>
      <c r="K22" s="5"/>
      <c r="L22" s="4"/>
      <c r="M22" s="5"/>
      <c r="N22" s="4"/>
    </row>
    <row r="23" spans="1:14">
      <c r="G23" s="4"/>
      <c r="H23" s="4"/>
      <c r="I23" s="4"/>
      <c r="J23" s="4"/>
      <c r="K23" s="5"/>
      <c r="L23" s="4"/>
      <c r="M23" s="5"/>
      <c r="N23" s="4"/>
    </row>
    <row r="24" spans="1:14" ht="18">
      <c r="A24" s="7" t="s">
        <v>40</v>
      </c>
      <c r="B24" s="7"/>
      <c r="C24" s="5"/>
      <c r="D24" s="5"/>
      <c r="E24" s="5"/>
      <c r="G24" s="4"/>
      <c r="H24" s="4"/>
      <c r="I24" s="4"/>
      <c r="J24" s="4"/>
      <c r="K24" s="5"/>
      <c r="L24" s="4"/>
      <c r="M24" s="5"/>
      <c r="N24" s="4"/>
    </row>
    <row r="25" spans="1:14" ht="15">
      <c r="A25" s="15" t="s">
        <v>41</v>
      </c>
      <c r="B25" s="15" t="s">
        <v>42</v>
      </c>
      <c r="C25" s="15" t="s">
        <v>43</v>
      </c>
      <c r="D25" s="5"/>
      <c r="E25" s="5"/>
      <c r="G25" s="4"/>
      <c r="H25" s="4"/>
      <c r="I25" s="4"/>
      <c r="J25" s="4"/>
      <c r="K25" s="5"/>
      <c r="L25" s="4"/>
      <c r="M25" s="5"/>
      <c r="N25" s="4"/>
    </row>
    <row r="26" spans="1:14">
      <c r="A26" s="8" t="s">
        <v>100</v>
      </c>
      <c r="B26" s="35" t="s">
        <v>768</v>
      </c>
      <c r="C26" s="35" t="s">
        <v>469</v>
      </c>
      <c r="D26" s="5"/>
      <c r="E26" s="5"/>
      <c r="F26" s="5"/>
      <c r="G26" s="4"/>
      <c r="H26" s="4"/>
      <c r="I26" s="4"/>
      <c r="J26" s="4"/>
      <c r="K26" s="5"/>
      <c r="L26" s="4"/>
      <c r="M26" s="5"/>
      <c r="N26" s="4"/>
    </row>
    <row r="27" spans="1:14">
      <c r="A27" s="5"/>
      <c r="B27" s="5"/>
      <c r="C27" s="5"/>
      <c r="D27" s="5"/>
      <c r="E27" s="5"/>
      <c r="F27" s="5"/>
      <c r="G27" s="4"/>
      <c r="H27" s="4"/>
      <c r="I27" s="4"/>
      <c r="J27" s="4"/>
      <c r="K27" s="5"/>
      <c r="L27" s="4"/>
      <c r="M27" s="5"/>
      <c r="N27" s="4"/>
    </row>
    <row r="28" spans="1:14">
      <c r="A28" s="5"/>
      <c r="B28" s="5"/>
      <c r="C28" s="5"/>
      <c r="D28" s="5"/>
      <c r="E28" s="5"/>
      <c r="F28" s="5"/>
      <c r="G28" s="4"/>
      <c r="H28" s="4"/>
      <c r="I28" s="4"/>
      <c r="J28" s="4"/>
      <c r="K28" s="5"/>
      <c r="L28" s="4"/>
      <c r="M28" s="5"/>
      <c r="N28" s="4"/>
    </row>
    <row r="29" spans="1:14">
      <c r="A29" s="5"/>
      <c r="B29" s="5"/>
      <c r="C29" s="5"/>
      <c r="D29" s="5"/>
      <c r="E29" s="5"/>
      <c r="F29" s="5"/>
      <c r="G29" s="4"/>
      <c r="H29" s="4"/>
      <c r="I29" s="4"/>
      <c r="J29" s="4"/>
      <c r="K29" s="5"/>
      <c r="L29" s="4"/>
      <c r="M29" s="5"/>
      <c r="N29" s="4"/>
    </row>
    <row r="30" spans="1:14">
      <c r="A30" s="5"/>
      <c r="B30" s="5"/>
      <c r="C30" s="5"/>
      <c r="D30" s="5"/>
      <c r="E30" s="5"/>
      <c r="F30" s="5"/>
      <c r="G30" s="4"/>
      <c r="H30" s="4"/>
      <c r="I30" s="4"/>
      <c r="J30" s="4"/>
      <c r="K30" s="5"/>
      <c r="L30" s="4"/>
      <c r="M30" s="5"/>
      <c r="N30" s="4"/>
    </row>
    <row r="31" spans="1:14">
      <c r="A31" s="12"/>
      <c r="B31" s="5"/>
      <c r="C31" s="5"/>
      <c r="D31" s="5"/>
      <c r="E31" s="16"/>
      <c r="F31" s="5"/>
      <c r="G31" s="4"/>
      <c r="H31" s="4"/>
      <c r="I31" s="4"/>
      <c r="J31" s="4"/>
      <c r="K31" s="5"/>
      <c r="L31" s="4"/>
      <c r="M31" s="5"/>
      <c r="N31" s="4"/>
    </row>
    <row r="32" spans="1:14">
      <c r="A32" s="12"/>
      <c r="B32" s="5"/>
      <c r="C32" s="5"/>
      <c r="D32" s="5"/>
      <c r="E32" s="16"/>
      <c r="F32" s="5"/>
      <c r="G32" s="4"/>
      <c r="H32" s="4"/>
      <c r="I32" s="4"/>
      <c r="J32" s="4"/>
      <c r="K32" s="5"/>
      <c r="L32" s="4"/>
      <c r="M32" s="5"/>
      <c r="N32" s="4"/>
    </row>
    <row r="33" spans="1:14">
      <c r="A33" s="12"/>
      <c r="B33" s="5"/>
      <c r="C33" s="5"/>
      <c r="D33" s="5"/>
      <c r="E33" s="16"/>
      <c r="F33" s="5"/>
      <c r="G33" s="4"/>
      <c r="H33" s="4"/>
      <c r="I33" s="4"/>
      <c r="J33" s="4"/>
      <c r="K33" s="5"/>
      <c r="L33" s="4"/>
      <c r="M33" s="5"/>
      <c r="N33" s="4"/>
    </row>
    <row r="34" spans="1:14">
      <c r="A34" s="12"/>
      <c r="B34" s="5"/>
      <c r="C34" s="5"/>
      <c r="D34" s="5"/>
      <c r="E34" s="16"/>
      <c r="F34" s="5"/>
      <c r="G34" s="4"/>
      <c r="H34" s="4"/>
      <c r="I34" s="4"/>
      <c r="J34" s="4"/>
      <c r="K34" s="5"/>
      <c r="L34" s="4"/>
      <c r="M34" s="5"/>
      <c r="N34" s="4"/>
    </row>
    <row r="35" spans="1:14">
      <c r="A35" s="5"/>
      <c r="B35" s="5"/>
      <c r="C35" s="5"/>
      <c r="D35" s="5"/>
      <c r="E35" s="5"/>
      <c r="F35" s="5"/>
      <c r="G35" s="4"/>
      <c r="H35" s="4"/>
      <c r="I35" s="4"/>
      <c r="J35" s="4"/>
      <c r="K35" s="5"/>
      <c r="L35" s="4"/>
      <c r="M35" s="5"/>
      <c r="N35" s="4"/>
    </row>
    <row r="36" spans="1:14">
      <c r="A36" s="5"/>
      <c r="B36" s="5"/>
      <c r="C36" s="5"/>
      <c r="D36" s="5"/>
      <c r="E36" s="5"/>
      <c r="F36" s="5"/>
      <c r="G36" s="4"/>
      <c r="H36" s="4"/>
      <c r="I36" s="4"/>
      <c r="J36" s="4"/>
      <c r="K36" s="5"/>
      <c r="L36" s="4"/>
      <c r="M36" s="5"/>
      <c r="N36" s="4"/>
    </row>
    <row r="37" spans="1:14">
      <c r="A37" s="5"/>
      <c r="B37" s="5"/>
      <c r="C37" s="5"/>
      <c r="D37" s="5"/>
      <c r="E37" s="5"/>
      <c r="F37" s="5"/>
      <c r="G37" s="4"/>
      <c r="H37" s="4"/>
      <c r="I37" s="4"/>
      <c r="J37" s="4"/>
      <c r="K37" s="5"/>
      <c r="L37" s="4"/>
      <c r="M37" s="5"/>
      <c r="N37" s="4"/>
    </row>
    <row r="38" spans="1:14">
      <c r="A38" s="5"/>
      <c r="B38" s="5"/>
      <c r="C38" s="5"/>
      <c r="D38" s="5"/>
      <c r="E38" s="5"/>
      <c r="F38" s="5"/>
      <c r="G38" s="4"/>
      <c r="H38" s="4"/>
      <c r="I38" s="4"/>
      <c r="J38" s="4"/>
      <c r="K38" s="5"/>
      <c r="L38" s="4"/>
      <c r="M38" s="5"/>
      <c r="N38" s="4"/>
    </row>
    <row r="39" spans="1:14">
      <c r="F39" s="5"/>
      <c r="G39" s="4"/>
      <c r="H39" s="4"/>
      <c r="I39" s="4"/>
      <c r="J39" s="4"/>
      <c r="K39" s="5"/>
      <c r="L39" s="4"/>
      <c r="M39" s="5"/>
      <c r="N39" s="4"/>
    </row>
    <row r="40" spans="1:14">
      <c r="F40" s="5"/>
      <c r="G40" s="4"/>
      <c r="H40" s="4"/>
      <c r="I40" s="4"/>
      <c r="J40" s="4"/>
      <c r="K40" s="5"/>
      <c r="L40" s="4"/>
      <c r="M40" s="5"/>
      <c r="N40" s="4"/>
    </row>
    <row r="41" spans="1:14">
      <c r="F41" s="5"/>
      <c r="G41" s="4"/>
      <c r="H41" s="4"/>
      <c r="I41" s="4"/>
      <c r="J41" s="4"/>
      <c r="K41" s="5"/>
      <c r="L41" s="4"/>
      <c r="M41" s="5"/>
      <c r="N41" s="4"/>
    </row>
    <row r="42" spans="1:14">
      <c r="F42" s="5"/>
      <c r="G42" s="4"/>
      <c r="H42" s="4"/>
      <c r="I42" s="4"/>
      <c r="J42" s="4"/>
      <c r="K42" s="5"/>
      <c r="L42" s="4"/>
      <c r="M42" s="5"/>
      <c r="N42" s="4"/>
    </row>
    <row r="43" spans="1:14">
      <c r="F43" s="5"/>
      <c r="G43" s="4"/>
      <c r="H43" s="4"/>
      <c r="I43" s="4"/>
      <c r="J43" s="4"/>
      <c r="K43" s="5"/>
      <c r="L43" s="4"/>
      <c r="M43" s="5"/>
      <c r="N43" s="4"/>
    </row>
    <row r="44" spans="1:14">
      <c r="F44" s="5"/>
      <c r="G44" s="4"/>
      <c r="H44" s="4"/>
      <c r="I44" s="4"/>
      <c r="J44" s="4"/>
      <c r="K44" s="5"/>
      <c r="L44" s="4"/>
      <c r="M44" s="5"/>
      <c r="N44" s="4"/>
    </row>
    <row r="45" spans="1:14">
      <c r="F45" s="5"/>
      <c r="G45" s="4"/>
      <c r="H45" s="4"/>
      <c r="I45" s="4"/>
      <c r="J45" s="4"/>
      <c r="K45" s="5"/>
      <c r="L45" s="4"/>
      <c r="M45" s="5"/>
      <c r="N45" s="4"/>
    </row>
    <row r="46" spans="1:14">
      <c r="F46" s="5"/>
      <c r="G46" s="4"/>
      <c r="H46" s="4"/>
      <c r="I46" s="4"/>
      <c r="J46" s="4"/>
      <c r="K46" s="5"/>
      <c r="L46" s="4"/>
      <c r="M46" s="5"/>
      <c r="N46" s="4"/>
    </row>
    <row r="47" spans="1:14">
      <c r="F47" s="5"/>
      <c r="G47" s="4"/>
      <c r="H47" s="4"/>
      <c r="I47" s="4"/>
      <c r="J47" s="4"/>
      <c r="K47" s="5"/>
      <c r="L47" s="4"/>
      <c r="M47" s="5"/>
      <c r="N47" s="4"/>
    </row>
    <row r="48" spans="1:14">
      <c r="F48" s="5"/>
      <c r="G48" s="4"/>
      <c r="H48" s="4"/>
      <c r="I48" s="4"/>
      <c r="J48" s="4"/>
      <c r="K48" s="5"/>
      <c r="L48" s="4"/>
      <c r="M48" s="5"/>
      <c r="N48" s="4"/>
    </row>
    <row r="49" spans="6:14">
      <c r="F49" s="5"/>
      <c r="G49" s="4"/>
      <c r="H49" s="4"/>
      <c r="I49" s="4"/>
      <c r="J49" s="4"/>
      <c r="K49" s="5"/>
      <c r="L49" s="4"/>
      <c r="M49" s="5"/>
      <c r="N49" s="4"/>
    </row>
    <row r="50" spans="6:14">
      <c r="F50" s="5"/>
      <c r="G50" s="4"/>
      <c r="H50" s="4"/>
      <c r="I50" s="4"/>
      <c r="J50" s="4"/>
      <c r="K50" s="5"/>
      <c r="L50" s="4"/>
      <c r="M50" s="5"/>
      <c r="N50" s="4"/>
    </row>
    <row r="51" spans="6:14">
      <c r="F51" s="5"/>
      <c r="G51" s="4"/>
      <c r="H51" s="4"/>
      <c r="I51" s="4"/>
      <c r="J51" s="4"/>
      <c r="K51" s="5"/>
      <c r="L51" s="4"/>
      <c r="M51" s="5"/>
      <c r="N51" s="4"/>
    </row>
    <row r="52" spans="6:14">
      <c r="F52" s="5"/>
      <c r="G52" s="4"/>
      <c r="H52" s="4"/>
      <c r="I52" s="4"/>
      <c r="J52" s="4"/>
      <c r="K52" s="5"/>
      <c r="L52" s="4"/>
      <c r="M52" s="5"/>
      <c r="N52" s="4"/>
    </row>
    <row r="53" spans="6:14">
      <c r="F53" s="5"/>
      <c r="G53" s="4"/>
      <c r="H53" s="4"/>
      <c r="I53" s="4"/>
      <c r="J53" s="4"/>
      <c r="K53" s="5"/>
      <c r="L53" s="4"/>
      <c r="M53" s="5"/>
      <c r="N53" s="4"/>
    </row>
    <row r="54" spans="6:14">
      <c r="F54" s="5"/>
      <c r="G54" s="4"/>
      <c r="H54" s="4"/>
      <c r="I54" s="4"/>
      <c r="J54" s="4"/>
      <c r="K54" s="5"/>
      <c r="L54" s="4"/>
      <c r="M54" s="5"/>
      <c r="N54" s="4"/>
    </row>
    <row r="55" spans="6:14">
      <c r="F55" s="5"/>
      <c r="G55" s="4"/>
      <c r="H55" s="4"/>
      <c r="I55" s="4"/>
      <c r="J55" s="4"/>
      <c r="K55" s="5"/>
      <c r="L55" s="4"/>
      <c r="M55" s="5"/>
      <c r="N55" s="4"/>
    </row>
    <row r="56" spans="6:14">
      <c r="F56" s="5"/>
      <c r="G56" s="4"/>
      <c r="H56" s="4"/>
      <c r="I56" s="4"/>
      <c r="J56" s="4"/>
      <c r="K56" s="5"/>
      <c r="L56" s="4"/>
      <c r="M56" s="5"/>
      <c r="N56" s="4"/>
    </row>
    <row r="57" spans="6:14">
      <c r="F57" s="5"/>
      <c r="G57" s="4"/>
      <c r="H57" s="4"/>
      <c r="I57" s="4"/>
      <c r="J57" s="4"/>
      <c r="K57" s="5"/>
      <c r="L57" s="4"/>
      <c r="M57" s="5"/>
      <c r="N57" s="4"/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activeCell="H12" sqref="H12"/>
    </sheetView>
  </sheetViews>
  <sheetFormatPr defaultRowHeight="12.75"/>
  <cols>
    <col min="1" max="1" width="23.5703125" customWidth="1"/>
    <col min="2" max="2" width="29.5703125" customWidth="1"/>
    <col min="3" max="3" width="21.28515625" customWidth="1"/>
    <col min="5" max="5" width="22" customWidth="1"/>
    <col min="6" max="6" width="31" customWidth="1"/>
  </cols>
  <sheetData>
    <row r="1" spans="1:12" ht="96.75" customHeight="1">
      <c r="A1" s="73" t="s">
        <v>756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3"/>
    </row>
    <row r="2" spans="1:12" ht="13.5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8"/>
      <c r="L2" s="3"/>
    </row>
    <row r="3" spans="1:12" ht="15">
      <c r="A3" s="62" t="s">
        <v>0</v>
      </c>
      <c r="B3" s="64" t="s">
        <v>9</v>
      </c>
      <c r="C3" s="64" t="s">
        <v>11</v>
      </c>
      <c r="D3" s="66" t="s">
        <v>754</v>
      </c>
      <c r="E3" s="66" t="s">
        <v>7</v>
      </c>
      <c r="F3" s="66" t="s">
        <v>10</v>
      </c>
      <c r="G3" s="66" t="s">
        <v>720</v>
      </c>
      <c r="H3" s="66"/>
      <c r="I3" s="66" t="s">
        <v>721</v>
      </c>
      <c r="J3" s="66" t="s">
        <v>6</v>
      </c>
      <c r="K3" s="67" t="s">
        <v>5</v>
      </c>
      <c r="L3" s="1"/>
    </row>
    <row r="4" spans="1:12" ht="15">
      <c r="A4" s="71"/>
      <c r="B4" s="72"/>
      <c r="C4" s="72"/>
      <c r="D4" s="72"/>
      <c r="E4" s="72"/>
      <c r="F4" s="72"/>
      <c r="G4" s="49" t="s">
        <v>722</v>
      </c>
      <c r="H4" s="50" t="s">
        <v>723</v>
      </c>
      <c r="I4" s="72"/>
      <c r="J4" s="72"/>
      <c r="K4" s="69"/>
      <c r="L4" s="1"/>
    </row>
    <row r="5" spans="1:12" ht="15">
      <c r="A5" s="70" t="s">
        <v>286</v>
      </c>
      <c r="B5" s="70"/>
      <c r="C5" s="70"/>
      <c r="D5" s="70"/>
      <c r="E5" s="70"/>
      <c r="F5" s="70"/>
      <c r="G5" s="70"/>
      <c r="H5" s="70"/>
      <c r="I5" s="70"/>
      <c r="J5" s="70"/>
      <c r="K5" s="8"/>
      <c r="L5" s="4"/>
    </row>
    <row r="6" spans="1:12">
      <c r="A6" s="27" t="s">
        <v>757</v>
      </c>
      <c r="B6" s="8" t="s">
        <v>484</v>
      </c>
      <c r="C6" s="8" t="s">
        <v>485</v>
      </c>
      <c r="D6" s="8"/>
      <c r="E6" s="8" t="s">
        <v>100</v>
      </c>
      <c r="F6" s="8" t="s">
        <v>26</v>
      </c>
      <c r="G6" s="10" t="s">
        <v>758</v>
      </c>
      <c r="H6" s="10" t="s">
        <v>759</v>
      </c>
      <c r="I6" s="35" t="s">
        <v>760</v>
      </c>
      <c r="J6" s="9"/>
      <c r="K6" s="8"/>
      <c r="L6" s="25"/>
    </row>
    <row r="7" spans="1:12">
      <c r="A7" s="5"/>
      <c r="B7" s="5"/>
      <c r="C7" s="5"/>
      <c r="D7" s="5"/>
      <c r="E7" s="5"/>
      <c r="F7" s="5"/>
      <c r="G7" s="4"/>
      <c r="H7" s="45"/>
      <c r="I7" s="5"/>
      <c r="J7" s="4"/>
      <c r="K7" s="5"/>
      <c r="L7" s="4"/>
    </row>
    <row r="8" spans="1:12" ht="15">
      <c r="A8" s="51"/>
      <c r="B8" s="51"/>
      <c r="C8" s="51"/>
      <c r="D8" s="51"/>
      <c r="E8" s="51"/>
      <c r="F8" s="51"/>
      <c r="G8" s="51"/>
      <c r="H8" s="51"/>
      <c r="I8" s="51"/>
      <c r="J8" s="51"/>
      <c r="K8" s="5"/>
      <c r="L8" s="4"/>
    </row>
    <row r="9" spans="1:12">
      <c r="A9" s="5"/>
      <c r="B9" s="5"/>
      <c r="C9" s="5"/>
      <c r="D9" s="5"/>
      <c r="E9" s="5"/>
      <c r="F9" s="5"/>
      <c r="G9" s="4"/>
      <c r="H9" s="46"/>
      <c r="I9" s="5"/>
      <c r="J9" s="4"/>
      <c r="K9" s="5"/>
      <c r="L9" s="4"/>
    </row>
    <row r="10" spans="1:12">
      <c r="A10" s="5"/>
      <c r="B10" s="5"/>
      <c r="C10" s="5"/>
      <c r="D10" s="5"/>
      <c r="E10" s="5"/>
      <c r="F10" s="5"/>
      <c r="G10" s="4"/>
      <c r="H10" s="45"/>
      <c r="I10" s="5"/>
      <c r="J10" s="4"/>
      <c r="K10" s="5"/>
      <c r="L10" s="4"/>
    </row>
    <row r="11" spans="1:12" ht="15">
      <c r="A11" s="5"/>
      <c r="B11" s="5"/>
      <c r="C11" s="5"/>
      <c r="D11" s="5"/>
      <c r="E11" s="6" t="s">
        <v>12</v>
      </c>
      <c r="F11" s="26" t="s">
        <v>674</v>
      </c>
      <c r="G11" s="4"/>
      <c r="H11" s="45"/>
      <c r="I11" s="5"/>
      <c r="J11" s="4"/>
      <c r="K11" s="5"/>
      <c r="L11" s="4"/>
    </row>
    <row r="12" spans="1:12" ht="15">
      <c r="A12" s="5"/>
      <c r="B12" s="5"/>
      <c r="C12" s="5"/>
      <c r="D12" s="5"/>
      <c r="E12" s="6" t="s">
        <v>13</v>
      </c>
      <c r="F12" s="26" t="s">
        <v>675</v>
      </c>
      <c r="G12" s="4"/>
      <c r="H12" s="45"/>
      <c r="I12" s="5"/>
      <c r="J12" s="4"/>
      <c r="K12" s="5"/>
      <c r="L12" s="4"/>
    </row>
    <row r="13" spans="1:12" ht="15">
      <c r="A13" s="5"/>
      <c r="B13" s="5"/>
      <c r="C13" s="5"/>
      <c r="D13" s="5"/>
      <c r="E13" s="6" t="s">
        <v>14</v>
      </c>
      <c r="F13" s="26" t="s">
        <v>676</v>
      </c>
      <c r="G13" s="4"/>
      <c r="H13" s="45"/>
      <c r="I13" s="5"/>
      <c r="J13" s="4"/>
      <c r="K13" s="5"/>
      <c r="L13" s="4"/>
    </row>
    <row r="14" spans="1:12" ht="15">
      <c r="A14" s="5"/>
      <c r="B14" s="5"/>
      <c r="C14" s="5"/>
      <c r="D14" s="5"/>
      <c r="E14" s="6" t="s">
        <v>15</v>
      </c>
      <c r="F14" s="26" t="s">
        <v>677</v>
      </c>
      <c r="G14" s="4"/>
      <c r="H14" s="45"/>
      <c r="I14" s="5"/>
      <c r="J14" s="4"/>
      <c r="K14" s="5"/>
      <c r="L14" s="4"/>
    </row>
    <row r="15" spans="1:12" ht="15">
      <c r="A15" s="5"/>
      <c r="B15" s="5"/>
      <c r="C15" s="5"/>
      <c r="D15" s="5"/>
      <c r="E15" s="6" t="s">
        <v>15</v>
      </c>
      <c r="F15" s="26" t="s">
        <v>679</v>
      </c>
      <c r="G15" s="4"/>
      <c r="H15" s="45"/>
      <c r="I15" s="5"/>
      <c r="J15" s="4"/>
      <c r="K15" s="5"/>
      <c r="L15" s="4"/>
    </row>
    <row r="16" spans="1:12" ht="15">
      <c r="A16" s="5"/>
      <c r="B16" s="5"/>
      <c r="C16" s="5"/>
      <c r="D16" s="5"/>
      <c r="E16" s="6" t="s">
        <v>16</v>
      </c>
      <c r="F16" s="26" t="s">
        <v>678</v>
      </c>
      <c r="G16" s="4"/>
      <c r="H16" s="45"/>
      <c r="I16" s="5"/>
      <c r="J16" s="4"/>
      <c r="K16" s="5"/>
      <c r="L16" s="4"/>
    </row>
    <row r="17" spans="1:12" ht="15">
      <c r="A17" s="5"/>
      <c r="B17" s="5"/>
      <c r="C17" s="5"/>
      <c r="D17" s="5"/>
      <c r="E17" s="6"/>
      <c r="F17" s="5"/>
      <c r="G17" s="4"/>
      <c r="H17" s="45"/>
      <c r="I17" s="5"/>
      <c r="J17" s="4"/>
      <c r="K17" s="5"/>
      <c r="L17" s="4"/>
    </row>
    <row r="18" spans="1:12">
      <c r="A18" s="5"/>
      <c r="B18" s="5"/>
      <c r="C18" s="5"/>
      <c r="D18" s="5"/>
      <c r="E18" s="5"/>
      <c r="F18" s="5"/>
      <c r="G18" s="4"/>
      <c r="H18" s="45"/>
      <c r="I18" s="5"/>
      <c r="J18" s="4"/>
      <c r="K18" s="5"/>
      <c r="L18" s="4"/>
    </row>
    <row r="19" spans="1:12" ht="18">
      <c r="A19" s="7" t="s">
        <v>17</v>
      </c>
      <c r="B19" s="7"/>
      <c r="C19" s="5"/>
      <c r="D19" s="5"/>
      <c r="E19" s="5"/>
      <c r="F19" s="5"/>
      <c r="G19" s="4"/>
      <c r="H19" s="45"/>
      <c r="I19" s="5"/>
      <c r="J19" s="4"/>
      <c r="K19" s="5"/>
      <c r="L19" s="4"/>
    </row>
    <row r="20" spans="1:12" ht="15">
      <c r="A20" s="11" t="s">
        <v>762</v>
      </c>
      <c r="B20" s="11"/>
      <c r="C20" s="5"/>
      <c r="D20" s="5"/>
      <c r="E20" s="5"/>
      <c r="F20" s="5"/>
      <c r="G20" s="4"/>
      <c r="H20" s="45"/>
      <c r="I20" s="5"/>
      <c r="J20" s="4"/>
      <c r="K20" s="5"/>
      <c r="L20" s="4"/>
    </row>
    <row r="21" spans="1:12" ht="14.25">
      <c r="A21" s="13"/>
      <c r="B21" s="14"/>
      <c r="C21" s="5"/>
      <c r="D21" s="5"/>
      <c r="E21" s="5"/>
      <c r="F21" s="5"/>
      <c r="G21" s="4"/>
      <c r="H21" s="45"/>
      <c r="I21" s="5"/>
      <c r="J21" s="4"/>
      <c r="K21" s="5"/>
      <c r="L21" s="4"/>
    </row>
    <row r="22" spans="1:12" ht="14.25">
      <c r="A22" s="13"/>
      <c r="B22" s="40" t="s">
        <v>32</v>
      </c>
      <c r="C22" s="5"/>
      <c r="D22" s="5"/>
      <c r="E22" s="5"/>
      <c r="F22" s="5"/>
      <c r="G22" s="4"/>
      <c r="H22" s="45"/>
      <c r="I22" s="5"/>
      <c r="J22" s="4"/>
      <c r="K22" s="5"/>
      <c r="L22" s="4"/>
    </row>
    <row r="23" spans="1:12" ht="15">
      <c r="A23" s="15" t="s">
        <v>33</v>
      </c>
      <c r="B23" s="15" t="s">
        <v>34</v>
      </c>
      <c r="C23" s="15" t="s">
        <v>35</v>
      </c>
      <c r="D23" s="15" t="s">
        <v>36</v>
      </c>
      <c r="E23" s="15" t="s">
        <v>755</v>
      </c>
      <c r="F23" s="5"/>
      <c r="G23" s="4"/>
      <c r="H23" s="45"/>
      <c r="I23" s="5"/>
      <c r="J23" s="4"/>
      <c r="K23" s="5"/>
      <c r="L23" s="4"/>
    </row>
    <row r="24" spans="1:12">
      <c r="A24" s="27" t="s">
        <v>757</v>
      </c>
      <c r="B24" s="10" t="s">
        <v>32</v>
      </c>
      <c r="C24" s="35" t="s">
        <v>758</v>
      </c>
      <c r="D24" s="35" t="s">
        <v>760</v>
      </c>
      <c r="E24" s="43"/>
      <c r="F24" s="5"/>
      <c r="G24" s="4"/>
      <c r="H24" s="45"/>
      <c r="I24" s="5"/>
      <c r="J24" s="4"/>
      <c r="K24" s="5"/>
      <c r="L24" s="4"/>
    </row>
    <row r="25" spans="1:12">
      <c r="A25" s="5"/>
      <c r="B25" s="5"/>
      <c r="C25" s="5"/>
      <c r="D25" s="5"/>
      <c r="E25" s="5"/>
      <c r="F25" s="5"/>
      <c r="G25" s="4"/>
      <c r="H25" s="45"/>
      <c r="I25" s="5"/>
      <c r="J25" s="4"/>
      <c r="K25" s="5"/>
      <c r="L25" s="4"/>
    </row>
    <row r="26" spans="1:12">
      <c r="A26" s="5"/>
      <c r="B26" s="5"/>
      <c r="C26" s="5"/>
      <c r="D26" s="5"/>
      <c r="E26" s="5"/>
      <c r="F26" s="5"/>
      <c r="G26" s="4"/>
      <c r="H26" s="45"/>
      <c r="I26" s="5"/>
      <c r="J26" s="4"/>
      <c r="K26" s="5"/>
      <c r="L26" s="4"/>
    </row>
    <row r="27" spans="1:12">
      <c r="A27" s="5"/>
      <c r="B27" s="5"/>
      <c r="C27" s="5"/>
      <c r="D27" s="5"/>
      <c r="E27" s="5"/>
      <c r="F27" s="5"/>
      <c r="G27" s="4"/>
      <c r="H27" s="45"/>
      <c r="I27" s="5"/>
      <c r="J27" s="4"/>
      <c r="K27" s="5"/>
      <c r="L27" s="4"/>
    </row>
    <row r="28" spans="1:12">
      <c r="A28" s="5"/>
      <c r="B28" s="5"/>
      <c r="C28" s="5"/>
      <c r="D28" s="5"/>
      <c r="E28" s="5"/>
      <c r="F28" s="5"/>
      <c r="G28" s="4"/>
      <c r="H28" s="45"/>
      <c r="I28" s="5"/>
      <c r="J28" s="4"/>
      <c r="K28" s="5"/>
      <c r="L28" s="4"/>
    </row>
    <row r="29" spans="1:12" ht="18">
      <c r="A29" s="7" t="s">
        <v>40</v>
      </c>
      <c r="B29" s="7"/>
      <c r="C29" s="5"/>
      <c r="D29" s="5"/>
      <c r="E29" s="5"/>
      <c r="F29" s="5"/>
      <c r="G29" s="4"/>
      <c r="H29" s="45"/>
      <c r="I29" s="5"/>
      <c r="J29" s="4"/>
      <c r="K29" s="5"/>
      <c r="L29" s="4"/>
    </row>
    <row r="30" spans="1:12" ht="15">
      <c r="A30" s="15" t="s">
        <v>41</v>
      </c>
      <c r="B30" s="15" t="s">
        <v>42</v>
      </c>
      <c r="C30" s="15" t="s">
        <v>43</v>
      </c>
      <c r="D30" s="5"/>
      <c r="E30" s="5"/>
      <c r="F30" s="5"/>
      <c r="G30" s="4"/>
      <c r="H30" s="45"/>
      <c r="I30" s="5"/>
      <c r="J30" s="4"/>
      <c r="K30" s="5"/>
      <c r="L30" s="4"/>
    </row>
    <row r="31" spans="1:12">
      <c r="A31" s="27" t="s">
        <v>761</v>
      </c>
      <c r="B31" s="8" t="s">
        <v>44</v>
      </c>
      <c r="C31" s="27" t="s">
        <v>482</v>
      </c>
      <c r="D31" s="5"/>
      <c r="E31" s="5"/>
      <c r="F31" s="5"/>
      <c r="G31" s="4"/>
      <c r="H31" s="45"/>
      <c r="I31" s="5"/>
      <c r="J31" s="4"/>
      <c r="K31" s="5"/>
      <c r="L31" s="4"/>
    </row>
    <row r="32" spans="1:12">
      <c r="A32" s="5"/>
      <c r="B32" s="5"/>
      <c r="C32" s="5"/>
      <c r="D32" s="5"/>
      <c r="E32" s="5"/>
      <c r="F32" s="5"/>
      <c r="G32" s="4"/>
      <c r="H32" s="45"/>
      <c r="I32" s="5"/>
      <c r="J32" s="4"/>
      <c r="K32" s="5"/>
      <c r="L32" s="4"/>
    </row>
    <row r="33" spans="6:12">
      <c r="F33" s="5"/>
      <c r="G33" s="4"/>
      <c r="H33" s="45"/>
      <c r="I33" s="5"/>
      <c r="J33" s="4"/>
      <c r="K33" s="5"/>
      <c r="L33" s="4"/>
    </row>
    <row r="34" spans="6:12">
      <c r="F34" s="5"/>
      <c r="G34" s="4"/>
      <c r="H34" s="45"/>
      <c r="I34" s="5"/>
      <c r="J34" s="4"/>
      <c r="K34" s="5"/>
      <c r="L34" s="4"/>
    </row>
    <row r="35" spans="6:12">
      <c r="F35" s="5"/>
      <c r="G35" s="4"/>
      <c r="H35" s="45"/>
      <c r="I35" s="5"/>
      <c r="J35" s="4"/>
      <c r="K35" s="5"/>
      <c r="L35" s="4"/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R41"/>
  <sheetViews>
    <sheetView workbookViewId="0">
      <selection activeCell="G16" sqref="G16"/>
    </sheetView>
  </sheetViews>
  <sheetFormatPr defaultRowHeight="12.75"/>
  <cols>
    <col min="1" max="1" width="23.5703125" customWidth="1"/>
    <col min="2" max="2" width="30.7109375" customWidth="1"/>
    <col min="3" max="3" width="21.28515625" customWidth="1"/>
    <col min="5" max="5" width="22.85546875" customWidth="1"/>
    <col min="6" max="6" width="32" customWidth="1"/>
  </cols>
  <sheetData>
    <row r="1" spans="1:18">
      <c r="A1" s="79" t="s">
        <v>706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/>
      <c r="R1" s="32"/>
    </row>
    <row r="2" spans="1:18" ht="59.25" customHeight="1" thickBot="1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4"/>
      <c r="R2" s="32"/>
    </row>
    <row r="3" spans="1:18" ht="15">
      <c r="A3" s="62" t="s">
        <v>0</v>
      </c>
      <c r="B3" s="64" t="s">
        <v>9</v>
      </c>
      <c r="C3" s="64" t="s">
        <v>697</v>
      </c>
      <c r="D3" s="66" t="s">
        <v>19</v>
      </c>
      <c r="E3" s="66" t="s">
        <v>7</v>
      </c>
      <c r="F3" s="66" t="s">
        <v>10</v>
      </c>
      <c r="G3" s="66" t="s">
        <v>698</v>
      </c>
      <c r="H3" s="66"/>
      <c r="I3" s="66"/>
      <c r="J3" s="66"/>
      <c r="K3" s="66" t="s">
        <v>699</v>
      </c>
      <c r="L3" s="66"/>
      <c r="M3" s="66"/>
      <c r="N3" s="66"/>
      <c r="O3" s="66" t="s">
        <v>4</v>
      </c>
      <c r="P3" s="66" t="s">
        <v>6</v>
      </c>
      <c r="Q3" s="67" t="s">
        <v>5</v>
      </c>
      <c r="R3" s="1"/>
    </row>
    <row r="4" spans="1:18" ht="15.75" thickBot="1">
      <c r="A4" s="63"/>
      <c r="B4" s="65"/>
      <c r="C4" s="65"/>
      <c r="D4" s="65"/>
      <c r="E4" s="65"/>
      <c r="F4" s="65"/>
      <c r="G4" s="33">
        <v>1</v>
      </c>
      <c r="H4" s="33">
        <v>2</v>
      </c>
      <c r="I4" s="33">
        <v>3</v>
      </c>
      <c r="J4" s="33" t="s">
        <v>8</v>
      </c>
      <c r="K4" s="33">
        <v>1</v>
      </c>
      <c r="L4" s="33">
        <v>2</v>
      </c>
      <c r="M4" s="33">
        <v>3</v>
      </c>
      <c r="N4" s="33" t="s">
        <v>8</v>
      </c>
      <c r="O4" s="65"/>
      <c r="P4" s="65"/>
      <c r="Q4" s="68"/>
      <c r="R4" s="1"/>
    </row>
    <row r="5" spans="1:18" ht="15">
      <c r="A5" s="54" t="s">
        <v>87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26"/>
      <c r="R5" s="32"/>
    </row>
    <row r="6" spans="1:18">
      <c r="A6" s="34" t="s">
        <v>700</v>
      </c>
      <c r="B6" s="35" t="s">
        <v>701</v>
      </c>
      <c r="C6" s="35" t="s">
        <v>389</v>
      </c>
      <c r="D6" s="35" t="str">
        <f>"0,7258"</f>
        <v>0,7258</v>
      </c>
      <c r="E6" s="27" t="s">
        <v>702</v>
      </c>
      <c r="F6" s="27" t="s">
        <v>26</v>
      </c>
      <c r="G6" s="9" t="s">
        <v>56</v>
      </c>
      <c r="H6" s="35" t="s">
        <v>56</v>
      </c>
      <c r="I6" s="35" t="s">
        <v>390</v>
      </c>
      <c r="J6" s="9"/>
      <c r="K6" s="35" t="s">
        <v>93</v>
      </c>
      <c r="L6" s="35" t="s">
        <v>94</v>
      </c>
      <c r="M6" s="9" t="s">
        <v>55</v>
      </c>
      <c r="N6" s="9"/>
      <c r="O6" s="34" t="str">
        <f>"120,0"</f>
        <v>120,0</v>
      </c>
      <c r="P6" s="35" t="str">
        <f>"104,8636"</f>
        <v>104,8636</v>
      </c>
      <c r="Q6" s="27" t="s">
        <v>30</v>
      </c>
      <c r="R6" s="32"/>
    </row>
    <row r="7" spans="1:18">
      <c r="A7" s="34" t="s">
        <v>700</v>
      </c>
      <c r="B7" s="35" t="s">
        <v>703</v>
      </c>
      <c r="C7" s="35" t="s">
        <v>389</v>
      </c>
      <c r="D7" s="35" t="str">
        <f>"0,7258"</f>
        <v>0,7258</v>
      </c>
      <c r="E7" s="27" t="s">
        <v>702</v>
      </c>
      <c r="F7" s="27" t="s">
        <v>26</v>
      </c>
      <c r="G7" s="9" t="s">
        <v>56</v>
      </c>
      <c r="H7" s="35" t="s">
        <v>56</v>
      </c>
      <c r="I7" s="35" t="s">
        <v>390</v>
      </c>
      <c r="J7" s="9"/>
      <c r="K7" s="35" t="s">
        <v>93</v>
      </c>
      <c r="L7" s="35" t="s">
        <v>94</v>
      </c>
      <c r="M7" s="9" t="s">
        <v>55</v>
      </c>
      <c r="N7" s="9"/>
      <c r="O7" s="34" t="str">
        <f>"120,0"</f>
        <v>120,0</v>
      </c>
      <c r="P7" s="35" t="str">
        <f>"104,8636"</f>
        <v>104,8636</v>
      </c>
      <c r="Q7" s="27" t="s">
        <v>30</v>
      </c>
      <c r="R7" s="32"/>
    </row>
    <row r="8" spans="1:18" ht="15">
      <c r="A8" s="55" t="s">
        <v>20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26"/>
      <c r="R8" s="32"/>
    </row>
    <row r="9" spans="1:18">
      <c r="A9" s="34" t="s">
        <v>707</v>
      </c>
      <c r="B9" s="28" t="s">
        <v>708</v>
      </c>
      <c r="C9" s="35" t="s">
        <v>709</v>
      </c>
      <c r="D9" s="35"/>
      <c r="E9" s="8" t="s">
        <v>25</v>
      </c>
      <c r="F9" s="27" t="s">
        <v>26</v>
      </c>
      <c r="G9" s="35" t="s">
        <v>710</v>
      </c>
      <c r="H9" s="9" t="s">
        <v>711</v>
      </c>
      <c r="I9" s="9" t="s">
        <v>711</v>
      </c>
      <c r="J9" s="9"/>
      <c r="K9" s="35" t="s">
        <v>710</v>
      </c>
      <c r="L9" s="35" t="s">
        <v>711</v>
      </c>
      <c r="M9" s="9" t="s">
        <v>712</v>
      </c>
      <c r="N9" s="9"/>
      <c r="O9" s="34" t="s">
        <v>713</v>
      </c>
      <c r="P9" s="35" t="s">
        <v>714</v>
      </c>
      <c r="Q9" s="27" t="s">
        <v>30</v>
      </c>
      <c r="R9" s="32"/>
    </row>
    <row r="10" spans="1:18">
      <c r="A10" s="16"/>
      <c r="B10" s="32"/>
      <c r="C10" s="32"/>
      <c r="D10" s="32"/>
      <c r="E10" s="26"/>
      <c r="F10" s="26"/>
      <c r="G10" s="32"/>
      <c r="H10" s="32"/>
      <c r="I10" s="32"/>
      <c r="J10" s="32"/>
      <c r="K10" s="32"/>
      <c r="L10" s="32"/>
      <c r="M10" s="32"/>
      <c r="N10" s="32"/>
      <c r="O10" s="16"/>
      <c r="P10" s="32"/>
      <c r="Q10" s="26"/>
      <c r="R10" s="32"/>
    </row>
    <row r="11" spans="1:18" ht="1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26"/>
      <c r="R11" s="32"/>
    </row>
    <row r="12" spans="1:18">
      <c r="A12" s="16"/>
      <c r="B12" s="32"/>
      <c r="C12" s="32"/>
      <c r="D12" s="32"/>
      <c r="E12" s="26"/>
      <c r="F12" s="26"/>
      <c r="G12" s="42"/>
      <c r="H12" s="32"/>
      <c r="I12" s="32"/>
      <c r="J12" s="42"/>
      <c r="K12" s="32"/>
      <c r="L12" s="32"/>
      <c r="M12" s="32"/>
      <c r="N12" s="42"/>
      <c r="O12" s="16"/>
      <c r="P12" s="32"/>
      <c r="Q12" s="26" t="s">
        <v>30</v>
      </c>
      <c r="R12" s="32"/>
    </row>
    <row r="13" spans="1:18">
      <c r="A13" s="16"/>
      <c r="B13" s="32"/>
      <c r="C13" s="32"/>
      <c r="D13" s="32"/>
      <c r="E13" s="26"/>
      <c r="F13" s="26"/>
      <c r="G13" s="32"/>
      <c r="H13" s="32"/>
      <c r="I13" s="32"/>
      <c r="J13" s="32"/>
      <c r="K13" s="32"/>
      <c r="L13" s="32"/>
      <c r="M13" s="32"/>
      <c r="N13" s="32"/>
      <c r="O13" s="16"/>
      <c r="P13" s="32"/>
      <c r="Q13" s="26"/>
      <c r="R13" s="32"/>
    </row>
    <row r="14" spans="1:18" ht="15">
      <c r="A14" s="16"/>
      <c r="B14" s="32"/>
      <c r="C14" s="32"/>
      <c r="D14" s="32"/>
      <c r="E14" s="6" t="s">
        <v>12</v>
      </c>
      <c r="F14" s="26" t="s">
        <v>674</v>
      </c>
      <c r="G14" s="32"/>
      <c r="H14" s="32"/>
      <c r="I14" s="32"/>
      <c r="J14" s="32"/>
      <c r="K14" s="32"/>
      <c r="L14" s="32"/>
      <c r="M14" s="32"/>
      <c r="N14" s="32"/>
      <c r="O14" s="16"/>
      <c r="P14" s="32"/>
      <c r="Q14" s="26"/>
      <c r="R14" s="32"/>
    </row>
    <row r="15" spans="1:18" ht="15">
      <c r="A15" s="16"/>
      <c r="B15" s="32"/>
      <c r="C15" s="32"/>
      <c r="D15" s="32"/>
      <c r="E15" s="6" t="s">
        <v>13</v>
      </c>
      <c r="F15" s="26" t="s">
        <v>675</v>
      </c>
      <c r="G15" s="32"/>
      <c r="H15" s="32"/>
      <c r="I15" s="32"/>
      <c r="J15" s="32"/>
      <c r="K15" s="32"/>
      <c r="L15" s="32"/>
      <c r="M15" s="32"/>
      <c r="N15" s="32"/>
      <c r="O15" s="16"/>
      <c r="P15" s="32"/>
      <c r="Q15" s="26"/>
      <c r="R15" s="32"/>
    </row>
    <row r="16" spans="1:18" ht="15">
      <c r="A16" s="16"/>
      <c r="B16" s="32"/>
      <c r="C16" s="32"/>
      <c r="D16" s="32"/>
      <c r="E16" s="6" t="s">
        <v>14</v>
      </c>
      <c r="F16" s="26" t="s">
        <v>676</v>
      </c>
      <c r="G16" s="32"/>
      <c r="H16" s="32"/>
      <c r="I16" s="32"/>
      <c r="J16" s="32"/>
      <c r="K16" s="32"/>
      <c r="L16" s="32"/>
      <c r="M16" s="32"/>
      <c r="N16" s="32"/>
      <c r="O16" s="16"/>
      <c r="P16" s="32"/>
      <c r="Q16" s="26"/>
      <c r="R16" s="32"/>
    </row>
    <row r="17" spans="1:18" ht="15">
      <c r="A17" s="16"/>
      <c r="B17" s="32"/>
      <c r="C17" s="32"/>
      <c r="D17" s="32"/>
      <c r="E17" s="6" t="s">
        <v>15</v>
      </c>
      <c r="F17" s="26" t="s">
        <v>677</v>
      </c>
      <c r="G17" s="32"/>
      <c r="H17" s="32"/>
      <c r="I17" s="32"/>
      <c r="J17" s="32"/>
      <c r="K17" s="32"/>
      <c r="L17" s="32"/>
      <c r="M17" s="32"/>
      <c r="N17" s="32"/>
      <c r="O17" s="16"/>
      <c r="P17" s="32"/>
      <c r="Q17" s="26"/>
      <c r="R17" s="32"/>
    </row>
    <row r="18" spans="1:18" ht="15">
      <c r="A18" s="16"/>
      <c r="B18" s="32"/>
      <c r="C18" s="32"/>
      <c r="D18" s="32"/>
      <c r="E18" s="6" t="s">
        <v>15</v>
      </c>
      <c r="F18" s="26" t="s">
        <v>679</v>
      </c>
      <c r="G18" s="32"/>
      <c r="H18" s="32"/>
      <c r="I18" s="32"/>
      <c r="J18" s="32"/>
      <c r="K18" s="32"/>
      <c r="L18" s="32"/>
      <c r="M18" s="32"/>
      <c r="N18" s="32"/>
      <c r="O18" s="16"/>
      <c r="P18" s="32"/>
      <c r="Q18" s="26"/>
      <c r="R18" s="32"/>
    </row>
    <row r="19" spans="1:18" ht="15">
      <c r="A19" s="16"/>
      <c r="B19" s="32"/>
      <c r="C19" s="32"/>
      <c r="D19" s="32"/>
      <c r="E19" s="6" t="s">
        <v>16</v>
      </c>
      <c r="F19" s="26" t="s">
        <v>678</v>
      </c>
      <c r="G19" s="32"/>
      <c r="H19" s="32"/>
      <c r="I19" s="32"/>
      <c r="J19" s="32"/>
      <c r="K19" s="32"/>
      <c r="L19" s="32"/>
      <c r="M19" s="32"/>
      <c r="N19" s="32"/>
      <c r="O19" s="16"/>
      <c r="P19" s="32"/>
      <c r="Q19" s="26"/>
      <c r="R19" s="32"/>
    </row>
    <row r="20" spans="1:18" ht="15">
      <c r="A20" s="16"/>
      <c r="B20" s="32"/>
      <c r="C20" s="32"/>
      <c r="D20" s="32"/>
      <c r="E20" s="6"/>
      <c r="F20" s="26"/>
      <c r="G20" s="32"/>
      <c r="H20" s="32"/>
      <c r="I20" s="32"/>
      <c r="J20" s="32"/>
      <c r="K20" s="32"/>
      <c r="L20" s="32"/>
      <c r="M20" s="32"/>
      <c r="N20" s="32"/>
      <c r="O20" s="16"/>
      <c r="P20" s="32"/>
      <c r="Q20" s="26"/>
      <c r="R20" s="32"/>
    </row>
    <row r="21" spans="1:18">
      <c r="A21" s="16"/>
      <c r="B21" s="32"/>
      <c r="C21" s="32"/>
      <c r="D21" s="32"/>
      <c r="E21" s="26"/>
      <c r="F21" s="26"/>
      <c r="G21" s="32"/>
      <c r="H21" s="32"/>
      <c r="I21" s="32"/>
      <c r="J21" s="32"/>
      <c r="K21" s="32"/>
      <c r="L21" s="32"/>
      <c r="M21" s="32"/>
      <c r="N21" s="32"/>
      <c r="O21" s="16"/>
      <c r="P21" s="32"/>
      <c r="Q21" s="26"/>
      <c r="R21" s="32"/>
    </row>
    <row r="22" spans="1:18" ht="18">
      <c r="A22" s="36" t="s">
        <v>17</v>
      </c>
      <c r="B22" s="37"/>
      <c r="C22" s="32"/>
      <c r="D22" s="32"/>
      <c r="E22" s="26"/>
      <c r="F22" s="26"/>
      <c r="G22" s="32"/>
      <c r="H22" s="32"/>
      <c r="I22" s="32"/>
      <c r="J22" s="32"/>
      <c r="K22" s="32"/>
      <c r="L22" s="32"/>
      <c r="M22" s="32"/>
      <c r="N22" s="32"/>
      <c r="O22" s="16"/>
      <c r="P22" s="32"/>
      <c r="Q22" s="26"/>
      <c r="R22" s="32"/>
    </row>
    <row r="23" spans="1:18" ht="15">
      <c r="A23" s="38" t="s">
        <v>31</v>
      </c>
      <c r="B23" s="30"/>
      <c r="C23" s="32"/>
      <c r="D23" s="32"/>
      <c r="E23" s="26"/>
      <c r="F23" s="26"/>
      <c r="G23" s="32"/>
      <c r="H23" s="32"/>
      <c r="I23" s="32"/>
      <c r="J23" s="32"/>
      <c r="K23" s="32"/>
      <c r="L23" s="32"/>
      <c r="M23" s="32"/>
      <c r="N23" s="32"/>
      <c r="O23" s="16"/>
      <c r="P23" s="32"/>
      <c r="Q23" s="26"/>
      <c r="R23" s="32"/>
    </row>
    <row r="24" spans="1:18">
      <c r="F24" s="26"/>
      <c r="G24" s="32"/>
      <c r="H24" s="32"/>
      <c r="I24" s="32"/>
      <c r="J24" s="32"/>
      <c r="K24" s="32"/>
      <c r="L24" s="32"/>
      <c r="M24" s="32"/>
      <c r="N24" s="32"/>
      <c r="O24" s="16"/>
      <c r="P24" s="32"/>
      <c r="Q24" s="26"/>
      <c r="R24" s="32"/>
    </row>
    <row r="25" spans="1:18" ht="14.25">
      <c r="A25" s="39"/>
      <c r="B25" s="40" t="s">
        <v>715</v>
      </c>
      <c r="C25" s="32"/>
      <c r="D25" s="32"/>
      <c r="E25" s="26"/>
      <c r="F25" s="26"/>
      <c r="G25" s="32"/>
      <c r="H25" s="32"/>
      <c r="I25" s="32"/>
      <c r="J25" s="32"/>
      <c r="K25" s="32"/>
      <c r="L25" s="32"/>
      <c r="M25" s="32"/>
      <c r="N25" s="32"/>
      <c r="O25" s="16"/>
      <c r="P25" s="32"/>
      <c r="Q25" s="26"/>
      <c r="R25" s="32"/>
    </row>
    <row r="26" spans="1:18" ht="15">
      <c r="A26" s="15" t="s">
        <v>33</v>
      </c>
      <c r="B26" s="15" t="s">
        <v>34</v>
      </c>
      <c r="C26" s="15" t="s">
        <v>35</v>
      </c>
      <c r="D26" s="15" t="s">
        <v>36</v>
      </c>
      <c r="E26" s="15" t="s">
        <v>37</v>
      </c>
      <c r="F26" s="26"/>
      <c r="G26" s="32"/>
      <c r="H26" s="32"/>
      <c r="I26" s="32"/>
      <c r="J26" s="32"/>
      <c r="K26" s="32"/>
      <c r="L26" s="32"/>
      <c r="M26" s="32"/>
      <c r="N26" s="32"/>
      <c r="O26" s="16"/>
      <c r="P26" s="32"/>
      <c r="Q26" s="26"/>
      <c r="R26" s="32"/>
    </row>
    <row r="27" spans="1:18">
      <c r="A27" s="43" t="s">
        <v>717</v>
      </c>
      <c r="B27" s="32" t="s">
        <v>718</v>
      </c>
      <c r="C27" s="32" t="s">
        <v>719</v>
      </c>
      <c r="D27" s="32" t="s">
        <v>28</v>
      </c>
      <c r="E27" s="34" t="s">
        <v>714</v>
      </c>
      <c r="F27" s="26"/>
      <c r="G27" s="32"/>
      <c r="H27" s="32"/>
      <c r="I27" s="32"/>
      <c r="J27" s="32"/>
      <c r="K27" s="32"/>
      <c r="L27" s="32"/>
      <c r="M27" s="32"/>
      <c r="N27" s="32"/>
      <c r="O27" s="16"/>
      <c r="P27" s="32"/>
      <c r="Q27" s="26"/>
      <c r="R27" s="32"/>
    </row>
    <row r="28" spans="1:18">
      <c r="F28" s="26"/>
      <c r="G28" s="32"/>
      <c r="H28" s="32"/>
      <c r="I28" s="32"/>
      <c r="J28" s="32"/>
      <c r="K28" s="32"/>
      <c r="L28" s="32"/>
      <c r="M28" s="32"/>
      <c r="N28" s="32"/>
      <c r="O28" s="16"/>
      <c r="P28" s="32"/>
      <c r="Q28" s="26"/>
      <c r="R28" s="32"/>
    </row>
    <row r="29" spans="1:18" ht="14.25">
      <c r="A29" s="39"/>
      <c r="B29" s="40" t="s">
        <v>32</v>
      </c>
      <c r="C29" s="32"/>
      <c r="D29" s="32"/>
      <c r="E29" s="26"/>
      <c r="F29" s="26"/>
      <c r="G29" s="32"/>
      <c r="H29" s="32"/>
      <c r="I29" s="32"/>
      <c r="J29" s="32"/>
      <c r="K29" s="32"/>
      <c r="L29" s="32"/>
      <c r="M29" s="32"/>
      <c r="N29" s="32"/>
      <c r="O29" s="16"/>
      <c r="P29" s="32"/>
      <c r="Q29" s="26"/>
      <c r="R29" s="32"/>
    </row>
    <row r="30" spans="1:18" ht="15">
      <c r="A30" s="15" t="s">
        <v>33</v>
      </c>
      <c r="B30" s="15" t="s">
        <v>34</v>
      </c>
      <c r="C30" s="15" t="s">
        <v>35</v>
      </c>
      <c r="D30" s="15" t="s">
        <v>36</v>
      </c>
      <c r="E30" s="15" t="s">
        <v>37</v>
      </c>
      <c r="F30" s="26"/>
      <c r="G30" s="32"/>
      <c r="H30" s="32"/>
      <c r="I30" s="32"/>
      <c r="J30" s="32"/>
      <c r="K30" s="32"/>
      <c r="L30" s="32"/>
      <c r="M30" s="32"/>
      <c r="N30" s="32"/>
      <c r="O30" s="16"/>
      <c r="P30" s="32"/>
      <c r="Q30" s="26"/>
      <c r="R30" s="32"/>
    </row>
    <row r="31" spans="1:18">
      <c r="A31" s="41" t="s">
        <v>704</v>
      </c>
      <c r="B31" s="32" t="s">
        <v>274</v>
      </c>
      <c r="C31" s="32" t="s">
        <v>140</v>
      </c>
      <c r="D31" s="32" t="s">
        <v>115</v>
      </c>
      <c r="E31" s="16" t="s">
        <v>705</v>
      </c>
      <c r="F31" s="26"/>
      <c r="G31" s="32"/>
      <c r="H31" s="32"/>
      <c r="I31" s="32"/>
      <c r="J31" s="32"/>
      <c r="K31" s="32"/>
      <c r="L31" s="32"/>
      <c r="M31" s="32"/>
      <c r="N31" s="32"/>
      <c r="O31" s="16"/>
      <c r="P31" s="32"/>
      <c r="Q31" s="26"/>
      <c r="R31" s="32"/>
    </row>
    <row r="32" spans="1:18">
      <c r="A32" s="41"/>
      <c r="B32" s="32"/>
      <c r="C32" s="32"/>
      <c r="D32" s="32"/>
      <c r="E32" s="16"/>
      <c r="F32" s="26"/>
      <c r="G32" s="32"/>
      <c r="H32" s="32"/>
      <c r="I32" s="32"/>
      <c r="J32" s="32"/>
      <c r="K32" s="32"/>
      <c r="L32" s="32"/>
      <c r="M32" s="32"/>
      <c r="N32" s="32"/>
      <c r="O32" s="16"/>
      <c r="P32" s="32"/>
      <c r="Q32" s="26"/>
      <c r="R32" s="32"/>
    </row>
    <row r="33" spans="1:18">
      <c r="A33" s="41"/>
      <c r="B33" s="32"/>
      <c r="C33" s="32"/>
      <c r="D33" s="32"/>
      <c r="E33" s="16"/>
      <c r="F33" s="26"/>
      <c r="G33" s="32"/>
      <c r="H33" s="32"/>
      <c r="I33" s="32"/>
      <c r="J33" s="32"/>
      <c r="K33" s="32"/>
      <c r="L33" s="32"/>
      <c r="M33" s="32"/>
      <c r="N33" s="32"/>
      <c r="O33" s="16"/>
      <c r="P33" s="32"/>
      <c r="Q33" s="26"/>
      <c r="R33" s="32"/>
    </row>
    <row r="34" spans="1:18">
      <c r="A34" s="16"/>
      <c r="B34" s="32"/>
      <c r="C34" s="32"/>
      <c r="D34" s="32"/>
      <c r="E34" s="26"/>
      <c r="F34" s="26"/>
      <c r="G34" s="32"/>
      <c r="H34" s="32"/>
      <c r="I34" s="32"/>
      <c r="J34" s="32"/>
      <c r="K34" s="32"/>
      <c r="L34" s="32"/>
      <c r="M34" s="32"/>
      <c r="N34" s="32"/>
      <c r="O34" s="16"/>
      <c r="P34" s="32"/>
      <c r="Q34" s="26"/>
      <c r="R34" s="32"/>
    </row>
    <row r="35" spans="1:18" ht="14.25">
      <c r="A35" s="39"/>
      <c r="B35" s="40" t="s">
        <v>81</v>
      </c>
      <c r="C35" s="32"/>
      <c r="D35" s="32"/>
      <c r="E35" s="26"/>
      <c r="F35" s="26"/>
      <c r="G35" s="32"/>
      <c r="H35" s="32"/>
      <c r="I35" s="32"/>
      <c r="J35" s="32"/>
      <c r="K35" s="32"/>
      <c r="L35" s="32"/>
      <c r="M35" s="32"/>
      <c r="N35" s="32"/>
      <c r="O35" s="16"/>
      <c r="P35" s="32"/>
      <c r="Q35" s="26"/>
      <c r="R35" s="32"/>
    </row>
    <row r="36" spans="1:18" ht="15">
      <c r="A36" s="15" t="s">
        <v>33</v>
      </c>
      <c r="B36" s="15" t="s">
        <v>34</v>
      </c>
      <c r="C36" s="15" t="s">
        <v>35</v>
      </c>
      <c r="D36" s="15" t="s">
        <v>36</v>
      </c>
      <c r="E36" s="15" t="s">
        <v>37</v>
      </c>
      <c r="F36" s="26"/>
      <c r="G36" s="32"/>
      <c r="H36" s="32"/>
      <c r="I36" s="32"/>
      <c r="J36" s="32"/>
      <c r="K36" s="32"/>
      <c r="L36" s="32"/>
      <c r="M36" s="32"/>
      <c r="N36" s="32"/>
      <c r="O36" s="16"/>
      <c r="P36" s="32"/>
      <c r="Q36" s="26"/>
      <c r="R36" s="32"/>
    </row>
    <row r="37" spans="1:18">
      <c r="A37" s="41" t="s">
        <v>704</v>
      </c>
      <c r="B37" s="32" t="s">
        <v>274</v>
      </c>
      <c r="C37" s="32" t="s">
        <v>140</v>
      </c>
      <c r="D37" s="32" t="s">
        <v>115</v>
      </c>
      <c r="E37" s="16" t="s">
        <v>705</v>
      </c>
      <c r="F37" s="26"/>
      <c r="G37" s="32"/>
      <c r="H37" s="32"/>
      <c r="I37" s="32"/>
      <c r="J37" s="32"/>
      <c r="K37" s="32"/>
      <c r="L37" s="32"/>
      <c r="M37" s="32"/>
      <c r="N37" s="32"/>
      <c r="O37" s="16"/>
      <c r="P37" s="32"/>
      <c r="Q37" s="26"/>
      <c r="R37" s="32"/>
    </row>
    <row r="38" spans="1:18" ht="18">
      <c r="A38" s="36" t="s">
        <v>40</v>
      </c>
      <c r="B38" s="37"/>
      <c r="C38" s="32"/>
      <c r="D38" s="32"/>
      <c r="E38" s="26"/>
      <c r="F38" s="26"/>
      <c r="G38" s="32"/>
      <c r="H38" s="32"/>
      <c r="I38" s="32"/>
      <c r="J38" s="32"/>
      <c r="K38" s="32"/>
      <c r="L38" s="32"/>
      <c r="M38" s="32"/>
      <c r="N38" s="32"/>
      <c r="O38" s="16"/>
      <c r="P38" s="32"/>
      <c r="Q38" s="26"/>
      <c r="R38" s="32"/>
    </row>
    <row r="39" spans="1:18" ht="15">
      <c r="A39" s="15" t="s">
        <v>41</v>
      </c>
      <c r="B39" s="15" t="s">
        <v>42</v>
      </c>
      <c r="C39" s="15" t="s">
        <v>43</v>
      </c>
      <c r="D39" s="32"/>
      <c r="E39" s="26"/>
      <c r="F39" s="26"/>
      <c r="G39" s="32"/>
      <c r="H39" s="32"/>
      <c r="I39" s="32"/>
      <c r="J39" s="32"/>
      <c r="K39" s="32"/>
      <c r="L39" s="32"/>
      <c r="M39" s="32"/>
      <c r="N39" s="32"/>
      <c r="O39" s="16"/>
      <c r="P39" s="32"/>
      <c r="Q39" s="26"/>
      <c r="R39" s="32"/>
    </row>
    <row r="40" spans="1:18">
      <c r="A40" s="16" t="s">
        <v>702</v>
      </c>
      <c r="B40" s="32" t="s">
        <v>716</v>
      </c>
      <c r="C40" s="3" t="s">
        <v>704</v>
      </c>
      <c r="D40" s="32"/>
      <c r="E40" s="26"/>
    </row>
    <row r="41" spans="1:18">
      <c r="A41" s="34" t="s">
        <v>25</v>
      </c>
      <c r="B41" s="32" t="s">
        <v>44</v>
      </c>
      <c r="C41" s="43" t="s">
        <v>717</v>
      </c>
      <c r="D41" s="32"/>
      <c r="E41" s="26"/>
    </row>
  </sheetData>
  <mergeCells count="15">
    <mergeCell ref="E3:E4"/>
    <mergeCell ref="F3:F4"/>
    <mergeCell ref="G3:J3"/>
    <mergeCell ref="K3:N3"/>
    <mergeCell ref="O3:O4"/>
    <mergeCell ref="P3:P4"/>
    <mergeCell ref="Q3:Q4"/>
    <mergeCell ref="A5:P5"/>
    <mergeCell ref="A8:P8"/>
    <mergeCell ref="A11:P11"/>
    <mergeCell ref="A1:Q2"/>
    <mergeCell ref="A3:A4"/>
    <mergeCell ref="B3:B4"/>
    <mergeCell ref="C3:C4"/>
    <mergeCell ref="D3:D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activeCell="E25" sqref="E25"/>
    </sheetView>
  </sheetViews>
  <sheetFormatPr defaultRowHeight="12.75"/>
  <cols>
    <col min="1" max="1" width="23" customWidth="1"/>
    <col min="2" max="2" width="28.5703125" customWidth="1"/>
    <col min="3" max="3" width="20.5703125" customWidth="1"/>
    <col min="5" max="5" width="22.5703125" customWidth="1"/>
    <col min="6" max="6" width="29.5703125" customWidth="1"/>
    <col min="11" max="11" width="9.140625" customWidth="1"/>
  </cols>
  <sheetData>
    <row r="1" spans="1:12" ht="81.75" customHeight="1">
      <c r="A1" s="73" t="s">
        <v>732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3"/>
    </row>
    <row r="2" spans="1:12" ht="13.5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8"/>
      <c r="L2" s="3"/>
    </row>
    <row r="3" spans="1:12" ht="15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720</v>
      </c>
      <c r="H3" s="66"/>
      <c r="I3" s="66" t="s">
        <v>721</v>
      </c>
      <c r="J3" s="66" t="s">
        <v>6</v>
      </c>
      <c r="K3" s="67" t="s">
        <v>5</v>
      </c>
      <c r="L3" s="1"/>
    </row>
    <row r="4" spans="1:12" ht="15.75" thickBot="1">
      <c r="A4" s="63"/>
      <c r="B4" s="65"/>
      <c r="C4" s="65"/>
      <c r="D4" s="65"/>
      <c r="E4" s="65"/>
      <c r="F4" s="65"/>
      <c r="G4" s="2" t="s">
        <v>722</v>
      </c>
      <c r="H4" s="44" t="s">
        <v>723</v>
      </c>
      <c r="I4" s="65"/>
      <c r="J4" s="65"/>
      <c r="K4" s="68"/>
      <c r="L4" s="1"/>
    </row>
    <row r="5" spans="1:12" ht="15">
      <c r="A5" s="54" t="s">
        <v>724</v>
      </c>
      <c r="B5" s="54"/>
      <c r="C5" s="54"/>
      <c r="D5" s="54"/>
      <c r="E5" s="54"/>
      <c r="F5" s="54"/>
      <c r="G5" s="54"/>
      <c r="H5" s="54"/>
      <c r="I5" s="54"/>
      <c r="J5" s="54"/>
      <c r="K5" s="5"/>
      <c r="L5" s="4"/>
    </row>
    <row r="6" spans="1:12">
      <c r="A6" s="27" t="s">
        <v>727</v>
      </c>
      <c r="B6" s="27" t="s">
        <v>728</v>
      </c>
      <c r="C6" s="27" t="s">
        <v>378</v>
      </c>
      <c r="D6" s="8"/>
      <c r="E6" s="27" t="s">
        <v>729</v>
      </c>
      <c r="F6" s="8" t="s">
        <v>26</v>
      </c>
      <c r="G6" s="35" t="s">
        <v>292</v>
      </c>
      <c r="H6" s="47">
        <v>46</v>
      </c>
      <c r="I6" s="27" t="s">
        <v>730</v>
      </c>
      <c r="J6" s="35" t="s">
        <v>731</v>
      </c>
      <c r="K6" s="8" t="s">
        <v>30</v>
      </c>
      <c r="L6" s="4"/>
    </row>
    <row r="7" spans="1:12">
      <c r="A7" s="5"/>
      <c r="B7" s="5"/>
      <c r="C7" s="5"/>
      <c r="D7" s="5"/>
      <c r="E7" s="5"/>
      <c r="F7" s="5"/>
      <c r="G7" s="4"/>
      <c r="H7" s="46"/>
      <c r="I7" s="5"/>
      <c r="J7" s="4"/>
      <c r="K7" s="5" t="s">
        <v>30</v>
      </c>
      <c r="L7" s="4"/>
    </row>
    <row r="8" spans="1:12">
      <c r="A8" s="5"/>
      <c r="B8" s="5"/>
      <c r="C8" s="5"/>
      <c r="D8" s="5"/>
      <c r="E8" s="5"/>
      <c r="F8" s="5"/>
      <c r="G8" s="4"/>
      <c r="H8" s="45"/>
      <c r="I8" s="5"/>
      <c r="J8" s="4"/>
      <c r="K8" s="5"/>
      <c r="L8" s="4"/>
    </row>
    <row r="9" spans="1:12" ht="15">
      <c r="A9" s="5"/>
      <c r="B9" s="5"/>
      <c r="C9" s="5"/>
      <c r="D9" s="5"/>
      <c r="E9" s="6" t="s">
        <v>12</v>
      </c>
      <c r="F9" s="26" t="s">
        <v>674</v>
      </c>
      <c r="G9" s="4"/>
      <c r="H9" s="45"/>
      <c r="I9" s="5"/>
      <c r="J9" s="4"/>
      <c r="K9" s="5"/>
      <c r="L9" s="4"/>
    </row>
    <row r="10" spans="1:12" ht="15">
      <c r="A10" s="5"/>
      <c r="B10" s="5"/>
      <c r="C10" s="5"/>
      <c r="D10" s="5"/>
      <c r="E10" s="6" t="s">
        <v>13</v>
      </c>
      <c r="F10" s="26" t="s">
        <v>675</v>
      </c>
      <c r="G10" s="4"/>
      <c r="H10" s="45"/>
      <c r="I10" s="5"/>
      <c r="J10" s="4"/>
      <c r="K10" s="5"/>
      <c r="L10" s="4"/>
    </row>
    <row r="11" spans="1:12" ht="15">
      <c r="A11" s="5"/>
      <c r="B11" s="5"/>
      <c r="C11" s="5"/>
      <c r="D11" s="5"/>
      <c r="E11" s="6" t="s">
        <v>14</v>
      </c>
      <c r="F11" s="26" t="s">
        <v>676</v>
      </c>
      <c r="G11" s="4"/>
      <c r="H11" s="45"/>
      <c r="I11" s="5"/>
      <c r="J11" s="4"/>
      <c r="K11" s="5"/>
      <c r="L11" s="4"/>
    </row>
    <row r="12" spans="1:12" ht="15">
      <c r="A12" s="5"/>
      <c r="B12" s="5"/>
      <c r="C12" s="5"/>
      <c r="D12" s="5"/>
      <c r="E12" s="6" t="s">
        <v>15</v>
      </c>
      <c r="F12" s="26" t="s">
        <v>677</v>
      </c>
      <c r="G12" s="4"/>
      <c r="H12" s="45"/>
      <c r="I12" s="5"/>
      <c r="J12" s="4"/>
      <c r="K12" s="5"/>
      <c r="L12" s="4"/>
    </row>
    <row r="13" spans="1:12" ht="15">
      <c r="A13" s="5"/>
      <c r="B13" s="5"/>
      <c r="C13" s="5"/>
      <c r="D13" s="5"/>
      <c r="E13" s="6" t="s">
        <v>15</v>
      </c>
      <c r="F13" s="26" t="s">
        <v>679</v>
      </c>
      <c r="G13" s="4"/>
      <c r="H13" s="45"/>
      <c r="I13" s="5"/>
      <c r="J13" s="4"/>
      <c r="K13" s="5"/>
      <c r="L13" s="4"/>
    </row>
    <row r="14" spans="1:12" ht="15">
      <c r="A14" s="5"/>
      <c r="B14" s="5"/>
      <c r="C14" s="5"/>
      <c r="D14" s="5"/>
      <c r="E14" s="6" t="s">
        <v>16</v>
      </c>
      <c r="F14" s="26" t="s">
        <v>678</v>
      </c>
      <c r="G14" s="4"/>
      <c r="H14" s="45"/>
      <c r="I14" s="5"/>
      <c r="J14" s="4"/>
      <c r="K14" s="5"/>
      <c r="L14" s="4"/>
    </row>
    <row r="15" spans="1:12" ht="15">
      <c r="A15" s="5"/>
      <c r="B15" s="5"/>
      <c r="C15" s="5"/>
      <c r="D15" s="5"/>
      <c r="E15" s="6"/>
      <c r="F15" s="5"/>
      <c r="G15" s="4"/>
      <c r="H15" s="45"/>
      <c r="I15" s="5"/>
      <c r="J15" s="4"/>
      <c r="K15" s="5"/>
      <c r="L15" s="4"/>
    </row>
    <row r="16" spans="1:12">
      <c r="A16" s="5"/>
      <c r="B16" s="5"/>
      <c r="C16" s="5"/>
      <c r="D16" s="5"/>
      <c r="E16" s="5"/>
      <c r="F16" s="5"/>
      <c r="G16" s="4"/>
      <c r="H16" s="45"/>
      <c r="I16" s="5"/>
      <c r="J16" s="4"/>
      <c r="K16" s="5"/>
      <c r="L16" s="4"/>
    </row>
    <row r="17" spans="1:12" ht="18">
      <c r="A17" s="7" t="s">
        <v>17</v>
      </c>
      <c r="B17" s="7"/>
      <c r="C17" s="5"/>
      <c r="D17" s="5"/>
      <c r="E17" s="5"/>
      <c r="F17" s="5"/>
      <c r="G17" s="4"/>
      <c r="H17" s="45"/>
      <c r="I17" s="5"/>
      <c r="J17" s="4"/>
      <c r="K17" s="5"/>
      <c r="L17" s="4"/>
    </row>
    <row r="18" spans="1:12" ht="15">
      <c r="A18" s="11" t="s">
        <v>763</v>
      </c>
      <c r="B18" s="11"/>
      <c r="C18" s="5"/>
      <c r="D18" s="5"/>
      <c r="E18" s="5"/>
      <c r="F18" s="5"/>
      <c r="G18" s="4"/>
      <c r="H18" s="45"/>
      <c r="I18" s="5"/>
      <c r="J18" s="4"/>
      <c r="K18" s="5"/>
      <c r="L18" s="4"/>
    </row>
    <row r="19" spans="1:12" ht="14.25">
      <c r="A19" s="13"/>
      <c r="B19" s="14" t="s">
        <v>347</v>
      </c>
      <c r="C19" s="5"/>
      <c r="D19" s="5"/>
      <c r="E19" s="5"/>
      <c r="F19" s="5"/>
      <c r="G19" s="4"/>
      <c r="H19" s="45"/>
      <c r="I19" s="5"/>
      <c r="J19" s="4"/>
      <c r="K19" s="5"/>
      <c r="L19" s="4"/>
    </row>
    <row r="20" spans="1:12" ht="15">
      <c r="A20" s="15" t="s">
        <v>33</v>
      </c>
      <c r="B20" s="15" t="s">
        <v>34</v>
      </c>
      <c r="C20" s="15" t="s">
        <v>35</v>
      </c>
      <c r="D20" s="15" t="s">
        <v>36</v>
      </c>
      <c r="E20" s="15" t="s">
        <v>37</v>
      </c>
      <c r="F20" s="5"/>
      <c r="G20" s="4"/>
      <c r="H20" s="45"/>
      <c r="I20" s="5"/>
      <c r="J20" s="4"/>
      <c r="K20" s="5"/>
      <c r="L20" s="4"/>
    </row>
    <row r="21" spans="1:12">
      <c r="A21" s="34" t="s">
        <v>727</v>
      </c>
      <c r="B21" s="32" t="s">
        <v>725</v>
      </c>
      <c r="C21" s="32" t="s">
        <v>733</v>
      </c>
      <c r="D21" s="32" t="s">
        <v>730</v>
      </c>
      <c r="E21" s="3" t="s">
        <v>731</v>
      </c>
      <c r="F21" s="5"/>
      <c r="G21" s="4"/>
      <c r="H21" s="45"/>
      <c r="I21" s="5"/>
      <c r="J21" s="4"/>
      <c r="K21" s="5"/>
      <c r="L21" s="4"/>
    </row>
    <row r="22" spans="1:12">
      <c r="A22" s="5"/>
      <c r="B22" s="4"/>
      <c r="C22" s="4"/>
      <c r="D22" s="4"/>
      <c r="E22" s="4"/>
      <c r="F22" s="5"/>
      <c r="G22" s="4"/>
      <c r="H22" s="45"/>
      <c r="I22" s="5"/>
      <c r="J22" s="4"/>
      <c r="K22" s="5"/>
      <c r="L22" s="4"/>
    </row>
    <row r="23" spans="1:12" ht="14.25">
      <c r="A23" s="13"/>
      <c r="B23" s="40"/>
      <c r="C23" s="4"/>
      <c r="D23" s="4"/>
      <c r="E23" s="4"/>
      <c r="F23" s="5"/>
      <c r="G23" s="4"/>
      <c r="H23" s="45"/>
      <c r="I23" s="5"/>
      <c r="J23" s="4"/>
      <c r="K23" s="5"/>
      <c r="L23" s="4"/>
    </row>
    <row r="24" spans="1:12" ht="18">
      <c r="A24" s="7" t="s">
        <v>40</v>
      </c>
      <c r="B24" s="37"/>
      <c r="C24" s="4"/>
      <c r="D24" s="4"/>
      <c r="E24" s="1"/>
      <c r="F24" s="5"/>
      <c r="G24" s="4"/>
      <c r="H24" s="45"/>
      <c r="I24" s="5"/>
      <c r="J24" s="4"/>
      <c r="K24" s="5"/>
      <c r="L24" s="4"/>
    </row>
    <row r="25" spans="1:12" ht="15">
      <c r="A25" s="15" t="s">
        <v>41</v>
      </c>
      <c r="B25" s="15" t="s">
        <v>42</v>
      </c>
      <c r="C25" s="15" t="s">
        <v>43</v>
      </c>
      <c r="D25" s="4"/>
      <c r="E25" s="3"/>
      <c r="F25" s="5"/>
      <c r="G25" s="4"/>
      <c r="H25" s="45"/>
      <c r="I25" s="5"/>
      <c r="J25" s="4"/>
      <c r="K25" s="5"/>
      <c r="L25" s="4"/>
    </row>
    <row r="26" spans="1:12">
      <c r="A26" s="27" t="s">
        <v>729</v>
      </c>
      <c r="B26" s="10" t="s">
        <v>44</v>
      </c>
      <c r="C26" s="34" t="s">
        <v>726</v>
      </c>
      <c r="D26" s="4"/>
      <c r="E26" s="4"/>
      <c r="F26" s="5"/>
      <c r="G26" s="4"/>
      <c r="H26" s="45"/>
      <c r="I26" s="5"/>
      <c r="J26" s="4"/>
      <c r="K26" s="5"/>
      <c r="L26" s="4"/>
    </row>
    <row r="27" spans="1:12">
      <c r="A27" s="5"/>
      <c r="B27" s="5"/>
      <c r="C27" s="5"/>
      <c r="D27" s="5"/>
      <c r="E27" s="5"/>
      <c r="F27" s="5"/>
      <c r="G27" s="4"/>
      <c r="H27" s="45"/>
      <c r="I27" s="5"/>
      <c r="J27" s="4"/>
      <c r="K27" s="5"/>
      <c r="L27" s="4"/>
    </row>
    <row r="28" spans="1:12">
      <c r="A28" s="5"/>
      <c r="B28" s="5"/>
      <c r="C28" s="5"/>
      <c r="D28" s="5"/>
      <c r="E28" s="5"/>
      <c r="F28" s="5"/>
      <c r="G28" s="4"/>
      <c r="H28" s="45"/>
      <c r="I28" s="5"/>
      <c r="J28" s="4"/>
      <c r="K28" s="5"/>
      <c r="L28" s="4"/>
    </row>
    <row r="29" spans="1:12">
      <c r="A29" s="5"/>
      <c r="B29" s="5"/>
      <c r="C29" s="5"/>
      <c r="D29" s="5"/>
      <c r="E29" s="5"/>
      <c r="F29" s="5"/>
      <c r="G29" s="4"/>
      <c r="H29" s="45"/>
      <c r="I29" s="5"/>
      <c r="J29" s="4"/>
      <c r="K29" s="5"/>
      <c r="L29" s="4"/>
    </row>
    <row r="30" spans="1:12">
      <c r="E30" s="5"/>
      <c r="F30" s="5"/>
      <c r="G30" s="4"/>
      <c r="H30" s="45"/>
      <c r="I30" s="5"/>
      <c r="J30" s="4"/>
      <c r="K30" s="5"/>
      <c r="L30" s="4"/>
    </row>
    <row r="31" spans="1:12">
      <c r="E31" s="5"/>
      <c r="F31" s="5"/>
      <c r="G31" s="4"/>
      <c r="H31" s="45"/>
      <c r="I31" s="5"/>
      <c r="J31" s="4"/>
      <c r="K31" s="5"/>
      <c r="L31" s="4"/>
    </row>
    <row r="32" spans="1:12">
      <c r="E32" s="5"/>
      <c r="F32" s="5"/>
      <c r="G32" s="4"/>
      <c r="H32" s="45"/>
      <c r="I32" s="5"/>
      <c r="J32" s="4"/>
      <c r="K32" s="5"/>
      <c r="L32" s="4"/>
    </row>
    <row r="33" spans="5:12">
      <c r="E33" s="5"/>
      <c r="F33" s="5"/>
      <c r="G33" s="4"/>
      <c r="H33" s="45"/>
      <c r="I33" s="5"/>
      <c r="J33" s="4"/>
      <c r="K33" s="5"/>
      <c r="L33" s="4"/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A18" sqref="A18"/>
    </sheetView>
  </sheetViews>
  <sheetFormatPr defaultRowHeight="12.75"/>
  <cols>
    <col min="1" max="1" width="22.7109375" customWidth="1"/>
    <col min="2" max="2" width="29.42578125" customWidth="1"/>
    <col min="3" max="3" width="15.42578125" customWidth="1"/>
    <col min="5" max="5" width="21.85546875" customWidth="1"/>
    <col min="6" max="6" width="30.5703125" customWidth="1"/>
  </cols>
  <sheetData>
    <row r="1" spans="1:12" ht="82.5" customHeight="1">
      <c r="A1" s="73" t="s">
        <v>734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3"/>
    </row>
    <row r="2" spans="1:12" ht="13.5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8"/>
      <c r="L2" s="3"/>
    </row>
    <row r="3" spans="1:12" ht="15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720</v>
      </c>
      <c r="H3" s="66"/>
      <c r="I3" s="66" t="s">
        <v>721</v>
      </c>
      <c r="J3" s="66" t="s">
        <v>6</v>
      </c>
      <c r="K3" s="67" t="s">
        <v>5</v>
      </c>
      <c r="L3" s="1"/>
    </row>
    <row r="4" spans="1:12" ht="15.75" thickBot="1">
      <c r="A4" s="63"/>
      <c r="B4" s="65"/>
      <c r="C4" s="65"/>
      <c r="D4" s="65"/>
      <c r="E4" s="65"/>
      <c r="F4" s="65"/>
      <c r="G4" s="2" t="s">
        <v>722</v>
      </c>
      <c r="H4" s="44" t="s">
        <v>723</v>
      </c>
      <c r="I4" s="65"/>
      <c r="J4" s="65"/>
      <c r="K4" s="68"/>
      <c r="L4" s="1"/>
    </row>
    <row r="5" spans="1:12" ht="15">
      <c r="A5" s="54" t="s">
        <v>724</v>
      </c>
      <c r="B5" s="54"/>
      <c r="C5" s="54"/>
      <c r="D5" s="54"/>
      <c r="E5" s="54"/>
      <c r="F5" s="54"/>
      <c r="G5" s="54"/>
      <c r="H5" s="54"/>
      <c r="I5" s="54"/>
      <c r="J5" s="54"/>
      <c r="K5" s="5"/>
      <c r="L5" s="4"/>
    </row>
    <row r="6" spans="1:12">
      <c r="A6" s="27" t="s">
        <v>735</v>
      </c>
      <c r="B6" s="27" t="s">
        <v>736</v>
      </c>
      <c r="C6" s="27" t="s">
        <v>739</v>
      </c>
      <c r="D6" s="8"/>
      <c r="E6" s="27" t="s">
        <v>737</v>
      </c>
      <c r="F6" s="27" t="s">
        <v>738</v>
      </c>
      <c r="G6" s="35" t="s">
        <v>292</v>
      </c>
      <c r="H6" s="47">
        <v>64</v>
      </c>
      <c r="I6" s="27" t="s">
        <v>740</v>
      </c>
      <c r="J6" s="35" t="s">
        <v>741</v>
      </c>
      <c r="K6" s="8" t="s">
        <v>30</v>
      </c>
      <c r="L6" s="4"/>
    </row>
    <row r="7" spans="1:12">
      <c r="A7" s="5"/>
      <c r="B7" s="5"/>
      <c r="C7" s="5"/>
      <c r="D7" s="5"/>
      <c r="E7" s="5"/>
      <c r="F7" s="5"/>
      <c r="G7" s="4"/>
      <c r="H7" s="46"/>
      <c r="I7" s="5"/>
      <c r="J7" s="4"/>
      <c r="K7" s="5" t="s">
        <v>30</v>
      </c>
      <c r="L7" s="4"/>
    </row>
    <row r="8" spans="1:12">
      <c r="A8" s="5"/>
      <c r="B8" s="5"/>
      <c r="C8" s="5"/>
      <c r="D8" s="5"/>
      <c r="E8" s="5"/>
      <c r="F8" s="5"/>
      <c r="G8" s="4"/>
      <c r="H8" s="45"/>
      <c r="I8" s="5"/>
      <c r="J8" s="4"/>
      <c r="K8" s="5"/>
      <c r="L8" s="4"/>
    </row>
    <row r="9" spans="1:12" ht="15">
      <c r="A9" s="5"/>
      <c r="B9" s="5"/>
      <c r="C9" s="5"/>
      <c r="D9" s="5"/>
      <c r="E9" s="6" t="s">
        <v>12</v>
      </c>
      <c r="F9" s="26" t="s">
        <v>674</v>
      </c>
      <c r="G9" s="4"/>
      <c r="H9" s="45"/>
      <c r="I9" s="5"/>
      <c r="J9" s="4"/>
      <c r="K9" s="5"/>
      <c r="L9" s="4"/>
    </row>
    <row r="10" spans="1:12" ht="15">
      <c r="A10" s="5"/>
      <c r="B10" s="5"/>
      <c r="C10" s="5"/>
      <c r="D10" s="5"/>
      <c r="E10" s="6" t="s">
        <v>13</v>
      </c>
      <c r="F10" s="26" t="s">
        <v>675</v>
      </c>
      <c r="G10" s="4"/>
      <c r="H10" s="45"/>
      <c r="I10" s="5"/>
      <c r="J10" s="4"/>
      <c r="K10" s="5"/>
      <c r="L10" s="4"/>
    </row>
    <row r="11" spans="1:12" ht="15">
      <c r="A11" s="5"/>
      <c r="B11" s="5"/>
      <c r="C11" s="5"/>
      <c r="D11" s="5"/>
      <c r="E11" s="6" t="s">
        <v>14</v>
      </c>
      <c r="F11" s="26" t="s">
        <v>676</v>
      </c>
      <c r="G11" s="4"/>
      <c r="H11" s="45"/>
      <c r="I11" s="5"/>
      <c r="J11" s="4"/>
      <c r="K11" s="5"/>
      <c r="L11" s="4"/>
    </row>
    <row r="12" spans="1:12" ht="15">
      <c r="A12" s="5"/>
      <c r="B12" s="5"/>
      <c r="C12" s="5"/>
      <c r="D12" s="5"/>
      <c r="E12" s="6" t="s">
        <v>15</v>
      </c>
      <c r="F12" s="26" t="s">
        <v>677</v>
      </c>
      <c r="G12" s="4"/>
      <c r="H12" s="45"/>
      <c r="I12" s="5"/>
      <c r="J12" s="4"/>
      <c r="K12" s="5"/>
      <c r="L12" s="4"/>
    </row>
    <row r="13" spans="1:12" ht="15">
      <c r="A13" s="5"/>
      <c r="B13" s="5"/>
      <c r="C13" s="5"/>
      <c r="D13" s="5"/>
      <c r="E13" s="6" t="s">
        <v>15</v>
      </c>
      <c r="F13" s="26" t="s">
        <v>679</v>
      </c>
      <c r="G13" s="4"/>
      <c r="H13" s="45"/>
      <c r="I13" s="5"/>
      <c r="J13" s="4"/>
      <c r="K13" s="5"/>
      <c r="L13" s="4"/>
    </row>
    <row r="14" spans="1:12" ht="15">
      <c r="A14" s="5"/>
      <c r="B14" s="5"/>
      <c r="C14" s="5"/>
      <c r="D14" s="5"/>
      <c r="E14" s="6" t="s">
        <v>16</v>
      </c>
      <c r="F14" s="26" t="s">
        <v>678</v>
      </c>
      <c r="G14" s="4"/>
      <c r="H14" s="45"/>
      <c r="I14" s="5"/>
      <c r="J14" s="4"/>
      <c r="K14" s="5"/>
      <c r="L14" s="4"/>
    </row>
    <row r="15" spans="1:12" ht="15">
      <c r="A15" s="5"/>
      <c r="B15" s="5"/>
      <c r="C15" s="5"/>
      <c r="D15" s="5"/>
      <c r="E15" s="6"/>
      <c r="F15" s="5"/>
      <c r="G15" s="4"/>
      <c r="H15" s="45"/>
      <c r="I15" s="5"/>
      <c r="J15" s="4"/>
      <c r="K15" s="5"/>
      <c r="L15" s="4"/>
    </row>
    <row r="16" spans="1:12">
      <c r="A16" s="5"/>
      <c r="B16" s="5"/>
      <c r="C16" s="5"/>
      <c r="D16" s="5"/>
      <c r="E16" s="5"/>
      <c r="F16" s="5"/>
      <c r="G16" s="4"/>
      <c r="H16" s="45"/>
      <c r="I16" s="5"/>
      <c r="J16" s="4"/>
      <c r="K16" s="5"/>
      <c r="L16" s="4"/>
    </row>
    <row r="17" spans="1:12" ht="18">
      <c r="A17" s="7" t="s">
        <v>17</v>
      </c>
      <c r="B17" s="7"/>
      <c r="C17" s="5"/>
      <c r="D17" s="5"/>
      <c r="E17" s="5"/>
      <c r="F17" s="5"/>
      <c r="G17" s="4"/>
      <c r="H17" s="45"/>
      <c r="I17" s="5"/>
      <c r="J17" s="4"/>
      <c r="K17" s="5"/>
      <c r="L17" s="4"/>
    </row>
    <row r="18" spans="1:12" ht="15">
      <c r="A18" s="11" t="s">
        <v>763</v>
      </c>
      <c r="B18" s="11"/>
      <c r="C18" s="5"/>
      <c r="D18" s="5"/>
      <c r="E18" s="5"/>
      <c r="F18" s="5"/>
      <c r="G18" s="4"/>
      <c r="H18" s="45"/>
      <c r="I18" s="5"/>
      <c r="J18" s="4"/>
      <c r="K18" s="5"/>
      <c r="L18" s="4"/>
    </row>
    <row r="19" spans="1:12" ht="14.25">
      <c r="A19" s="13"/>
      <c r="B19" s="40" t="s">
        <v>742</v>
      </c>
      <c r="C19" s="5"/>
      <c r="D19" s="5"/>
      <c r="E19" s="5"/>
      <c r="F19" s="5"/>
      <c r="G19" s="4"/>
      <c r="H19" s="45"/>
      <c r="I19" s="5"/>
      <c r="J19" s="4"/>
      <c r="K19" s="5"/>
      <c r="L19" s="4"/>
    </row>
    <row r="20" spans="1:12" ht="15">
      <c r="A20" s="15" t="s">
        <v>33</v>
      </c>
      <c r="B20" s="15" t="s">
        <v>34</v>
      </c>
      <c r="C20" s="15" t="s">
        <v>35</v>
      </c>
      <c r="D20" s="15" t="s">
        <v>36</v>
      </c>
      <c r="E20" s="15" t="s">
        <v>37</v>
      </c>
      <c r="F20" s="5"/>
      <c r="G20" s="4"/>
      <c r="H20" s="45"/>
      <c r="I20" s="5"/>
      <c r="J20" s="4"/>
      <c r="K20" s="5"/>
      <c r="L20" s="4"/>
    </row>
    <row r="21" spans="1:12">
      <c r="A21" s="34" t="s">
        <v>735</v>
      </c>
      <c r="B21" s="35" t="s">
        <v>744</v>
      </c>
      <c r="C21" s="35" t="s">
        <v>140</v>
      </c>
      <c r="D21" s="35" t="s">
        <v>740</v>
      </c>
      <c r="E21" s="43" t="s">
        <v>741</v>
      </c>
      <c r="F21" s="5"/>
      <c r="G21" s="4"/>
      <c r="H21" s="45"/>
      <c r="I21" s="5"/>
      <c r="J21" s="4"/>
      <c r="K21" s="5"/>
      <c r="L21" s="4"/>
    </row>
    <row r="22" spans="1:12">
      <c r="A22" s="5"/>
      <c r="B22" s="4"/>
      <c r="C22" s="4"/>
      <c r="D22" s="4"/>
      <c r="E22" s="4"/>
      <c r="F22" s="5"/>
      <c r="G22" s="4"/>
      <c r="H22" s="45"/>
      <c r="I22" s="5"/>
      <c r="J22" s="4"/>
      <c r="K22" s="5"/>
      <c r="L22" s="4"/>
    </row>
    <row r="23" spans="1:12" ht="14.25">
      <c r="A23" s="13"/>
      <c r="B23" s="40"/>
      <c r="C23" s="4"/>
      <c r="D23" s="4"/>
      <c r="E23" s="4"/>
      <c r="F23" s="5"/>
      <c r="G23" s="4"/>
      <c r="H23" s="45"/>
      <c r="I23" s="5"/>
      <c r="J23" s="4"/>
      <c r="K23" s="5"/>
      <c r="L23" s="4"/>
    </row>
    <row r="24" spans="1:12" ht="18">
      <c r="A24" s="7" t="s">
        <v>40</v>
      </c>
      <c r="B24" s="37"/>
      <c r="C24" s="4"/>
      <c r="D24" s="4"/>
      <c r="E24" s="1"/>
      <c r="F24" s="5"/>
      <c r="G24" s="4"/>
      <c r="H24" s="45"/>
      <c r="I24" s="5"/>
      <c r="J24" s="4"/>
      <c r="K24" s="5"/>
      <c r="L24" s="4"/>
    </row>
    <row r="25" spans="1:12" ht="15">
      <c r="A25" s="15" t="s">
        <v>41</v>
      </c>
      <c r="B25" s="15" t="s">
        <v>42</v>
      </c>
      <c r="C25" s="15" t="s">
        <v>43</v>
      </c>
      <c r="D25" s="4"/>
      <c r="E25" s="3"/>
      <c r="F25" s="5"/>
      <c r="G25" s="4"/>
      <c r="H25" s="45"/>
      <c r="I25" s="5"/>
      <c r="J25" s="4"/>
      <c r="K25" s="5"/>
      <c r="L25" s="4"/>
    </row>
    <row r="26" spans="1:12">
      <c r="A26" s="43" t="s">
        <v>737</v>
      </c>
      <c r="B26" s="10" t="s">
        <v>44</v>
      </c>
      <c r="C26" s="34" t="s">
        <v>743</v>
      </c>
      <c r="D26" s="4"/>
      <c r="E26" s="4"/>
      <c r="F26" s="5"/>
      <c r="G26" s="4"/>
      <c r="H26" s="45"/>
      <c r="I26" s="5"/>
      <c r="J26" s="4"/>
      <c r="K26" s="5"/>
      <c r="L26" s="4"/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activeCell="J15" sqref="J15"/>
    </sheetView>
  </sheetViews>
  <sheetFormatPr defaultRowHeight="12.75"/>
  <cols>
    <col min="1" max="1" width="23.140625" customWidth="1"/>
    <col min="2" max="2" width="30.42578125" customWidth="1"/>
    <col min="3" max="3" width="20.5703125" customWidth="1"/>
    <col min="5" max="5" width="22.7109375" customWidth="1"/>
    <col min="6" max="6" width="30.28515625" customWidth="1"/>
  </cols>
  <sheetData>
    <row r="1" spans="1:12" ht="83.25" customHeight="1">
      <c r="A1" s="73" t="s">
        <v>750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3"/>
    </row>
    <row r="2" spans="1:12" ht="13.5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8"/>
      <c r="L2" s="3"/>
    </row>
    <row r="3" spans="1:12" ht="15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720</v>
      </c>
      <c r="H3" s="66"/>
      <c r="I3" s="66" t="s">
        <v>721</v>
      </c>
      <c r="J3" s="66" t="s">
        <v>6</v>
      </c>
      <c r="K3" s="67" t="s">
        <v>5</v>
      </c>
      <c r="L3" s="1"/>
    </row>
    <row r="4" spans="1:12" ht="15.75" thickBot="1">
      <c r="A4" s="63"/>
      <c r="B4" s="65"/>
      <c r="C4" s="65"/>
      <c r="D4" s="65"/>
      <c r="E4" s="65"/>
      <c r="F4" s="65"/>
      <c r="G4" s="2" t="s">
        <v>722</v>
      </c>
      <c r="H4" s="44" t="s">
        <v>723</v>
      </c>
      <c r="I4" s="65"/>
      <c r="J4" s="65"/>
      <c r="K4" s="68"/>
      <c r="L4" s="1"/>
    </row>
    <row r="5" spans="1:12" ht="15">
      <c r="A5" s="54" t="s">
        <v>724</v>
      </c>
      <c r="B5" s="54"/>
      <c r="C5" s="54"/>
      <c r="D5" s="54"/>
      <c r="E5" s="54"/>
      <c r="F5" s="54"/>
      <c r="G5" s="54"/>
      <c r="H5" s="54"/>
      <c r="I5" s="54"/>
      <c r="J5" s="54"/>
      <c r="K5" s="5"/>
      <c r="L5" s="4"/>
    </row>
    <row r="6" spans="1:12">
      <c r="A6" s="27" t="s">
        <v>745</v>
      </c>
      <c r="B6" s="27" t="s">
        <v>746</v>
      </c>
      <c r="C6" s="27" t="s">
        <v>747</v>
      </c>
      <c r="D6" s="8"/>
      <c r="E6" s="8" t="s">
        <v>100</v>
      </c>
      <c r="F6" s="8" t="s">
        <v>26</v>
      </c>
      <c r="G6" s="10" t="s">
        <v>94</v>
      </c>
      <c r="H6" s="47">
        <v>54</v>
      </c>
      <c r="I6" s="27" t="s">
        <v>748</v>
      </c>
      <c r="J6" s="35" t="s">
        <v>749</v>
      </c>
      <c r="K6" s="8" t="s">
        <v>30</v>
      </c>
      <c r="L6" s="4"/>
    </row>
    <row r="7" spans="1:12">
      <c r="A7" s="5"/>
      <c r="B7" s="5"/>
      <c r="C7" s="5"/>
      <c r="D7" s="5"/>
      <c r="E7" s="5"/>
      <c r="F7" s="5"/>
      <c r="G7" s="4"/>
      <c r="H7" s="46"/>
      <c r="I7" s="5"/>
      <c r="J7" s="4"/>
      <c r="K7" s="5"/>
      <c r="L7" s="4"/>
    </row>
    <row r="8" spans="1:12">
      <c r="A8" s="5"/>
      <c r="B8" s="5"/>
      <c r="C8" s="5"/>
      <c r="D8" s="5"/>
      <c r="E8" s="5"/>
      <c r="F8" s="5"/>
      <c r="G8" s="4"/>
      <c r="H8" s="45"/>
      <c r="I8" s="5"/>
      <c r="J8" s="4"/>
      <c r="K8" s="5"/>
      <c r="L8" s="4"/>
    </row>
    <row r="9" spans="1:12" ht="15">
      <c r="A9" s="5"/>
      <c r="B9" s="5"/>
      <c r="C9" s="5"/>
      <c r="D9" s="5"/>
      <c r="E9" s="6" t="s">
        <v>12</v>
      </c>
      <c r="F9" s="26" t="s">
        <v>674</v>
      </c>
      <c r="G9" s="4"/>
      <c r="H9" s="45"/>
      <c r="I9" s="5"/>
      <c r="J9" s="4"/>
      <c r="K9" s="5"/>
      <c r="L9" s="4"/>
    </row>
    <row r="10" spans="1:12" ht="15">
      <c r="A10" s="5"/>
      <c r="B10" s="5"/>
      <c r="C10" s="5"/>
      <c r="D10" s="5"/>
      <c r="E10" s="6" t="s">
        <v>13</v>
      </c>
      <c r="F10" s="26" t="s">
        <v>675</v>
      </c>
      <c r="G10" s="4"/>
      <c r="H10" s="45"/>
      <c r="I10" s="5"/>
      <c r="J10" s="4"/>
      <c r="K10" s="5"/>
      <c r="L10" s="4"/>
    </row>
    <row r="11" spans="1:12" ht="15">
      <c r="A11" s="5"/>
      <c r="B11" s="5"/>
      <c r="C11" s="5"/>
      <c r="D11" s="5"/>
      <c r="E11" s="6" t="s">
        <v>14</v>
      </c>
      <c r="F11" s="26" t="s">
        <v>676</v>
      </c>
      <c r="G11" s="4"/>
      <c r="H11" s="45"/>
      <c r="I11" s="5"/>
      <c r="J11" s="4"/>
      <c r="K11" s="5"/>
      <c r="L11" s="4"/>
    </row>
    <row r="12" spans="1:12" ht="15">
      <c r="A12" s="5"/>
      <c r="B12" s="5"/>
      <c r="C12" s="5"/>
      <c r="D12" s="5"/>
      <c r="E12" s="6" t="s">
        <v>15</v>
      </c>
      <c r="F12" s="26" t="s">
        <v>677</v>
      </c>
      <c r="G12" s="4"/>
      <c r="H12" s="45"/>
      <c r="I12" s="5"/>
      <c r="J12" s="4"/>
      <c r="K12" s="5"/>
      <c r="L12" s="4"/>
    </row>
    <row r="13" spans="1:12" ht="15">
      <c r="A13" s="5"/>
      <c r="B13" s="5"/>
      <c r="C13" s="5"/>
      <c r="D13" s="5"/>
      <c r="E13" s="6" t="s">
        <v>15</v>
      </c>
      <c r="F13" s="26" t="s">
        <v>679</v>
      </c>
      <c r="G13" s="4"/>
      <c r="H13" s="45"/>
      <c r="I13" s="5"/>
      <c r="J13" s="4"/>
      <c r="K13" s="5"/>
      <c r="L13" s="4"/>
    </row>
    <row r="14" spans="1:12" ht="15">
      <c r="A14" s="5"/>
      <c r="B14" s="5"/>
      <c r="C14" s="5"/>
      <c r="D14" s="5"/>
      <c r="E14" s="6" t="s">
        <v>16</v>
      </c>
      <c r="F14" s="26" t="s">
        <v>678</v>
      </c>
      <c r="G14" s="4"/>
      <c r="H14" s="45"/>
      <c r="I14" s="5"/>
      <c r="J14" s="4"/>
      <c r="K14" s="5"/>
      <c r="L14" s="4"/>
    </row>
    <row r="15" spans="1:12" ht="15">
      <c r="A15" s="5"/>
      <c r="B15" s="5"/>
      <c r="C15" s="5"/>
      <c r="D15" s="5"/>
      <c r="E15" s="6"/>
      <c r="F15" s="5"/>
      <c r="G15" s="4"/>
      <c r="H15" s="45"/>
      <c r="I15" s="5"/>
      <c r="J15" s="4"/>
      <c r="K15" s="5"/>
      <c r="L15" s="4"/>
    </row>
    <row r="16" spans="1:12">
      <c r="A16" s="5"/>
      <c r="B16" s="5"/>
      <c r="C16" s="5"/>
      <c r="D16" s="5"/>
      <c r="E16" s="5"/>
      <c r="F16" s="5"/>
      <c r="G16" s="4"/>
      <c r="H16" s="45"/>
      <c r="I16" s="5"/>
      <c r="J16" s="4"/>
      <c r="K16" s="5"/>
      <c r="L16" s="4"/>
    </row>
    <row r="17" spans="1:12" ht="18">
      <c r="A17" s="7" t="s">
        <v>17</v>
      </c>
      <c r="B17" s="7"/>
      <c r="C17" s="5"/>
      <c r="D17" s="5"/>
      <c r="E17" s="5"/>
      <c r="F17" s="5"/>
      <c r="G17" s="4"/>
      <c r="H17" s="45"/>
      <c r="I17" s="5"/>
      <c r="J17" s="4"/>
      <c r="K17" s="5"/>
      <c r="L17" s="4"/>
    </row>
    <row r="18" spans="1:12" ht="15">
      <c r="A18" s="11" t="s">
        <v>31</v>
      </c>
      <c r="B18" s="11"/>
      <c r="C18" s="5"/>
      <c r="D18" s="5"/>
      <c r="E18" s="5"/>
      <c r="F18" s="5"/>
      <c r="G18" s="4"/>
      <c r="H18" s="45"/>
      <c r="I18" s="5"/>
      <c r="J18" s="4"/>
      <c r="K18" s="5"/>
      <c r="L18" s="4"/>
    </row>
    <row r="19" spans="1:12" ht="14.25">
      <c r="A19" s="13"/>
      <c r="B19" s="48" t="s">
        <v>752</v>
      </c>
      <c r="C19" s="5"/>
      <c r="D19" s="5"/>
      <c r="E19" s="5"/>
      <c r="F19" s="5"/>
      <c r="G19" s="4"/>
      <c r="H19" s="45"/>
      <c r="I19" s="5"/>
      <c r="J19" s="4"/>
      <c r="K19" s="5"/>
      <c r="L19" s="4"/>
    </row>
    <row r="20" spans="1:12" ht="15">
      <c r="A20" s="15" t="s">
        <v>33</v>
      </c>
      <c r="B20" s="15" t="s">
        <v>34</v>
      </c>
      <c r="C20" s="15" t="s">
        <v>35</v>
      </c>
      <c r="D20" s="15" t="s">
        <v>36</v>
      </c>
      <c r="E20" s="15" t="s">
        <v>37</v>
      </c>
      <c r="F20" s="5"/>
      <c r="G20" s="4"/>
      <c r="H20" s="45"/>
      <c r="I20" s="5"/>
      <c r="J20" s="4"/>
      <c r="K20" s="5"/>
      <c r="L20" s="4"/>
    </row>
    <row r="21" spans="1:12">
      <c r="A21" s="27" t="s">
        <v>745</v>
      </c>
      <c r="B21" s="35" t="s">
        <v>751</v>
      </c>
      <c r="C21" s="35" t="s">
        <v>148</v>
      </c>
      <c r="D21" s="35" t="s">
        <v>748</v>
      </c>
      <c r="E21" s="43" t="s">
        <v>749</v>
      </c>
      <c r="F21" s="5"/>
      <c r="G21" s="4"/>
      <c r="H21" s="45"/>
      <c r="I21" s="5"/>
      <c r="J21" s="4"/>
      <c r="K21" s="5"/>
      <c r="L21" s="4"/>
    </row>
    <row r="22" spans="1:12">
      <c r="A22" s="5"/>
      <c r="B22" s="4"/>
      <c r="C22" s="4"/>
      <c r="D22" s="4"/>
      <c r="E22" s="4"/>
      <c r="F22" s="5"/>
      <c r="G22" s="4"/>
      <c r="H22" s="45"/>
      <c r="I22" s="5"/>
      <c r="J22" s="4"/>
      <c r="K22" s="5"/>
      <c r="L22" s="4"/>
    </row>
    <row r="23" spans="1:12" ht="18">
      <c r="A23" s="7" t="s">
        <v>40</v>
      </c>
      <c r="B23" s="37"/>
      <c r="C23" s="4"/>
      <c r="D23" s="4"/>
      <c r="E23" s="4"/>
      <c r="F23" s="5"/>
      <c r="G23" s="4"/>
      <c r="H23" s="45"/>
      <c r="I23" s="5"/>
      <c r="J23" s="4"/>
      <c r="K23" s="5"/>
      <c r="L23" s="4"/>
    </row>
    <row r="24" spans="1:12" ht="15">
      <c r="A24" s="15" t="s">
        <v>41</v>
      </c>
      <c r="B24" s="15" t="s">
        <v>42</v>
      </c>
      <c r="C24" s="15" t="s">
        <v>43</v>
      </c>
      <c r="D24" s="4"/>
      <c r="E24" s="1"/>
      <c r="F24" s="5"/>
      <c r="G24" s="4"/>
      <c r="H24" s="45"/>
      <c r="I24" s="5"/>
      <c r="J24" s="4"/>
      <c r="K24" s="5"/>
      <c r="L24" s="4"/>
    </row>
    <row r="25" spans="1:12">
      <c r="A25" s="8" t="s">
        <v>100</v>
      </c>
      <c r="B25" s="10" t="s">
        <v>44</v>
      </c>
      <c r="C25" s="35" t="s">
        <v>753</v>
      </c>
      <c r="D25" s="4"/>
      <c r="E25" s="3"/>
      <c r="F25" s="5"/>
      <c r="G25" s="4"/>
      <c r="H25" s="45"/>
      <c r="I25" s="5"/>
      <c r="J25" s="4"/>
      <c r="K25" s="5"/>
      <c r="L25" s="4"/>
    </row>
    <row r="26" spans="1:12">
      <c r="A26" s="5"/>
      <c r="B26" s="5"/>
      <c r="C26" s="5"/>
      <c r="D26" s="5"/>
      <c r="E26" s="5"/>
      <c r="F26" s="5"/>
      <c r="G26" s="4"/>
      <c r="H26" s="45"/>
      <c r="I26" s="5"/>
      <c r="J26" s="4"/>
      <c r="K26" s="5"/>
      <c r="L26" s="4"/>
    </row>
    <row r="27" spans="1:12">
      <c r="A27" s="5"/>
      <c r="B27" s="5"/>
      <c r="C27" s="5"/>
      <c r="D27" s="5"/>
      <c r="E27" s="5"/>
      <c r="F27" s="5"/>
      <c r="G27" s="4"/>
      <c r="H27" s="45"/>
      <c r="I27" s="5"/>
      <c r="J27" s="4"/>
      <c r="K27" s="5"/>
      <c r="L27" s="4"/>
    </row>
    <row r="28" spans="1:12">
      <c r="A28" s="5"/>
      <c r="B28" s="5"/>
      <c r="C28" s="5"/>
      <c r="D28" s="5"/>
      <c r="E28" s="5"/>
      <c r="F28" s="5"/>
      <c r="G28" s="4"/>
      <c r="H28" s="45"/>
      <c r="I28" s="5"/>
      <c r="J28" s="4"/>
      <c r="K28" s="5"/>
      <c r="L28" s="4"/>
    </row>
    <row r="29" spans="1:12">
      <c r="A29" s="5"/>
      <c r="B29" s="5"/>
      <c r="C29" s="5"/>
      <c r="D29" s="5"/>
      <c r="E29" s="5"/>
      <c r="F29" s="5"/>
      <c r="G29" s="4"/>
      <c r="H29" s="45"/>
      <c r="I29" s="5"/>
      <c r="J29" s="4"/>
      <c r="K29" s="5"/>
      <c r="L29" s="4"/>
    </row>
    <row r="30" spans="1:12">
      <c r="E30" s="5"/>
      <c r="F30" s="5"/>
      <c r="G30" s="4"/>
      <c r="H30" s="45"/>
      <c r="I30" s="5"/>
      <c r="J30" s="4"/>
      <c r="K30" s="5"/>
      <c r="L30" s="4"/>
    </row>
    <row r="31" spans="1:12">
      <c r="D31" s="31"/>
      <c r="E31" s="5"/>
      <c r="F31" s="5"/>
      <c r="G31" s="4"/>
      <c r="H31" s="45"/>
      <c r="I31" s="5"/>
      <c r="J31" s="4"/>
      <c r="K31" s="5"/>
      <c r="L31" s="4"/>
    </row>
    <row r="32" spans="1:12">
      <c r="E32" s="5"/>
      <c r="F32" s="5"/>
      <c r="G32" s="4"/>
      <c r="H32" s="45"/>
      <c r="I32" s="5"/>
      <c r="J32" s="4"/>
      <c r="K32" s="5"/>
      <c r="L32" s="4"/>
    </row>
    <row r="33" spans="5:12">
      <c r="E33" s="5"/>
      <c r="F33" s="5"/>
      <c r="G33" s="4"/>
      <c r="H33" s="45"/>
      <c r="I33" s="5"/>
      <c r="J33" s="4"/>
      <c r="K33" s="5"/>
      <c r="L33" s="4"/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F15" sqref="F15"/>
    </sheetView>
  </sheetViews>
  <sheetFormatPr defaultRowHeight="12.75"/>
  <cols>
    <col min="1" max="1" width="31.85546875" style="5" bestFit="1" customWidth="1"/>
    <col min="2" max="2" width="22.85546875" style="5" bestFit="1" customWidth="1"/>
    <col min="3" max="3" width="18" style="5" bestFit="1" customWidth="1"/>
    <col min="4" max="4" width="9.28515625" style="5" bestFit="1" customWidth="1"/>
    <col min="5" max="5" width="22.7109375" style="5" bestFit="1" customWidth="1"/>
    <col min="6" max="6" width="30.855468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6" t="s">
        <v>771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1</v>
      </c>
      <c r="H3" s="66"/>
      <c r="I3" s="66"/>
      <c r="J3" s="66"/>
      <c r="K3" s="66" t="s">
        <v>18</v>
      </c>
      <c r="L3" s="66" t="s">
        <v>6</v>
      </c>
      <c r="M3" s="67" t="s">
        <v>5</v>
      </c>
    </row>
    <row r="4" spans="1:13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65"/>
      <c r="L4" s="65"/>
      <c r="M4" s="68"/>
    </row>
    <row r="5" spans="1:13" ht="15">
      <c r="A5" s="54" t="s">
        <v>118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646</v>
      </c>
      <c r="B6" s="8" t="s">
        <v>647</v>
      </c>
      <c r="C6" s="8" t="s">
        <v>648</v>
      </c>
      <c r="D6" s="8" t="str">
        <f>"0,5660"</f>
        <v>0,5660</v>
      </c>
      <c r="E6" s="8" t="s">
        <v>136</v>
      </c>
      <c r="F6" s="8" t="s">
        <v>137</v>
      </c>
      <c r="G6" s="10" t="s">
        <v>205</v>
      </c>
      <c r="H6" s="9" t="s">
        <v>652</v>
      </c>
      <c r="I6" s="9" t="s">
        <v>652</v>
      </c>
      <c r="J6" s="9"/>
      <c r="K6" s="8" t="str">
        <f>"260,0"</f>
        <v>260,0</v>
      </c>
      <c r="L6" s="10" t="str">
        <f>"147,1600"</f>
        <v>147,1600</v>
      </c>
      <c r="M6" s="8" t="s">
        <v>30</v>
      </c>
    </row>
    <row r="8" spans="1:13" ht="15">
      <c r="E8" s="6" t="s">
        <v>12</v>
      </c>
      <c r="F8" s="26" t="s">
        <v>674</v>
      </c>
    </row>
    <row r="9" spans="1:13" ht="15">
      <c r="E9" s="6" t="s">
        <v>13</v>
      </c>
      <c r="F9" s="26" t="s">
        <v>675</v>
      </c>
    </row>
    <row r="10" spans="1:13" ht="15">
      <c r="E10" s="6" t="s">
        <v>14</v>
      </c>
      <c r="F10" s="26" t="s">
        <v>676</v>
      </c>
    </row>
    <row r="11" spans="1:13" ht="15">
      <c r="E11" s="6" t="s">
        <v>15</v>
      </c>
      <c r="F11" s="26" t="s">
        <v>677</v>
      </c>
    </row>
    <row r="12" spans="1:13" ht="15">
      <c r="E12" s="6" t="s">
        <v>15</v>
      </c>
      <c r="F12" s="26" t="s">
        <v>679</v>
      </c>
    </row>
    <row r="13" spans="1:13" ht="15">
      <c r="E13" s="6" t="s">
        <v>16</v>
      </c>
      <c r="F13" s="26" t="s">
        <v>678</v>
      </c>
    </row>
    <row r="14" spans="1:13" ht="15">
      <c r="E14" s="6"/>
    </row>
    <row r="16" spans="1:13" ht="18">
      <c r="A16" s="7" t="s">
        <v>17</v>
      </c>
      <c r="B16" s="7"/>
    </row>
    <row r="17" spans="1:5" ht="15">
      <c r="A17" s="11" t="s">
        <v>31</v>
      </c>
      <c r="B17" s="11"/>
    </row>
    <row r="18" spans="1:5" ht="14.25">
      <c r="A18" s="13"/>
      <c r="B18" s="14" t="s">
        <v>32</v>
      </c>
    </row>
    <row r="19" spans="1:5" ht="15">
      <c r="A19" s="15" t="s">
        <v>33</v>
      </c>
      <c r="B19" s="15" t="s">
        <v>34</v>
      </c>
      <c r="C19" s="15" t="s">
        <v>35</v>
      </c>
      <c r="D19" s="15" t="s">
        <v>36</v>
      </c>
      <c r="E19" s="15" t="s">
        <v>37</v>
      </c>
    </row>
    <row r="20" spans="1:5">
      <c r="A20" s="12" t="s">
        <v>645</v>
      </c>
      <c r="B20" s="5" t="s">
        <v>32</v>
      </c>
      <c r="C20" s="5" t="s">
        <v>103</v>
      </c>
      <c r="D20" s="5" t="s">
        <v>205</v>
      </c>
      <c r="E20" s="16" t="s">
        <v>653</v>
      </c>
    </row>
    <row r="25" spans="1:5" ht="18">
      <c r="A25" s="7" t="s">
        <v>40</v>
      </c>
      <c r="B25" s="7"/>
    </row>
    <row r="26" spans="1:5" ht="15">
      <c r="A26" s="15" t="s">
        <v>41</v>
      </c>
      <c r="B26" s="15" t="s">
        <v>42</v>
      </c>
      <c r="C26" s="15" t="s">
        <v>43</v>
      </c>
    </row>
    <row r="27" spans="1:5">
      <c r="A27" s="5" t="s">
        <v>136</v>
      </c>
      <c r="B27" s="5" t="s">
        <v>44</v>
      </c>
      <c r="C27" s="5" t="s">
        <v>651</v>
      </c>
    </row>
  </sheetData>
  <mergeCells count="12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sqref="A1:M2"/>
    </sheetView>
  </sheetViews>
  <sheetFormatPr defaultRowHeight="12.75"/>
  <cols>
    <col min="1" max="1" width="31.85546875" style="5" bestFit="1" customWidth="1"/>
    <col min="2" max="2" width="27.7109375" style="5" bestFit="1" customWidth="1"/>
    <col min="3" max="3" width="19.28515625" style="5" customWidth="1"/>
    <col min="4" max="4" width="9.28515625" style="5" bestFit="1" customWidth="1"/>
    <col min="5" max="5" width="22.7109375" style="5" bestFit="1" customWidth="1"/>
    <col min="6" max="6" width="30.855468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6" t="s">
        <v>772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3</v>
      </c>
      <c r="H3" s="66"/>
      <c r="I3" s="66"/>
      <c r="J3" s="66"/>
      <c r="K3" s="66" t="s">
        <v>18</v>
      </c>
      <c r="L3" s="66" t="s">
        <v>6</v>
      </c>
      <c r="M3" s="67" t="s">
        <v>5</v>
      </c>
    </row>
    <row r="4" spans="1:13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65"/>
      <c r="L4" s="65"/>
      <c r="M4" s="68"/>
    </row>
    <row r="5" spans="1:13" ht="15">
      <c r="A5" s="54" t="s">
        <v>110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27" t="s">
        <v>680</v>
      </c>
      <c r="B6" s="8" t="s">
        <v>643</v>
      </c>
      <c r="C6" s="8" t="s">
        <v>644</v>
      </c>
      <c r="D6" s="8" t="str">
        <f>"0,6382"</f>
        <v>0,6382</v>
      </c>
      <c r="E6" s="8" t="s">
        <v>226</v>
      </c>
      <c r="F6" s="8" t="s">
        <v>26</v>
      </c>
      <c r="G6" s="10" t="s">
        <v>69</v>
      </c>
      <c r="H6" s="10" t="s">
        <v>314</v>
      </c>
      <c r="I6" s="10" t="s">
        <v>315</v>
      </c>
      <c r="J6" s="9"/>
      <c r="K6" s="8" t="str">
        <f>"175,0"</f>
        <v>175,0</v>
      </c>
      <c r="L6" s="10" t="str">
        <f>"120,6198"</f>
        <v>120,6198</v>
      </c>
      <c r="M6" s="8" t="s">
        <v>30</v>
      </c>
    </row>
    <row r="8" spans="1:13" ht="15">
      <c r="A8" s="55" t="s">
        <v>118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3">
      <c r="A9" s="8" t="s">
        <v>646</v>
      </c>
      <c r="B9" s="8" t="s">
        <v>647</v>
      </c>
      <c r="C9" s="8" t="s">
        <v>648</v>
      </c>
      <c r="D9" s="8" t="str">
        <f>"0,5660"</f>
        <v>0,5660</v>
      </c>
      <c r="E9" s="8" t="s">
        <v>136</v>
      </c>
      <c r="F9" s="8" t="s">
        <v>137</v>
      </c>
      <c r="G9" s="10" t="s">
        <v>175</v>
      </c>
      <c r="H9" s="10" t="s">
        <v>236</v>
      </c>
      <c r="I9" s="10" t="s">
        <v>176</v>
      </c>
      <c r="J9" s="9"/>
      <c r="K9" s="8" t="str">
        <f>"250,0"</f>
        <v>250,0</v>
      </c>
      <c r="L9" s="10" t="str">
        <f>"141,5000"</f>
        <v>141,5000</v>
      </c>
      <c r="M9" s="8" t="s">
        <v>30</v>
      </c>
    </row>
    <row r="11" spans="1:13" ht="15">
      <c r="E11" s="6" t="s">
        <v>12</v>
      </c>
      <c r="F11" s="26" t="s">
        <v>674</v>
      </c>
    </row>
    <row r="12" spans="1:13" ht="15">
      <c r="E12" s="6" t="s">
        <v>13</v>
      </c>
      <c r="F12" s="26" t="s">
        <v>675</v>
      </c>
    </row>
    <row r="13" spans="1:13" ht="15">
      <c r="E13" s="6" t="s">
        <v>14</v>
      </c>
      <c r="F13" s="26" t="s">
        <v>676</v>
      </c>
    </row>
    <row r="14" spans="1:13" ht="15">
      <c r="E14" s="6" t="s">
        <v>15</v>
      </c>
      <c r="F14" s="26" t="s">
        <v>677</v>
      </c>
    </row>
    <row r="15" spans="1:13" ht="15">
      <c r="E15" s="6" t="s">
        <v>15</v>
      </c>
      <c r="F15" s="26" t="s">
        <v>679</v>
      </c>
    </row>
    <row r="16" spans="1:13" ht="15">
      <c r="E16" s="6" t="s">
        <v>16</v>
      </c>
      <c r="F16" s="26" t="s">
        <v>678</v>
      </c>
    </row>
    <row r="17" spans="1:5" ht="15">
      <c r="E17" s="6"/>
    </row>
    <row r="19" spans="1:5" ht="18">
      <c r="A19" s="7" t="s">
        <v>17</v>
      </c>
      <c r="B19" s="7"/>
    </row>
    <row r="20" spans="1:5" ht="15">
      <c r="A20" s="11" t="s">
        <v>31</v>
      </c>
      <c r="B20" s="11"/>
    </row>
    <row r="21" spans="1:5" ht="14.25">
      <c r="A21" s="13"/>
      <c r="B21" s="14" t="s">
        <v>347</v>
      </c>
    </row>
    <row r="22" spans="1:5" ht="15">
      <c r="A22" s="15" t="s">
        <v>33</v>
      </c>
      <c r="B22" s="15" t="s">
        <v>34</v>
      </c>
      <c r="C22" s="15" t="s">
        <v>35</v>
      </c>
      <c r="D22" s="15" t="s">
        <v>36</v>
      </c>
      <c r="E22" s="15" t="s">
        <v>37</v>
      </c>
    </row>
    <row r="23" spans="1:5">
      <c r="A23" s="12" t="s">
        <v>681</v>
      </c>
      <c r="B23" s="5" t="s">
        <v>351</v>
      </c>
      <c r="C23" s="5" t="s">
        <v>148</v>
      </c>
      <c r="D23" s="5" t="s">
        <v>315</v>
      </c>
      <c r="E23" s="16" t="s">
        <v>649</v>
      </c>
    </row>
    <row r="25" spans="1:5" ht="14.25">
      <c r="A25" s="13"/>
      <c r="B25" s="14" t="s">
        <v>32</v>
      </c>
    </row>
    <row r="26" spans="1:5" ht="15">
      <c r="A26" s="15" t="s">
        <v>33</v>
      </c>
      <c r="B26" s="15" t="s">
        <v>34</v>
      </c>
      <c r="C26" s="15" t="s">
        <v>35</v>
      </c>
      <c r="D26" s="15" t="s">
        <v>36</v>
      </c>
      <c r="E26" s="15" t="s">
        <v>37</v>
      </c>
    </row>
    <row r="27" spans="1:5">
      <c r="A27" s="12" t="s">
        <v>645</v>
      </c>
      <c r="B27" s="5" t="s">
        <v>32</v>
      </c>
      <c r="C27" s="5" t="s">
        <v>103</v>
      </c>
      <c r="D27" s="5" t="s">
        <v>176</v>
      </c>
      <c r="E27" s="16" t="s">
        <v>650</v>
      </c>
    </row>
    <row r="32" spans="1:5" ht="18">
      <c r="A32" s="7" t="s">
        <v>40</v>
      </c>
      <c r="B32" s="7"/>
    </row>
    <row r="33" spans="1:3" ht="15">
      <c r="A33" s="15" t="s">
        <v>41</v>
      </c>
      <c r="B33" s="15" t="s">
        <v>42</v>
      </c>
      <c r="C33" s="15" t="s">
        <v>43</v>
      </c>
    </row>
    <row r="34" spans="1:3">
      <c r="A34" s="5" t="s">
        <v>136</v>
      </c>
      <c r="B34" s="5" t="s">
        <v>44</v>
      </c>
      <c r="C34" s="5" t="s">
        <v>651</v>
      </c>
    </row>
    <row r="35" spans="1:3">
      <c r="A35" s="5" t="s">
        <v>226</v>
      </c>
      <c r="B35" s="5" t="s">
        <v>44</v>
      </c>
      <c r="C35" s="5" t="s">
        <v>681</v>
      </c>
    </row>
  </sheetData>
  <mergeCells count="13">
    <mergeCell ref="K3:K4"/>
    <mergeCell ref="L3:L4"/>
    <mergeCell ref="M3:M4"/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1"/>
  <sheetViews>
    <sheetView workbookViewId="0">
      <selection activeCell="F15" sqref="F15"/>
    </sheetView>
  </sheetViews>
  <sheetFormatPr defaultRowHeight="12.75"/>
  <cols>
    <col min="1" max="1" width="31.85546875" style="5" bestFit="1" customWidth="1"/>
    <col min="2" max="2" width="28.42578125" style="5" bestFit="1" customWidth="1"/>
    <col min="3" max="3" width="19.7109375" style="5" bestFit="1" customWidth="1"/>
    <col min="4" max="4" width="9.28515625" style="5" bestFit="1" customWidth="1"/>
    <col min="5" max="5" width="22.7109375" style="5" bestFit="1" customWidth="1"/>
    <col min="6" max="6" width="34.42578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6" t="s">
        <v>773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2</v>
      </c>
      <c r="H3" s="66"/>
      <c r="I3" s="66"/>
      <c r="J3" s="66"/>
      <c r="K3" s="66" t="s">
        <v>18</v>
      </c>
      <c r="L3" s="66" t="s">
        <v>6</v>
      </c>
      <c r="M3" s="67" t="s">
        <v>5</v>
      </c>
    </row>
    <row r="4" spans="1:13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65"/>
      <c r="L4" s="65"/>
      <c r="M4" s="68"/>
    </row>
    <row r="5" spans="1:13" ht="15">
      <c r="A5" s="54" t="s">
        <v>20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28" t="s">
        <v>682</v>
      </c>
      <c r="B6" s="17" t="s">
        <v>628</v>
      </c>
      <c r="C6" s="17" t="s">
        <v>629</v>
      </c>
      <c r="D6" s="17" t="str">
        <f>"0,6680"</f>
        <v>0,6680</v>
      </c>
      <c r="E6" s="17" t="s">
        <v>226</v>
      </c>
      <c r="F6" s="17" t="s">
        <v>26</v>
      </c>
      <c r="G6" s="19" t="s">
        <v>313</v>
      </c>
      <c r="H6" s="18" t="s">
        <v>69</v>
      </c>
      <c r="I6" s="19" t="s">
        <v>69</v>
      </c>
      <c r="J6" s="18"/>
      <c r="K6" s="17" t="str">
        <f>"150,0"</f>
        <v>150,0</v>
      </c>
      <c r="L6" s="19" t="str">
        <f>"104,2080"</f>
        <v>104,2080</v>
      </c>
      <c r="M6" s="17" t="s">
        <v>30</v>
      </c>
    </row>
    <row r="7" spans="1:13">
      <c r="A7" s="20" t="s">
        <v>631</v>
      </c>
      <c r="B7" s="20" t="s">
        <v>632</v>
      </c>
      <c r="C7" s="20" t="s">
        <v>633</v>
      </c>
      <c r="D7" s="20" t="str">
        <f>"0,7014"</f>
        <v>0,7014</v>
      </c>
      <c r="E7" s="20" t="s">
        <v>64</v>
      </c>
      <c r="F7" s="20" t="s">
        <v>282</v>
      </c>
      <c r="G7" s="22" t="s">
        <v>69</v>
      </c>
      <c r="H7" s="21" t="s">
        <v>70</v>
      </c>
      <c r="I7" s="22" t="s">
        <v>70</v>
      </c>
      <c r="J7" s="21"/>
      <c r="K7" s="20" t="str">
        <f>"155,0"</f>
        <v>155,0</v>
      </c>
      <c r="L7" s="22" t="str">
        <f>"108,7170"</f>
        <v>108,7170</v>
      </c>
      <c r="M7" s="20" t="s">
        <v>30</v>
      </c>
    </row>
    <row r="9" spans="1:13" ht="15">
      <c r="A9" s="55" t="s">
        <v>268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3">
      <c r="A10" s="8" t="s">
        <v>635</v>
      </c>
      <c r="B10" s="8" t="s">
        <v>636</v>
      </c>
      <c r="C10" s="8" t="s">
        <v>637</v>
      </c>
      <c r="D10" s="8" t="str">
        <f>"0,5475"</f>
        <v>0,5475</v>
      </c>
      <c r="E10" s="8" t="s">
        <v>100</v>
      </c>
      <c r="F10" s="8" t="s">
        <v>26</v>
      </c>
      <c r="G10" s="9" t="s">
        <v>205</v>
      </c>
      <c r="H10" s="9" t="s">
        <v>205</v>
      </c>
      <c r="I10" s="10" t="s">
        <v>205</v>
      </c>
      <c r="J10" s="9"/>
      <c r="K10" s="8" t="str">
        <f>"260,0"</f>
        <v>260,0</v>
      </c>
      <c r="L10" s="10" t="str">
        <f>"142,3500"</f>
        <v>142,3500</v>
      </c>
      <c r="M10" s="8" t="s">
        <v>30</v>
      </c>
    </row>
    <row r="12" spans="1:13" ht="15">
      <c r="E12" s="6" t="s">
        <v>12</v>
      </c>
      <c r="F12" s="26" t="s">
        <v>674</v>
      </c>
    </row>
    <row r="13" spans="1:13" ht="15">
      <c r="E13" s="6" t="s">
        <v>13</v>
      </c>
      <c r="F13" s="26" t="s">
        <v>675</v>
      </c>
    </row>
    <row r="14" spans="1:13" ht="15">
      <c r="E14" s="6" t="s">
        <v>14</v>
      </c>
      <c r="F14" s="26" t="s">
        <v>676</v>
      </c>
    </row>
    <row r="15" spans="1:13" ht="15">
      <c r="E15" s="6" t="s">
        <v>15</v>
      </c>
      <c r="F15" s="26" t="s">
        <v>677</v>
      </c>
    </row>
    <row r="16" spans="1:13" ht="15">
      <c r="E16" s="6" t="s">
        <v>15</v>
      </c>
      <c r="F16" s="26" t="s">
        <v>679</v>
      </c>
    </row>
    <row r="17" spans="1:6" ht="15">
      <c r="E17" s="6" t="s">
        <v>16</v>
      </c>
      <c r="F17" s="26" t="s">
        <v>678</v>
      </c>
    </row>
    <row r="18" spans="1:6" ht="15">
      <c r="E18" s="6"/>
    </row>
    <row r="20" spans="1:6" ht="18">
      <c r="A20" s="7" t="s">
        <v>17</v>
      </c>
      <c r="B20" s="7"/>
    </row>
    <row r="21" spans="1:6" ht="15">
      <c r="A21" s="11" t="s">
        <v>31</v>
      </c>
      <c r="B21" s="11"/>
    </row>
    <row r="22" spans="1:6" ht="14.25">
      <c r="A22" s="13"/>
      <c r="B22" s="14" t="s">
        <v>347</v>
      </c>
    </row>
    <row r="23" spans="1:6" ht="15">
      <c r="A23" s="15" t="s">
        <v>33</v>
      </c>
      <c r="B23" s="15" t="s">
        <v>34</v>
      </c>
      <c r="C23" s="15" t="s">
        <v>35</v>
      </c>
      <c r="D23" s="15" t="s">
        <v>36</v>
      </c>
      <c r="E23" s="15" t="s">
        <v>37</v>
      </c>
    </row>
    <row r="24" spans="1:6">
      <c r="A24" s="12" t="s">
        <v>683</v>
      </c>
      <c r="B24" s="5" t="s">
        <v>348</v>
      </c>
      <c r="C24" s="5" t="s">
        <v>38</v>
      </c>
      <c r="D24" s="5" t="s">
        <v>69</v>
      </c>
      <c r="E24" s="16" t="s">
        <v>638</v>
      </c>
    </row>
    <row r="26" spans="1:6" ht="14.25">
      <c r="A26" s="13"/>
      <c r="B26" s="14" t="s">
        <v>532</v>
      </c>
    </row>
    <row r="27" spans="1:6" ht="15">
      <c r="A27" s="15" t="s">
        <v>33</v>
      </c>
      <c r="B27" s="15" t="s">
        <v>34</v>
      </c>
      <c r="C27" s="15" t="s">
        <v>35</v>
      </c>
      <c r="D27" s="15" t="s">
        <v>36</v>
      </c>
      <c r="E27" s="15" t="s">
        <v>37</v>
      </c>
    </row>
    <row r="28" spans="1:6">
      <c r="A28" s="12" t="s">
        <v>634</v>
      </c>
      <c r="B28" s="5" t="s">
        <v>139</v>
      </c>
      <c r="C28" s="5" t="s">
        <v>29</v>
      </c>
      <c r="D28" s="5" t="s">
        <v>205</v>
      </c>
      <c r="E28" s="16" t="s">
        <v>639</v>
      </c>
    </row>
    <row r="30" spans="1:6" ht="14.25">
      <c r="A30" s="13"/>
      <c r="B30" s="14" t="s">
        <v>32</v>
      </c>
    </row>
    <row r="31" spans="1:6" ht="15">
      <c r="A31" s="15" t="s">
        <v>33</v>
      </c>
      <c r="B31" s="15" t="s">
        <v>34</v>
      </c>
      <c r="C31" s="15" t="s">
        <v>35</v>
      </c>
      <c r="D31" s="15" t="s">
        <v>36</v>
      </c>
      <c r="E31" s="15" t="s">
        <v>37</v>
      </c>
    </row>
    <row r="32" spans="1:6">
      <c r="A32" s="12" t="s">
        <v>630</v>
      </c>
      <c r="B32" s="5" t="s">
        <v>32</v>
      </c>
      <c r="C32" s="5" t="s">
        <v>38</v>
      </c>
      <c r="D32" s="5" t="s">
        <v>70</v>
      </c>
      <c r="E32" s="16" t="s">
        <v>640</v>
      </c>
    </row>
    <row r="37" spans="1:3" ht="18">
      <c r="A37" s="7" t="s">
        <v>40</v>
      </c>
      <c r="B37" s="7"/>
    </row>
    <row r="38" spans="1:3" ht="15">
      <c r="A38" s="15" t="s">
        <v>41</v>
      </c>
      <c r="B38" s="15" t="s">
        <v>42</v>
      </c>
      <c r="C38" s="15" t="s">
        <v>43</v>
      </c>
    </row>
    <row r="39" spans="1:3">
      <c r="A39" s="5" t="s">
        <v>64</v>
      </c>
      <c r="B39" s="5" t="s">
        <v>44</v>
      </c>
      <c r="C39" s="5" t="s">
        <v>641</v>
      </c>
    </row>
    <row r="40" spans="1:3">
      <c r="A40" s="5" t="s">
        <v>226</v>
      </c>
      <c r="B40" s="5" t="s">
        <v>44</v>
      </c>
      <c r="C40" s="5" t="s">
        <v>683</v>
      </c>
    </row>
    <row r="41" spans="1:3">
      <c r="A41" s="5" t="s">
        <v>100</v>
      </c>
      <c r="B41" s="5" t="s">
        <v>44</v>
      </c>
      <c r="C41" s="5" t="s">
        <v>642</v>
      </c>
    </row>
  </sheetData>
  <mergeCells count="13">
    <mergeCell ref="K3:K4"/>
    <mergeCell ref="L3:L4"/>
    <mergeCell ref="M3:M4"/>
    <mergeCell ref="A5:L5"/>
    <mergeCell ref="A9:L9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87"/>
  <sheetViews>
    <sheetView workbookViewId="0">
      <selection sqref="A1:M2"/>
    </sheetView>
  </sheetViews>
  <sheetFormatPr defaultRowHeight="12.75"/>
  <cols>
    <col min="1" max="1" width="31.85546875" style="5" bestFit="1" customWidth="1"/>
    <col min="2" max="2" width="29" style="5" bestFit="1" customWidth="1"/>
    <col min="3" max="3" width="86" style="5" bestFit="1" customWidth="1"/>
    <col min="4" max="4" width="9.28515625" style="5" bestFit="1" customWidth="1"/>
    <col min="5" max="5" width="22.7109375" style="5" bestFit="1" customWidth="1"/>
    <col min="6" max="6" width="34.42578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7.28515625" style="5" bestFit="1" customWidth="1"/>
    <col min="14" max="16384" width="9.140625" style="4"/>
  </cols>
  <sheetData>
    <row r="1" spans="1:13" s="3" customFormat="1" ht="29.1" customHeight="1">
      <c r="A1" s="56" t="s">
        <v>774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3</v>
      </c>
      <c r="H3" s="66"/>
      <c r="I3" s="66"/>
      <c r="J3" s="66"/>
      <c r="K3" s="66" t="s">
        <v>18</v>
      </c>
      <c r="L3" s="66" t="s">
        <v>6</v>
      </c>
      <c r="M3" s="67" t="s">
        <v>5</v>
      </c>
    </row>
    <row r="4" spans="1:13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65"/>
      <c r="L4" s="65"/>
      <c r="M4" s="68"/>
    </row>
    <row r="5" spans="1:13" ht="15">
      <c r="A5" s="54" t="s">
        <v>376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8" t="s">
        <v>577</v>
      </c>
      <c r="B6" s="8" t="s">
        <v>578</v>
      </c>
      <c r="C6" s="8" t="s">
        <v>579</v>
      </c>
      <c r="D6" s="8" t="str">
        <f>"1,0414"</f>
        <v>1,0414</v>
      </c>
      <c r="E6" s="8" t="s">
        <v>248</v>
      </c>
      <c r="F6" s="8" t="s">
        <v>26</v>
      </c>
      <c r="G6" s="10" t="s">
        <v>102</v>
      </c>
      <c r="H6" s="10" t="s">
        <v>284</v>
      </c>
      <c r="I6" s="10" t="s">
        <v>115</v>
      </c>
      <c r="J6" s="9"/>
      <c r="K6" s="8" t="str">
        <f>"120,0"</f>
        <v>120,0</v>
      </c>
      <c r="L6" s="10" t="str">
        <f>"124,9680"</f>
        <v>124,9680</v>
      </c>
      <c r="M6" s="8" t="s">
        <v>580</v>
      </c>
    </row>
    <row r="8" spans="1:13" ht="15">
      <c r="A8" s="55" t="s">
        <v>277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3">
      <c r="A9" s="8" t="s">
        <v>279</v>
      </c>
      <c r="B9" s="8" t="s">
        <v>280</v>
      </c>
      <c r="C9" s="8" t="s">
        <v>281</v>
      </c>
      <c r="D9" s="8" t="str">
        <f>"0,9754"</f>
        <v>0,9754</v>
      </c>
      <c r="E9" s="8" t="s">
        <v>64</v>
      </c>
      <c r="F9" s="8" t="s">
        <v>282</v>
      </c>
      <c r="G9" s="10" t="s">
        <v>284</v>
      </c>
      <c r="H9" s="9" t="s">
        <v>285</v>
      </c>
      <c r="I9" s="9"/>
      <c r="J9" s="9"/>
      <c r="K9" s="8" t="str">
        <f>"107,5"</f>
        <v>107,5</v>
      </c>
      <c r="L9" s="10" t="str">
        <f>"104,8609"</f>
        <v>104,8609</v>
      </c>
      <c r="M9" s="8" t="s">
        <v>30</v>
      </c>
    </row>
    <row r="11" spans="1:13" ht="15">
      <c r="A11" s="55" t="s">
        <v>87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13">
      <c r="A12" s="17" t="s">
        <v>387</v>
      </c>
      <c r="B12" s="17" t="s">
        <v>388</v>
      </c>
      <c r="C12" s="17" t="s">
        <v>389</v>
      </c>
      <c r="D12" s="17" t="str">
        <f>"0,7788"</f>
        <v>0,7788</v>
      </c>
      <c r="E12" s="17" t="s">
        <v>226</v>
      </c>
      <c r="F12" s="17" t="s">
        <v>137</v>
      </c>
      <c r="G12" s="19" t="s">
        <v>53</v>
      </c>
      <c r="H12" s="19" t="s">
        <v>27</v>
      </c>
      <c r="I12" s="19" t="s">
        <v>103</v>
      </c>
      <c r="J12" s="18"/>
      <c r="K12" s="17" t="str">
        <f>"100,0"</f>
        <v>100,0</v>
      </c>
      <c r="L12" s="19" t="str">
        <f>"82,5475"</f>
        <v>82,5475</v>
      </c>
      <c r="M12" s="17" t="s">
        <v>30</v>
      </c>
    </row>
    <row r="13" spans="1:13">
      <c r="A13" s="20" t="s">
        <v>582</v>
      </c>
      <c r="B13" s="20" t="s">
        <v>583</v>
      </c>
      <c r="C13" s="20" t="s">
        <v>389</v>
      </c>
      <c r="D13" s="20" t="str">
        <f>"0,7788"</f>
        <v>0,7788</v>
      </c>
      <c r="E13" s="20" t="s">
        <v>64</v>
      </c>
      <c r="F13" s="20" t="s">
        <v>26</v>
      </c>
      <c r="G13" s="22" t="s">
        <v>28</v>
      </c>
      <c r="H13" s="22" t="s">
        <v>284</v>
      </c>
      <c r="I13" s="21" t="s">
        <v>29</v>
      </c>
      <c r="J13" s="21"/>
      <c r="K13" s="20" t="str">
        <f>"107,5"</f>
        <v>107,5</v>
      </c>
      <c r="L13" s="22" t="str">
        <f>"83,7156"</f>
        <v>83,7156</v>
      </c>
      <c r="M13" s="20" t="s">
        <v>30</v>
      </c>
    </row>
    <row r="15" spans="1:13" ht="15">
      <c r="A15" s="55" t="s">
        <v>20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3">
      <c r="A16" s="8" t="s">
        <v>301</v>
      </c>
      <c r="B16" s="8" t="s">
        <v>302</v>
      </c>
      <c r="C16" s="8" t="s">
        <v>24</v>
      </c>
      <c r="D16" s="8" t="str">
        <f>"0,6867"</f>
        <v>0,6867</v>
      </c>
      <c r="E16" s="8" t="s">
        <v>303</v>
      </c>
      <c r="F16" s="8" t="s">
        <v>304</v>
      </c>
      <c r="G16" s="10" t="s">
        <v>67</v>
      </c>
      <c r="H16" s="9"/>
      <c r="I16" s="9"/>
      <c r="J16" s="9"/>
      <c r="K16" s="8" t="str">
        <f>"180,0"</f>
        <v>180,0</v>
      </c>
      <c r="L16" s="10" t="str">
        <f>"133,4945"</f>
        <v>133,4945</v>
      </c>
      <c r="M16" s="8" t="s">
        <v>30</v>
      </c>
    </row>
    <row r="18" spans="1:13" ht="15">
      <c r="A18" s="55" t="s">
        <v>110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3">
      <c r="A19" s="17" t="s">
        <v>585</v>
      </c>
      <c r="B19" s="17" t="s">
        <v>586</v>
      </c>
      <c r="C19" s="17" t="s">
        <v>587</v>
      </c>
      <c r="D19" s="17" t="str">
        <f>"0,6219"</f>
        <v>0,6219</v>
      </c>
      <c r="E19" s="17" t="s">
        <v>248</v>
      </c>
      <c r="F19" s="17" t="s">
        <v>26</v>
      </c>
      <c r="G19" s="18" t="s">
        <v>103</v>
      </c>
      <c r="H19" s="19" t="s">
        <v>103</v>
      </c>
      <c r="I19" s="19" t="s">
        <v>29</v>
      </c>
      <c r="J19" s="18"/>
      <c r="K19" s="17" t="str">
        <f>"110,0"</f>
        <v>110,0</v>
      </c>
      <c r="L19" s="19" t="str">
        <f>"84,1431"</f>
        <v>84,1431</v>
      </c>
      <c r="M19" s="17" t="s">
        <v>30</v>
      </c>
    </row>
    <row r="20" spans="1:13">
      <c r="A20" s="29" t="s">
        <v>689</v>
      </c>
      <c r="B20" s="23" t="s">
        <v>588</v>
      </c>
      <c r="C20" s="23" t="s">
        <v>589</v>
      </c>
      <c r="D20" s="23" t="str">
        <f>"0,6203"</f>
        <v>0,6203</v>
      </c>
      <c r="E20" s="23" t="s">
        <v>226</v>
      </c>
      <c r="F20" s="23" t="s">
        <v>26</v>
      </c>
      <c r="G20" s="25" t="s">
        <v>315</v>
      </c>
      <c r="H20" s="25" t="s">
        <v>590</v>
      </c>
      <c r="I20" s="24" t="s">
        <v>68</v>
      </c>
      <c r="J20" s="24"/>
      <c r="K20" s="23" t="str">
        <f>"187,5"</f>
        <v>187,5</v>
      </c>
      <c r="L20" s="25" t="str">
        <f>"123,2846"</f>
        <v>123,2846</v>
      </c>
      <c r="M20" s="23" t="s">
        <v>30</v>
      </c>
    </row>
    <row r="21" spans="1:13">
      <c r="A21" s="23" t="s">
        <v>592</v>
      </c>
      <c r="B21" s="23" t="s">
        <v>593</v>
      </c>
      <c r="C21" s="23" t="s">
        <v>594</v>
      </c>
      <c r="D21" s="23" t="str">
        <f>"0,6614"</f>
        <v>0,6614</v>
      </c>
      <c r="E21" s="23" t="s">
        <v>64</v>
      </c>
      <c r="F21" s="23" t="s">
        <v>26</v>
      </c>
      <c r="G21" s="24" t="s">
        <v>163</v>
      </c>
      <c r="H21" s="24" t="s">
        <v>474</v>
      </c>
      <c r="I21" s="25" t="s">
        <v>474</v>
      </c>
      <c r="J21" s="24"/>
      <c r="K21" s="23" t="str">
        <f>"217,5"</f>
        <v>217,5</v>
      </c>
      <c r="L21" s="25" t="str">
        <f>"143,8436"</f>
        <v>143,8436</v>
      </c>
      <c r="M21" s="23" t="s">
        <v>30</v>
      </c>
    </row>
    <row r="22" spans="1:13">
      <c r="A22" s="20" t="s">
        <v>596</v>
      </c>
      <c r="B22" s="20" t="s">
        <v>597</v>
      </c>
      <c r="C22" s="20" t="s">
        <v>598</v>
      </c>
      <c r="D22" s="20" t="str">
        <f>"0,6248"</f>
        <v>0,6248</v>
      </c>
      <c r="E22" s="20" t="s">
        <v>248</v>
      </c>
      <c r="F22" s="20" t="s">
        <v>26</v>
      </c>
      <c r="G22" s="22" t="s">
        <v>67</v>
      </c>
      <c r="H22" s="21" t="s">
        <v>590</v>
      </c>
      <c r="I22" s="21" t="s">
        <v>131</v>
      </c>
      <c r="J22" s="21"/>
      <c r="K22" s="20" t="str">
        <f>"180,0"</f>
        <v>180,0</v>
      </c>
      <c r="L22" s="22" t="str">
        <f>"112,4730"</f>
        <v>112,4730</v>
      </c>
      <c r="M22" s="20" t="s">
        <v>30</v>
      </c>
    </row>
    <row r="24" spans="1:13" ht="15">
      <c r="A24" s="55" t="s">
        <v>118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</row>
    <row r="25" spans="1:13">
      <c r="A25" s="17" t="s">
        <v>600</v>
      </c>
      <c r="B25" s="17" t="s">
        <v>601</v>
      </c>
      <c r="C25" s="17" t="s">
        <v>602</v>
      </c>
      <c r="D25" s="17" t="str">
        <f>"0,5673"</f>
        <v>0,5673</v>
      </c>
      <c r="E25" s="17" t="s">
        <v>64</v>
      </c>
      <c r="F25" s="17" t="s">
        <v>26</v>
      </c>
      <c r="G25" s="19" t="s">
        <v>175</v>
      </c>
      <c r="H25" s="19" t="s">
        <v>236</v>
      </c>
      <c r="I25" s="19" t="s">
        <v>176</v>
      </c>
      <c r="J25" s="18"/>
      <c r="K25" s="17" t="str">
        <f>"250,0"</f>
        <v>250,0</v>
      </c>
      <c r="L25" s="19" t="str">
        <f>"141,8375"</f>
        <v>141,8375</v>
      </c>
      <c r="M25" s="17" t="s">
        <v>30</v>
      </c>
    </row>
    <row r="26" spans="1:13">
      <c r="A26" s="23" t="s">
        <v>603</v>
      </c>
      <c r="B26" s="23" t="s">
        <v>318</v>
      </c>
      <c r="C26" s="23" t="s">
        <v>319</v>
      </c>
      <c r="D26" s="23" t="str">
        <f>"0,5639"</f>
        <v>0,5639</v>
      </c>
      <c r="E26" s="23" t="s">
        <v>320</v>
      </c>
      <c r="F26" s="23" t="s">
        <v>26</v>
      </c>
      <c r="G26" s="25" t="s">
        <v>163</v>
      </c>
      <c r="H26" s="24" t="s">
        <v>321</v>
      </c>
      <c r="I26" s="24"/>
      <c r="J26" s="24"/>
      <c r="K26" s="23" t="str">
        <f>"210,0"</f>
        <v>210,0</v>
      </c>
      <c r="L26" s="25" t="str">
        <f>"118,4190"</f>
        <v>118,4190</v>
      </c>
      <c r="M26" s="23" t="s">
        <v>30</v>
      </c>
    </row>
    <row r="27" spans="1:13">
      <c r="A27" s="20" t="s">
        <v>605</v>
      </c>
      <c r="B27" s="20" t="s">
        <v>606</v>
      </c>
      <c r="C27" s="20" t="s">
        <v>607</v>
      </c>
      <c r="D27" s="20" t="str">
        <f>"0,5545"</f>
        <v>0,5545</v>
      </c>
      <c r="E27" s="20" t="s">
        <v>226</v>
      </c>
      <c r="F27" s="20" t="s">
        <v>26</v>
      </c>
      <c r="G27" s="22" t="s">
        <v>66</v>
      </c>
      <c r="H27" s="22" t="s">
        <v>256</v>
      </c>
      <c r="I27" s="21" t="s">
        <v>124</v>
      </c>
      <c r="J27" s="21"/>
      <c r="K27" s="20" t="str">
        <f>"185,0"</f>
        <v>185,0</v>
      </c>
      <c r="L27" s="22" t="str">
        <f>"102,5825"</f>
        <v>102,5825</v>
      </c>
      <c r="M27" s="20" t="s">
        <v>30</v>
      </c>
    </row>
    <row r="29" spans="1:13" ht="15">
      <c r="A29" s="55" t="s">
        <v>268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3">
      <c r="A30" s="17" t="s">
        <v>323</v>
      </c>
      <c r="B30" s="17" t="s">
        <v>324</v>
      </c>
      <c r="C30" s="17" t="s">
        <v>325</v>
      </c>
      <c r="D30" s="17" t="str">
        <f>"0,5377"</f>
        <v>0,5377</v>
      </c>
      <c r="E30" s="17" t="s">
        <v>64</v>
      </c>
      <c r="F30" s="17" t="s">
        <v>326</v>
      </c>
      <c r="G30" s="19" t="s">
        <v>205</v>
      </c>
      <c r="H30" s="18"/>
      <c r="I30" s="18"/>
      <c r="J30" s="18"/>
      <c r="K30" s="17" t="str">
        <f>"260,0"</f>
        <v>260,0</v>
      </c>
      <c r="L30" s="19" t="str">
        <f>"139,8020"</f>
        <v>139,8020</v>
      </c>
      <c r="M30" s="17" t="s">
        <v>327</v>
      </c>
    </row>
    <row r="31" spans="1:13">
      <c r="A31" s="20" t="s">
        <v>333</v>
      </c>
      <c r="B31" s="20" t="s">
        <v>334</v>
      </c>
      <c r="C31" s="20" t="s">
        <v>335</v>
      </c>
      <c r="D31" s="20" t="str">
        <f>"0,5437"</f>
        <v>0,5437</v>
      </c>
      <c r="E31" s="20" t="s">
        <v>303</v>
      </c>
      <c r="F31" s="20" t="s">
        <v>304</v>
      </c>
      <c r="G31" s="22" t="s">
        <v>72</v>
      </c>
      <c r="H31" s="21" t="s">
        <v>249</v>
      </c>
      <c r="I31" s="22" t="s">
        <v>249</v>
      </c>
      <c r="J31" s="21"/>
      <c r="K31" s="20" t="str">
        <f>"225,0"</f>
        <v>225,0</v>
      </c>
      <c r="L31" s="22" t="str">
        <f>"122,3325"</f>
        <v>122,3325</v>
      </c>
      <c r="M31" s="20" t="s">
        <v>30</v>
      </c>
    </row>
    <row r="33" spans="1:13" ht="15">
      <c r="A33" s="55" t="s">
        <v>193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3">
      <c r="A34" s="8" t="s">
        <v>337</v>
      </c>
      <c r="B34" s="8" t="s">
        <v>338</v>
      </c>
      <c r="C34" s="8" t="s">
        <v>339</v>
      </c>
      <c r="D34" s="8" t="str">
        <f>"0,5280"</f>
        <v>0,5280</v>
      </c>
      <c r="E34" s="8" t="s">
        <v>320</v>
      </c>
      <c r="F34" s="8" t="s">
        <v>26</v>
      </c>
      <c r="G34" s="10" t="s">
        <v>74</v>
      </c>
      <c r="H34" s="10" t="s">
        <v>340</v>
      </c>
      <c r="I34" s="10" t="s">
        <v>205</v>
      </c>
      <c r="J34" s="9"/>
      <c r="K34" s="8" t="str">
        <f>"260,0"</f>
        <v>260,0</v>
      </c>
      <c r="L34" s="10" t="str">
        <f>"137,2800"</f>
        <v>137,2800</v>
      </c>
      <c r="M34" s="8" t="s">
        <v>30</v>
      </c>
    </row>
    <row r="36" spans="1:13" ht="15">
      <c r="E36" s="6" t="s">
        <v>12</v>
      </c>
      <c r="F36" s="26" t="s">
        <v>674</v>
      </c>
    </row>
    <row r="37" spans="1:13" ht="15">
      <c r="E37" s="6" t="s">
        <v>13</v>
      </c>
      <c r="F37" s="26" t="s">
        <v>675</v>
      </c>
    </row>
    <row r="38" spans="1:13" ht="15">
      <c r="E38" s="6" t="s">
        <v>14</v>
      </c>
      <c r="F38" s="26" t="s">
        <v>676</v>
      </c>
    </row>
    <row r="39" spans="1:13" ht="15">
      <c r="E39" s="6" t="s">
        <v>15</v>
      </c>
      <c r="F39" s="26" t="s">
        <v>677</v>
      </c>
    </row>
    <row r="40" spans="1:13" ht="15">
      <c r="E40" s="6" t="s">
        <v>15</v>
      </c>
      <c r="F40" s="26" t="s">
        <v>679</v>
      </c>
    </row>
    <row r="41" spans="1:13" ht="15">
      <c r="E41" s="6" t="s">
        <v>16</v>
      </c>
      <c r="F41" s="26" t="s">
        <v>678</v>
      </c>
    </row>
    <row r="42" spans="1:13" ht="15">
      <c r="E42" s="6"/>
    </row>
    <row r="44" spans="1:13" ht="18">
      <c r="A44" s="7" t="s">
        <v>17</v>
      </c>
      <c r="B44" s="7"/>
    </row>
    <row r="45" spans="1:13" ht="15">
      <c r="A45" s="11" t="s">
        <v>75</v>
      </c>
      <c r="B45" s="11"/>
    </row>
    <row r="46" spans="1:13" ht="14.25">
      <c r="A46" s="13"/>
      <c r="B46" s="14" t="s">
        <v>76</v>
      </c>
    </row>
    <row r="47" spans="1:13" ht="15">
      <c r="A47" s="15" t="s">
        <v>33</v>
      </c>
      <c r="B47" s="15" t="s">
        <v>34</v>
      </c>
      <c r="C47" s="15" t="s">
        <v>35</v>
      </c>
      <c r="D47" s="15" t="s">
        <v>36</v>
      </c>
      <c r="E47" s="15" t="s">
        <v>37</v>
      </c>
    </row>
    <row r="48" spans="1:13">
      <c r="A48" s="12" t="s">
        <v>386</v>
      </c>
      <c r="B48" s="5" t="s">
        <v>348</v>
      </c>
      <c r="C48" s="5" t="s">
        <v>140</v>
      </c>
      <c r="D48" s="5" t="s">
        <v>103</v>
      </c>
      <c r="E48" s="16" t="s">
        <v>608</v>
      </c>
    </row>
    <row r="50" spans="1:5" ht="14.25">
      <c r="A50" s="13"/>
      <c r="B50" s="14" t="s">
        <v>32</v>
      </c>
    </row>
    <row r="51" spans="1:5" ht="15">
      <c r="A51" s="15" t="s">
        <v>33</v>
      </c>
      <c r="B51" s="15" t="s">
        <v>34</v>
      </c>
      <c r="C51" s="15" t="s">
        <v>35</v>
      </c>
      <c r="D51" s="15" t="s">
        <v>36</v>
      </c>
      <c r="E51" s="15" t="s">
        <v>37</v>
      </c>
    </row>
    <row r="52" spans="1:5">
      <c r="A52" s="12" t="s">
        <v>576</v>
      </c>
      <c r="B52" s="5" t="s">
        <v>32</v>
      </c>
      <c r="C52" s="5" t="s">
        <v>522</v>
      </c>
      <c r="D52" s="5" t="s">
        <v>115</v>
      </c>
      <c r="E52" s="16" t="s">
        <v>609</v>
      </c>
    </row>
    <row r="53" spans="1:5">
      <c r="A53" s="12" t="s">
        <v>278</v>
      </c>
      <c r="B53" s="5" t="s">
        <v>32</v>
      </c>
      <c r="C53" s="5" t="s">
        <v>345</v>
      </c>
      <c r="D53" s="5" t="s">
        <v>284</v>
      </c>
      <c r="E53" s="16" t="s">
        <v>610</v>
      </c>
    </row>
    <row r="54" spans="1:5">
      <c r="A54" s="12" t="s">
        <v>581</v>
      </c>
      <c r="B54" s="5" t="s">
        <v>32</v>
      </c>
      <c r="C54" s="5" t="s">
        <v>140</v>
      </c>
      <c r="D54" s="5" t="s">
        <v>284</v>
      </c>
      <c r="E54" s="16" t="s">
        <v>611</v>
      </c>
    </row>
    <row r="57" spans="1:5" ht="15">
      <c r="A57" s="11" t="s">
        <v>31</v>
      </c>
      <c r="B57" s="11"/>
    </row>
    <row r="58" spans="1:5" ht="14.25">
      <c r="A58" s="13"/>
      <c r="B58" s="14" t="s">
        <v>347</v>
      </c>
    </row>
    <row r="59" spans="1:5" ht="15">
      <c r="A59" s="15" t="s">
        <v>33</v>
      </c>
      <c r="B59" s="15" t="s">
        <v>34</v>
      </c>
      <c r="C59" s="15" t="s">
        <v>35</v>
      </c>
      <c r="D59" s="15" t="s">
        <v>36</v>
      </c>
      <c r="E59" s="15" t="s">
        <v>37</v>
      </c>
    </row>
    <row r="60" spans="1:5">
      <c r="A60" s="12" t="s">
        <v>300</v>
      </c>
      <c r="B60" s="5" t="s">
        <v>351</v>
      </c>
      <c r="C60" s="5" t="s">
        <v>38</v>
      </c>
      <c r="D60" s="5" t="s">
        <v>67</v>
      </c>
      <c r="E60" s="16" t="s">
        <v>612</v>
      </c>
    </row>
    <row r="61" spans="1:5">
      <c r="A61" s="12" t="s">
        <v>690</v>
      </c>
      <c r="B61" s="5" t="s">
        <v>348</v>
      </c>
      <c r="C61" s="5" t="s">
        <v>148</v>
      </c>
      <c r="D61" s="5" t="s">
        <v>590</v>
      </c>
      <c r="E61" s="16" t="s">
        <v>613</v>
      </c>
    </row>
    <row r="62" spans="1:5">
      <c r="A62" s="12" t="s">
        <v>584</v>
      </c>
      <c r="B62" s="5" t="s">
        <v>77</v>
      </c>
      <c r="C62" s="5" t="s">
        <v>148</v>
      </c>
      <c r="D62" s="5" t="s">
        <v>29</v>
      </c>
      <c r="E62" s="16" t="s">
        <v>614</v>
      </c>
    </row>
    <row r="64" spans="1:5" ht="14.25">
      <c r="A64" s="13"/>
      <c r="B64" s="14" t="s">
        <v>32</v>
      </c>
    </row>
    <row r="65" spans="1:5" ht="15">
      <c r="A65" s="15" t="s">
        <v>33</v>
      </c>
      <c r="B65" s="15" t="s">
        <v>34</v>
      </c>
      <c r="C65" s="15" t="s">
        <v>35</v>
      </c>
      <c r="D65" s="15" t="s">
        <v>36</v>
      </c>
      <c r="E65" s="15" t="s">
        <v>37</v>
      </c>
    </row>
    <row r="66" spans="1:5">
      <c r="A66" s="12" t="s">
        <v>591</v>
      </c>
      <c r="B66" s="5" t="s">
        <v>32</v>
      </c>
      <c r="C66" s="5" t="s">
        <v>148</v>
      </c>
      <c r="D66" s="5" t="s">
        <v>474</v>
      </c>
      <c r="E66" s="16" t="s">
        <v>615</v>
      </c>
    </row>
    <row r="67" spans="1:5">
      <c r="A67" s="12" t="s">
        <v>599</v>
      </c>
      <c r="B67" s="5" t="s">
        <v>32</v>
      </c>
      <c r="C67" s="5" t="s">
        <v>103</v>
      </c>
      <c r="D67" s="5" t="s">
        <v>176</v>
      </c>
      <c r="E67" s="16" t="s">
        <v>616</v>
      </c>
    </row>
    <row r="68" spans="1:5">
      <c r="A68" s="12" t="s">
        <v>322</v>
      </c>
      <c r="B68" s="5" t="s">
        <v>32</v>
      </c>
      <c r="C68" s="5" t="s">
        <v>29</v>
      </c>
      <c r="D68" s="5" t="s">
        <v>205</v>
      </c>
      <c r="E68" s="16" t="s">
        <v>617</v>
      </c>
    </row>
    <row r="69" spans="1:5">
      <c r="A69" s="12" t="s">
        <v>336</v>
      </c>
      <c r="B69" s="5" t="s">
        <v>32</v>
      </c>
      <c r="C69" s="5" t="s">
        <v>207</v>
      </c>
      <c r="D69" s="5" t="s">
        <v>205</v>
      </c>
      <c r="E69" s="16" t="s">
        <v>618</v>
      </c>
    </row>
    <row r="70" spans="1:5">
      <c r="A70" s="12" t="s">
        <v>316</v>
      </c>
      <c r="B70" s="5" t="s">
        <v>32</v>
      </c>
      <c r="C70" s="5" t="s">
        <v>103</v>
      </c>
      <c r="D70" s="5" t="s">
        <v>163</v>
      </c>
      <c r="E70" s="16" t="s">
        <v>619</v>
      </c>
    </row>
    <row r="71" spans="1:5">
      <c r="A71" s="12" t="s">
        <v>595</v>
      </c>
      <c r="B71" s="5" t="s">
        <v>32</v>
      </c>
      <c r="C71" s="5" t="s">
        <v>148</v>
      </c>
      <c r="D71" s="5" t="s">
        <v>67</v>
      </c>
      <c r="E71" s="16" t="s">
        <v>620</v>
      </c>
    </row>
    <row r="72" spans="1:5">
      <c r="A72" s="12" t="s">
        <v>604</v>
      </c>
      <c r="B72" s="5" t="s">
        <v>32</v>
      </c>
      <c r="C72" s="5" t="s">
        <v>103</v>
      </c>
      <c r="D72" s="5" t="s">
        <v>256</v>
      </c>
      <c r="E72" s="16" t="s">
        <v>621</v>
      </c>
    </row>
    <row r="74" spans="1:5" ht="14.25">
      <c r="A74" s="13"/>
      <c r="B74" s="14" t="s">
        <v>81</v>
      </c>
    </row>
    <row r="75" spans="1:5" ht="15">
      <c r="A75" s="15" t="s">
        <v>33</v>
      </c>
      <c r="B75" s="15" t="s">
        <v>34</v>
      </c>
      <c r="C75" s="15" t="s">
        <v>35</v>
      </c>
      <c r="D75" s="15" t="s">
        <v>36</v>
      </c>
      <c r="E75" s="15" t="s">
        <v>37</v>
      </c>
    </row>
    <row r="76" spans="1:5">
      <c r="A76" s="12" t="s">
        <v>332</v>
      </c>
      <c r="B76" s="5" t="s">
        <v>188</v>
      </c>
      <c r="C76" s="5" t="s">
        <v>29</v>
      </c>
      <c r="D76" s="5" t="s">
        <v>249</v>
      </c>
      <c r="E76" s="16" t="s">
        <v>622</v>
      </c>
    </row>
    <row r="81" spans="1:3" ht="18">
      <c r="A81" s="7" t="s">
        <v>40</v>
      </c>
      <c r="B81" s="7"/>
    </row>
    <row r="82" spans="1:3" ht="15">
      <c r="A82" s="15" t="s">
        <v>41</v>
      </c>
      <c r="B82" s="15" t="s">
        <v>42</v>
      </c>
      <c r="C82" s="15" t="s">
        <v>43</v>
      </c>
    </row>
    <row r="83" spans="1:3">
      <c r="A83" s="5" t="s">
        <v>64</v>
      </c>
      <c r="B83" s="5" t="s">
        <v>623</v>
      </c>
      <c r="C83" s="5" t="s">
        <v>624</v>
      </c>
    </row>
    <row r="84" spans="1:3">
      <c r="A84" s="5" t="s">
        <v>248</v>
      </c>
      <c r="B84" s="5" t="s">
        <v>625</v>
      </c>
      <c r="C84" s="5" t="s">
        <v>626</v>
      </c>
    </row>
    <row r="85" spans="1:3">
      <c r="A85" s="5" t="s">
        <v>226</v>
      </c>
      <c r="B85" s="5" t="s">
        <v>572</v>
      </c>
      <c r="C85" s="26" t="s">
        <v>691</v>
      </c>
    </row>
    <row r="86" spans="1:3">
      <c r="A86" s="5" t="s">
        <v>303</v>
      </c>
      <c r="B86" s="5" t="s">
        <v>150</v>
      </c>
      <c r="C86" s="5" t="s">
        <v>627</v>
      </c>
    </row>
    <row r="87" spans="1:3">
      <c r="A87" s="5" t="s">
        <v>320</v>
      </c>
      <c r="B87" s="5" t="s">
        <v>152</v>
      </c>
      <c r="C87" s="5" t="s">
        <v>375</v>
      </c>
    </row>
  </sheetData>
  <mergeCells count="19">
    <mergeCell ref="A15:L15"/>
    <mergeCell ref="A18:L18"/>
    <mergeCell ref="A24:L24"/>
    <mergeCell ref="A29:L29"/>
    <mergeCell ref="A33:L33"/>
    <mergeCell ref="K3:K4"/>
    <mergeCell ref="L3:L4"/>
    <mergeCell ref="F3:F4"/>
    <mergeCell ref="G3:J3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45"/>
  <sheetViews>
    <sheetView tabSelected="1" workbookViewId="0">
      <selection activeCell="C13" sqref="C13"/>
    </sheetView>
  </sheetViews>
  <sheetFormatPr defaultRowHeight="12.75"/>
  <cols>
    <col min="1" max="1" width="31.85546875" style="5" bestFit="1" customWidth="1"/>
    <col min="2" max="2" width="29" style="5" bestFit="1" customWidth="1"/>
    <col min="3" max="3" width="120" style="5" bestFit="1" customWidth="1"/>
    <col min="4" max="4" width="9.28515625" style="5" bestFit="1" customWidth="1"/>
    <col min="5" max="5" width="22.7109375" style="5" bestFit="1" customWidth="1"/>
    <col min="6" max="6" width="34.42578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7.28515625" style="5" bestFit="1" customWidth="1"/>
    <col min="14" max="16384" width="9.140625" style="4"/>
  </cols>
  <sheetData>
    <row r="1" spans="1:13" s="3" customFormat="1" ht="29.1" customHeight="1">
      <c r="A1" s="56" t="s">
        <v>775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2</v>
      </c>
      <c r="H3" s="66"/>
      <c r="I3" s="66"/>
      <c r="J3" s="66"/>
      <c r="K3" s="66" t="s">
        <v>18</v>
      </c>
      <c r="L3" s="66" t="s">
        <v>6</v>
      </c>
      <c r="M3" s="67" t="s">
        <v>5</v>
      </c>
    </row>
    <row r="4" spans="1:13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65"/>
      <c r="L4" s="65"/>
      <c r="M4" s="68"/>
    </row>
    <row r="5" spans="1:13" ht="15">
      <c r="A5" s="54" t="s">
        <v>376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27" t="s">
        <v>688</v>
      </c>
      <c r="B6" s="8" t="s">
        <v>377</v>
      </c>
      <c r="C6" s="8" t="s">
        <v>378</v>
      </c>
      <c r="D6" s="8" t="str">
        <f>"1,0379"</f>
        <v>1,0379</v>
      </c>
      <c r="E6" s="8" t="s">
        <v>226</v>
      </c>
      <c r="F6" s="8" t="s">
        <v>26</v>
      </c>
      <c r="G6" s="10" t="s">
        <v>95</v>
      </c>
      <c r="H6" s="10" t="s">
        <v>140</v>
      </c>
      <c r="I6" s="10" t="s">
        <v>293</v>
      </c>
      <c r="J6" s="9" t="s">
        <v>379</v>
      </c>
      <c r="K6" s="8" t="str">
        <f>"70,0"</f>
        <v>70,0</v>
      </c>
      <c r="L6" s="10" t="str">
        <f>"89,3632"</f>
        <v>89,3632</v>
      </c>
      <c r="M6" s="8" t="s">
        <v>30</v>
      </c>
    </row>
    <row r="8" spans="1:13" ht="15">
      <c r="A8" s="55" t="s">
        <v>277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3">
      <c r="A9" s="17" t="s">
        <v>279</v>
      </c>
      <c r="B9" s="17" t="s">
        <v>280</v>
      </c>
      <c r="C9" s="17" t="s">
        <v>281</v>
      </c>
      <c r="D9" s="17" t="str">
        <f>"0,9754"</f>
        <v>0,9754</v>
      </c>
      <c r="E9" s="17" t="s">
        <v>64</v>
      </c>
      <c r="F9" s="17" t="s">
        <v>282</v>
      </c>
      <c r="G9" s="19" t="s">
        <v>54</v>
      </c>
      <c r="H9" s="18"/>
      <c r="I9" s="18"/>
      <c r="J9" s="18"/>
      <c r="K9" s="17" t="str">
        <f>"52,5"</f>
        <v>52,5</v>
      </c>
      <c r="L9" s="19" t="str">
        <f>"51,2111"</f>
        <v>51,2111</v>
      </c>
      <c r="M9" s="17" t="s">
        <v>30</v>
      </c>
    </row>
    <row r="10" spans="1:13">
      <c r="A10" s="20" t="s">
        <v>381</v>
      </c>
      <c r="B10" s="20" t="s">
        <v>382</v>
      </c>
      <c r="C10" s="20" t="s">
        <v>383</v>
      </c>
      <c r="D10" s="20" t="str">
        <f>"0,9693"</f>
        <v>0,9693</v>
      </c>
      <c r="E10" s="20" t="s">
        <v>51</v>
      </c>
      <c r="F10" s="20" t="s">
        <v>52</v>
      </c>
      <c r="G10" s="21" t="s">
        <v>384</v>
      </c>
      <c r="H10" s="21" t="s">
        <v>385</v>
      </c>
      <c r="I10" s="22" t="s">
        <v>385</v>
      </c>
      <c r="J10" s="21"/>
      <c r="K10" s="20" t="str">
        <f>"47,5"</f>
        <v>47,5</v>
      </c>
      <c r="L10" s="22" t="str">
        <f>"46,0441"</f>
        <v>46,0441</v>
      </c>
      <c r="M10" s="20" t="s">
        <v>30</v>
      </c>
    </row>
    <row r="12" spans="1:13" ht="15">
      <c r="A12" s="55" t="s">
        <v>87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3">
      <c r="A13" s="8" t="s">
        <v>387</v>
      </c>
      <c r="B13" s="8" t="s">
        <v>388</v>
      </c>
      <c r="C13" s="8" t="s">
        <v>389</v>
      </c>
      <c r="D13" s="8" t="str">
        <f>"0,7788"</f>
        <v>0,7788</v>
      </c>
      <c r="E13" s="8" t="s">
        <v>226</v>
      </c>
      <c r="F13" s="8" t="s">
        <v>137</v>
      </c>
      <c r="G13" s="9" t="s">
        <v>55</v>
      </c>
      <c r="H13" s="10" t="s">
        <v>56</v>
      </c>
      <c r="I13" s="9" t="s">
        <v>390</v>
      </c>
      <c r="J13" s="9"/>
      <c r="K13" s="8" t="str">
        <f>"60,0"</f>
        <v>60,0</v>
      </c>
      <c r="L13" s="10" t="str">
        <f>"49,5285"</f>
        <v>49,5285</v>
      </c>
      <c r="M13" s="8" t="s">
        <v>30</v>
      </c>
    </row>
    <row r="15" spans="1:13" ht="15">
      <c r="A15" s="55" t="s">
        <v>87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3">
      <c r="A16" s="27" t="s">
        <v>692</v>
      </c>
      <c r="B16" s="8" t="s">
        <v>391</v>
      </c>
      <c r="C16" s="8" t="s">
        <v>392</v>
      </c>
      <c r="D16" s="8" t="str">
        <f>"0,7514"</f>
        <v>0,7514</v>
      </c>
      <c r="E16" s="8" t="s">
        <v>64</v>
      </c>
      <c r="F16" s="8" t="s">
        <v>326</v>
      </c>
      <c r="G16" s="10" t="s">
        <v>186</v>
      </c>
      <c r="H16" s="10" t="s">
        <v>313</v>
      </c>
      <c r="I16" s="10" t="s">
        <v>69</v>
      </c>
      <c r="J16" s="9"/>
      <c r="K16" s="8" t="str">
        <f>"150,0"</f>
        <v>150,0</v>
      </c>
      <c r="L16" s="10" t="str">
        <f>"112,7100"</f>
        <v>112,7100</v>
      </c>
      <c r="M16" s="8" t="s">
        <v>327</v>
      </c>
    </row>
    <row r="18" spans="1:13" ht="15">
      <c r="A18" s="55" t="s">
        <v>20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3">
      <c r="A19" s="17" t="s">
        <v>394</v>
      </c>
      <c r="B19" s="17" t="s">
        <v>395</v>
      </c>
      <c r="C19" s="17" t="s">
        <v>396</v>
      </c>
      <c r="D19" s="17" t="str">
        <f>"0,6931"</f>
        <v>0,6931</v>
      </c>
      <c r="E19" s="17" t="s">
        <v>248</v>
      </c>
      <c r="F19" s="17" t="s">
        <v>26</v>
      </c>
      <c r="G19" s="19" t="s">
        <v>53</v>
      </c>
      <c r="H19" s="19" t="s">
        <v>397</v>
      </c>
      <c r="I19" s="18" t="s">
        <v>27</v>
      </c>
      <c r="J19" s="18"/>
      <c r="K19" s="17" t="str">
        <f>"85,0"</f>
        <v>85,0</v>
      </c>
      <c r="L19" s="19" t="str">
        <f>"72,4636"</f>
        <v>72,4636</v>
      </c>
      <c r="M19" s="17" t="s">
        <v>30</v>
      </c>
    </row>
    <row r="20" spans="1:13">
      <c r="A20" s="23" t="s">
        <v>399</v>
      </c>
      <c r="B20" s="23" t="s">
        <v>400</v>
      </c>
      <c r="C20" s="23" t="s">
        <v>401</v>
      </c>
      <c r="D20" s="23" t="str">
        <f>"0,7066"</f>
        <v>0,7066</v>
      </c>
      <c r="E20" s="23" t="s">
        <v>25</v>
      </c>
      <c r="F20" s="23" t="s">
        <v>26</v>
      </c>
      <c r="G20" s="25" t="s">
        <v>56</v>
      </c>
      <c r="H20" s="24" t="s">
        <v>390</v>
      </c>
      <c r="I20" s="24" t="s">
        <v>390</v>
      </c>
      <c r="J20" s="24"/>
      <c r="K20" s="23" t="str">
        <f>"60,0"</f>
        <v>60,0</v>
      </c>
      <c r="L20" s="25" t="str">
        <f>"50,0273"</f>
        <v>50,0273</v>
      </c>
      <c r="M20" s="23" t="s">
        <v>30</v>
      </c>
    </row>
    <row r="21" spans="1:13">
      <c r="A21" s="23" t="s">
        <v>403</v>
      </c>
      <c r="B21" s="23" t="s">
        <v>404</v>
      </c>
      <c r="C21" s="23" t="s">
        <v>405</v>
      </c>
      <c r="D21" s="23" t="str">
        <f>"0,6701"</f>
        <v>0,6701</v>
      </c>
      <c r="E21" s="23" t="s">
        <v>100</v>
      </c>
      <c r="F21" s="23" t="s">
        <v>255</v>
      </c>
      <c r="G21" s="25" t="s">
        <v>406</v>
      </c>
      <c r="H21" s="24" t="s">
        <v>407</v>
      </c>
      <c r="I21" s="24" t="s">
        <v>407</v>
      </c>
      <c r="J21" s="24"/>
      <c r="K21" s="23" t="str">
        <f>"127,5"</f>
        <v>127,5</v>
      </c>
      <c r="L21" s="25" t="str">
        <f>"86,2921"</f>
        <v>86,2921</v>
      </c>
      <c r="M21" s="23" t="s">
        <v>30</v>
      </c>
    </row>
    <row r="22" spans="1:13">
      <c r="A22" s="23" t="s">
        <v>409</v>
      </c>
      <c r="B22" s="23" t="s">
        <v>410</v>
      </c>
      <c r="C22" s="23" t="s">
        <v>411</v>
      </c>
      <c r="D22" s="23" t="str">
        <f>"0,6723"</f>
        <v>0,6723</v>
      </c>
      <c r="E22" s="23" t="s">
        <v>136</v>
      </c>
      <c r="F22" s="23" t="s">
        <v>137</v>
      </c>
      <c r="G22" s="25" t="s">
        <v>407</v>
      </c>
      <c r="H22" s="24" t="s">
        <v>313</v>
      </c>
      <c r="I22" s="25" t="s">
        <v>313</v>
      </c>
      <c r="J22" s="24"/>
      <c r="K22" s="23" t="str">
        <f>"145,0"</f>
        <v>145,0</v>
      </c>
      <c r="L22" s="25" t="str">
        <f>"97,4835"</f>
        <v>97,4835</v>
      </c>
      <c r="M22" s="23" t="s">
        <v>30</v>
      </c>
    </row>
    <row r="23" spans="1:13">
      <c r="A23" s="23" t="s">
        <v>413</v>
      </c>
      <c r="B23" s="23" t="s">
        <v>414</v>
      </c>
      <c r="C23" s="23" t="s">
        <v>415</v>
      </c>
      <c r="D23" s="23" t="str">
        <f>"0,6659"</f>
        <v>0,6659</v>
      </c>
      <c r="E23" s="23" t="s">
        <v>25</v>
      </c>
      <c r="F23" s="23" t="s">
        <v>26</v>
      </c>
      <c r="G23" s="25" t="s">
        <v>407</v>
      </c>
      <c r="H23" s="24" t="s">
        <v>313</v>
      </c>
      <c r="I23" s="24" t="s">
        <v>313</v>
      </c>
      <c r="J23" s="24"/>
      <c r="K23" s="23" t="str">
        <f>"137,5"</f>
        <v>137,5</v>
      </c>
      <c r="L23" s="25" t="str">
        <f>"91,5612"</f>
        <v>91,5612</v>
      </c>
      <c r="M23" s="23" t="s">
        <v>416</v>
      </c>
    </row>
    <row r="24" spans="1:13">
      <c r="A24" s="20" t="s">
        <v>418</v>
      </c>
      <c r="B24" s="20" t="s">
        <v>419</v>
      </c>
      <c r="C24" s="20" t="s">
        <v>420</v>
      </c>
      <c r="D24" s="20" t="str">
        <f>"0,6645"</f>
        <v>0,6645</v>
      </c>
      <c r="E24" s="20" t="s">
        <v>303</v>
      </c>
      <c r="F24" s="20" t="s">
        <v>304</v>
      </c>
      <c r="G24" s="22" t="s">
        <v>115</v>
      </c>
      <c r="H24" s="22" t="s">
        <v>207</v>
      </c>
      <c r="I24" s="21" t="s">
        <v>116</v>
      </c>
      <c r="J24" s="21"/>
      <c r="K24" s="20" t="str">
        <f>"125,0"</f>
        <v>125,0</v>
      </c>
      <c r="L24" s="22" t="str">
        <f>"145,7747"</f>
        <v>145,7747</v>
      </c>
      <c r="M24" s="20" t="s">
        <v>30</v>
      </c>
    </row>
    <row r="26" spans="1:13" ht="15">
      <c r="A26" s="55" t="s">
        <v>110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3">
      <c r="A27" s="17" t="s">
        <v>422</v>
      </c>
      <c r="B27" s="17" t="s">
        <v>423</v>
      </c>
      <c r="C27" s="17" t="s">
        <v>424</v>
      </c>
      <c r="D27" s="17" t="str">
        <f>"0,6230"</f>
        <v>0,6230</v>
      </c>
      <c r="E27" s="17" t="s">
        <v>64</v>
      </c>
      <c r="F27" s="17" t="s">
        <v>26</v>
      </c>
      <c r="G27" s="19" t="s">
        <v>425</v>
      </c>
      <c r="H27" s="19" t="s">
        <v>426</v>
      </c>
      <c r="I27" s="19" t="s">
        <v>69</v>
      </c>
      <c r="J27" s="18"/>
      <c r="K27" s="17" t="str">
        <f>"150,0"</f>
        <v>150,0</v>
      </c>
      <c r="L27" s="19" t="str">
        <f>"97,1880"</f>
        <v>97,1880</v>
      </c>
      <c r="M27" s="17" t="s">
        <v>30</v>
      </c>
    </row>
    <row r="28" spans="1:13">
      <c r="A28" s="23" t="s">
        <v>428</v>
      </c>
      <c r="B28" s="23" t="s">
        <v>429</v>
      </c>
      <c r="C28" s="23" t="s">
        <v>430</v>
      </c>
      <c r="D28" s="23" t="str">
        <f>"0,6388"</f>
        <v>0,6388</v>
      </c>
      <c r="E28" s="23" t="s">
        <v>303</v>
      </c>
      <c r="F28" s="23" t="s">
        <v>304</v>
      </c>
      <c r="G28" s="25" t="s">
        <v>186</v>
      </c>
      <c r="H28" s="25" t="s">
        <v>313</v>
      </c>
      <c r="I28" s="25" t="s">
        <v>69</v>
      </c>
      <c r="J28" s="24"/>
      <c r="K28" s="23" t="str">
        <f>"150,0"</f>
        <v>150,0</v>
      </c>
      <c r="L28" s="25" t="str">
        <f>"95,8200"</f>
        <v>95,8200</v>
      </c>
      <c r="M28" s="23" t="s">
        <v>30</v>
      </c>
    </row>
    <row r="29" spans="1:13">
      <c r="A29" s="23" t="s">
        <v>432</v>
      </c>
      <c r="B29" s="23" t="s">
        <v>433</v>
      </c>
      <c r="C29" s="23" t="s">
        <v>430</v>
      </c>
      <c r="D29" s="23" t="str">
        <f>"0,6388"</f>
        <v>0,6388</v>
      </c>
      <c r="E29" s="23" t="s">
        <v>64</v>
      </c>
      <c r="F29" s="23" t="s">
        <v>26</v>
      </c>
      <c r="G29" s="25" t="s">
        <v>186</v>
      </c>
      <c r="H29" s="25" t="s">
        <v>313</v>
      </c>
      <c r="I29" s="24" t="s">
        <v>426</v>
      </c>
      <c r="J29" s="24"/>
      <c r="K29" s="23" t="str">
        <f>"145,0"</f>
        <v>145,0</v>
      </c>
      <c r="L29" s="25" t="str">
        <f>"92,6260"</f>
        <v>92,6260</v>
      </c>
      <c r="M29" s="23" t="s">
        <v>30</v>
      </c>
    </row>
    <row r="30" spans="1:13">
      <c r="A30" s="20" t="s">
        <v>435</v>
      </c>
      <c r="B30" s="20" t="s">
        <v>436</v>
      </c>
      <c r="C30" s="20" t="s">
        <v>437</v>
      </c>
      <c r="D30" s="20" t="str">
        <f>"0,6301"</f>
        <v>0,6301</v>
      </c>
      <c r="E30" s="20" t="s">
        <v>64</v>
      </c>
      <c r="F30" s="20" t="s">
        <v>26</v>
      </c>
      <c r="G30" s="22" t="s">
        <v>29</v>
      </c>
      <c r="H30" s="21" t="s">
        <v>116</v>
      </c>
      <c r="I30" s="21" t="s">
        <v>116</v>
      </c>
      <c r="J30" s="21"/>
      <c r="K30" s="20" t="str">
        <f>"110,0"</f>
        <v>110,0</v>
      </c>
      <c r="L30" s="22" t="str">
        <f>"69,9348"</f>
        <v>69,9348</v>
      </c>
      <c r="M30" s="20" t="s">
        <v>30</v>
      </c>
    </row>
    <row r="32" spans="1:13" ht="15">
      <c r="A32" s="55" t="s">
        <v>59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1:13">
      <c r="A33" s="17" t="s">
        <v>439</v>
      </c>
      <c r="B33" s="17" t="s">
        <v>440</v>
      </c>
      <c r="C33" s="17" t="s">
        <v>441</v>
      </c>
      <c r="D33" s="17" t="str">
        <f>"0,5956"</f>
        <v>0,5956</v>
      </c>
      <c r="E33" s="17" t="s">
        <v>303</v>
      </c>
      <c r="F33" s="17" t="s">
        <v>304</v>
      </c>
      <c r="G33" s="18" t="s">
        <v>299</v>
      </c>
      <c r="H33" s="19" t="s">
        <v>299</v>
      </c>
      <c r="I33" s="19" t="s">
        <v>115</v>
      </c>
      <c r="J33" s="18"/>
      <c r="K33" s="17" t="str">
        <f>"120,0"</f>
        <v>120,0</v>
      </c>
      <c r="L33" s="19" t="str">
        <f>"80,7634"</f>
        <v>80,7634</v>
      </c>
      <c r="M33" s="17" t="s">
        <v>30</v>
      </c>
    </row>
    <row r="34" spans="1:13">
      <c r="A34" s="23" t="s">
        <v>443</v>
      </c>
      <c r="B34" s="23" t="s">
        <v>444</v>
      </c>
      <c r="C34" s="23" t="s">
        <v>445</v>
      </c>
      <c r="D34" s="23" t="str">
        <f>"0,6117"</f>
        <v>0,6117</v>
      </c>
      <c r="E34" s="23" t="s">
        <v>25</v>
      </c>
      <c r="F34" s="23" t="s">
        <v>26</v>
      </c>
      <c r="G34" s="25" t="s">
        <v>71</v>
      </c>
      <c r="H34" s="25" t="s">
        <v>446</v>
      </c>
      <c r="I34" s="24" t="s">
        <v>67</v>
      </c>
      <c r="J34" s="24"/>
      <c r="K34" s="23" t="str">
        <f>"167,5"</f>
        <v>167,5</v>
      </c>
      <c r="L34" s="25" t="str">
        <f>"102,4597"</f>
        <v>102,4597</v>
      </c>
      <c r="M34" s="23" t="s">
        <v>30</v>
      </c>
    </row>
    <row r="35" spans="1:13">
      <c r="A35" s="23" t="s">
        <v>448</v>
      </c>
      <c r="B35" s="23" t="s">
        <v>449</v>
      </c>
      <c r="C35" s="23" t="s">
        <v>450</v>
      </c>
      <c r="D35" s="23" t="str">
        <f>"0,5873"</f>
        <v>0,5873</v>
      </c>
      <c r="E35" s="23" t="s">
        <v>51</v>
      </c>
      <c r="F35" s="23" t="s">
        <v>52</v>
      </c>
      <c r="G35" s="25" t="s">
        <v>451</v>
      </c>
      <c r="H35" s="24" t="s">
        <v>452</v>
      </c>
      <c r="I35" s="24" t="s">
        <v>452</v>
      </c>
      <c r="J35" s="24"/>
      <c r="K35" s="23" t="str">
        <f>"157,5"</f>
        <v>157,5</v>
      </c>
      <c r="L35" s="25" t="str">
        <f>"92,4998"</f>
        <v>92,4998</v>
      </c>
      <c r="M35" s="23" t="s">
        <v>30</v>
      </c>
    </row>
    <row r="36" spans="1:13">
      <c r="A36" s="23" t="s">
        <v>454</v>
      </c>
      <c r="B36" s="23" t="s">
        <v>455</v>
      </c>
      <c r="C36" s="23" t="s">
        <v>456</v>
      </c>
      <c r="D36" s="23" t="str">
        <f>"0,5935"</f>
        <v>0,5935</v>
      </c>
      <c r="E36" s="23" t="s">
        <v>136</v>
      </c>
      <c r="F36" s="23" t="s">
        <v>137</v>
      </c>
      <c r="G36" s="25" t="s">
        <v>69</v>
      </c>
      <c r="H36" s="25" t="s">
        <v>70</v>
      </c>
      <c r="I36" s="24" t="s">
        <v>71</v>
      </c>
      <c r="J36" s="24"/>
      <c r="K36" s="23" t="str">
        <f>"155,0"</f>
        <v>155,0</v>
      </c>
      <c r="L36" s="25" t="str">
        <f>"91,9925"</f>
        <v>91,9925</v>
      </c>
      <c r="M36" s="23" t="s">
        <v>30</v>
      </c>
    </row>
    <row r="37" spans="1:13">
      <c r="A37" s="23" t="s">
        <v>458</v>
      </c>
      <c r="B37" s="23" t="s">
        <v>459</v>
      </c>
      <c r="C37" s="23" t="s">
        <v>460</v>
      </c>
      <c r="D37" s="23" t="str">
        <f>"0,5916"</f>
        <v>0,5916</v>
      </c>
      <c r="E37" s="23" t="s">
        <v>25</v>
      </c>
      <c r="F37" s="23" t="s">
        <v>26</v>
      </c>
      <c r="G37" s="25" t="s">
        <v>313</v>
      </c>
      <c r="H37" s="25" t="s">
        <v>69</v>
      </c>
      <c r="I37" s="25" t="s">
        <v>70</v>
      </c>
      <c r="J37" s="24"/>
      <c r="K37" s="23" t="str">
        <f>"155,0"</f>
        <v>155,0</v>
      </c>
      <c r="L37" s="25" t="str">
        <f>"91,6980"</f>
        <v>91,6980</v>
      </c>
      <c r="M37" s="23" t="s">
        <v>30</v>
      </c>
    </row>
    <row r="38" spans="1:13">
      <c r="A38" s="23" t="s">
        <v>461</v>
      </c>
      <c r="B38" s="23" t="s">
        <v>462</v>
      </c>
      <c r="C38" s="23" t="s">
        <v>456</v>
      </c>
      <c r="D38" s="23" t="str">
        <f>"0,5935"</f>
        <v>0,5935</v>
      </c>
      <c r="E38" s="23" t="s">
        <v>136</v>
      </c>
      <c r="F38" s="23" t="s">
        <v>137</v>
      </c>
      <c r="G38" s="25" t="s">
        <v>69</v>
      </c>
      <c r="H38" s="25" t="s">
        <v>70</v>
      </c>
      <c r="I38" s="24" t="s">
        <v>71</v>
      </c>
      <c r="J38" s="24"/>
      <c r="K38" s="23" t="str">
        <f>"155,0"</f>
        <v>155,0</v>
      </c>
      <c r="L38" s="25" t="str">
        <f>"92,2685"</f>
        <v>92,2685</v>
      </c>
      <c r="M38" s="23" t="s">
        <v>30</v>
      </c>
    </row>
    <row r="39" spans="1:13">
      <c r="A39" s="20" t="s">
        <v>464</v>
      </c>
      <c r="B39" s="20" t="s">
        <v>465</v>
      </c>
      <c r="C39" s="20" t="s">
        <v>466</v>
      </c>
      <c r="D39" s="20" t="str">
        <f>"0,6002"</f>
        <v>0,6002</v>
      </c>
      <c r="E39" s="20" t="s">
        <v>51</v>
      </c>
      <c r="F39" s="20" t="s">
        <v>52</v>
      </c>
      <c r="G39" s="21" t="s">
        <v>186</v>
      </c>
      <c r="H39" s="22" t="s">
        <v>186</v>
      </c>
      <c r="I39" s="22" t="s">
        <v>425</v>
      </c>
      <c r="J39" s="21"/>
      <c r="K39" s="20" t="str">
        <f>"142,5"</f>
        <v>142,5</v>
      </c>
      <c r="L39" s="22" t="str">
        <f>"86,2983"</f>
        <v>86,2983</v>
      </c>
      <c r="M39" s="20" t="s">
        <v>30</v>
      </c>
    </row>
    <row r="41" spans="1:13" ht="15">
      <c r="A41" s="55" t="s">
        <v>118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</row>
    <row r="42" spans="1:13">
      <c r="A42" s="28" t="s">
        <v>684</v>
      </c>
      <c r="B42" s="17" t="s">
        <v>467</v>
      </c>
      <c r="C42" s="17" t="s">
        <v>468</v>
      </c>
      <c r="D42" s="17" t="str">
        <f>"0,5586"</f>
        <v>0,5586</v>
      </c>
      <c r="E42" s="17" t="s">
        <v>226</v>
      </c>
      <c r="F42" s="17" t="s">
        <v>26</v>
      </c>
      <c r="G42" s="19" t="s">
        <v>299</v>
      </c>
      <c r="H42" s="18" t="s">
        <v>115</v>
      </c>
      <c r="I42" s="19" t="s">
        <v>115</v>
      </c>
      <c r="J42" s="18"/>
      <c r="K42" s="17" t="str">
        <f>"120,0"</f>
        <v>120,0</v>
      </c>
      <c r="L42" s="19" t="str">
        <f>"69,7133"</f>
        <v>69,7133</v>
      </c>
      <c r="M42" s="17" t="s">
        <v>30</v>
      </c>
    </row>
    <row r="43" spans="1:13">
      <c r="A43" s="23" t="s">
        <v>470</v>
      </c>
      <c r="B43" s="23" t="s">
        <v>471</v>
      </c>
      <c r="C43" s="23" t="s">
        <v>472</v>
      </c>
      <c r="D43" s="23" t="str">
        <f>"0,5556"</f>
        <v>0,5556</v>
      </c>
      <c r="E43" s="23" t="s">
        <v>100</v>
      </c>
      <c r="F43" s="23" t="s">
        <v>473</v>
      </c>
      <c r="G43" s="25" t="s">
        <v>163</v>
      </c>
      <c r="H43" s="24" t="s">
        <v>474</v>
      </c>
      <c r="I43" s="24"/>
      <c r="J43" s="24"/>
      <c r="K43" s="23" t="str">
        <f>"210,0"</f>
        <v>210,0</v>
      </c>
      <c r="L43" s="25" t="str">
        <f>"116,6865"</f>
        <v>116,6865</v>
      </c>
      <c r="M43" s="23" t="s">
        <v>30</v>
      </c>
    </row>
    <row r="44" spans="1:13">
      <c r="A44" s="23" t="s">
        <v>476</v>
      </c>
      <c r="B44" s="23" t="s">
        <v>477</v>
      </c>
      <c r="C44" s="23" t="s">
        <v>213</v>
      </c>
      <c r="D44" s="23" t="str">
        <f>"0,5613"</f>
        <v>0,5613</v>
      </c>
      <c r="E44" s="23" t="s">
        <v>303</v>
      </c>
      <c r="F44" s="23" t="s">
        <v>304</v>
      </c>
      <c r="G44" s="25" t="s">
        <v>314</v>
      </c>
      <c r="H44" s="25" t="s">
        <v>66</v>
      </c>
      <c r="I44" s="25" t="s">
        <v>315</v>
      </c>
      <c r="J44" s="24"/>
      <c r="K44" s="23" t="str">
        <f>"175,0"</f>
        <v>175,0</v>
      </c>
      <c r="L44" s="25" t="str">
        <f>"98,2275"</f>
        <v>98,2275</v>
      </c>
      <c r="M44" s="23" t="s">
        <v>30</v>
      </c>
    </row>
    <row r="45" spans="1:13">
      <c r="A45" s="23" t="s">
        <v>479</v>
      </c>
      <c r="B45" s="23" t="s">
        <v>480</v>
      </c>
      <c r="C45" s="23" t="s">
        <v>481</v>
      </c>
      <c r="D45" s="23" t="str">
        <f>"0,5622"</f>
        <v>0,5622</v>
      </c>
      <c r="E45" s="23" t="s">
        <v>51</v>
      </c>
      <c r="F45" s="23" t="s">
        <v>52</v>
      </c>
      <c r="G45" s="25" t="s">
        <v>71</v>
      </c>
      <c r="H45" s="25" t="s">
        <v>314</v>
      </c>
      <c r="I45" s="24" t="s">
        <v>66</v>
      </c>
      <c r="J45" s="24"/>
      <c r="K45" s="23" t="str">
        <f>"165,0"</f>
        <v>165,0</v>
      </c>
      <c r="L45" s="25" t="str">
        <f>"92,7630"</f>
        <v>92,7630</v>
      </c>
      <c r="M45" s="23" t="s">
        <v>30</v>
      </c>
    </row>
    <row r="46" spans="1:13">
      <c r="A46" s="23" t="s">
        <v>483</v>
      </c>
      <c r="B46" s="23" t="s">
        <v>484</v>
      </c>
      <c r="C46" s="23" t="s">
        <v>485</v>
      </c>
      <c r="D46" s="23" t="str">
        <f>"0,5573"</f>
        <v>0,5573</v>
      </c>
      <c r="E46" s="23" t="s">
        <v>100</v>
      </c>
      <c r="F46" s="23" t="s">
        <v>26</v>
      </c>
      <c r="G46" s="24" t="s">
        <v>452</v>
      </c>
      <c r="H46" s="24" t="s">
        <v>452</v>
      </c>
      <c r="I46" s="25" t="s">
        <v>452</v>
      </c>
      <c r="J46" s="24"/>
      <c r="K46" s="23" t="str">
        <f>"162,5"</f>
        <v>162,5</v>
      </c>
      <c r="L46" s="25" t="str">
        <f>"90,5612"</f>
        <v>90,5612</v>
      </c>
      <c r="M46" s="23" t="s">
        <v>30</v>
      </c>
    </row>
    <row r="47" spans="1:13">
      <c r="A47" s="23" t="s">
        <v>487</v>
      </c>
      <c r="B47" s="23" t="s">
        <v>488</v>
      </c>
      <c r="C47" s="23" t="s">
        <v>489</v>
      </c>
      <c r="D47" s="23" t="str">
        <f>"0,5594"</f>
        <v>0,5594</v>
      </c>
      <c r="E47" s="23" t="s">
        <v>25</v>
      </c>
      <c r="F47" s="23" t="s">
        <v>26</v>
      </c>
      <c r="G47" s="25" t="s">
        <v>70</v>
      </c>
      <c r="H47" s="24" t="s">
        <v>452</v>
      </c>
      <c r="I47" s="24" t="s">
        <v>452</v>
      </c>
      <c r="J47" s="24"/>
      <c r="K47" s="23" t="str">
        <f>"155,0"</f>
        <v>155,0</v>
      </c>
      <c r="L47" s="25" t="str">
        <f>"86,7070"</f>
        <v>86,7070</v>
      </c>
      <c r="M47" s="23" t="s">
        <v>30</v>
      </c>
    </row>
    <row r="48" spans="1:13">
      <c r="A48" s="23" t="s">
        <v>490</v>
      </c>
      <c r="B48" s="23" t="s">
        <v>491</v>
      </c>
      <c r="C48" s="23" t="s">
        <v>213</v>
      </c>
      <c r="D48" s="23" t="str">
        <f>"0,5613"</f>
        <v>0,5613</v>
      </c>
      <c r="E48" s="23" t="s">
        <v>303</v>
      </c>
      <c r="F48" s="23" t="s">
        <v>304</v>
      </c>
      <c r="G48" s="25" t="s">
        <v>314</v>
      </c>
      <c r="H48" s="25" t="s">
        <v>66</v>
      </c>
      <c r="I48" s="25" t="s">
        <v>315</v>
      </c>
      <c r="J48" s="24"/>
      <c r="K48" s="23" t="str">
        <f>"175,0"</f>
        <v>175,0</v>
      </c>
      <c r="L48" s="25" t="str">
        <f>"98,5222"</f>
        <v>98,5222</v>
      </c>
      <c r="M48" s="23" t="s">
        <v>30</v>
      </c>
    </row>
    <row r="49" spans="1:13">
      <c r="A49" s="23" t="s">
        <v>470</v>
      </c>
      <c r="B49" s="23" t="s">
        <v>492</v>
      </c>
      <c r="C49" s="23" t="s">
        <v>472</v>
      </c>
      <c r="D49" s="23" t="str">
        <f>"0,5556"</f>
        <v>0,5556</v>
      </c>
      <c r="E49" s="23" t="s">
        <v>100</v>
      </c>
      <c r="F49" s="23" t="s">
        <v>473</v>
      </c>
      <c r="G49" s="25" t="s">
        <v>163</v>
      </c>
      <c r="H49" s="24" t="s">
        <v>474</v>
      </c>
      <c r="I49" s="24"/>
      <c r="J49" s="24"/>
      <c r="K49" s="23" t="str">
        <f>"210,0"</f>
        <v>210,0</v>
      </c>
      <c r="L49" s="25" t="str">
        <f>"127,4217"</f>
        <v>127,4217</v>
      </c>
      <c r="M49" s="23" t="s">
        <v>30</v>
      </c>
    </row>
    <row r="50" spans="1:13">
      <c r="A50" s="20" t="s">
        <v>494</v>
      </c>
      <c r="B50" s="20" t="s">
        <v>495</v>
      </c>
      <c r="C50" s="20" t="s">
        <v>496</v>
      </c>
      <c r="D50" s="20" t="str">
        <f>"0,5568"</f>
        <v>0,5568</v>
      </c>
      <c r="E50" s="20" t="s">
        <v>51</v>
      </c>
      <c r="F50" s="20" t="s">
        <v>52</v>
      </c>
      <c r="G50" s="22" t="s">
        <v>299</v>
      </c>
      <c r="H50" s="21" t="s">
        <v>57</v>
      </c>
      <c r="I50" s="21" t="s">
        <v>57</v>
      </c>
      <c r="J50" s="21"/>
      <c r="K50" s="20" t="str">
        <f>"115,0"</f>
        <v>115,0</v>
      </c>
      <c r="L50" s="22" t="str">
        <f>"94,7674"</f>
        <v>94,7674</v>
      </c>
      <c r="M50" s="20" t="s">
        <v>30</v>
      </c>
    </row>
    <row r="52" spans="1:13" ht="15">
      <c r="A52" s="55" t="s">
        <v>268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</row>
    <row r="53" spans="1:13">
      <c r="A53" s="17" t="s">
        <v>497</v>
      </c>
      <c r="B53" s="17" t="s">
        <v>330</v>
      </c>
      <c r="C53" s="17" t="s">
        <v>331</v>
      </c>
      <c r="D53" s="17" t="str">
        <f>"0,5395"</f>
        <v>0,5395</v>
      </c>
      <c r="E53" s="17" t="s">
        <v>303</v>
      </c>
      <c r="F53" s="17" t="s">
        <v>304</v>
      </c>
      <c r="G53" s="19" t="s">
        <v>256</v>
      </c>
      <c r="H53" s="18"/>
      <c r="I53" s="18"/>
      <c r="J53" s="18"/>
      <c r="K53" s="17" t="str">
        <f>"185,0"</f>
        <v>185,0</v>
      </c>
      <c r="L53" s="19" t="str">
        <f>"99,8075"</f>
        <v>99,8075</v>
      </c>
      <c r="M53" s="17" t="s">
        <v>30</v>
      </c>
    </row>
    <row r="54" spans="1:13">
      <c r="A54" s="23" t="s">
        <v>499</v>
      </c>
      <c r="B54" s="23" t="s">
        <v>500</v>
      </c>
      <c r="C54" s="23" t="s">
        <v>501</v>
      </c>
      <c r="D54" s="23" t="str">
        <f>"0,5405"</f>
        <v>0,5405</v>
      </c>
      <c r="E54" s="23" t="s">
        <v>226</v>
      </c>
      <c r="F54" s="23" t="s">
        <v>26</v>
      </c>
      <c r="G54" s="25" t="s">
        <v>313</v>
      </c>
      <c r="H54" s="25" t="s">
        <v>69</v>
      </c>
      <c r="I54" s="24" t="s">
        <v>71</v>
      </c>
      <c r="J54" s="24"/>
      <c r="K54" s="23" t="str">
        <f>"150,0"</f>
        <v>150,0</v>
      </c>
      <c r="L54" s="25" t="str">
        <f>"81,0750"</f>
        <v>81,0750</v>
      </c>
      <c r="M54" s="23" t="s">
        <v>30</v>
      </c>
    </row>
    <row r="55" spans="1:13">
      <c r="A55" s="23" t="s">
        <v>503</v>
      </c>
      <c r="B55" s="23" t="s">
        <v>504</v>
      </c>
      <c r="C55" s="23" t="s">
        <v>505</v>
      </c>
      <c r="D55" s="23" t="str">
        <f>"0,5386"</f>
        <v>0,5386</v>
      </c>
      <c r="E55" s="23" t="s">
        <v>25</v>
      </c>
      <c r="F55" s="23" t="s">
        <v>26</v>
      </c>
      <c r="G55" s="25" t="s">
        <v>66</v>
      </c>
      <c r="H55" s="25" t="s">
        <v>109</v>
      </c>
      <c r="I55" s="24" t="s">
        <v>256</v>
      </c>
      <c r="J55" s="24"/>
      <c r="K55" s="23" t="str">
        <f>"177,5"</f>
        <v>177,5</v>
      </c>
      <c r="L55" s="25" t="str">
        <f>"95,6015"</f>
        <v>95,6015</v>
      </c>
      <c r="M55" s="23" t="s">
        <v>30</v>
      </c>
    </row>
    <row r="56" spans="1:13">
      <c r="A56" s="23" t="s">
        <v>506</v>
      </c>
      <c r="B56" s="23" t="s">
        <v>507</v>
      </c>
      <c r="C56" s="23" t="s">
        <v>501</v>
      </c>
      <c r="D56" s="23" t="str">
        <f>"0,5405"</f>
        <v>0,5405</v>
      </c>
      <c r="E56" s="23" t="s">
        <v>100</v>
      </c>
      <c r="F56" s="23" t="s">
        <v>26</v>
      </c>
      <c r="G56" s="24" t="s">
        <v>69</v>
      </c>
      <c r="H56" s="24" t="s">
        <v>69</v>
      </c>
      <c r="I56" s="24" t="s">
        <v>69</v>
      </c>
      <c r="J56" s="24"/>
      <c r="K56" s="23" t="str">
        <f>"0,0"</f>
        <v>0,0</v>
      </c>
      <c r="L56" s="25" t="str">
        <f>"0,0000"</f>
        <v>0,0000</v>
      </c>
      <c r="M56" s="23" t="s">
        <v>30</v>
      </c>
    </row>
    <row r="57" spans="1:13">
      <c r="A57" s="20" t="s">
        <v>509</v>
      </c>
      <c r="B57" s="20" t="s">
        <v>510</v>
      </c>
      <c r="C57" s="20" t="s">
        <v>511</v>
      </c>
      <c r="D57" s="20" t="str">
        <f>"0,5419"</f>
        <v>0,5419</v>
      </c>
      <c r="E57" s="20" t="s">
        <v>303</v>
      </c>
      <c r="F57" s="20" t="s">
        <v>304</v>
      </c>
      <c r="G57" s="22" t="s">
        <v>115</v>
      </c>
      <c r="H57" s="22" t="s">
        <v>207</v>
      </c>
      <c r="I57" s="22" t="s">
        <v>116</v>
      </c>
      <c r="J57" s="21"/>
      <c r="K57" s="20" t="str">
        <f>"130,0"</f>
        <v>130,0</v>
      </c>
      <c r="L57" s="22" t="str">
        <f>"100,7392"</f>
        <v>100,7392</v>
      </c>
      <c r="M57" s="20" t="s">
        <v>30</v>
      </c>
    </row>
    <row r="59" spans="1:13" ht="15">
      <c r="A59" s="55" t="s">
        <v>193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</row>
    <row r="60" spans="1:13">
      <c r="A60" s="17" t="s">
        <v>513</v>
      </c>
      <c r="B60" s="17" t="s">
        <v>514</v>
      </c>
      <c r="C60" s="17" t="s">
        <v>515</v>
      </c>
      <c r="D60" s="17" t="str">
        <f>"0,5227"</f>
        <v>0,5227</v>
      </c>
      <c r="E60" s="17" t="s">
        <v>64</v>
      </c>
      <c r="F60" s="17" t="s">
        <v>26</v>
      </c>
      <c r="G60" s="19" t="s">
        <v>516</v>
      </c>
      <c r="H60" s="18" t="s">
        <v>474</v>
      </c>
      <c r="I60" s="18" t="s">
        <v>474</v>
      </c>
      <c r="J60" s="18"/>
      <c r="K60" s="17" t="str">
        <f>"202,5"</f>
        <v>202,5</v>
      </c>
      <c r="L60" s="19" t="str">
        <f>"105,8468"</f>
        <v>105,8468</v>
      </c>
      <c r="M60" s="17" t="s">
        <v>30</v>
      </c>
    </row>
    <row r="61" spans="1:13">
      <c r="A61" s="23" t="s">
        <v>518</v>
      </c>
      <c r="B61" s="23" t="s">
        <v>519</v>
      </c>
      <c r="C61" s="23" t="s">
        <v>520</v>
      </c>
      <c r="D61" s="23" t="str">
        <f>"0,5263"</f>
        <v>0,5263</v>
      </c>
      <c r="E61" s="23" t="s">
        <v>25</v>
      </c>
      <c r="F61" s="23" t="s">
        <v>26</v>
      </c>
      <c r="G61" s="25" t="s">
        <v>67</v>
      </c>
      <c r="H61" s="25" t="s">
        <v>256</v>
      </c>
      <c r="I61" s="25" t="s">
        <v>131</v>
      </c>
      <c r="J61" s="24"/>
      <c r="K61" s="23" t="str">
        <f>"190,0"</f>
        <v>190,0</v>
      </c>
      <c r="L61" s="25" t="str">
        <f>"99,9970"</f>
        <v>99,9970</v>
      </c>
      <c r="M61" s="23" t="s">
        <v>30</v>
      </c>
    </row>
    <row r="62" spans="1:13">
      <c r="A62" s="20" t="s">
        <v>521</v>
      </c>
      <c r="B62" s="20" t="s">
        <v>338</v>
      </c>
      <c r="C62" s="20" t="s">
        <v>339</v>
      </c>
      <c r="D62" s="20" t="str">
        <f>"0,5280"</f>
        <v>0,5280</v>
      </c>
      <c r="E62" s="20" t="s">
        <v>320</v>
      </c>
      <c r="F62" s="20" t="s">
        <v>26</v>
      </c>
      <c r="G62" s="22" t="s">
        <v>314</v>
      </c>
      <c r="H62" s="21"/>
      <c r="I62" s="21"/>
      <c r="J62" s="21"/>
      <c r="K62" s="20" t="str">
        <f>"165,0"</f>
        <v>165,0</v>
      </c>
      <c r="L62" s="22" t="str">
        <f>"87,1200"</f>
        <v>87,1200</v>
      </c>
      <c r="M62" s="20" t="s">
        <v>30</v>
      </c>
    </row>
    <row r="64" spans="1:13" ht="15">
      <c r="E64" s="6" t="s">
        <v>12</v>
      </c>
      <c r="F64" s="26" t="s">
        <v>674</v>
      </c>
    </row>
    <row r="65" spans="1:6" ht="15">
      <c r="E65" s="6" t="s">
        <v>13</v>
      </c>
      <c r="F65" s="26" t="s">
        <v>675</v>
      </c>
    </row>
    <row r="66" spans="1:6" ht="15">
      <c r="E66" s="6" t="s">
        <v>14</v>
      </c>
      <c r="F66" s="26" t="s">
        <v>676</v>
      </c>
    </row>
    <row r="67" spans="1:6" ht="15">
      <c r="E67" s="6" t="s">
        <v>15</v>
      </c>
      <c r="F67" s="26" t="s">
        <v>677</v>
      </c>
    </row>
    <row r="68" spans="1:6" ht="15">
      <c r="E68" s="6" t="s">
        <v>15</v>
      </c>
      <c r="F68" s="26" t="s">
        <v>679</v>
      </c>
    </row>
    <row r="69" spans="1:6" ht="15">
      <c r="E69" s="6" t="s">
        <v>16</v>
      </c>
      <c r="F69" s="26" t="s">
        <v>678</v>
      </c>
    </row>
    <row r="70" spans="1:6" ht="15">
      <c r="E70" s="6"/>
    </row>
    <row r="72" spans="1:6" ht="18">
      <c r="A72" s="7" t="s">
        <v>17</v>
      </c>
      <c r="B72" s="7"/>
    </row>
    <row r="73" spans="1:6" ht="15">
      <c r="A73" s="11" t="s">
        <v>75</v>
      </c>
      <c r="B73" s="11"/>
    </row>
    <row r="74" spans="1:6" ht="14.25">
      <c r="A74" s="13"/>
      <c r="B74" s="14" t="s">
        <v>76</v>
      </c>
    </row>
    <row r="75" spans="1:6" ht="15">
      <c r="A75" s="15" t="s">
        <v>33</v>
      </c>
      <c r="B75" s="15" t="s">
        <v>34</v>
      </c>
      <c r="C75" s="15" t="s">
        <v>35</v>
      </c>
      <c r="D75" s="15" t="s">
        <v>36</v>
      </c>
      <c r="E75" s="15" t="s">
        <v>37</v>
      </c>
    </row>
    <row r="76" spans="1:6">
      <c r="A76" s="12" t="s">
        <v>687</v>
      </c>
      <c r="B76" s="5" t="s">
        <v>77</v>
      </c>
      <c r="C76" s="5" t="s">
        <v>522</v>
      </c>
      <c r="D76" s="5" t="s">
        <v>293</v>
      </c>
      <c r="E76" s="16" t="s">
        <v>523</v>
      </c>
    </row>
    <row r="77" spans="1:6">
      <c r="A77" s="12" t="s">
        <v>386</v>
      </c>
      <c r="B77" s="5" t="s">
        <v>348</v>
      </c>
      <c r="C77" s="5" t="s">
        <v>140</v>
      </c>
      <c r="D77" s="5" t="s">
        <v>56</v>
      </c>
      <c r="E77" s="16" t="s">
        <v>524</v>
      </c>
    </row>
    <row r="79" spans="1:6" ht="14.25">
      <c r="A79" s="13"/>
      <c r="B79" s="14" t="s">
        <v>32</v>
      </c>
    </row>
    <row r="80" spans="1:6" ht="15">
      <c r="A80" s="15" t="s">
        <v>33</v>
      </c>
      <c r="B80" s="15" t="s">
        <v>34</v>
      </c>
      <c r="C80" s="15" t="s">
        <v>35</v>
      </c>
      <c r="D80" s="15" t="s">
        <v>36</v>
      </c>
      <c r="E80" s="15" t="s">
        <v>37</v>
      </c>
    </row>
    <row r="81" spans="1:5">
      <c r="A81" s="12" t="s">
        <v>278</v>
      </c>
      <c r="B81" s="5" t="s">
        <v>32</v>
      </c>
      <c r="C81" s="5" t="s">
        <v>345</v>
      </c>
      <c r="D81" s="5" t="s">
        <v>54</v>
      </c>
      <c r="E81" s="16" t="s">
        <v>525</v>
      </c>
    </row>
    <row r="82" spans="1:5">
      <c r="A82" s="12" t="s">
        <v>380</v>
      </c>
      <c r="B82" s="5" t="s">
        <v>32</v>
      </c>
      <c r="C82" s="5" t="s">
        <v>345</v>
      </c>
      <c r="D82" s="5" t="s">
        <v>385</v>
      </c>
      <c r="E82" s="16" t="s">
        <v>526</v>
      </c>
    </row>
    <row r="85" spans="1:5" ht="15">
      <c r="A85" s="11" t="s">
        <v>31</v>
      </c>
      <c r="B85" s="11"/>
    </row>
    <row r="86" spans="1:5" ht="14.25">
      <c r="A86" s="13"/>
      <c r="B86" s="14" t="s">
        <v>347</v>
      </c>
    </row>
    <row r="87" spans="1:5" ht="15">
      <c r="A87" s="15" t="s">
        <v>33</v>
      </c>
      <c r="B87" s="15" t="s">
        <v>34</v>
      </c>
      <c r="C87" s="15" t="s">
        <v>35</v>
      </c>
      <c r="D87" s="15" t="s">
        <v>36</v>
      </c>
      <c r="E87" s="15" t="s">
        <v>37</v>
      </c>
    </row>
    <row r="88" spans="1:5">
      <c r="A88" s="12" t="s">
        <v>421</v>
      </c>
      <c r="B88" s="5" t="s">
        <v>348</v>
      </c>
      <c r="C88" s="5" t="s">
        <v>148</v>
      </c>
      <c r="D88" s="5" t="s">
        <v>69</v>
      </c>
      <c r="E88" s="16" t="s">
        <v>527</v>
      </c>
    </row>
    <row r="89" spans="1:5">
      <c r="A89" s="12" t="s">
        <v>438</v>
      </c>
      <c r="B89" s="5" t="s">
        <v>351</v>
      </c>
      <c r="C89" s="5" t="s">
        <v>27</v>
      </c>
      <c r="D89" s="5" t="s">
        <v>115</v>
      </c>
      <c r="E89" s="16" t="s">
        <v>528</v>
      </c>
    </row>
    <row r="90" spans="1:5">
      <c r="A90" s="12" t="s">
        <v>393</v>
      </c>
      <c r="B90" s="5" t="s">
        <v>77</v>
      </c>
      <c r="C90" s="5" t="s">
        <v>38</v>
      </c>
      <c r="D90" s="5" t="s">
        <v>397</v>
      </c>
      <c r="E90" s="16" t="s">
        <v>529</v>
      </c>
    </row>
    <row r="91" spans="1:5">
      <c r="A91" s="12" t="s">
        <v>685</v>
      </c>
      <c r="B91" s="5" t="s">
        <v>348</v>
      </c>
      <c r="C91" s="5" t="s">
        <v>103</v>
      </c>
      <c r="D91" s="5" t="s">
        <v>115</v>
      </c>
      <c r="E91" s="16" t="s">
        <v>530</v>
      </c>
    </row>
    <row r="92" spans="1:5">
      <c r="A92" s="12" t="s">
        <v>398</v>
      </c>
      <c r="B92" s="5" t="s">
        <v>77</v>
      </c>
      <c r="C92" s="5" t="s">
        <v>38</v>
      </c>
      <c r="D92" s="5" t="s">
        <v>56</v>
      </c>
      <c r="E92" s="16" t="s">
        <v>531</v>
      </c>
    </row>
    <row r="94" spans="1:5" ht="14.25">
      <c r="A94" s="13"/>
      <c r="B94" s="14" t="s">
        <v>532</v>
      </c>
    </row>
    <row r="95" spans="1:5" ht="15">
      <c r="A95" s="15" t="s">
        <v>33</v>
      </c>
      <c r="B95" s="15" t="s">
        <v>34</v>
      </c>
      <c r="C95" s="15" t="s">
        <v>35</v>
      </c>
      <c r="D95" s="15" t="s">
        <v>36</v>
      </c>
      <c r="E95" s="15" t="s">
        <v>37</v>
      </c>
    </row>
    <row r="96" spans="1:5">
      <c r="A96" s="12" t="s">
        <v>402</v>
      </c>
      <c r="B96" s="5" t="s">
        <v>139</v>
      </c>
      <c r="C96" s="5" t="s">
        <v>38</v>
      </c>
      <c r="D96" s="5" t="s">
        <v>406</v>
      </c>
      <c r="E96" s="16" t="s">
        <v>533</v>
      </c>
    </row>
    <row r="98" spans="1:5" ht="14.25">
      <c r="A98" s="13"/>
      <c r="B98" s="14" t="s">
        <v>32</v>
      </c>
    </row>
    <row r="99" spans="1:5" ht="15">
      <c r="A99" s="15" t="s">
        <v>33</v>
      </c>
      <c r="B99" s="15" t="s">
        <v>34</v>
      </c>
      <c r="C99" s="15" t="s">
        <v>35</v>
      </c>
      <c r="D99" s="15" t="s">
        <v>36</v>
      </c>
      <c r="E99" s="15" t="s">
        <v>37</v>
      </c>
    </row>
    <row r="100" spans="1:5">
      <c r="A100" s="12" t="s">
        <v>469</v>
      </c>
      <c r="B100" s="5" t="s">
        <v>32</v>
      </c>
      <c r="C100" s="5" t="s">
        <v>103</v>
      </c>
      <c r="D100" s="5" t="s">
        <v>163</v>
      </c>
      <c r="E100" s="16" t="s">
        <v>534</v>
      </c>
    </row>
    <row r="101" spans="1:5">
      <c r="A101" s="12" t="s">
        <v>693</v>
      </c>
      <c r="B101" s="5" t="s">
        <v>32</v>
      </c>
      <c r="C101" s="5" t="s">
        <v>140</v>
      </c>
      <c r="D101" s="5" t="s">
        <v>69</v>
      </c>
      <c r="E101" s="16" t="s">
        <v>535</v>
      </c>
    </row>
    <row r="102" spans="1:5">
      <c r="A102" s="12" t="s">
        <v>512</v>
      </c>
      <c r="B102" s="5" t="s">
        <v>32</v>
      </c>
      <c r="C102" s="5" t="s">
        <v>207</v>
      </c>
      <c r="D102" s="5" t="s">
        <v>516</v>
      </c>
      <c r="E102" s="16" t="s">
        <v>536</v>
      </c>
    </row>
    <row r="103" spans="1:5">
      <c r="A103" s="12" t="s">
        <v>442</v>
      </c>
      <c r="B103" s="5" t="s">
        <v>32</v>
      </c>
      <c r="C103" s="5" t="s">
        <v>27</v>
      </c>
      <c r="D103" s="5" t="s">
        <v>446</v>
      </c>
      <c r="E103" s="16" t="s">
        <v>537</v>
      </c>
    </row>
    <row r="104" spans="1:5">
      <c r="A104" s="12" t="s">
        <v>517</v>
      </c>
      <c r="B104" s="5" t="s">
        <v>32</v>
      </c>
      <c r="C104" s="5" t="s">
        <v>207</v>
      </c>
      <c r="D104" s="5" t="s">
        <v>131</v>
      </c>
      <c r="E104" s="16" t="s">
        <v>538</v>
      </c>
    </row>
    <row r="105" spans="1:5">
      <c r="A105" s="12" t="s">
        <v>328</v>
      </c>
      <c r="B105" s="5" t="s">
        <v>32</v>
      </c>
      <c r="C105" s="5" t="s">
        <v>29</v>
      </c>
      <c r="D105" s="5" t="s">
        <v>256</v>
      </c>
      <c r="E105" s="16" t="s">
        <v>539</v>
      </c>
    </row>
    <row r="106" spans="1:5">
      <c r="A106" s="12" t="s">
        <v>475</v>
      </c>
      <c r="B106" s="5" t="s">
        <v>32</v>
      </c>
      <c r="C106" s="5" t="s">
        <v>103</v>
      </c>
      <c r="D106" s="5" t="s">
        <v>315</v>
      </c>
      <c r="E106" s="16" t="s">
        <v>540</v>
      </c>
    </row>
    <row r="107" spans="1:5">
      <c r="A107" s="12" t="s">
        <v>408</v>
      </c>
      <c r="B107" s="5" t="s">
        <v>32</v>
      </c>
      <c r="C107" s="5" t="s">
        <v>38</v>
      </c>
      <c r="D107" s="5" t="s">
        <v>313</v>
      </c>
      <c r="E107" s="16" t="s">
        <v>541</v>
      </c>
    </row>
    <row r="108" spans="1:5">
      <c r="A108" s="12" t="s">
        <v>427</v>
      </c>
      <c r="B108" s="5" t="s">
        <v>32</v>
      </c>
      <c r="C108" s="5" t="s">
        <v>148</v>
      </c>
      <c r="D108" s="5" t="s">
        <v>69</v>
      </c>
      <c r="E108" s="16" t="s">
        <v>542</v>
      </c>
    </row>
    <row r="109" spans="1:5">
      <c r="A109" s="12" t="s">
        <v>478</v>
      </c>
      <c r="B109" s="5" t="s">
        <v>32</v>
      </c>
      <c r="C109" s="5" t="s">
        <v>103</v>
      </c>
      <c r="D109" s="5" t="s">
        <v>314</v>
      </c>
      <c r="E109" s="16" t="s">
        <v>543</v>
      </c>
    </row>
    <row r="110" spans="1:5">
      <c r="A110" s="12" t="s">
        <v>431</v>
      </c>
      <c r="B110" s="5" t="s">
        <v>32</v>
      </c>
      <c r="C110" s="5" t="s">
        <v>148</v>
      </c>
      <c r="D110" s="5" t="s">
        <v>313</v>
      </c>
      <c r="E110" s="16" t="s">
        <v>544</v>
      </c>
    </row>
    <row r="111" spans="1:5">
      <c r="A111" s="12" t="s">
        <v>447</v>
      </c>
      <c r="B111" s="5" t="s">
        <v>32</v>
      </c>
      <c r="C111" s="5" t="s">
        <v>27</v>
      </c>
      <c r="D111" s="5" t="s">
        <v>451</v>
      </c>
      <c r="E111" s="16" t="s">
        <v>545</v>
      </c>
    </row>
    <row r="112" spans="1:5">
      <c r="A112" s="12" t="s">
        <v>453</v>
      </c>
      <c r="B112" s="5" t="s">
        <v>32</v>
      </c>
      <c r="C112" s="5" t="s">
        <v>27</v>
      </c>
      <c r="D112" s="5" t="s">
        <v>70</v>
      </c>
      <c r="E112" s="16" t="s">
        <v>546</v>
      </c>
    </row>
    <row r="113" spans="1:5">
      <c r="A113" s="12" t="s">
        <v>457</v>
      </c>
      <c r="B113" s="5" t="s">
        <v>32</v>
      </c>
      <c r="C113" s="5" t="s">
        <v>27</v>
      </c>
      <c r="D113" s="5" t="s">
        <v>70</v>
      </c>
      <c r="E113" s="16" t="s">
        <v>547</v>
      </c>
    </row>
    <row r="114" spans="1:5">
      <c r="A114" s="12" t="s">
        <v>482</v>
      </c>
      <c r="B114" s="5" t="s">
        <v>32</v>
      </c>
      <c r="C114" s="5" t="s">
        <v>103</v>
      </c>
      <c r="D114" s="5" t="s">
        <v>452</v>
      </c>
      <c r="E114" s="16" t="s">
        <v>548</v>
      </c>
    </row>
    <row r="115" spans="1:5">
      <c r="A115" s="12" t="s">
        <v>336</v>
      </c>
      <c r="B115" s="5" t="s">
        <v>32</v>
      </c>
      <c r="C115" s="5" t="s">
        <v>207</v>
      </c>
      <c r="D115" s="5" t="s">
        <v>314</v>
      </c>
      <c r="E115" s="16" t="s">
        <v>549</v>
      </c>
    </row>
    <row r="116" spans="1:5">
      <c r="A116" s="12" t="s">
        <v>486</v>
      </c>
      <c r="B116" s="5" t="s">
        <v>32</v>
      </c>
      <c r="C116" s="5" t="s">
        <v>103</v>
      </c>
      <c r="D116" s="5" t="s">
        <v>70</v>
      </c>
      <c r="E116" s="16" t="s">
        <v>550</v>
      </c>
    </row>
    <row r="117" spans="1:5">
      <c r="A117" s="12" t="s">
        <v>498</v>
      </c>
      <c r="B117" s="5" t="s">
        <v>32</v>
      </c>
      <c r="C117" s="5" t="s">
        <v>29</v>
      </c>
      <c r="D117" s="5" t="s">
        <v>69</v>
      </c>
      <c r="E117" s="16" t="s">
        <v>551</v>
      </c>
    </row>
    <row r="119" spans="1:5" ht="14.25">
      <c r="A119" s="13"/>
      <c r="B119" s="14" t="s">
        <v>81</v>
      </c>
    </row>
    <row r="120" spans="1:5" ht="15">
      <c r="A120" s="15" t="s">
        <v>33</v>
      </c>
      <c r="B120" s="15" t="s">
        <v>34</v>
      </c>
      <c r="C120" s="15" t="s">
        <v>35</v>
      </c>
      <c r="D120" s="15" t="s">
        <v>36</v>
      </c>
      <c r="E120" s="15" t="s">
        <v>37</v>
      </c>
    </row>
    <row r="121" spans="1:5">
      <c r="A121" s="12" t="s">
        <v>417</v>
      </c>
      <c r="B121" s="5" t="s">
        <v>552</v>
      </c>
      <c r="C121" s="5" t="s">
        <v>38</v>
      </c>
      <c r="D121" s="5" t="s">
        <v>207</v>
      </c>
      <c r="E121" s="16" t="s">
        <v>553</v>
      </c>
    </row>
    <row r="122" spans="1:5">
      <c r="A122" s="12" t="s">
        <v>469</v>
      </c>
      <c r="B122" s="5" t="s">
        <v>142</v>
      </c>
      <c r="C122" s="5" t="s">
        <v>103</v>
      </c>
      <c r="D122" s="5" t="s">
        <v>163</v>
      </c>
      <c r="E122" s="16" t="s">
        <v>554</v>
      </c>
    </row>
    <row r="123" spans="1:5">
      <c r="A123" s="12" t="s">
        <v>508</v>
      </c>
      <c r="B123" s="5" t="s">
        <v>82</v>
      </c>
      <c r="C123" s="5" t="s">
        <v>29</v>
      </c>
      <c r="D123" s="5" t="s">
        <v>116</v>
      </c>
      <c r="E123" s="16" t="s">
        <v>555</v>
      </c>
    </row>
    <row r="124" spans="1:5">
      <c r="A124" s="12" t="s">
        <v>475</v>
      </c>
      <c r="B124" s="5" t="s">
        <v>188</v>
      </c>
      <c r="C124" s="5" t="s">
        <v>103</v>
      </c>
      <c r="D124" s="5" t="s">
        <v>315</v>
      </c>
      <c r="E124" s="16" t="s">
        <v>556</v>
      </c>
    </row>
    <row r="125" spans="1:5">
      <c r="A125" s="12" t="s">
        <v>502</v>
      </c>
      <c r="B125" s="5" t="s">
        <v>188</v>
      </c>
      <c r="C125" s="5" t="s">
        <v>29</v>
      </c>
      <c r="D125" s="5" t="s">
        <v>109</v>
      </c>
      <c r="E125" s="16" t="s">
        <v>557</v>
      </c>
    </row>
    <row r="126" spans="1:5">
      <c r="A126" s="12" t="s">
        <v>493</v>
      </c>
      <c r="B126" s="5" t="s">
        <v>82</v>
      </c>
      <c r="C126" s="5" t="s">
        <v>103</v>
      </c>
      <c r="D126" s="5" t="s">
        <v>299</v>
      </c>
      <c r="E126" s="16" t="s">
        <v>558</v>
      </c>
    </row>
    <row r="127" spans="1:5">
      <c r="A127" s="12" t="s">
        <v>453</v>
      </c>
      <c r="B127" s="5" t="s">
        <v>188</v>
      </c>
      <c r="C127" s="5" t="s">
        <v>27</v>
      </c>
      <c r="D127" s="5" t="s">
        <v>70</v>
      </c>
      <c r="E127" s="16" t="s">
        <v>559</v>
      </c>
    </row>
    <row r="128" spans="1:5">
      <c r="A128" s="12" t="s">
        <v>412</v>
      </c>
      <c r="B128" s="5" t="s">
        <v>188</v>
      </c>
      <c r="C128" s="5" t="s">
        <v>38</v>
      </c>
      <c r="D128" s="5" t="s">
        <v>407</v>
      </c>
      <c r="E128" s="16" t="s">
        <v>560</v>
      </c>
    </row>
    <row r="129" spans="1:5">
      <c r="A129" s="12" t="s">
        <v>463</v>
      </c>
      <c r="B129" s="5" t="s">
        <v>188</v>
      </c>
      <c r="C129" s="5" t="s">
        <v>27</v>
      </c>
      <c r="D129" s="5" t="s">
        <v>425</v>
      </c>
      <c r="E129" s="16" t="s">
        <v>561</v>
      </c>
    </row>
    <row r="130" spans="1:5">
      <c r="A130" s="12" t="s">
        <v>434</v>
      </c>
      <c r="B130" s="5" t="s">
        <v>188</v>
      </c>
      <c r="C130" s="5" t="s">
        <v>148</v>
      </c>
      <c r="D130" s="5" t="s">
        <v>29</v>
      </c>
      <c r="E130" s="16" t="s">
        <v>562</v>
      </c>
    </row>
    <row r="135" spans="1:5" ht="18">
      <c r="A135" s="7" t="s">
        <v>40</v>
      </c>
      <c r="B135" s="7"/>
    </row>
    <row r="136" spans="1:5" ht="15">
      <c r="A136" s="15" t="s">
        <v>41</v>
      </c>
      <c r="B136" s="15" t="s">
        <v>42</v>
      </c>
      <c r="C136" s="15" t="s">
        <v>43</v>
      </c>
    </row>
    <row r="137" spans="1:5">
      <c r="A137" s="5" t="s">
        <v>303</v>
      </c>
      <c r="B137" s="5" t="s">
        <v>563</v>
      </c>
      <c r="C137" s="5" t="s">
        <v>564</v>
      </c>
    </row>
    <row r="138" spans="1:5">
      <c r="A138" s="5" t="s">
        <v>64</v>
      </c>
      <c r="B138" s="5" t="s">
        <v>565</v>
      </c>
      <c r="C138" s="26" t="s">
        <v>694</v>
      </c>
    </row>
    <row r="139" spans="1:5">
      <c r="A139" s="5" t="s">
        <v>25</v>
      </c>
      <c r="B139" s="5" t="s">
        <v>566</v>
      </c>
      <c r="C139" s="5" t="s">
        <v>567</v>
      </c>
    </row>
    <row r="140" spans="1:5">
      <c r="A140" s="5" t="s">
        <v>51</v>
      </c>
      <c r="B140" s="5" t="s">
        <v>568</v>
      </c>
      <c r="C140" s="5" t="s">
        <v>569</v>
      </c>
    </row>
    <row r="141" spans="1:5">
      <c r="A141" s="5" t="s">
        <v>226</v>
      </c>
      <c r="B141" s="5" t="s">
        <v>371</v>
      </c>
      <c r="C141" s="26" t="s">
        <v>686</v>
      </c>
    </row>
    <row r="142" spans="1:5">
      <c r="A142" s="5" t="s">
        <v>100</v>
      </c>
      <c r="B142" s="5" t="s">
        <v>570</v>
      </c>
      <c r="C142" s="5" t="s">
        <v>571</v>
      </c>
    </row>
    <row r="143" spans="1:5">
      <c r="A143" s="5" t="s">
        <v>136</v>
      </c>
      <c r="B143" s="5" t="s">
        <v>572</v>
      </c>
      <c r="C143" s="5" t="s">
        <v>573</v>
      </c>
    </row>
    <row r="144" spans="1:5">
      <c r="A144" s="5" t="s">
        <v>248</v>
      </c>
      <c r="B144" s="5" t="s">
        <v>44</v>
      </c>
      <c r="C144" s="5" t="s">
        <v>574</v>
      </c>
    </row>
    <row r="145" spans="1:3">
      <c r="A145" s="5" t="s">
        <v>320</v>
      </c>
      <c r="B145" s="5" t="s">
        <v>156</v>
      </c>
      <c r="C145" s="5" t="s">
        <v>575</v>
      </c>
    </row>
  </sheetData>
  <mergeCells count="21">
    <mergeCell ref="A52:L52"/>
    <mergeCell ref="A5:L5"/>
    <mergeCell ref="A8:L8"/>
    <mergeCell ref="A12:L12"/>
    <mergeCell ref="L3:L4"/>
    <mergeCell ref="A41:L41"/>
    <mergeCell ref="A59:L59"/>
    <mergeCell ref="A15:L15"/>
    <mergeCell ref="A18:L18"/>
    <mergeCell ref="A26:L26"/>
    <mergeCell ref="A32:L32"/>
    <mergeCell ref="A1:M2"/>
    <mergeCell ref="A3:A4"/>
    <mergeCell ref="B3:B4"/>
    <mergeCell ref="C3:C4"/>
    <mergeCell ref="D3:D4"/>
    <mergeCell ref="E3:E4"/>
    <mergeCell ref="F3:F4"/>
    <mergeCell ref="G3:J3"/>
    <mergeCell ref="M3:M4"/>
    <mergeCell ref="K3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79"/>
  <sheetViews>
    <sheetView workbookViewId="0">
      <selection activeCell="C9" sqref="C9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60.140625" style="5" bestFit="1" customWidth="1"/>
    <col min="4" max="4" width="9.28515625" style="5" bestFit="1" customWidth="1"/>
    <col min="5" max="5" width="22.7109375" style="5" bestFit="1" customWidth="1"/>
    <col min="6" max="6" width="34.42578125" style="5" bestFit="1" customWidth="1"/>
    <col min="7" max="9" width="5.5703125" style="4" bestFit="1" customWidth="1"/>
    <col min="10" max="10" width="4.85546875" style="4" bestFit="1" customWidth="1"/>
    <col min="11" max="13" width="5.5703125" style="4" bestFit="1" customWidth="1"/>
    <col min="14" max="14" width="4.85546875" style="4" bestFit="1" customWidth="1"/>
    <col min="15" max="17" width="5.5703125" style="4" bestFit="1" customWidth="1"/>
    <col min="18" max="18" width="4.85546875" style="4" bestFit="1" customWidth="1"/>
    <col min="19" max="19" width="7.85546875" style="5" bestFit="1" customWidth="1"/>
    <col min="20" max="20" width="8.5703125" style="4" bestFit="1" customWidth="1"/>
    <col min="21" max="21" width="17.28515625" style="5" bestFit="1" customWidth="1"/>
    <col min="22" max="16384" width="9.140625" style="4"/>
  </cols>
  <sheetData>
    <row r="1" spans="1:21" s="3" customFormat="1" ht="29.1" customHeight="1">
      <c r="A1" s="56" t="s">
        <v>776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21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1</v>
      </c>
      <c r="H3" s="66"/>
      <c r="I3" s="66"/>
      <c r="J3" s="66"/>
      <c r="K3" s="66" t="s">
        <v>2</v>
      </c>
      <c r="L3" s="66"/>
      <c r="M3" s="66"/>
      <c r="N3" s="66"/>
      <c r="O3" s="66" t="s">
        <v>3</v>
      </c>
      <c r="P3" s="66"/>
      <c r="Q3" s="66"/>
      <c r="R3" s="66"/>
      <c r="S3" s="66" t="s">
        <v>4</v>
      </c>
      <c r="T3" s="66" t="s">
        <v>6</v>
      </c>
      <c r="U3" s="67" t="s">
        <v>5</v>
      </c>
    </row>
    <row r="4" spans="1:21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2">
        <v>1</v>
      </c>
      <c r="L4" s="2">
        <v>2</v>
      </c>
      <c r="M4" s="2">
        <v>3</v>
      </c>
      <c r="N4" s="2" t="s">
        <v>8</v>
      </c>
      <c r="O4" s="2">
        <v>1</v>
      </c>
      <c r="P4" s="2">
        <v>2</v>
      </c>
      <c r="Q4" s="2">
        <v>3</v>
      </c>
      <c r="R4" s="2" t="s">
        <v>8</v>
      </c>
      <c r="S4" s="65"/>
      <c r="T4" s="65"/>
      <c r="U4" s="68"/>
    </row>
    <row r="5" spans="1:21" ht="15">
      <c r="A5" s="54" t="s">
        <v>277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1">
      <c r="A6" s="8" t="s">
        <v>279</v>
      </c>
      <c r="B6" s="8" t="s">
        <v>280</v>
      </c>
      <c r="C6" s="8" t="s">
        <v>281</v>
      </c>
      <c r="D6" s="8" t="str">
        <f>"0,9754"</f>
        <v>0,9754</v>
      </c>
      <c r="E6" s="8" t="s">
        <v>64</v>
      </c>
      <c r="F6" s="8" t="s">
        <v>282</v>
      </c>
      <c r="G6" s="10" t="s">
        <v>53</v>
      </c>
      <c r="H6" s="10" t="s">
        <v>283</v>
      </c>
      <c r="I6" s="10" t="s">
        <v>27</v>
      </c>
      <c r="J6" s="9"/>
      <c r="K6" s="10" t="s">
        <v>93</v>
      </c>
      <c r="L6" s="10" t="s">
        <v>54</v>
      </c>
      <c r="M6" s="9" t="s">
        <v>94</v>
      </c>
      <c r="N6" s="9"/>
      <c r="O6" s="10" t="s">
        <v>284</v>
      </c>
      <c r="P6" s="9" t="s">
        <v>285</v>
      </c>
      <c r="Q6" s="9"/>
      <c r="R6" s="9"/>
      <c r="S6" s="8" t="str">
        <f>"250,0"</f>
        <v>250,0</v>
      </c>
      <c r="T6" s="10" t="str">
        <f>"243,8625"</f>
        <v>243,8625</v>
      </c>
      <c r="U6" s="8" t="s">
        <v>30</v>
      </c>
    </row>
    <row r="8" spans="1:21" ht="15">
      <c r="A8" s="55" t="s">
        <v>286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spans="1:21">
      <c r="A9" s="8" t="s">
        <v>288</v>
      </c>
      <c r="B9" s="8" t="s">
        <v>289</v>
      </c>
      <c r="C9" s="8" t="s">
        <v>290</v>
      </c>
      <c r="D9" s="8" t="str">
        <f>"1,2209"</f>
        <v>1,2209</v>
      </c>
      <c r="E9" s="8" t="s">
        <v>136</v>
      </c>
      <c r="F9" s="8" t="s">
        <v>137</v>
      </c>
      <c r="G9" s="10" t="s">
        <v>291</v>
      </c>
      <c r="H9" s="10" t="s">
        <v>93</v>
      </c>
      <c r="I9" s="10" t="s">
        <v>56</v>
      </c>
      <c r="J9" s="9"/>
      <c r="K9" s="10" t="s">
        <v>292</v>
      </c>
      <c r="L9" s="10" t="s">
        <v>291</v>
      </c>
      <c r="M9" s="9" t="s">
        <v>93</v>
      </c>
      <c r="N9" s="9"/>
      <c r="O9" s="10" t="s">
        <v>94</v>
      </c>
      <c r="P9" s="10" t="s">
        <v>56</v>
      </c>
      <c r="Q9" s="10" t="s">
        <v>293</v>
      </c>
      <c r="R9" s="9"/>
      <c r="S9" s="8" t="str">
        <f>"170,0"</f>
        <v>170,0</v>
      </c>
      <c r="T9" s="10" t="str">
        <f>"255,2902"</f>
        <v>255,2902</v>
      </c>
      <c r="U9" s="8" t="s">
        <v>30</v>
      </c>
    </row>
    <row r="11" spans="1:21" ht="15">
      <c r="A11" s="55" t="s">
        <v>294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spans="1:21">
      <c r="A12" s="8" t="s">
        <v>296</v>
      </c>
      <c r="B12" s="8" t="s">
        <v>297</v>
      </c>
      <c r="C12" s="8" t="s">
        <v>298</v>
      </c>
      <c r="D12" s="8" t="str">
        <f>"0,8330"</f>
        <v>0,8330</v>
      </c>
      <c r="E12" s="8" t="s">
        <v>64</v>
      </c>
      <c r="F12" s="8" t="s">
        <v>26</v>
      </c>
      <c r="G12" s="10" t="s">
        <v>293</v>
      </c>
      <c r="H12" s="9" t="s">
        <v>53</v>
      </c>
      <c r="I12" s="10" t="s">
        <v>53</v>
      </c>
      <c r="J12" s="9"/>
      <c r="K12" s="10" t="s">
        <v>291</v>
      </c>
      <c r="L12" s="10" t="s">
        <v>93</v>
      </c>
      <c r="M12" s="9" t="s">
        <v>94</v>
      </c>
      <c r="N12" s="9"/>
      <c r="O12" s="10" t="s">
        <v>103</v>
      </c>
      <c r="P12" s="10" t="s">
        <v>29</v>
      </c>
      <c r="Q12" s="9" t="s">
        <v>299</v>
      </c>
      <c r="R12" s="9"/>
      <c r="S12" s="8" t="str">
        <f>"240,0"</f>
        <v>240,0</v>
      </c>
      <c r="T12" s="10" t="str">
        <f>"245,9016"</f>
        <v>245,9016</v>
      </c>
      <c r="U12" s="8" t="s">
        <v>30</v>
      </c>
    </row>
    <row r="14" spans="1:21" ht="15">
      <c r="A14" s="55" t="s">
        <v>20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</row>
    <row r="15" spans="1:21">
      <c r="A15" s="17" t="s">
        <v>301</v>
      </c>
      <c r="B15" s="17" t="s">
        <v>302</v>
      </c>
      <c r="C15" s="17" t="s">
        <v>24</v>
      </c>
      <c r="D15" s="17" t="str">
        <f>"0,6867"</f>
        <v>0,6867</v>
      </c>
      <c r="E15" s="17" t="s">
        <v>303</v>
      </c>
      <c r="F15" s="17" t="s">
        <v>304</v>
      </c>
      <c r="G15" s="18" t="s">
        <v>116</v>
      </c>
      <c r="H15" s="18" t="s">
        <v>116</v>
      </c>
      <c r="I15" s="19" t="s">
        <v>116</v>
      </c>
      <c r="J15" s="18"/>
      <c r="K15" s="19" t="s">
        <v>103</v>
      </c>
      <c r="L15" s="18" t="s">
        <v>28</v>
      </c>
      <c r="M15" s="18" t="s">
        <v>28</v>
      </c>
      <c r="N15" s="18"/>
      <c r="O15" s="19" t="s">
        <v>66</v>
      </c>
      <c r="P15" s="19" t="s">
        <v>67</v>
      </c>
      <c r="Q15" s="18" t="s">
        <v>131</v>
      </c>
      <c r="R15" s="18"/>
      <c r="S15" s="17" t="str">
        <f>"410,0"</f>
        <v>410,0</v>
      </c>
      <c r="T15" s="19" t="str">
        <f>"304,0708"</f>
        <v>304,0708</v>
      </c>
      <c r="U15" s="17" t="s">
        <v>30</v>
      </c>
    </row>
    <row r="16" spans="1:21">
      <c r="A16" s="20" t="s">
        <v>306</v>
      </c>
      <c r="B16" s="20" t="s">
        <v>307</v>
      </c>
      <c r="C16" s="20" t="s">
        <v>308</v>
      </c>
      <c r="D16" s="20" t="str">
        <f>"0,6752"</f>
        <v>0,6752</v>
      </c>
      <c r="E16" s="20" t="s">
        <v>136</v>
      </c>
      <c r="F16" s="20" t="s">
        <v>137</v>
      </c>
      <c r="G16" s="21" t="s">
        <v>186</v>
      </c>
      <c r="H16" s="22" t="s">
        <v>186</v>
      </c>
      <c r="I16" s="22" t="s">
        <v>69</v>
      </c>
      <c r="J16" s="21"/>
      <c r="K16" s="22" t="s">
        <v>299</v>
      </c>
      <c r="L16" s="22" t="s">
        <v>115</v>
      </c>
      <c r="M16" s="22" t="s">
        <v>207</v>
      </c>
      <c r="N16" s="21"/>
      <c r="O16" s="22" t="s">
        <v>69</v>
      </c>
      <c r="P16" s="22" t="s">
        <v>71</v>
      </c>
      <c r="Q16" s="22" t="s">
        <v>66</v>
      </c>
      <c r="R16" s="21"/>
      <c r="S16" s="20" t="str">
        <f>"445,0"</f>
        <v>445,0</v>
      </c>
      <c r="T16" s="22" t="str">
        <f>"300,4640"</f>
        <v>300,4640</v>
      </c>
      <c r="U16" s="20" t="s">
        <v>30</v>
      </c>
    </row>
    <row r="18" spans="1:21" ht="15">
      <c r="A18" s="55" t="s">
        <v>110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</row>
    <row r="19" spans="1:21">
      <c r="A19" s="8" t="s">
        <v>310</v>
      </c>
      <c r="B19" s="8" t="s">
        <v>311</v>
      </c>
      <c r="C19" s="8" t="s">
        <v>312</v>
      </c>
      <c r="D19" s="8" t="str">
        <f>"0,6373"</f>
        <v>0,6373</v>
      </c>
      <c r="E19" s="8" t="s">
        <v>303</v>
      </c>
      <c r="F19" s="8" t="s">
        <v>304</v>
      </c>
      <c r="G19" s="9" t="s">
        <v>313</v>
      </c>
      <c r="H19" s="9" t="s">
        <v>313</v>
      </c>
      <c r="I19" s="10" t="s">
        <v>69</v>
      </c>
      <c r="J19" s="9"/>
      <c r="K19" s="10" t="s">
        <v>102</v>
      </c>
      <c r="L19" s="10" t="s">
        <v>103</v>
      </c>
      <c r="M19" s="9" t="s">
        <v>28</v>
      </c>
      <c r="N19" s="9"/>
      <c r="O19" s="10" t="s">
        <v>70</v>
      </c>
      <c r="P19" s="10" t="s">
        <v>314</v>
      </c>
      <c r="Q19" s="10" t="s">
        <v>315</v>
      </c>
      <c r="R19" s="9"/>
      <c r="S19" s="8" t="str">
        <f>"425,0"</f>
        <v>425,0</v>
      </c>
      <c r="T19" s="10" t="str">
        <f>"287,1037"</f>
        <v>287,1037</v>
      </c>
      <c r="U19" s="8" t="s">
        <v>30</v>
      </c>
    </row>
    <row r="21" spans="1:21" ht="15">
      <c r="A21" s="55" t="s">
        <v>118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</row>
    <row r="22" spans="1:21">
      <c r="A22" s="8" t="s">
        <v>317</v>
      </c>
      <c r="B22" s="8" t="s">
        <v>318</v>
      </c>
      <c r="C22" s="8" t="s">
        <v>319</v>
      </c>
      <c r="D22" s="8" t="str">
        <f>"0,5639"</f>
        <v>0,5639</v>
      </c>
      <c r="E22" s="8" t="s">
        <v>320</v>
      </c>
      <c r="F22" s="8" t="s">
        <v>26</v>
      </c>
      <c r="G22" s="10" t="s">
        <v>66</v>
      </c>
      <c r="H22" s="10" t="s">
        <v>131</v>
      </c>
      <c r="I22" s="10" t="s">
        <v>68</v>
      </c>
      <c r="J22" s="9"/>
      <c r="K22" s="10" t="s">
        <v>115</v>
      </c>
      <c r="L22" s="10" t="s">
        <v>116</v>
      </c>
      <c r="M22" s="9" t="s">
        <v>117</v>
      </c>
      <c r="N22" s="9"/>
      <c r="O22" s="10" t="s">
        <v>163</v>
      </c>
      <c r="P22" s="9" t="s">
        <v>321</v>
      </c>
      <c r="Q22" s="9"/>
      <c r="R22" s="9"/>
      <c r="S22" s="8" t="str">
        <f>"540,0"</f>
        <v>540,0</v>
      </c>
      <c r="T22" s="10" t="str">
        <f>"304,5060"</f>
        <v>304,5060</v>
      </c>
      <c r="U22" s="8" t="s">
        <v>30</v>
      </c>
    </row>
    <row r="24" spans="1:21" ht="15">
      <c r="A24" s="55" t="s">
        <v>268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</row>
    <row r="25" spans="1:21">
      <c r="A25" s="17" t="s">
        <v>323</v>
      </c>
      <c r="B25" s="17" t="s">
        <v>324</v>
      </c>
      <c r="C25" s="17" t="s">
        <v>325</v>
      </c>
      <c r="D25" s="17" t="str">
        <f>"0,5377"</f>
        <v>0,5377</v>
      </c>
      <c r="E25" s="17" t="s">
        <v>64</v>
      </c>
      <c r="F25" s="17" t="s">
        <v>326</v>
      </c>
      <c r="G25" s="19" t="s">
        <v>205</v>
      </c>
      <c r="H25" s="19" t="s">
        <v>79</v>
      </c>
      <c r="I25" s="19" t="s">
        <v>182</v>
      </c>
      <c r="J25" s="18"/>
      <c r="K25" s="19" t="s">
        <v>66</v>
      </c>
      <c r="L25" s="18" t="s">
        <v>109</v>
      </c>
      <c r="M25" s="18"/>
      <c r="N25" s="18"/>
      <c r="O25" s="19" t="s">
        <v>205</v>
      </c>
      <c r="P25" s="18" t="s">
        <v>79</v>
      </c>
      <c r="Q25" s="18" t="s">
        <v>79</v>
      </c>
      <c r="R25" s="18"/>
      <c r="S25" s="17" t="str">
        <f>"710,0"</f>
        <v>710,0</v>
      </c>
      <c r="T25" s="19" t="str">
        <f>"381,7670"</f>
        <v>381,7670</v>
      </c>
      <c r="U25" s="17" t="s">
        <v>327</v>
      </c>
    </row>
    <row r="26" spans="1:21">
      <c r="A26" s="23" t="s">
        <v>329</v>
      </c>
      <c r="B26" s="23" t="s">
        <v>330</v>
      </c>
      <c r="C26" s="23" t="s">
        <v>331</v>
      </c>
      <c r="D26" s="23" t="str">
        <f>"0,5395"</f>
        <v>0,5395</v>
      </c>
      <c r="E26" s="23" t="s">
        <v>303</v>
      </c>
      <c r="F26" s="23" t="s">
        <v>304</v>
      </c>
      <c r="G26" s="25" t="s">
        <v>131</v>
      </c>
      <c r="H26" s="25" t="s">
        <v>124</v>
      </c>
      <c r="I26" s="24" t="s">
        <v>72</v>
      </c>
      <c r="J26" s="24"/>
      <c r="K26" s="25" t="s">
        <v>67</v>
      </c>
      <c r="L26" s="25" t="s">
        <v>256</v>
      </c>
      <c r="M26" s="24" t="s">
        <v>131</v>
      </c>
      <c r="N26" s="24"/>
      <c r="O26" s="25" t="s">
        <v>163</v>
      </c>
      <c r="P26" s="25" t="s">
        <v>73</v>
      </c>
      <c r="Q26" s="24" t="s">
        <v>74</v>
      </c>
      <c r="R26" s="24"/>
      <c r="S26" s="23" t="str">
        <f>"610,0"</f>
        <v>610,0</v>
      </c>
      <c r="T26" s="25" t="str">
        <f>"329,0950"</f>
        <v>329,0950</v>
      </c>
      <c r="U26" s="23" t="s">
        <v>30</v>
      </c>
    </row>
    <row r="27" spans="1:21">
      <c r="A27" s="20" t="s">
        <v>333</v>
      </c>
      <c r="B27" s="20" t="s">
        <v>334</v>
      </c>
      <c r="C27" s="20" t="s">
        <v>335</v>
      </c>
      <c r="D27" s="20" t="str">
        <f>"0,5437"</f>
        <v>0,5437</v>
      </c>
      <c r="E27" s="20" t="s">
        <v>303</v>
      </c>
      <c r="F27" s="20" t="s">
        <v>304</v>
      </c>
      <c r="G27" s="22" t="s">
        <v>71</v>
      </c>
      <c r="H27" s="22" t="s">
        <v>314</v>
      </c>
      <c r="I27" s="22" t="s">
        <v>66</v>
      </c>
      <c r="J27" s="21"/>
      <c r="K27" s="22" t="s">
        <v>117</v>
      </c>
      <c r="L27" s="22" t="s">
        <v>186</v>
      </c>
      <c r="M27" s="21" t="s">
        <v>69</v>
      </c>
      <c r="N27" s="21"/>
      <c r="O27" s="22" t="s">
        <v>72</v>
      </c>
      <c r="P27" s="21" t="s">
        <v>249</v>
      </c>
      <c r="Q27" s="22" t="s">
        <v>249</v>
      </c>
      <c r="R27" s="21"/>
      <c r="S27" s="20" t="str">
        <f>"535,0"</f>
        <v>535,0</v>
      </c>
      <c r="T27" s="22" t="str">
        <f>"290,8795"</f>
        <v>290,8795</v>
      </c>
      <c r="U27" s="20" t="s">
        <v>30</v>
      </c>
    </row>
    <row r="29" spans="1:21" ht="15">
      <c r="A29" s="55" t="s">
        <v>193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</row>
    <row r="30" spans="1:21">
      <c r="A30" s="8" t="s">
        <v>337</v>
      </c>
      <c r="B30" s="8" t="s">
        <v>338</v>
      </c>
      <c r="C30" s="8" t="s">
        <v>339</v>
      </c>
      <c r="D30" s="8" t="str">
        <f>"0,5280"</f>
        <v>0,5280</v>
      </c>
      <c r="E30" s="8" t="s">
        <v>320</v>
      </c>
      <c r="F30" s="8" t="s">
        <v>26</v>
      </c>
      <c r="G30" s="10" t="s">
        <v>131</v>
      </c>
      <c r="H30" s="10" t="s">
        <v>163</v>
      </c>
      <c r="I30" s="10" t="s">
        <v>74</v>
      </c>
      <c r="J30" s="9"/>
      <c r="K30" s="10" t="s">
        <v>70</v>
      </c>
      <c r="L30" s="10" t="s">
        <v>314</v>
      </c>
      <c r="M30" s="9" t="s">
        <v>315</v>
      </c>
      <c r="N30" s="9"/>
      <c r="O30" s="10" t="s">
        <v>74</v>
      </c>
      <c r="P30" s="10" t="s">
        <v>340</v>
      </c>
      <c r="Q30" s="10" t="s">
        <v>205</v>
      </c>
      <c r="R30" s="9"/>
      <c r="S30" s="8" t="str">
        <f>"655,0"</f>
        <v>655,0</v>
      </c>
      <c r="T30" s="10" t="str">
        <f>"345,8400"</f>
        <v>345,8400</v>
      </c>
      <c r="U30" s="8" t="s">
        <v>30</v>
      </c>
    </row>
    <row r="32" spans="1:21" ht="15">
      <c r="A32" s="55" t="s">
        <v>177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</row>
    <row r="33" spans="1:21">
      <c r="A33" s="8" t="s">
        <v>342</v>
      </c>
      <c r="B33" s="8" t="s">
        <v>343</v>
      </c>
      <c r="C33" s="8" t="s">
        <v>344</v>
      </c>
      <c r="D33" s="8" t="str">
        <f>"0,5172"</f>
        <v>0,5172</v>
      </c>
      <c r="E33" s="8" t="s">
        <v>136</v>
      </c>
      <c r="F33" s="8" t="s">
        <v>137</v>
      </c>
      <c r="G33" s="10" t="s">
        <v>67</v>
      </c>
      <c r="H33" s="9" t="s">
        <v>131</v>
      </c>
      <c r="I33" s="10" t="s">
        <v>68</v>
      </c>
      <c r="J33" s="9"/>
      <c r="K33" s="10" t="s">
        <v>116</v>
      </c>
      <c r="L33" s="9" t="s">
        <v>186</v>
      </c>
      <c r="M33" s="10" t="s">
        <v>69</v>
      </c>
      <c r="N33" s="9"/>
      <c r="O33" s="10" t="s">
        <v>67</v>
      </c>
      <c r="P33" s="10" t="s">
        <v>68</v>
      </c>
      <c r="Q33" s="10" t="s">
        <v>73</v>
      </c>
      <c r="R33" s="9"/>
      <c r="S33" s="8" t="str">
        <f>"570,0"</f>
        <v>570,0</v>
      </c>
      <c r="T33" s="10" t="str">
        <f>"312,4681"</f>
        <v>312,4681</v>
      </c>
      <c r="U33" s="8" t="s">
        <v>30</v>
      </c>
    </row>
    <row r="35" spans="1:21" ht="15">
      <c r="E35" s="6" t="s">
        <v>12</v>
      </c>
      <c r="F35" s="26" t="s">
        <v>674</v>
      </c>
    </row>
    <row r="36" spans="1:21" ht="15">
      <c r="E36" s="6" t="s">
        <v>13</v>
      </c>
      <c r="F36" s="26" t="s">
        <v>675</v>
      </c>
    </row>
    <row r="37" spans="1:21" ht="15">
      <c r="E37" s="6" t="s">
        <v>14</v>
      </c>
      <c r="F37" s="26" t="s">
        <v>676</v>
      </c>
    </row>
    <row r="38" spans="1:21" ht="15">
      <c r="E38" s="6" t="s">
        <v>15</v>
      </c>
      <c r="F38" s="26" t="s">
        <v>677</v>
      </c>
    </row>
    <row r="39" spans="1:21" ht="15">
      <c r="E39" s="6" t="s">
        <v>15</v>
      </c>
      <c r="F39" s="26" t="s">
        <v>679</v>
      </c>
    </row>
    <row r="40" spans="1:21" ht="15">
      <c r="E40" s="6" t="s">
        <v>16</v>
      </c>
      <c r="F40" s="26" t="s">
        <v>678</v>
      </c>
    </row>
    <row r="41" spans="1:21" ht="15">
      <c r="E41" s="6"/>
    </row>
    <row r="43" spans="1:21" ht="18">
      <c r="A43" s="7" t="s">
        <v>17</v>
      </c>
      <c r="B43" s="7"/>
    </row>
    <row r="44" spans="1:21" ht="15">
      <c r="A44" s="11" t="s">
        <v>75</v>
      </c>
      <c r="B44" s="11"/>
    </row>
    <row r="45" spans="1:21" ht="14.25">
      <c r="A45" s="13"/>
      <c r="B45" s="14" t="s">
        <v>32</v>
      </c>
    </row>
    <row r="46" spans="1:21" ht="15">
      <c r="A46" s="15" t="s">
        <v>33</v>
      </c>
      <c r="B46" s="15" t="s">
        <v>34</v>
      </c>
      <c r="C46" s="15" t="s">
        <v>35</v>
      </c>
      <c r="D46" s="15" t="s">
        <v>36</v>
      </c>
      <c r="E46" s="15" t="s">
        <v>37</v>
      </c>
    </row>
    <row r="47" spans="1:21">
      <c r="A47" s="12" t="s">
        <v>278</v>
      </c>
      <c r="B47" s="5" t="s">
        <v>32</v>
      </c>
      <c r="C47" s="5" t="s">
        <v>345</v>
      </c>
      <c r="D47" s="5" t="s">
        <v>176</v>
      </c>
      <c r="E47" s="16" t="s">
        <v>346</v>
      </c>
    </row>
    <row r="50" spans="1:5" ht="15">
      <c r="A50" s="11" t="s">
        <v>31</v>
      </c>
      <c r="B50" s="11"/>
    </row>
    <row r="51" spans="1:5" ht="14.25">
      <c r="A51" s="13"/>
      <c r="B51" s="14" t="s">
        <v>347</v>
      </c>
    </row>
    <row r="52" spans="1:5" ht="15">
      <c r="A52" s="15" t="s">
        <v>33</v>
      </c>
      <c r="B52" s="15" t="s">
        <v>34</v>
      </c>
      <c r="C52" s="15" t="s">
        <v>35</v>
      </c>
      <c r="D52" s="15" t="s">
        <v>36</v>
      </c>
      <c r="E52" s="15" t="s">
        <v>37</v>
      </c>
    </row>
    <row r="53" spans="1:5">
      <c r="A53" s="12" t="s">
        <v>341</v>
      </c>
      <c r="B53" s="5" t="s">
        <v>348</v>
      </c>
      <c r="C53" s="5" t="s">
        <v>186</v>
      </c>
      <c r="D53" s="5" t="s">
        <v>349</v>
      </c>
      <c r="E53" s="16" t="s">
        <v>350</v>
      </c>
    </row>
    <row r="54" spans="1:5">
      <c r="A54" s="12" t="s">
        <v>300</v>
      </c>
      <c r="B54" s="5" t="s">
        <v>351</v>
      </c>
      <c r="C54" s="5" t="s">
        <v>38</v>
      </c>
      <c r="D54" s="5" t="s">
        <v>352</v>
      </c>
      <c r="E54" s="16" t="s">
        <v>353</v>
      </c>
    </row>
    <row r="55" spans="1:5">
      <c r="A55" s="12" t="s">
        <v>309</v>
      </c>
      <c r="B55" s="5" t="s">
        <v>348</v>
      </c>
      <c r="C55" s="5" t="s">
        <v>148</v>
      </c>
      <c r="D55" s="5" t="s">
        <v>354</v>
      </c>
      <c r="E55" s="16" t="s">
        <v>355</v>
      </c>
    </row>
    <row r="56" spans="1:5">
      <c r="A56" s="12" t="s">
        <v>287</v>
      </c>
      <c r="B56" s="5" t="s">
        <v>77</v>
      </c>
      <c r="C56" s="5" t="s">
        <v>356</v>
      </c>
      <c r="D56" s="5" t="s">
        <v>66</v>
      </c>
      <c r="E56" s="16" t="s">
        <v>357</v>
      </c>
    </row>
    <row r="57" spans="1:5">
      <c r="A57" s="12" t="s">
        <v>295</v>
      </c>
      <c r="B57" s="5" t="s">
        <v>77</v>
      </c>
      <c r="C57" s="5" t="s">
        <v>56</v>
      </c>
      <c r="D57" s="5" t="s">
        <v>175</v>
      </c>
      <c r="E57" s="16" t="s">
        <v>358</v>
      </c>
    </row>
    <row r="59" spans="1:5" ht="14.25">
      <c r="A59" s="13"/>
      <c r="B59" s="14" t="s">
        <v>32</v>
      </c>
    </row>
    <row r="60" spans="1:5" ht="15">
      <c r="A60" s="15" t="s">
        <v>33</v>
      </c>
      <c r="B60" s="15" t="s">
        <v>34</v>
      </c>
      <c r="C60" s="15" t="s">
        <v>35</v>
      </c>
      <c r="D60" s="15" t="s">
        <v>36</v>
      </c>
      <c r="E60" s="15" t="s">
        <v>37</v>
      </c>
    </row>
    <row r="61" spans="1:5">
      <c r="A61" s="12" t="s">
        <v>322</v>
      </c>
      <c r="B61" s="5" t="s">
        <v>32</v>
      </c>
      <c r="C61" s="5" t="s">
        <v>29</v>
      </c>
      <c r="D61" s="5" t="s">
        <v>359</v>
      </c>
      <c r="E61" s="16" t="s">
        <v>360</v>
      </c>
    </row>
    <row r="62" spans="1:5">
      <c r="A62" s="12" t="s">
        <v>336</v>
      </c>
      <c r="B62" s="5" t="s">
        <v>32</v>
      </c>
      <c r="C62" s="5" t="s">
        <v>207</v>
      </c>
      <c r="D62" s="5" t="s">
        <v>361</v>
      </c>
      <c r="E62" s="16" t="s">
        <v>362</v>
      </c>
    </row>
    <row r="63" spans="1:5">
      <c r="A63" s="12" t="s">
        <v>328</v>
      </c>
      <c r="B63" s="5" t="s">
        <v>32</v>
      </c>
      <c r="C63" s="5" t="s">
        <v>29</v>
      </c>
      <c r="D63" s="5" t="s">
        <v>363</v>
      </c>
      <c r="E63" s="16" t="s">
        <v>364</v>
      </c>
    </row>
    <row r="64" spans="1:5">
      <c r="A64" s="12" t="s">
        <v>316</v>
      </c>
      <c r="B64" s="5" t="s">
        <v>32</v>
      </c>
      <c r="C64" s="5" t="s">
        <v>103</v>
      </c>
      <c r="D64" s="5" t="s">
        <v>365</v>
      </c>
      <c r="E64" s="16" t="s">
        <v>366</v>
      </c>
    </row>
    <row r="65" spans="1:5">
      <c r="A65" s="12" t="s">
        <v>305</v>
      </c>
      <c r="B65" s="5" t="s">
        <v>32</v>
      </c>
      <c r="C65" s="5" t="s">
        <v>38</v>
      </c>
      <c r="D65" s="5" t="s">
        <v>367</v>
      </c>
      <c r="E65" s="16" t="s">
        <v>368</v>
      </c>
    </row>
    <row r="67" spans="1:5" ht="14.25">
      <c r="A67" s="13"/>
      <c r="B67" s="14" t="s">
        <v>81</v>
      </c>
    </row>
    <row r="68" spans="1:5" ht="15">
      <c r="A68" s="15" t="s">
        <v>33</v>
      </c>
      <c r="B68" s="15" t="s">
        <v>34</v>
      </c>
      <c r="C68" s="15" t="s">
        <v>35</v>
      </c>
      <c r="D68" s="15" t="s">
        <v>36</v>
      </c>
      <c r="E68" s="15" t="s">
        <v>37</v>
      </c>
    </row>
    <row r="69" spans="1:5">
      <c r="A69" s="12" t="s">
        <v>332</v>
      </c>
      <c r="B69" s="5" t="s">
        <v>188</v>
      </c>
      <c r="C69" s="5" t="s">
        <v>29</v>
      </c>
      <c r="D69" s="5" t="s">
        <v>369</v>
      </c>
      <c r="E69" s="16" t="s">
        <v>370</v>
      </c>
    </row>
    <row r="74" spans="1:5" ht="18">
      <c r="A74" s="7" t="s">
        <v>40</v>
      </c>
      <c r="B74" s="7"/>
    </row>
    <row r="75" spans="1:5" ht="15">
      <c r="A75" s="15" t="s">
        <v>41</v>
      </c>
      <c r="B75" s="15" t="s">
        <v>42</v>
      </c>
      <c r="C75" s="15" t="s">
        <v>43</v>
      </c>
    </row>
    <row r="76" spans="1:5">
      <c r="A76" s="5" t="s">
        <v>303</v>
      </c>
      <c r="B76" s="5" t="s">
        <v>371</v>
      </c>
      <c r="C76" s="5" t="s">
        <v>372</v>
      </c>
    </row>
    <row r="77" spans="1:5">
      <c r="A77" s="5" t="s">
        <v>64</v>
      </c>
      <c r="B77" s="5" t="s">
        <v>190</v>
      </c>
      <c r="C77" s="5" t="s">
        <v>373</v>
      </c>
    </row>
    <row r="78" spans="1:5">
      <c r="A78" s="5" t="s">
        <v>136</v>
      </c>
      <c r="B78" s="5" t="s">
        <v>190</v>
      </c>
      <c r="C78" s="5" t="s">
        <v>374</v>
      </c>
    </row>
    <row r="79" spans="1:5">
      <c r="A79" s="5" t="s">
        <v>320</v>
      </c>
      <c r="B79" s="5" t="s">
        <v>150</v>
      </c>
      <c r="C79" s="5" t="s">
        <v>375</v>
      </c>
    </row>
  </sheetData>
  <mergeCells count="22">
    <mergeCell ref="A14:T14"/>
    <mergeCell ref="A18:T18"/>
    <mergeCell ref="A21:T21"/>
    <mergeCell ref="A24:T24"/>
    <mergeCell ref="A29:T29"/>
    <mergeCell ref="A32:T32"/>
    <mergeCell ref="S3:S4"/>
    <mergeCell ref="T3:T4"/>
    <mergeCell ref="U3:U4"/>
    <mergeCell ref="A5:T5"/>
    <mergeCell ref="A8:T8"/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F15" sqref="F15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14.5703125" style="5" bestFit="1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5.7109375" style="5" bestFit="1" customWidth="1"/>
    <col min="14" max="16384" width="9.140625" style="4"/>
  </cols>
  <sheetData>
    <row r="1" spans="1:13" s="3" customFormat="1" ht="29.1" customHeight="1">
      <c r="A1" s="56" t="s">
        <v>777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3" customFormat="1" ht="62.1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0</v>
      </c>
      <c r="B3" s="64" t="s">
        <v>9</v>
      </c>
      <c r="C3" s="64" t="s">
        <v>11</v>
      </c>
      <c r="D3" s="66" t="s">
        <v>19</v>
      </c>
      <c r="E3" s="66" t="s">
        <v>7</v>
      </c>
      <c r="F3" s="66" t="s">
        <v>10</v>
      </c>
      <c r="G3" s="66" t="s">
        <v>2</v>
      </c>
      <c r="H3" s="66"/>
      <c r="I3" s="66"/>
      <c r="J3" s="66"/>
      <c r="K3" s="66" t="s">
        <v>18</v>
      </c>
      <c r="L3" s="66" t="s">
        <v>6</v>
      </c>
      <c r="M3" s="67" t="s">
        <v>5</v>
      </c>
    </row>
    <row r="4" spans="1:13" s="1" customFormat="1" ht="21" customHeight="1" thickBot="1">
      <c r="A4" s="63"/>
      <c r="B4" s="65"/>
      <c r="C4" s="65"/>
      <c r="D4" s="65"/>
      <c r="E4" s="65"/>
      <c r="F4" s="65"/>
      <c r="G4" s="2">
        <v>1</v>
      </c>
      <c r="H4" s="2">
        <v>2</v>
      </c>
      <c r="I4" s="2">
        <v>3</v>
      </c>
      <c r="J4" s="2" t="s">
        <v>8</v>
      </c>
      <c r="K4" s="65"/>
      <c r="L4" s="65"/>
      <c r="M4" s="68"/>
    </row>
    <row r="5" spans="1:13" ht="15">
      <c r="A5" s="54" t="s">
        <v>118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>
      <c r="A6" s="27" t="s">
        <v>695</v>
      </c>
      <c r="B6" s="8" t="s">
        <v>266</v>
      </c>
      <c r="C6" s="8" t="s">
        <v>253</v>
      </c>
      <c r="D6" s="8" t="str">
        <f>"0,5543"</f>
        <v>0,5543</v>
      </c>
      <c r="E6" s="8" t="s">
        <v>100</v>
      </c>
      <c r="F6" s="8" t="s">
        <v>26</v>
      </c>
      <c r="G6" s="10" t="s">
        <v>176</v>
      </c>
      <c r="H6" s="9" t="s">
        <v>79</v>
      </c>
      <c r="I6" s="9" t="s">
        <v>79</v>
      </c>
      <c r="J6" s="9"/>
      <c r="K6" s="8" t="str">
        <f>"250,0"</f>
        <v>250,0</v>
      </c>
      <c r="L6" s="10" t="str">
        <f>"166,8443"</f>
        <v>166,8443</v>
      </c>
      <c r="M6" s="8" t="s">
        <v>267</v>
      </c>
    </row>
    <row r="8" spans="1:13" ht="15">
      <c r="A8" s="55" t="s">
        <v>268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3">
      <c r="A9" s="8" t="s">
        <v>269</v>
      </c>
      <c r="B9" s="8" t="s">
        <v>270</v>
      </c>
      <c r="C9" s="8" t="s">
        <v>271</v>
      </c>
      <c r="D9" s="8" t="str">
        <f>"0,5399"</f>
        <v>0,5399</v>
      </c>
      <c r="E9" s="8" t="s">
        <v>254</v>
      </c>
      <c r="F9" s="8" t="s">
        <v>255</v>
      </c>
      <c r="G9" s="9" t="s">
        <v>272</v>
      </c>
      <c r="H9" s="9" t="s">
        <v>272</v>
      </c>
      <c r="I9" s="9" t="s">
        <v>272</v>
      </c>
      <c r="J9" s="9"/>
      <c r="K9" s="8" t="str">
        <f>"0,0"</f>
        <v>0,0</v>
      </c>
      <c r="L9" s="10" t="str">
        <f>"0,0000"</f>
        <v>0,0000</v>
      </c>
      <c r="M9" s="8" t="s">
        <v>273</v>
      </c>
    </row>
    <row r="11" spans="1:13" ht="15">
      <c r="E11" s="6" t="s">
        <v>12</v>
      </c>
      <c r="F11" s="26" t="s">
        <v>674</v>
      </c>
    </row>
    <row r="12" spans="1:13" ht="15">
      <c r="E12" s="6" t="s">
        <v>13</v>
      </c>
      <c r="F12" s="26" t="s">
        <v>675</v>
      </c>
    </row>
    <row r="13" spans="1:13" ht="15">
      <c r="E13" s="6" t="s">
        <v>14</v>
      </c>
      <c r="F13" s="26" t="s">
        <v>676</v>
      </c>
    </row>
    <row r="14" spans="1:13" ht="15">
      <c r="E14" s="6" t="s">
        <v>15</v>
      </c>
      <c r="F14" s="26" t="s">
        <v>677</v>
      </c>
    </row>
    <row r="15" spans="1:13" ht="15">
      <c r="E15" s="6" t="s">
        <v>15</v>
      </c>
      <c r="F15" s="26" t="s">
        <v>679</v>
      </c>
    </row>
    <row r="16" spans="1:13" ht="15">
      <c r="E16" s="6" t="s">
        <v>16</v>
      </c>
      <c r="F16" s="26" t="s">
        <v>678</v>
      </c>
    </row>
    <row r="17" spans="1:5" ht="15">
      <c r="E17" s="6"/>
    </row>
    <row r="19" spans="1:5" ht="18">
      <c r="A19" s="7" t="s">
        <v>17</v>
      </c>
      <c r="B19" s="7"/>
    </row>
    <row r="20" spans="1:5" ht="15">
      <c r="A20" s="11" t="s">
        <v>31</v>
      </c>
      <c r="B20" s="11"/>
    </row>
    <row r="21" spans="1:5" ht="14.25">
      <c r="A21" s="13"/>
      <c r="B21" s="14" t="s">
        <v>81</v>
      </c>
    </row>
    <row r="22" spans="1:5" ht="15">
      <c r="A22" s="15" t="s">
        <v>33</v>
      </c>
      <c r="B22" s="15" t="s">
        <v>34</v>
      </c>
      <c r="C22" s="15" t="s">
        <v>35</v>
      </c>
      <c r="D22" s="15" t="s">
        <v>36</v>
      </c>
      <c r="E22" s="15" t="s">
        <v>37</v>
      </c>
    </row>
    <row r="23" spans="1:5">
      <c r="A23" s="27" t="s">
        <v>695</v>
      </c>
      <c r="B23" s="5" t="s">
        <v>274</v>
      </c>
      <c r="C23" s="5" t="s">
        <v>103</v>
      </c>
      <c r="D23" s="5" t="s">
        <v>176</v>
      </c>
      <c r="E23" s="16" t="s">
        <v>275</v>
      </c>
    </row>
    <row r="28" spans="1:5" ht="18">
      <c r="A28" s="7" t="s">
        <v>40</v>
      </c>
      <c r="B28" s="7"/>
    </row>
    <row r="29" spans="1:5" ht="15">
      <c r="A29" s="15" t="s">
        <v>41</v>
      </c>
      <c r="B29" s="15" t="s">
        <v>42</v>
      </c>
      <c r="C29" s="15" t="s">
        <v>43</v>
      </c>
    </row>
    <row r="30" spans="1:5">
      <c r="A30" s="5" t="s">
        <v>100</v>
      </c>
      <c r="B30" s="5" t="s">
        <v>44</v>
      </c>
      <c r="C30" s="5" t="s">
        <v>276</v>
      </c>
    </row>
  </sheetData>
  <mergeCells count="13">
    <mergeCell ref="K3:K4"/>
    <mergeCell ref="L3:L4"/>
    <mergeCell ref="M3:M4"/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Люб. жим софт экип.</vt:lpstr>
      <vt:lpstr>Люб. ПЛ. софт экип.</vt:lpstr>
      <vt:lpstr>Люб. присед 1.слой</vt:lpstr>
      <vt:lpstr>Люб. тяга 1.слой</vt:lpstr>
      <vt:lpstr>Люб. жим 1.слой</vt:lpstr>
      <vt:lpstr>Люб. тяга б.э.</vt:lpstr>
      <vt:lpstr>Люб. жим б.э.</vt:lpstr>
      <vt:lpstr>Люб. ПЛ. б.э.</vt:lpstr>
      <vt:lpstr>ПРО жим софт экип. 3сл.</vt:lpstr>
      <vt:lpstr>ПРО присед софт экип.</vt:lpstr>
      <vt:lpstr>ПРО тяга софт экип.</vt:lpstr>
      <vt:lpstr>ПРО присед мн.слой</vt:lpstr>
      <vt:lpstr>ПРО жим софт экип.</vt:lpstr>
      <vt:lpstr>ПРО ПЛ. софт экип.</vt:lpstr>
      <vt:lpstr>ПРО тяга мн.слой</vt:lpstr>
      <vt:lpstr>ПРО жим мн.слой</vt:lpstr>
      <vt:lpstr>ПРО ПЛ. мн.слой</vt:lpstr>
      <vt:lpstr>ПРО тяга б.э.</vt:lpstr>
      <vt:lpstr>ПРО жим б.э.</vt:lpstr>
      <vt:lpstr>ПРО ПЛ. б.э.</vt:lpstr>
      <vt:lpstr>СОВ тяга</vt:lpstr>
      <vt:lpstr>Военный жим. Любители</vt:lpstr>
      <vt:lpstr>Народный жим. Любители</vt:lpstr>
      <vt:lpstr>Пауэрспорт ПРО</vt:lpstr>
      <vt:lpstr>Русский жим. Любители 35 кг.</vt:lpstr>
      <vt:lpstr>Русский жим ПРО. 35 кг.</vt:lpstr>
      <vt:lpstr>Русский жим ПРО. 55 кг.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Андрей</cp:lastModifiedBy>
  <cp:lastPrinted>2015-07-16T19:10:53Z</cp:lastPrinted>
  <dcterms:created xsi:type="dcterms:W3CDTF">2002-06-16T13:36:44Z</dcterms:created>
  <dcterms:modified xsi:type="dcterms:W3CDTF">2017-12-20T17:31:27Z</dcterms:modified>
</cp:coreProperties>
</file>