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480" yWindow="15" windowWidth="11340" windowHeight="9690" activeTab="4"/>
  </bookViews>
  <sheets>
    <sheet name="Лист6" sheetId="11" r:id="rId1"/>
    <sheet name="Люб. тяга софт экип." sheetId="10" r:id="rId2"/>
    <sheet name="Люб. жим софт экип." sheetId="9" r:id="rId3"/>
    <sheet name="Люб. тяга б.э." sheetId="8" r:id="rId4"/>
    <sheet name="Люб. жим б.э." sheetId="7" r:id="rId5"/>
    <sheet name="ПРО тяга б.э." sheetId="6" r:id="rId6"/>
    <sheet name="ПРО жим б.э." sheetId="5" r:id="rId7"/>
  </sheets>
  <definedNames>
    <definedName name="_xlnm._FilterDatabase" localSheetId="6" hidden="1">'ПРО жим б.э.'!$A$1:$K$3</definedName>
  </definedNames>
  <calcPr calcId="125725" refMode="R1C1"/>
</workbook>
</file>

<file path=xl/calcChain.xml><?xml version="1.0" encoding="utf-8"?>
<calcChain xmlns="http://schemas.openxmlformats.org/spreadsheetml/2006/main">
  <c r="L6" i="10"/>
  <c r="K6"/>
  <c r="D6"/>
  <c r="L12" i="9"/>
  <c r="K12"/>
  <c r="D12"/>
  <c r="L9"/>
  <c r="K9"/>
  <c r="D9"/>
  <c r="L6"/>
  <c r="K6"/>
  <c r="D6"/>
  <c r="L70" i="8"/>
  <c r="K70"/>
  <c r="D70"/>
  <c r="L69"/>
  <c r="K69"/>
  <c r="D69"/>
  <c r="L66"/>
  <c r="K66"/>
  <c r="D66"/>
  <c r="L65"/>
  <c r="K65"/>
  <c r="D65"/>
  <c r="L64"/>
  <c r="K64"/>
  <c r="D64"/>
  <c r="L63"/>
  <c r="K63"/>
  <c r="D63"/>
  <c r="L62"/>
  <c r="K62"/>
  <c r="D62"/>
  <c r="L59"/>
  <c r="K59"/>
  <c r="D59"/>
  <c r="L58"/>
  <c r="K58"/>
  <c r="D58"/>
  <c r="L57"/>
  <c r="K57"/>
  <c r="D57"/>
  <c r="L56"/>
  <c r="K56"/>
  <c r="D56"/>
  <c r="L55"/>
  <c r="K55"/>
  <c r="D55"/>
  <c r="L54"/>
  <c r="K54"/>
  <c r="D54"/>
  <c r="L53"/>
  <c r="K53"/>
  <c r="D53"/>
  <c r="L50"/>
  <c r="K50"/>
  <c r="D50"/>
  <c r="L49"/>
  <c r="K49"/>
  <c r="D49"/>
  <c r="L48"/>
  <c r="K48"/>
  <c r="D48"/>
  <c r="L47"/>
  <c r="K47"/>
  <c r="D47"/>
  <c r="L46"/>
  <c r="K46"/>
  <c r="D46"/>
  <c r="L45"/>
  <c r="K45"/>
  <c r="D45"/>
  <c r="L44"/>
  <c r="K44"/>
  <c r="D44"/>
  <c r="L43"/>
  <c r="K43"/>
  <c r="D43"/>
  <c r="L42"/>
  <c r="K42"/>
  <c r="D42"/>
  <c r="L41"/>
  <c r="K41"/>
  <c r="D41"/>
  <c r="L40"/>
  <c r="K40"/>
  <c r="D40"/>
  <c r="L39"/>
  <c r="K39"/>
  <c r="D39"/>
  <c r="L36"/>
  <c r="K36"/>
  <c r="D36"/>
  <c r="L35"/>
  <c r="K35"/>
  <c r="D35"/>
  <c r="L34"/>
  <c r="K34"/>
  <c r="D34"/>
  <c r="L33"/>
  <c r="K33"/>
  <c r="D33"/>
  <c r="L30"/>
  <c r="K30"/>
  <c r="D30"/>
  <c r="L27"/>
  <c r="K27"/>
  <c r="D27"/>
  <c r="L24"/>
  <c r="K24"/>
  <c r="D24"/>
  <c r="L21"/>
  <c r="K21"/>
  <c r="D21"/>
  <c r="L20"/>
  <c r="K20"/>
  <c r="D20"/>
  <c r="L17"/>
  <c r="K17"/>
  <c r="D17"/>
  <c r="L16"/>
  <c r="K16"/>
  <c r="D16"/>
  <c r="L15"/>
  <c r="K15"/>
  <c r="D15"/>
  <c r="L12"/>
  <c r="K12"/>
  <c r="D12"/>
  <c r="L11"/>
  <c r="K11"/>
  <c r="D11"/>
  <c r="L10"/>
  <c r="K10"/>
  <c r="D10"/>
  <c r="L7"/>
  <c r="K7"/>
  <c r="D7"/>
  <c r="L6"/>
  <c r="K6"/>
  <c r="D6"/>
  <c r="L78" i="7"/>
  <c r="K78"/>
  <c r="D78"/>
  <c r="L77"/>
  <c r="K77"/>
  <c r="D77"/>
  <c r="L74"/>
  <c r="K74"/>
  <c r="D74"/>
  <c r="L71"/>
  <c r="K71"/>
  <c r="D71"/>
  <c r="L70"/>
  <c r="K70"/>
  <c r="D70"/>
  <c r="L69"/>
  <c r="K69"/>
  <c r="D69"/>
  <c r="L68"/>
  <c r="K68"/>
  <c r="D68"/>
  <c r="L67"/>
  <c r="K67"/>
  <c r="D67"/>
  <c r="L66"/>
  <c r="K66"/>
  <c r="D66"/>
  <c r="L65"/>
  <c r="K65"/>
  <c r="D65"/>
  <c r="L64"/>
  <c r="K64"/>
  <c r="D64"/>
  <c r="L61"/>
  <c r="K61"/>
  <c r="D61"/>
  <c r="L60"/>
  <c r="K60"/>
  <c r="D60"/>
  <c r="L59"/>
  <c r="K59"/>
  <c r="D59"/>
  <c r="L58"/>
  <c r="K58"/>
  <c r="D58"/>
  <c r="L57"/>
  <c r="K57"/>
  <c r="D57"/>
  <c r="L56"/>
  <c r="K56"/>
  <c r="D56"/>
  <c r="L55"/>
  <c r="K55"/>
  <c r="D55"/>
  <c r="L54"/>
  <c r="K54"/>
  <c r="D54"/>
  <c r="L53"/>
  <c r="K53"/>
  <c r="D53"/>
  <c r="L52"/>
  <c r="K52"/>
  <c r="D52"/>
  <c r="L51"/>
  <c r="K51"/>
  <c r="D51"/>
  <c r="L48"/>
  <c r="K48"/>
  <c r="D48"/>
  <c r="L47"/>
  <c r="K47"/>
  <c r="D47"/>
  <c r="L46"/>
  <c r="K46"/>
  <c r="D46"/>
  <c r="L45"/>
  <c r="K45"/>
  <c r="D45"/>
  <c r="L44"/>
  <c r="K44"/>
  <c r="D44"/>
  <c r="L43"/>
  <c r="K43"/>
  <c r="D43"/>
  <c r="L42"/>
  <c r="K42"/>
  <c r="D42"/>
  <c r="L41"/>
  <c r="K41"/>
  <c r="D41"/>
  <c r="L40"/>
  <c r="K40"/>
  <c r="D40"/>
  <c r="L37"/>
  <c r="K37"/>
  <c r="D37"/>
  <c r="L36"/>
  <c r="K36"/>
  <c r="D36"/>
  <c r="L35"/>
  <c r="K35"/>
  <c r="D35"/>
  <c r="L34"/>
  <c r="K34"/>
  <c r="D34"/>
  <c r="L33"/>
  <c r="K33"/>
  <c r="D33"/>
  <c r="L32"/>
  <c r="K32"/>
  <c r="D32"/>
  <c r="L31"/>
  <c r="K31"/>
  <c r="D31"/>
  <c r="L30"/>
  <c r="K30"/>
  <c r="D30"/>
  <c r="L29"/>
  <c r="K29"/>
  <c r="D29"/>
  <c r="L26"/>
  <c r="K26"/>
  <c r="D26"/>
  <c r="L25"/>
  <c r="K25"/>
  <c r="D25"/>
  <c r="L22"/>
  <c r="K22"/>
  <c r="D22"/>
  <c r="L19"/>
  <c r="K19"/>
  <c r="D19"/>
  <c r="L16"/>
  <c r="K16"/>
  <c r="D16"/>
  <c r="L13"/>
  <c r="K13"/>
  <c r="D13"/>
  <c r="L12"/>
  <c r="K12"/>
  <c r="D12"/>
  <c r="L11"/>
  <c r="K11"/>
  <c r="D11"/>
  <c r="L8"/>
  <c r="K8"/>
  <c r="D8"/>
  <c r="L7"/>
  <c r="K7"/>
  <c r="D7"/>
  <c r="L6"/>
  <c r="K6"/>
  <c r="D6"/>
  <c r="L10" i="6"/>
  <c r="K10"/>
  <c r="D10"/>
  <c r="L9"/>
  <c r="K9"/>
  <c r="D9"/>
  <c r="L6"/>
  <c r="K6"/>
  <c r="D6"/>
  <c r="L9" i="5"/>
  <c r="K9"/>
  <c r="D9"/>
  <c r="L6"/>
  <c r="K6"/>
  <c r="D6"/>
</calcChain>
</file>

<file path=xl/sharedStrings.xml><?xml version="1.0" encoding="utf-8"?>
<sst xmlns="http://schemas.openxmlformats.org/spreadsheetml/2006/main" count="1792" uniqueCount="615">
  <si>
    <t>ФИО</t>
  </si>
  <si>
    <t>Присед</t>
  </si>
  <si>
    <t>Жим</t>
  </si>
  <si>
    <t>Тяга</t>
  </si>
  <si>
    <t>Сумма</t>
  </si>
  <si>
    <t>Тренер</t>
  </si>
  <si>
    <t>Очки</t>
  </si>
  <si>
    <t>Команда</t>
  </si>
  <si>
    <t>Рек</t>
  </si>
  <si>
    <t>Возр груп
Год. р./Возраст</t>
  </si>
  <si>
    <t>Коэф</t>
  </si>
  <si>
    <t>Город/область</t>
  </si>
  <si>
    <t>Соб.
Вес</t>
  </si>
  <si>
    <t>Winter Iron Games
ПРО жим лежа без экипировки
Старый Оскол/Белгородская область декабря 2017 г.</t>
  </si>
  <si>
    <t>Shv/Mel</t>
  </si>
  <si>
    <t>ВЕСОВАЯ КАТЕГОРИЯ   56</t>
  </si>
  <si>
    <t>Филатов Сергей</t>
  </si>
  <si>
    <t>1. Филатов Сергей</t>
  </si>
  <si>
    <t>Юноши 14 - 15 (02.08.2002)/15</t>
  </si>
  <si>
    <t>55,80</t>
  </si>
  <si>
    <t xml:space="preserve">ЭРА </t>
  </si>
  <si>
    <t xml:space="preserve">Белгород/Белгородская область </t>
  </si>
  <si>
    <t>30,0</t>
  </si>
  <si>
    <t>40,0</t>
  </si>
  <si>
    <t xml:space="preserve"> </t>
  </si>
  <si>
    <t>ВЕСОВАЯ КАТЕГОРИЯ   82.5</t>
  </si>
  <si>
    <t>Кильдюшев Андрей</t>
  </si>
  <si>
    <t>1. Кильдюшев Андрей</t>
  </si>
  <si>
    <t>Открытая (04.08.1988)/29</t>
  </si>
  <si>
    <t>80,10</t>
  </si>
  <si>
    <t xml:space="preserve">ФОК Олимпийский </t>
  </si>
  <si>
    <t xml:space="preserve">Новый Оскол/Белгородская область </t>
  </si>
  <si>
    <t>170,0</t>
  </si>
  <si>
    <t>180,0</t>
  </si>
  <si>
    <t>Главный судья:</t>
  </si>
  <si>
    <t>Главный секретарь:</t>
  </si>
  <si>
    <t>Старший судья:</t>
  </si>
  <si>
    <t>Боковой судья:</t>
  </si>
  <si>
    <t>Секретарь:</t>
  </si>
  <si>
    <t xml:space="preserve">Абсолютный зачёт </t>
  </si>
  <si>
    <t xml:space="preserve">Мужчины </t>
  </si>
  <si>
    <t xml:space="preserve">Юноши </t>
  </si>
  <si>
    <t xml:space="preserve">ФИО </t>
  </si>
  <si>
    <t xml:space="preserve">Возрастная группа </t>
  </si>
  <si>
    <t xml:space="preserve">Весовая </t>
  </si>
  <si>
    <t xml:space="preserve">Сумма </t>
  </si>
  <si>
    <t xml:space="preserve">Shv/Mel </t>
  </si>
  <si>
    <t xml:space="preserve">Юноши 14 - 15 </t>
  </si>
  <si>
    <t>56,0</t>
  </si>
  <si>
    <t>31,0883</t>
  </si>
  <si>
    <t xml:space="preserve">Открытая </t>
  </si>
  <si>
    <t>82,5</t>
  </si>
  <si>
    <t>107,5080</t>
  </si>
  <si>
    <t xml:space="preserve">Командное первенство </t>
  </si>
  <si>
    <t xml:space="preserve">Команда </t>
  </si>
  <si>
    <t xml:space="preserve">Очки </t>
  </si>
  <si>
    <t xml:space="preserve">Участники </t>
  </si>
  <si>
    <t xml:space="preserve">12(12) </t>
  </si>
  <si>
    <t xml:space="preserve">Кильдюшев Андрей </t>
  </si>
  <si>
    <t xml:space="preserve">Филатов Сергей </t>
  </si>
  <si>
    <t>Результат</t>
  </si>
  <si>
    <t>Winter Iron Games
ПРО становая тяга без экипировки
Старый Оскол/Белгородская область декабря 2017 г.</t>
  </si>
  <si>
    <t>ВЕСОВАЯ КАТЕГОРИЯ   90</t>
  </si>
  <si>
    <t>Тишин Павел</t>
  </si>
  <si>
    <t>1. Тишин Павел</t>
  </si>
  <si>
    <t>Открытая (23.05.1987)/30</t>
  </si>
  <si>
    <t>88,65</t>
  </si>
  <si>
    <t xml:space="preserve">Русская сила </t>
  </si>
  <si>
    <t>190,0</t>
  </si>
  <si>
    <t>ВЕСОВАЯ КАТЕГОРИЯ   100</t>
  </si>
  <si>
    <t>Малышко Андрей</t>
  </si>
  <si>
    <t>1. Малышко Андрей</t>
  </si>
  <si>
    <t>Открытая (30.03.1978)/39</t>
  </si>
  <si>
    <t>98,30</t>
  </si>
  <si>
    <t xml:space="preserve">Zeus </t>
  </si>
  <si>
    <t>240,0</t>
  </si>
  <si>
    <t>Самойлов Андрей</t>
  </si>
  <si>
    <t>2. Самойлов Андрей</t>
  </si>
  <si>
    <t>Открытая (30.08.1987)/30</t>
  </si>
  <si>
    <t>92,80</t>
  </si>
  <si>
    <t>210,0</t>
  </si>
  <si>
    <t>100,0</t>
  </si>
  <si>
    <t>133,9920</t>
  </si>
  <si>
    <t>120,7710</t>
  </si>
  <si>
    <t>90,0</t>
  </si>
  <si>
    <t>106,3350</t>
  </si>
  <si>
    <t xml:space="preserve">17(12+5) </t>
  </si>
  <si>
    <t xml:space="preserve">Тишин Павел, Самойлов Андрей </t>
  </si>
  <si>
    <t xml:space="preserve">Малышко Андрей </t>
  </si>
  <si>
    <t>Winter Iron Games
Любители жим лежа без экипировки
Старый Оскол/Белгородская область декабря 2017 г.</t>
  </si>
  <si>
    <t>ВЕСОВАЯ КАТЕГОРИЯ   60</t>
  </si>
  <si>
    <t>Бублий Адель</t>
  </si>
  <si>
    <t>1. Бублий Адель</t>
  </si>
  <si>
    <t>Юниорки 20 - 23 (01.08.1994)/23</t>
  </si>
  <si>
    <t>57,55</t>
  </si>
  <si>
    <t>50,0</t>
  </si>
  <si>
    <t>60,0</t>
  </si>
  <si>
    <t>Ходырева Анастасия</t>
  </si>
  <si>
    <t>1. Ходырева Анастасия</t>
  </si>
  <si>
    <t>Открытая (27.07.1993)/24</t>
  </si>
  <si>
    <t>59,00</t>
  </si>
  <si>
    <t xml:space="preserve">Лично </t>
  </si>
  <si>
    <t>55,0</t>
  </si>
  <si>
    <t>62,5o</t>
  </si>
  <si>
    <t>Мартынова Юлия</t>
  </si>
  <si>
    <t>2. Мартынова Юлия</t>
  </si>
  <si>
    <t>Открытая (07.03.1987)/30</t>
  </si>
  <si>
    <t>59,70</t>
  </si>
  <si>
    <t xml:space="preserve">Старый Оскол/Белгородская область </t>
  </si>
  <si>
    <t>ВЕСОВАЯ КАТЕГОРИЯ   67.5</t>
  </si>
  <si>
    <t>Савина Галина</t>
  </si>
  <si>
    <t>1. Савина Галина</t>
  </si>
  <si>
    <t>Открытая (03.06.1975)/42</t>
  </si>
  <si>
    <t>66,80</t>
  </si>
  <si>
    <t xml:space="preserve">Воронеж/Воронежская область </t>
  </si>
  <si>
    <t>65,0</t>
  </si>
  <si>
    <t>67,5</t>
  </si>
  <si>
    <t>70,0</t>
  </si>
  <si>
    <t>Фомина Тамара</t>
  </si>
  <si>
    <t>2. Фомина Тамара</t>
  </si>
  <si>
    <t>Открытая (17.08.1992)/25</t>
  </si>
  <si>
    <t>62,75</t>
  </si>
  <si>
    <t>Мастера 40 - 44 (03.06.1975)/42</t>
  </si>
  <si>
    <t>ВЕСОВАЯ КАТЕГОРИЯ   75</t>
  </si>
  <si>
    <t>Литвинова Елена</t>
  </si>
  <si>
    <t>1. Литвинова Елена</t>
  </si>
  <si>
    <t>Открытая (10.04.1991)/26</t>
  </si>
  <si>
    <t>69,40</t>
  </si>
  <si>
    <t>ВЕСОВАЯ КАТЕГОРИЯ   44</t>
  </si>
  <si>
    <t>Орлов Александр</t>
  </si>
  <si>
    <t>1. Орлов Александр</t>
  </si>
  <si>
    <t>Юноши 14 - 15 (18.09.2004)/13</t>
  </si>
  <si>
    <t>43,20</t>
  </si>
  <si>
    <t xml:space="preserve">Строитель/Белгородская область </t>
  </si>
  <si>
    <t>Махфузов Афраим</t>
  </si>
  <si>
    <t>1. Махфузов Афраим</t>
  </si>
  <si>
    <t>Юниоры 20 - 23 (19.10.1997)/20</t>
  </si>
  <si>
    <t>60,00</t>
  </si>
  <si>
    <t xml:space="preserve">Валуйки/Белгородская область </t>
  </si>
  <si>
    <t>95,0</t>
  </si>
  <si>
    <t>100,0o</t>
  </si>
  <si>
    <t>Дранев Владимир</t>
  </si>
  <si>
    <t>1. Дранев Владимир</t>
  </si>
  <si>
    <t>Юниоры 20 - 23 (24.07.1997)/20</t>
  </si>
  <si>
    <t>67,40</t>
  </si>
  <si>
    <t>130,0</t>
  </si>
  <si>
    <t>140,0</t>
  </si>
  <si>
    <t>145,0</t>
  </si>
  <si>
    <t>Нехаев Игорь</t>
  </si>
  <si>
    <t>1. Нехаев Игорь</t>
  </si>
  <si>
    <t>Мастера 50 - 54 (03.04.1965)/52</t>
  </si>
  <si>
    <t>66,70</t>
  </si>
  <si>
    <t>Глотов Матвей</t>
  </si>
  <si>
    <t>1. Глотов Матвей</t>
  </si>
  <si>
    <t>Юноши 14 - 15 (16.01.2003)/14</t>
  </si>
  <si>
    <t>71,30</t>
  </si>
  <si>
    <t>80,0</t>
  </si>
  <si>
    <t>Гамалей Владимир</t>
  </si>
  <si>
    <t>2. Гамалей Владимир</t>
  </si>
  <si>
    <t>Юноши 14 - 15 (06.07.2002)/15</t>
  </si>
  <si>
    <t>73,80</t>
  </si>
  <si>
    <t xml:space="preserve">AlexFitnes </t>
  </si>
  <si>
    <t>75,0</t>
  </si>
  <si>
    <t>Сотников Анатолий</t>
  </si>
  <si>
    <t>3. Сотников Анатолий</t>
  </si>
  <si>
    <t>Юноши 14 - 15 (28.07.2004)/13</t>
  </si>
  <si>
    <t>72,30</t>
  </si>
  <si>
    <t xml:space="preserve">Губкин </t>
  </si>
  <si>
    <t xml:space="preserve">Губкин/Белгородская область </t>
  </si>
  <si>
    <t>35,0</t>
  </si>
  <si>
    <t>42,5</t>
  </si>
  <si>
    <t>Одинцов Иван</t>
  </si>
  <si>
    <t>1. Одинцов Иван</t>
  </si>
  <si>
    <t>Юноши 16 - 17 (24.07.2000)/17</t>
  </si>
  <si>
    <t>73,00</t>
  </si>
  <si>
    <t xml:space="preserve">Валуйки </t>
  </si>
  <si>
    <t>105,0</t>
  </si>
  <si>
    <t>107,5</t>
  </si>
  <si>
    <t>-. Грибовский Сергей</t>
  </si>
  <si>
    <t>Юноши 16 - 17 (12.09.2000)/17</t>
  </si>
  <si>
    <t>72,75</t>
  </si>
  <si>
    <t>Клименко Константин</t>
  </si>
  <si>
    <t>1. Клименко Константин</t>
  </si>
  <si>
    <t>Юниоры 20 - 23 (10.01.1996)/21</t>
  </si>
  <si>
    <t>Кравцов Павел</t>
  </si>
  <si>
    <t>1. Кравцов Павел</t>
  </si>
  <si>
    <t>Открытая (18.06.1993)/24</t>
  </si>
  <si>
    <t>74,05</t>
  </si>
  <si>
    <t>147,5</t>
  </si>
  <si>
    <t>Фэшн Дмитрий</t>
  </si>
  <si>
    <t>2. Фэшн Дмитрий</t>
  </si>
  <si>
    <t>Открытая (27.05.1986)/31</t>
  </si>
  <si>
    <t>74,00</t>
  </si>
  <si>
    <t>120,0</t>
  </si>
  <si>
    <t>125,0</t>
  </si>
  <si>
    <t>Онищенко Андрей</t>
  </si>
  <si>
    <t>3. Онищенко Андрей</t>
  </si>
  <si>
    <t>Открытая (09.06.1991)/26</t>
  </si>
  <si>
    <t>74,25</t>
  </si>
  <si>
    <t>97,5</t>
  </si>
  <si>
    <t>Бондар Антон</t>
  </si>
  <si>
    <t>1. Бондар Антон</t>
  </si>
  <si>
    <t>Юноши 18 - 19 (28.05.1998)/19</t>
  </si>
  <si>
    <t>78,80</t>
  </si>
  <si>
    <t>112,5</t>
  </si>
  <si>
    <t>117,5</t>
  </si>
  <si>
    <t>Ананьев Александр</t>
  </si>
  <si>
    <t>-. Ананьев Александр</t>
  </si>
  <si>
    <t>Юноши 18 - 19 (11.09.1998)/19</t>
  </si>
  <si>
    <t>78,70</t>
  </si>
  <si>
    <t>115,0</t>
  </si>
  <si>
    <t>Камышников Дмитрий</t>
  </si>
  <si>
    <t>1. Камышников Дмитрий</t>
  </si>
  <si>
    <t>Юниоры 20 - 23 (29.10.1996)/21</t>
  </si>
  <si>
    <t>79,35</t>
  </si>
  <si>
    <t>Тартынский Павел</t>
  </si>
  <si>
    <t>2. Тартынский Павел</t>
  </si>
  <si>
    <t>Юниоры 20 - 23 (19.07.1995)/22</t>
  </si>
  <si>
    <t>80,60</t>
  </si>
  <si>
    <t>Гетманский Константин</t>
  </si>
  <si>
    <t>3. Гетманский Константин</t>
  </si>
  <si>
    <t>Юниоры 20 - 23 (19.01.1995)/22</t>
  </si>
  <si>
    <t>80,15</t>
  </si>
  <si>
    <t xml:space="preserve">Алексеевка/Белгородская область </t>
  </si>
  <si>
    <t>Коростелев Федор</t>
  </si>
  <si>
    <t>1. Коростелев Федор</t>
  </si>
  <si>
    <t>Открытая (20.07.1984)/33</t>
  </si>
  <si>
    <t>82,10</t>
  </si>
  <si>
    <t>135,0</t>
  </si>
  <si>
    <t>142,5</t>
  </si>
  <si>
    <t>Ряполов Максим</t>
  </si>
  <si>
    <t>2. Ряполов Максим</t>
  </si>
  <si>
    <t>Открытая (28.08.1992)/25</t>
  </si>
  <si>
    <t>81,00</t>
  </si>
  <si>
    <t>Открытая (19.01.1995)/22</t>
  </si>
  <si>
    <t>Кондратьев Дмитрий</t>
  </si>
  <si>
    <t>4. Кондратьев Дмитрий</t>
  </si>
  <si>
    <t>Открытая (03.04.1990)/27</t>
  </si>
  <si>
    <t>85,0</t>
  </si>
  <si>
    <t>Степанов Михаил</t>
  </si>
  <si>
    <t>1. Степанов Михаил</t>
  </si>
  <si>
    <t>Юноши 16 - 17 (25.01.2001)/16</t>
  </si>
  <si>
    <t>85,60</t>
  </si>
  <si>
    <t>Шипилов Роман</t>
  </si>
  <si>
    <t>1. Шипилов Роман</t>
  </si>
  <si>
    <t>Юноши 18 - 19 (04.06.1998)/19</t>
  </si>
  <si>
    <t>87,10</t>
  </si>
  <si>
    <t>152,5</t>
  </si>
  <si>
    <t>160,0</t>
  </si>
  <si>
    <t>-. Брытков Николай</t>
  </si>
  <si>
    <t>Юноши 18 - 19 (10.02.1999)/18</t>
  </si>
  <si>
    <t>85,80</t>
  </si>
  <si>
    <t>Куличенко Евгений</t>
  </si>
  <si>
    <t>1. Куличенко Евгений</t>
  </si>
  <si>
    <t>Юниоры 20 - 23 (21.10.1996)/21</t>
  </si>
  <si>
    <t>86,90</t>
  </si>
  <si>
    <t>Мазиев Алексей</t>
  </si>
  <si>
    <t>2. Мазиев Алексей</t>
  </si>
  <si>
    <t>Юниоры 20 - 23 (01.12.1995)/22</t>
  </si>
  <si>
    <t>88,90</t>
  </si>
  <si>
    <t xml:space="preserve">Ростов-на-Дону/Ростовская область </t>
  </si>
  <si>
    <t>Тюлев Олег</t>
  </si>
  <si>
    <t>1. Тюлев Олег</t>
  </si>
  <si>
    <t>Открытая (24.08.1992)/25</t>
  </si>
  <si>
    <t>89,85</t>
  </si>
  <si>
    <t>150,0</t>
  </si>
  <si>
    <t>157,5</t>
  </si>
  <si>
    <t>Бельтюков Евгений</t>
  </si>
  <si>
    <t>2. Бельтюков Евгений</t>
  </si>
  <si>
    <t>Открытая (30.07.1976)/41</t>
  </si>
  <si>
    <t>87,70</t>
  </si>
  <si>
    <t>155,0</t>
  </si>
  <si>
    <t>Алтухов Дмитрий</t>
  </si>
  <si>
    <t>3. Алтухов Дмитрий</t>
  </si>
  <si>
    <t>Открытая (19.12.1986)/31</t>
  </si>
  <si>
    <t>88,25</t>
  </si>
  <si>
    <t>Коростелев Илья</t>
  </si>
  <si>
    <t>4. Коростелев Илья</t>
  </si>
  <si>
    <t>Открытая (22.08.1986)/31</t>
  </si>
  <si>
    <t>84,65</t>
  </si>
  <si>
    <t>Рудавин Дмитрий</t>
  </si>
  <si>
    <t>5. Рудавин Дмитрий</t>
  </si>
  <si>
    <t>Открытая (08.12.1987)/30</t>
  </si>
  <si>
    <t>86,50</t>
  </si>
  <si>
    <t>1. Бельтюков Евгений</t>
  </si>
  <si>
    <t>Мастера 40 - 44 (30.07.1976)/41</t>
  </si>
  <si>
    <t>Олеш Виталий</t>
  </si>
  <si>
    <t>1. Олеш Виталий</t>
  </si>
  <si>
    <t>Юниоры 20 - 23 (06.06.1995)/22</t>
  </si>
  <si>
    <t>95,00</t>
  </si>
  <si>
    <t>Ляпкалов Никита</t>
  </si>
  <si>
    <t>2. Ляпкалов Никита</t>
  </si>
  <si>
    <t>Юниоры 20 - 23 (28.05.1994)/23</t>
  </si>
  <si>
    <t>98,45</t>
  </si>
  <si>
    <t>Тимофеев Дмитрий</t>
  </si>
  <si>
    <t>1. Тимофеев Дмитрий</t>
  </si>
  <si>
    <t>Открытая (29.08.1976)/41</t>
  </si>
  <si>
    <t>97,80</t>
  </si>
  <si>
    <t>162,5</t>
  </si>
  <si>
    <t>177,5</t>
  </si>
  <si>
    <t>Шеховцов Василий</t>
  </si>
  <si>
    <t>2. Шеховцов Василий</t>
  </si>
  <si>
    <t>Открытая (28.08.1986)/31</t>
  </si>
  <si>
    <t>99,00</t>
  </si>
  <si>
    <t>Мешковой Александр</t>
  </si>
  <si>
    <t>3. Мешковой Александр</t>
  </si>
  <si>
    <t>Открытая (28.12.1987)/29</t>
  </si>
  <si>
    <t>97,70</t>
  </si>
  <si>
    <t>Савченко Андрей</t>
  </si>
  <si>
    <t>4. Савченко Андрей</t>
  </si>
  <si>
    <t>Открытая (13.12.1991)/26</t>
  </si>
  <si>
    <t>95,35</t>
  </si>
  <si>
    <t>Кузьменко Евгений</t>
  </si>
  <si>
    <t>5. Кузьменко Евгений</t>
  </si>
  <si>
    <t>Открытая (29.11.1986)/31</t>
  </si>
  <si>
    <t>99,90</t>
  </si>
  <si>
    <t>Мастера 40 - 44 (29.08.1976)/41</t>
  </si>
  <si>
    <t>ВЕСОВАЯ КАТЕГОРИЯ   110</t>
  </si>
  <si>
    <t>Лазарев Виталий</t>
  </si>
  <si>
    <t>1. Лазарев Виталий</t>
  </si>
  <si>
    <t>Открытая (25.08.1988)/29</t>
  </si>
  <si>
    <t>108,45</t>
  </si>
  <si>
    <t xml:space="preserve">ДЮСШ №4 </t>
  </si>
  <si>
    <t>165,0</t>
  </si>
  <si>
    <t>ВЕСОВАЯ КАТЕГОРИЯ   125</t>
  </si>
  <si>
    <t>-. Чернов Владислав</t>
  </si>
  <si>
    <t>Юноши 18 - 19 (29.03.1999)/18</t>
  </si>
  <si>
    <t>122,70</t>
  </si>
  <si>
    <t>Федорцов Станислав</t>
  </si>
  <si>
    <t>1. Федорцов Станислав</t>
  </si>
  <si>
    <t>Открытая (02.12.1983)/34</t>
  </si>
  <si>
    <t>112,05</t>
  </si>
  <si>
    <t xml:space="preserve">Женщины </t>
  </si>
  <si>
    <t xml:space="preserve">Юниорки </t>
  </si>
  <si>
    <t xml:space="preserve">Юниоры 20 - 23 </t>
  </si>
  <si>
    <t>44,5750</t>
  </si>
  <si>
    <t>55,0340</t>
  </si>
  <si>
    <t>62,5</t>
  </si>
  <si>
    <t>54,5719</t>
  </si>
  <si>
    <t>53,4170</t>
  </si>
  <si>
    <t>47,5558</t>
  </si>
  <si>
    <t>45,6005</t>
  </si>
  <si>
    <t xml:space="preserve">Мастера </t>
  </si>
  <si>
    <t xml:space="preserve">Мастера 40 - 44 </t>
  </si>
  <si>
    <t>55,5293</t>
  </si>
  <si>
    <t xml:space="preserve">Юноши 18 - 19 </t>
  </si>
  <si>
    <t>99,3907</t>
  </si>
  <si>
    <t xml:space="preserve">Юноши 16 - 17 </t>
  </si>
  <si>
    <t>85,3291</t>
  </si>
  <si>
    <t>78,8203</t>
  </si>
  <si>
    <t>74,8683</t>
  </si>
  <si>
    <t>68,1223</t>
  </si>
  <si>
    <t>44,0</t>
  </si>
  <si>
    <t>58,6808</t>
  </si>
  <si>
    <t>55,5898</t>
  </si>
  <si>
    <t>33,6676</t>
  </si>
  <si>
    <t xml:space="preserve">Юниоры </t>
  </si>
  <si>
    <t>108,5476</t>
  </si>
  <si>
    <t>90,9208</t>
  </si>
  <si>
    <t>86,0217</t>
  </si>
  <si>
    <t>83,7184</t>
  </si>
  <si>
    <t>83,6925</t>
  </si>
  <si>
    <t>82,3721</t>
  </si>
  <si>
    <t>79,4744</t>
  </si>
  <si>
    <t>77,4276</t>
  </si>
  <si>
    <t>76,6105</t>
  </si>
  <si>
    <t>65,7854</t>
  </si>
  <si>
    <t>99,3468</t>
  </si>
  <si>
    <t>93,9680</t>
  </si>
  <si>
    <t>92,2793</t>
  </si>
  <si>
    <t>91,6565</t>
  </si>
  <si>
    <t>90,6917</t>
  </si>
  <si>
    <t>88,8600</t>
  </si>
  <si>
    <t>86,2575</t>
  </si>
  <si>
    <t>85,4640</t>
  </si>
  <si>
    <t>110,0</t>
  </si>
  <si>
    <t>83,4598</t>
  </si>
  <si>
    <t>82,1543</t>
  </si>
  <si>
    <t>81,5490</t>
  </si>
  <si>
    <t>81,1855</t>
  </si>
  <si>
    <t>81,0000</t>
  </si>
  <si>
    <t>80,7619</t>
  </si>
  <si>
    <t>80,5920</t>
  </si>
  <si>
    <t>75,8520</t>
  </si>
  <si>
    <t>74,8305</t>
  </si>
  <si>
    <t>66,9750</t>
  </si>
  <si>
    <t>53,3205</t>
  </si>
  <si>
    <t>99,6448</t>
  </si>
  <si>
    <t>90,9638</t>
  </si>
  <si>
    <t xml:space="preserve">Мастера 50 - 54 </t>
  </si>
  <si>
    <t>88,7043</t>
  </si>
  <si>
    <t xml:space="preserve">139(5+5+12+12+12+12+5+12+5+12+3+12+12+2+12+3+3) </t>
  </si>
  <si>
    <t xml:space="preserve">Мазиев Алексей, Ряполов Максим, Коростелев Федор, Куличенко Евгений, Ходырева Анастасия, Тюлев Олег, Фомина Тамара, Олеш Виталий, Ляпкалов Никита, Литвинова Елена, Онищенко Андрей, Махфузов Афраим, Федорцов Станислав, Кондратьев Дмитрий, Камышников Дмитрий, Гетманский Константин, Гетманский Константин </t>
  </si>
  <si>
    <t xml:space="preserve">85(12+12+12+5+12+12+5+12+1+2) </t>
  </si>
  <si>
    <t xml:space="preserve">Нехаев Игорь, Шипилов Роман, Бублий Адель, Фэшн Дмитрий, Савина Галина, Савина Галина, Мартынова Юлия, Кравцов Павел, Кузьменко Евгений, Коростелев Илья </t>
  </si>
  <si>
    <t xml:space="preserve">48(12+12+12+12) </t>
  </si>
  <si>
    <t xml:space="preserve">Одинцов Иван, Тимофеев Дмитрий, Тимофеев Дмитрий, Степанов Михаил </t>
  </si>
  <si>
    <t xml:space="preserve">42(12+1+5+12+12) </t>
  </si>
  <si>
    <t xml:space="preserve">Бондар Антон, Рудавин Дмитрий, Тартынский Павел, Клименко Константин, Дранев Владимир </t>
  </si>
  <si>
    <t xml:space="preserve">29(12+5+12) </t>
  </si>
  <si>
    <t xml:space="preserve">Орлов Александр, Бельтюков Евгений, Бельтюков Евгений </t>
  </si>
  <si>
    <t xml:space="preserve">19(12+5+2) </t>
  </si>
  <si>
    <t xml:space="preserve">Глотов Матвей, Шеховцов Василий, Савченко Андрей </t>
  </si>
  <si>
    <t xml:space="preserve">Лазарев Виталий </t>
  </si>
  <si>
    <t xml:space="preserve">11(3+5+3) </t>
  </si>
  <si>
    <t xml:space="preserve">Алтухов Дмитрий, Гамалей Владимир, Мешковой Александр </t>
  </si>
  <si>
    <t xml:space="preserve">3(3) </t>
  </si>
  <si>
    <t xml:space="preserve">Сотников Анатолий </t>
  </si>
  <si>
    <t>Winter Iron Games
Любители становая тяга без экипировки
Старый Оскол/Белгородская область декабря 2017 г.</t>
  </si>
  <si>
    <t>ВЕСОВАЯ КАТЕГОРИЯ   52</t>
  </si>
  <si>
    <t>Самойлова Анна</t>
  </si>
  <si>
    <t>1. Самойлова Анна</t>
  </si>
  <si>
    <t>Открытая (12.06.1987)/30</t>
  </si>
  <si>
    <t>50,20</t>
  </si>
  <si>
    <t>102,5</t>
  </si>
  <si>
    <t xml:space="preserve">Сериченко А. </t>
  </si>
  <si>
    <t>Доценко Анна</t>
  </si>
  <si>
    <t>2. Доценко Анна</t>
  </si>
  <si>
    <t>Открытая (13.06.1987)/30</t>
  </si>
  <si>
    <t>51,50</t>
  </si>
  <si>
    <t>72,5</t>
  </si>
  <si>
    <t>77,5</t>
  </si>
  <si>
    <t>-. Ходырева Анастасия</t>
  </si>
  <si>
    <t>127,5</t>
  </si>
  <si>
    <t>Грищенко Екатерина</t>
  </si>
  <si>
    <t>2. Грищенко Екатерина</t>
  </si>
  <si>
    <t>Открытая (10.06.1993)/24</t>
  </si>
  <si>
    <t>68,00</t>
  </si>
  <si>
    <t>Подпорина Любовь</t>
  </si>
  <si>
    <t>1. Подпорина Любовь</t>
  </si>
  <si>
    <t>Мастера 45 - 49 (30.09.1970)/47</t>
  </si>
  <si>
    <t>79,25</t>
  </si>
  <si>
    <t>87,5</t>
  </si>
  <si>
    <t>200,0</t>
  </si>
  <si>
    <t>175,0</t>
  </si>
  <si>
    <t>185,0</t>
  </si>
  <si>
    <t>Вишняков Илья</t>
  </si>
  <si>
    <t>1. Вишняков Илья</t>
  </si>
  <si>
    <t>Котляров Владимир</t>
  </si>
  <si>
    <t>1. Котляров Владимир</t>
  </si>
  <si>
    <t>Юниоры 20 - 23 (01.05.1995)/22</t>
  </si>
  <si>
    <t>68,10</t>
  </si>
  <si>
    <t xml:space="preserve">Православный клуб </t>
  </si>
  <si>
    <t>Акулов Виктор</t>
  </si>
  <si>
    <t>2. Акулов Виктор</t>
  </si>
  <si>
    <t>Юниоры 20 - 23 (11.11.1995)/22</t>
  </si>
  <si>
    <t>Манагаров Владислав</t>
  </si>
  <si>
    <t>1. Манагаров Владислав</t>
  </si>
  <si>
    <t>Юноши 14 - 15 (31.12.2001)/15</t>
  </si>
  <si>
    <t>79,60</t>
  </si>
  <si>
    <t>187,5</t>
  </si>
  <si>
    <t>Михнев Максим</t>
  </si>
  <si>
    <t>1. Михнев Максим</t>
  </si>
  <si>
    <t>Юноши 16 - 17 (07.05.2001)/16</t>
  </si>
  <si>
    <t>82,50</t>
  </si>
  <si>
    <t>Семеренко Вадим</t>
  </si>
  <si>
    <t>1. Семеренко Вадим</t>
  </si>
  <si>
    <t>Юноши 18 - 19 (04.07.1999)/18</t>
  </si>
  <si>
    <t>79,70</t>
  </si>
  <si>
    <t>2. Ананьев Александр</t>
  </si>
  <si>
    <t>Михеев Антон</t>
  </si>
  <si>
    <t>1. Михеев Антон</t>
  </si>
  <si>
    <t>Открытая (17.09.1985)/32</t>
  </si>
  <si>
    <t>82,30</t>
  </si>
  <si>
    <t>212,5</t>
  </si>
  <si>
    <t>220,0</t>
  </si>
  <si>
    <t>Беглов Юрий</t>
  </si>
  <si>
    <t>2. Беглов Юрий</t>
  </si>
  <si>
    <t>78,30</t>
  </si>
  <si>
    <t>Осипов Михаил</t>
  </si>
  <si>
    <t>3. Осипов Михаил</t>
  </si>
  <si>
    <t>Открытая (17.06.1981)/36</t>
  </si>
  <si>
    <t>82,00</t>
  </si>
  <si>
    <t>205,0</t>
  </si>
  <si>
    <t>215,0</t>
  </si>
  <si>
    <t>Олейник Иван</t>
  </si>
  <si>
    <t>4. Олейник Иван</t>
  </si>
  <si>
    <t>Открытая (10.12.1993)/24</t>
  </si>
  <si>
    <t>217,5</t>
  </si>
  <si>
    <t>5. Кондратьев Дмитрий</t>
  </si>
  <si>
    <t>1. Беглов Юрий</t>
  </si>
  <si>
    <t>Джулай Петр</t>
  </si>
  <si>
    <t>2. Джулай Петр</t>
  </si>
  <si>
    <t>Мастера 40 - 44 (30.11.1976)/41</t>
  </si>
  <si>
    <t>77,80</t>
  </si>
  <si>
    <t>Таскаев Игорь</t>
  </si>
  <si>
    <t>1. Таскаев Игорь</t>
  </si>
  <si>
    <t>Мастера 45 - 49 (01.11.1969)/48</t>
  </si>
  <si>
    <t>80,05</t>
  </si>
  <si>
    <t xml:space="preserve">Магадан/Магаданская область </t>
  </si>
  <si>
    <t>Цыганко Андрей</t>
  </si>
  <si>
    <t>1. Цыганко Андрей</t>
  </si>
  <si>
    <t>Юноши 14 - 15 (09.09.2003)/14</t>
  </si>
  <si>
    <t>83,65</t>
  </si>
  <si>
    <t>Волобуев Михаил</t>
  </si>
  <si>
    <t>1. Волобуев Михаил</t>
  </si>
  <si>
    <t>Юниоры 20 - 23 (21.11.1995)/22</t>
  </si>
  <si>
    <t>89,70</t>
  </si>
  <si>
    <t>230,0</t>
  </si>
  <si>
    <t>250,0</t>
  </si>
  <si>
    <t>270,0</t>
  </si>
  <si>
    <t>Коваль Руслан</t>
  </si>
  <si>
    <t>2. Коваль Руслан</t>
  </si>
  <si>
    <t>Юниоры 20 - 23 (10.05.1994)/23</t>
  </si>
  <si>
    <t>Открытая (21.11.1995)/22</t>
  </si>
  <si>
    <t>Крупнов Ярослав</t>
  </si>
  <si>
    <t>2. Крупнов Ярослав</t>
  </si>
  <si>
    <t>Открытая (26.09.1987)/30</t>
  </si>
  <si>
    <t>89,80</t>
  </si>
  <si>
    <t>192,5</t>
  </si>
  <si>
    <t>Мандриков Игорь</t>
  </si>
  <si>
    <t>4. Мандриков Игорь</t>
  </si>
  <si>
    <t>Открытая (02.04.1993)/24</t>
  </si>
  <si>
    <t>85,90</t>
  </si>
  <si>
    <t>197,5</t>
  </si>
  <si>
    <t>1. Ляпкалов Никита</t>
  </si>
  <si>
    <t>Кашкин Сергей</t>
  </si>
  <si>
    <t>1. Кашкин Сергей</t>
  </si>
  <si>
    <t>Открытая (18.06.1991)/26</t>
  </si>
  <si>
    <t>290,0</t>
  </si>
  <si>
    <t>Мотайло Дмитрий</t>
  </si>
  <si>
    <t>2. Мотайло Дмитрий</t>
  </si>
  <si>
    <t>Открытая (06.06.1985)/32</t>
  </si>
  <si>
    <t>98,15</t>
  </si>
  <si>
    <t>255,0</t>
  </si>
  <si>
    <t>3. Кузьменко Евгений</t>
  </si>
  <si>
    <t>-. Малышко Андрей</t>
  </si>
  <si>
    <t>260,0</t>
  </si>
  <si>
    <t>Ивлев Денис</t>
  </si>
  <si>
    <t>1. Ивлев Денис</t>
  </si>
  <si>
    <t>Открытая (13.04.1980)/37</t>
  </si>
  <si>
    <t>100,90</t>
  </si>
  <si>
    <t>275,0</t>
  </si>
  <si>
    <t>Вишняков Николай</t>
  </si>
  <si>
    <t>2. Вишняков Николай</t>
  </si>
  <si>
    <t>Открытая (22.05.1987)/30</t>
  </si>
  <si>
    <t>109,20</t>
  </si>
  <si>
    <t>225,0</t>
  </si>
  <si>
    <t>52,0</t>
  </si>
  <si>
    <t>114,7240</t>
  </si>
  <si>
    <t>113,5095</t>
  </si>
  <si>
    <t>99,2030</t>
  </si>
  <si>
    <t>86,4650</t>
  </si>
  <si>
    <t>78,6200</t>
  </si>
  <si>
    <t>77,4100</t>
  </si>
  <si>
    <t>75,7175</t>
  </si>
  <si>
    <t>74,6190</t>
  </si>
  <si>
    <t>79,3276</t>
  </si>
  <si>
    <t xml:space="preserve">Мастера 45 - 49 </t>
  </si>
  <si>
    <t>66,2735</t>
  </si>
  <si>
    <t>140,5380</t>
  </si>
  <si>
    <t>135,6442</t>
  </si>
  <si>
    <t>134,5564</t>
  </si>
  <si>
    <t>132,9637</t>
  </si>
  <si>
    <t>109,9098</t>
  </si>
  <si>
    <t>97,7850</t>
  </si>
  <si>
    <t>95,3564</t>
  </si>
  <si>
    <t>82,9998</t>
  </si>
  <si>
    <t>149,7208</t>
  </si>
  <si>
    <t>148,0912</t>
  </si>
  <si>
    <t>133,9080</t>
  </si>
  <si>
    <t>120,8885</t>
  </si>
  <si>
    <t>109,0951</t>
  </si>
  <si>
    <t>94,9642</t>
  </si>
  <si>
    <t>166,7790</t>
  </si>
  <si>
    <t>151,7725</t>
  </si>
  <si>
    <t>146,6250</t>
  </si>
  <si>
    <t>142,4812</t>
  </si>
  <si>
    <t>140,6640</t>
  </si>
  <si>
    <t>136,4660</t>
  </si>
  <si>
    <t>135,0300</t>
  </si>
  <si>
    <t>127,4895</t>
  </si>
  <si>
    <t>127,3400</t>
  </si>
  <si>
    <t>123,6250</t>
  </si>
  <si>
    <t>116,4030</t>
  </si>
  <si>
    <t>114,5130</t>
  </si>
  <si>
    <t>114,0370</t>
  </si>
  <si>
    <t>95,6633</t>
  </si>
  <si>
    <t>136,2453</t>
  </si>
  <si>
    <t>134,2673</t>
  </si>
  <si>
    <t>121,5072</t>
  </si>
  <si>
    <t xml:space="preserve">100(5+5+12+12+12+3+12+12+12+12+2+1) </t>
  </si>
  <si>
    <t xml:space="preserve">Ананьев Александр, Фомина Тамара, Кашкин Сергей, Волобуев Михаил, Волобуев Михаил, Осипов Михаил, Ляпкалов Никита, Таскаев Игорь, Литвинова Елена, Подпорина Любовь, Мандриков Игорь, Кондратьев Дмитрий </t>
  </si>
  <si>
    <t xml:space="preserve">71(5+2+5+12+5+5+12+12+5+5+3) </t>
  </si>
  <si>
    <t xml:space="preserve">Джулай Петр, Олейник Иван, Беглов Юрий, Беглов Юрий, Доценко Анна, Мотайло Дмитрий, Савина Галина, Савина Галина, Мартынова Юлия, Грищенко Екатерина, Кузьменко Евгений </t>
  </si>
  <si>
    <t xml:space="preserve">51(12+5+12+5+5+12) </t>
  </si>
  <si>
    <t xml:space="preserve">Михеев Антон, Акулов Виктор, Вишняков Илья, Крупнов Ярослав, Вишняков Николай, Дранев Владимир </t>
  </si>
  <si>
    <t xml:space="preserve">36(12+12+12) </t>
  </si>
  <si>
    <t xml:space="preserve">Семеренко Вадим, Ивлев Денис, Михнев Максим </t>
  </si>
  <si>
    <t xml:space="preserve">24(12+12) </t>
  </si>
  <si>
    <t xml:space="preserve">Котляров Владимир, Манагаров Владислав </t>
  </si>
  <si>
    <t xml:space="preserve">Самойлова Анна, Цыганко Андрей </t>
  </si>
  <si>
    <t xml:space="preserve">Одинцов Иван, Коваль Руслан </t>
  </si>
  <si>
    <t xml:space="preserve">15(12+3) </t>
  </si>
  <si>
    <t xml:space="preserve">Ходырева Анастасия, Алтухов Дмитрий </t>
  </si>
  <si>
    <t xml:space="preserve">Орлов Александр </t>
  </si>
  <si>
    <t>Winter Iron Games
Любители жим лежа в софт экипировке
Старый Оскол/Белгородская область декабря 2017 г.</t>
  </si>
  <si>
    <t>Долгополова Юлия</t>
  </si>
  <si>
    <t>1. Долгополова Юлия</t>
  </si>
  <si>
    <t>Открытая (19.01.1988)/29</t>
  </si>
  <si>
    <t>59,65</t>
  </si>
  <si>
    <t>Шутеев Евгений</t>
  </si>
  <si>
    <t>1. Шутеев Евгений</t>
  </si>
  <si>
    <t>Юноши 14 - 15 (30.10.2002)/15</t>
  </si>
  <si>
    <t>Сериченко Александр</t>
  </si>
  <si>
    <t>1. Сериченко Александр</t>
  </si>
  <si>
    <t>Открытая (01.10.1989)/28</t>
  </si>
  <si>
    <t>89,60</t>
  </si>
  <si>
    <t>51,9180</t>
  </si>
  <si>
    <t>96,1322</t>
  </si>
  <si>
    <t>123,2490</t>
  </si>
  <si>
    <t xml:space="preserve">Шутеев Евгений, Сериченко Александр </t>
  </si>
  <si>
    <t xml:space="preserve">Долгополова Юлия </t>
  </si>
  <si>
    <t>Winter Iron Games
Любители становая тяга в софт экипировке
Старый Оскол/Белгородская область декабря 2017 г.</t>
  </si>
  <si>
    <t>103,8360</t>
  </si>
</sst>
</file>

<file path=xl/styles.xml><?xml version="1.0" encoding="utf-8"?>
<styleSheet xmlns="http://schemas.openxmlformats.org/spreadsheetml/2006/main">
  <fonts count="9">
    <font>
      <sz val="10"/>
      <name val="Arial Cyr"/>
      <charset val="204"/>
    </font>
    <font>
      <b/>
      <sz val="10"/>
      <name val="Arial Cyr"/>
      <charset val="204"/>
    </font>
    <font>
      <b/>
      <sz val="11"/>
      <name val="Arial Cyr"/>
      <charset val="204"/>
    </font>
    <font>
      <b/>
      <sz val="24"/>
      <name val="Arial Cyr"/>
      <charset val="204"/>
    </font>
    <font>
      <sz val="12"/>
      <name val="Arial Cyr"/>
      <charset val="204"/>
    </font>
    <font>
      <i/>
      <sz val="12"/>
      <name val="Arial Cyr"/>
      <charset val="204"/>
    </font>
    <font>
      <strike/>
      <sz val="10"/>
      <name val="Arial Cyr"/>
      <charset val="204"/>
    </font>
    <font>
      <sz val="14"/>
      <name val="Arial Cyr"/>
      <charset val="204"/>
    </font>
    <font>
      <i/>
      <sz val="11"/>
      <name val="Arial Cyr"/>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49" fontId="2"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0" fillId="0" borderId="0" xfId="0" applyNumberFormat="1" applyFont="1" applyFill="1" applyBorder="1" applyAlignment="1">
      <alignment horizontal="center"/>
    </xf>
    <xf numFmtId="49" fontId="0" fillId="0" borderId="13" xfId="0" applyNumberFormat="1" applyFont="1" applyFill="1" applyBorder="1" applyAlignment="1">
      <alignment horizontal="left"/>
    </xf>
    <xf numFmtId="49" fontId="6" fillId="0" borderId="13" xfId="0" applyNumberFormat="1" applyFont="1" applyFill="1" applyBorder="1" applyAlignment="1">
      <alignment horizontal="center"/>
    </xf>
    <xf numFmtId="49" fontId="0" fillId="0" borderId="13" xfId="0" applyNumberFormat="1" applyFont="1" applyFill="1" applyBorder="1" applyAlignment="1">
      <alignment horizontal="center"/>
    </xf>
    <xf numFmtId="49" fontId="4" fillId="0" borderId="0" xfId="0" applyNumberFormat="1" applyFont="1" applyFill="1" applyBorder="1" applyAlignment="1">
      <alignment horizontal="left"/>
    </xf>
    <xf numFmtId="49" fontId="7" fillId="0" borderId="0" xfId="0" applyNumberFormat="1" applyFont="1" applyFill="1" applyBorder="1" applyAlignment="1">
      <alignment horizontal="left"/>
    </xf>
    <xf numFmtId="49" fontId="5" fillId="0" borderId="0" xfId="0" applyNumberFormat="1" applyFont="1" applyFill="1" applyBorder="1" applyAlignment="1">
      <alignment horizontal="left"/>
    </xf>
    <xf numFmtId="49" fontId="0" fillId="0" borderId="0" xfId="0" applyNumberFormat="1" applyFont="1" applyFill="1" applyBorder="1" applyAlignment="1">
      <alignment horizontal="left" indent="1"/>
    </xf>
    <xf numFmtId="49" fontId="8" fillId="0" borderId="0" xfId="0" applyNumberFormat="1" applyFont="1" applyFill="1" applyBorder="1" applyAlignment="1">
      <alignment horizontal="left" indent="1"/>
    </xf>
    <xf numFmtId="49" fontId="8" fillId="0" borderId="0" xfId="0" applyNumberFormat="1" applyFont="1" applyFill="1" applyBorder="1" applyAlignment="1">
      <alignment horizontal="left"/>
    </xf>
    <xf numFmtId="49" fontId="2" fillId="0" borderId="13" xfId="0" applyNumberFormat="1" applyFont="1" applyFill="1" applyBorder="1" applyAlignment="1">
      <alignment horizontal="center" vertical="center"/>
    </xf>
    <xf numFmtId="49" fontId="1" fillId="0" borderId="0" xfId="0" applyNumberFormat="1" applyFont="1" applyFill="1" applyBorder="1" applyAlignment="1">
      <alignment horizontal="left"/>
    </xf>
    <xf numFmtId="49" fontId="0" fillId="0" borderId="14" xfId="0" applyNumberFormat="1" applyFont="1" applyFill="1" applyBorder="1" applyAlignment="1">
      <alignment horizontal="left"/>
    </xf>
    <xf numFmtId="49" fontId="6" fillId="0" borderId="14" xfId="0" applyNumberFormat="1" applyFont="1" applyFill="1" applyBorder="1" applyAlignment="1">
      <alignment horizontal="center"/>
    </xf>
    <xf numFmtId="49" fontId="0" fillId="0" borderId="14" xfId="0" applyNumberFormat="1" applyFont="1" applyFill="1" applyBorder="1" applyAlignment="1">
      <alignment horizontal="center"/>
    </xf>
    <xf numFmtId="49" fontId="0" fillId="0" borderId="15" xfId="0" applyNumberFormat="1" applyFont="1" applyFill="1" applyBorder="1" applyAlignment="1">
      <alignment horizontal="left"/>
    </xf>
    <xf numFmtId="49" fontId="6" fillId="0" borderId="15" xfId="0" applyNumberFormat="1" applyFont="1" applyFill="1" applyBorder="1" applyAlignment="1">
      <alignment horizontal="center"/>
    </xf>
    <xf numFmtId="49" fontId="0" fillId="0" borderId="15" xfId="0" applyNumberFormat="1" applyFont="1" applyFill="1" applyBorder="1" applyAlignment="1">
      <alignment horizontal="center"/>
    </xf>
    <xf numFmtId="49" fontId="0" fillId="0" borderId="16" xfId="0" applyNumberFormat="1" applyFont="1" applyFill="1" applyBorder="1" applyAlignment="1">
      <alignment horizontal="left"/>
    </xf>
    <xf numFmtId="49" fontId="6" fillId="0" borderId="16" xfId="0" applyNumberFormat="1" applyFont="1" applyFill="1" applyBorder="1" applyAlignment="1">
      <alignment horizontal="center"/>
    </xf>
    <xf numFmtId="49" fontId="0" fillId="0" borderId="16" xfId="0" applyNumberFormat="1" applyFont="1" applyFill="1" applyBorder="1" applyAlignment="1">
      <alignment horizontal="center"/>
    </xf>
    <xf numFmtId="0" fontId="2" fillId="0" borderId="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5" fillId="0" borderId="3" xfId="0" applyNumberFormat="1" applyFont="1" applyFill="1" applyBorder="1" applyAlignment="1">
      <alignment horizontal="center"/>
    </xf>
    <xf numFmtId="49" fontId="3"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4"/>
  <sheetViews>
    <sheetView workbookViewId="0">
      <selection sqref="A1:IV65536"/>
    </sheetView>
  </sheetViews>
  <sheetFormatPr defaultRowHeight="12.75"/>
  <cols>
    <col min="1" max="1" width="25.85546875" style="5" bestFit="1" customWidth="1"/>
    <col min="2" max="2" width="25.28515625" style="5" bestFit="1" customWidth="1"/>
    <col min="3" max="3" width="6.85546875" style="5" bestFit="1" customWidth="1"/>
    <col min="4" max="4" width="6.5703125" style="6" bestFit="1" customWidth="1"/>
    <col min="5" max="5" width="23.7109375" style="5" bestFit="1" customWidth="1"/>
    <col min="6" max="6" width="21.140625" style="5" bestFit="1" customWidth="1"/>
    <col min="7" max="7" width="5.5703125" style="4" bestFit="1" customWidth="1"/>
    <col min="8" max="8" width="7" style="4" customWidth="1"/>
    <col min="9" max="9" width="6.28515625" style="4" bestFit="1" customWidth="1"/>
    <col min="10" max="10" width="5.5703125" style="4" bestFit="1" customWidth="1"/>
    <col min="11" max="13" width="7" style="4" bestFit="1" customWidth="1"/>
    <col min="14" max="14" width="5.5703125" style="4" bestFit="1" customWidth="1"/>
    <col min="15" max="16" width="7" style="4" bestFit="1" customWidth="1"/>
    <col min="17" max="17" width="6.28515625" style="4" bestFit="1" customWidth="1"/>
    <col min="18" max="18" width="5.5703125" style="4" bestFit="1" customWidth="1"/>
    <col min="19" max="19" width="7.85546875" style="6" bestFit="1" customWidth="1"/>
    <col min="20" max="20" width="8.5703125" style="7" bestFit="1" customWidth="1"/>
    <col min="21" max="21" width="23" style="5" bestFit="1" customWidth="1"/>
    <col min="22" max="16384" width="9.140625" style="4"/>
  </cols>
  <sheetData>
    <row r="1" spans="1:21" s="3" customFormat="1" ht="15" customHeight="1">
      <c r="A1" s="32"/>
      <c r="B1" s="33"/>
      <c r="C1" s="33"/>
      <c r="D1" s="33"/>
      <c r="E1" s="33"/>
      <c r="F1" s="33"/>
      <c r="G1" s="33"/>
      <c r="H1" s="33"/>
      <c r="I1" s="33"/>
      <c r="J1" s="33"/>
      <c r="K1" s="33"/>
      <c r="L1" s="33"/>
      <c r="M1" s="33"/>
      <c r="N1" s="33"/>
      <c r="O1" s="33"/>
      <c r="P1" s="33"/>
      <c r="Q1" s="33"/>
      <c r="R1" s="33"/>
      <c r="S1" s="33"/>
      <c r="T1" s="33"/>
      <c r="U1" s="34"/>
    </row>
    <row r="2" spans="1:21" s="3" customFormat="1" ht="66" customHeight="1" thickBot="1">
      <c r="A2" s="35"/>
      <c r="B2" s="36"/>
      <c r="C2" s="36"/>
      <c r="D2" s="36"/>
      <c r="E2" s="36"/>
      <c r="F2" s="36"/>
      <c r="G2" s="36"/>
      <c r="H2" s="36"/>
      <c r="I2" s="36"/>
      <c r="J2" s="36"/>
      <c r="K2" s="36"/>
      <c r="L2" s="36"/>
      <c r="M2" s="36"/>
      <c r="N2" s="36"/>
      <c r="O2" s="36"/>
      <c r="P2" s="36"/>
      <c r="Q2" s="36"/>
      <c r="R2" s="36"/>
      <c r="S2" s="36"/>
      <c r="T2" s="36"/>
      <c r="U2" s="37"/>
    </row>
    <row r="3" spans="1:21" s="1" customFormat="1" ht="12.75" customHeight="1">
      <c r="A3" s="38" t="s">
        <v>0</v>
      </c>
      <c r="B3" s="40" t="s">
        <v>9</v>
      </c>
      <c r="C3" s="40" t="s">
        <v>12</v>
      </c>
      <c r="D3" s="28" t="s">
        <v>10</v>
      </c>
      <c r="E3" s="42" t="s">
        <v>7</v>
      </c>
      <c r="F3" s="42" t="s">
        <v>11</v>
      </c>
      <c r="G3" s="42" t="s">
        <v>1</v>
      </c>
      <c r="H3" s="42"/>
      <c r="I3" s="42"/>
      <c r="J3" s="42"/>
      <c r="K3" s="42" t="s">
        <v>2</v>
      </c>
      <c r="L3" s="42"/>
      <c r="M3" s="42"/>
      <c r="N3" s="42"/>
      <c r="O3" s="42" t="s">
        <v>3</v>
      </c>
      <c r="P3" s="42"/>
      <c r="Q3" s="42"/>
      <c r="R3" s="42"/>
      <c r="S3" s="28" t="s">
        <v>4</v>
      </c>
      <c r="T3" s="28" t="s">
        <v>6</v>
      </c>
      <c r="U3" s="30" t="s">
        <v>5</v>
      </c>
    </row>
    <row r="4" spans="1:21" s="1" customFormat="1" ht="21" customHeight="1" thickBot="1">
      <c r="A4" s="39"/>
      <c r="B4" s="41"/>
      <c r="C4" s="41"/>
      <c r="D4" s="29"/>
      <c r="E4" s="41"/>
      <c r="F4" s="41"/>
      <c r="G4" s="2">
        <v>1</v>
      </c>
      <c r="H4" s="2">
        <v>2</v>
      </c>
      <c r="I4" s="2">
        <v>3</v>
      </c>
      <c r="J4" s="2" t="s">
        <v>8</v>
      </c>
      <c r="K4" s="2">
        <v>1</v>
      </c>
      <c r="L4" s="2">
        <v>2</v>
      </c>
      <c r="M4" s="2">
        <v>3</v>
      </c>
      <c r="N4" s="2" t="s">
        <v>8</v>
      </c>
      <c r="O4" s="2">
        <v>1</v>
      </c>
      <c r="P4" s="2">
        <v>2</v>
      </c>
      <c r="Q4" s="2">
        <v>3</v>
      </c>
      <c r="R4" s="2" t="s">
        <v>8</v>
      </c>
      <c r="S4" s="29"/>
      <c r="T4" s="29"/>
      <c r="U4" s="31"/>
    </row>
  </sheetData>
  <mergeCells count="13">
    <mergeCell ref="G3:J3"/>
    <mergeCell ref="K3:N3"/>
    <mergeCell ref="O3:R3"/>
    <mergeCell ref="S3:S4"/>
    <mergeCell ref="T3:T4"/>
    <mergeCell ref="U3:U4"/>
    <mergeCell ref="A1:U2"/>
    <mergeCell ref="A3:A4"/>
    <mergeCell ref="B3:B4"/>
    <mergeCell ref="C3:C4"/>
    <mergeCell ref="D3:D4"/>
    <mergeCell ref="E3:E4"/>
    <mergeCell ref="F3:F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27"/>
  <sheetViews>
    <sheetView workbookViewId="0">
      <selection sqref="A1:M2"/>
    </sheetView>
  </sheetViews>
  <sheetFormatPr defaultRowHeight="12.75"/>
  <cols>
    <col min="1" max="1" width="31.85546875" style="5" bestFit="1" customWidth="1"/>
    <col min="2" max="2" width="22.85546875" style="5" bestFit="1" customWidth="1"/>
    <col min="3" max="3" width="18.28515625" style="5" bestFit="1" customWidth="1"/>
    <col min="4" max="4" width="9.28515625" style="5" bestFit="1" customWidth="1"/>
    <col min="5" max="5" width="22.7109375" style="5" bestFit="1" customWidth="1"/>
    <col min="6" max="6" width="30.8554687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44" t="s">
        <v>613</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3</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90</v>
      </c>
      <c r="B5" s="43"/>
      <c r="C5" s="43"/>
      <c r="D5" s="43"/>
      <c r="E5" s="43"/>
      <c r="F5" s="43"/>
      <c r="G5" s="43"/>
      <c r="H5" s="43"/>
      <c r="I5" s="43"/>
      <c r="J5" s="43"/>
      <c r="K5" s="43"/>
      <c r="L5" s="43"/>
    </row>
    <row r="6" spans="1:13">
      <c r="A6" s="8" t="s">
        <v>598</v>
      </c>
      <c r="B6" s="8" t="s">
        <v>599</v>
      </c>
      <c r="C6" s="8" t="s">
        <v>600</v>
      </c>
      <c r="D6" s="8" t="str">
        <f>"0,8653"</f>
        <v>0,8653</v>
      </c>
      <c r="E6" s="8" t="s">
        <v>30</v>
      </c>
      <c r="F6" s="8" t="s">
        <v>133</v>
      </c>
      <c r="G6" s="10" t="s">
        <v>81</v>
      </c>
      <c r="H6" s="10" t="s">
        <v>204</v>
      </c>
      <c r="I6" s="10" t="s">
        <v>193</v>
      </c>
      <c r="J6" s="9"/>
      <c r="K6" s="8" t="str">
        <f>"120,0"</f>
        <v>120,0</v>
      </c>
      <c r="L6" s="10" t="str">
        <f>"103,8360"</f>
        <v>103,8360</v>
      </c>
      <c r="M6" s="8" t="s">
        <v>24</v>
      </c>
    </row>
    <row r="8" spans="1:13" ht="15">
      <c r="E8" s="11" t="s">
        <v>34</v>
      </c>
    </row>
    <row r="9" spans="1:13" ht="15">
      <c r="E9" s="11" t="s">
        <v>35</v>
      </c>
    </row>
    <row r="10" spans="1:13" ht="15">
      <c r="E10" s="11" t="s">
        <v>36</v>
      </c>
    </row>
    <row r="11" spans="1:13" ht="15">
      <c r="E11" s="11" t="s">
        <v>37</v>
      </c>
    </row>
    <row r="12" spans="1:13" ht="15">
      <c r="E12" s="11" t="s">
        <v>37</v>
      </c>
    </row>
    <row r="13" spans="1:13" ht="15">
      <c r="E13" s="11" t="s">
        <v>38</v>
      </c>
    </row>
    <row r="14" spans="1:13" ht="15">
      <c r="E14" s="11"/>
    </row>
    <row r="16" spans="1:13" ht="18">
      <c r="A16" s="12" t="s">
        <v>39</v>
      </c>
      <c r="B16" s="12"/>
    </row>
    <row r="17" spans="1:5" ht="15">
      <c r="A17" s="13" t="s">
        <v>332</v>
      </c>
      <c r="B17" s="13"/>
    </row>
    <row r="18" spans="1:5" ht="14.25">
      <c r="A18" s="15"/>
      <c r="B18" s="16" t="s">
        <v>50</v>
      </c>
    </row>
    <row r="19" spans="1:5" ht="15">
      <c r="A19" s="17" t="s">
        <v>42</v>
      </c>
      <c r="B19" s="17" t="s">
        <v>43</v>
      </c>
      <c r="C19" s="17" t="s">
        <v>44</v>
      </c>
      <c r="D19" s="17" t="s">
        <v>45</v>
      </c>
      <c r="E19" s="17" t="s">
        <v>46</v>
      </c>
    </row>
    <row r="20" spans="1:5">
      <c r="A20" s="14" t="s">
        <v>597</v>
      </c>
      <c r="B20" s="5" t="s">
        <v>50</v>
      </c>
      <c r="C20" s="5" t="s">
        <v>96</v>
      </c>
      <c r="D20" s="5" t="s">
        <v>193</v>
      </c>
      <c r="E20" s="18" t="s">
        <v>614</v>
      </c>
    </row>
    <row r="25" spans="1:5" ht="18">
      <c r="A25" s="12" t="s">
        <v>53</v>
      </c>
      <c r="B25" s="12"/>
    </row>
    <row r="26" spans="1:5" ht="15">
      <c r="A26" s="17" t="s">
        <v>54</v>
      </c>
      <c r="B26" s="17" t="s">
        <v>55</v>
      </c>
      <c r="C26" s="17" t="s">
        <v>56</v>
      </c>
    </row>
    <row r="27" spans="1:5">
      <c r="A27" s="5" t="s">
        <v>30</v>
      </c>
      <c r="B27" s="5" t="s">
        <v>57</v>
      </c>
      <c r="C27" s="5" t="s">
        <v>612</v>
      </c>
    </row>
  </sheetData>
  <mergeCells count="12">
    <mergeCell ref="F3:F4"/>
    <mergeCell ref="G3:J3"/>
    <mergeCell ref="K3:K4"/>
    <mergeCell ref="L3:L4"/>
    <mergeCell ref="M3:M4"/>
    <mergeCell ref="A5:L5"/>
    <mergeCell ref="A1:M2"/>
    <mergeCell ref="A3:A4"/>
    <mergeCell ref="B3:B4"/>
    <mergeCell ref="C3:C4"/>
    <mergeCell ref="D3:D4"/>
    <mergeCell ref="E3:E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44"/>
  <sheetViews>
    <sheetView workbookViewId="0">
      <selection sqref="A1:U2"/>
    </sheetView>
  </sheetViews>
  <sheetFormatPr defaultRowHeight="12.75"/>
  <cols>
    <col min="1" max="1" width="31.85546875" style="5" bestFit="1" customWidth="1"/>
    <col min="2" max="2" width="27.7109375" style="5" bestFit="1" customWidth="1"/>
    <col min="3" max="3" width="36.42578125" style="5" bestFit="1" customWidth="1"/>
    <col min="4" max="4" width="9.28515625" style="5" bestFit="1" customWidth="1"/>
    <col min="5" max="5" width="22.7109375" style="5" bestFit="1" customWidth="1"/>
    <col min="6" max="6" width="30.8554687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44" t="s">
        <v>596</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2</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90</v>
      </c>
      <c r="B5" s="43"/>
      <c r="C5" s="43"/>
      <c r="D5" s="43"/>
      <c r="E5" s="43"/>
      <c r="F5" s="43"/>
      <c r="G5" s="43"/>
      <c r="H5" s="43"/>
      <c r="I5" s="43"/>
      <c r="J5" s="43"/>
      <c r="K5" s="43"/>
      <c r="L5" s="43"/>
    </row>
    <row r="6" spans="1:13">
      <c r="A6" s="8" t="s">
        <v>598</v>
      </c>
      <c r="B6" s="8" t="s">
        <v>599</v>
      </c>
      <c r="C6" s="8" t="s">
        <v>600</v>
      </c>
      <c r="D6" s="8" t="str">
        <f>"0,8653"</f>
        <v>0,8653</v>
      </c>
      <c r="E6" s="8" t="s">
        <v>30</v>
      </c>
      <c r="F6" s="8" t="s">
        <v>133</v>
      </c>
      <c r="G6" s="10" t="s">
        <v>95</v>
      </c>
      <c r="H6" s="10" t="s">
        <v>96</v>
      </c>
      <c r="I6" s="9" t="s">
        <v>420</v>
      </c>
      <c r="J6" s="9"/>
      <c r="K6" s="8" t="str">
        <f>"60,0"</f>
        <v>60,0</v>
      </c>
      <c r="L6" s="10" t="str">
        <f>"51,9180"</f>
        <v>51,9180</v>
      </c>
      <c r="M6" s="8" t="s">
        <v>24</v>
      </c>
    </row>
    <row r="8" spans="1:13" ht="15">
      <c r="A8" s="45" t="s">
        <v>123</v>
      </c>
      <c r="B8" s="45"/>
      <c r="C8" s="45"/>
      <c r="D8" s="45"/>
      <c r="E8" s="45"/>
      <c r="F8" s="45"/>
      <c r="G8" s="45"/>
      <c r="H8" s="45"/>
      <c r="I8" s="45"/>
      <c r="J8" s="45"/>
      <c r="K8" s="45"/>
      <c r="L8" s="45"/>
    </row>
    <row r="9" spans="1:13">
      <c r="A9" s="8" t="s">
        <v>602</v>
      </c>
      <c r="B9" s="8" t="s">
        <v>603</v>
      </c>
      <c r="C9" s="8" t="s">
        <v>174</v>
      </c>
      <c r="D9" s="8" t="str">
        <f>"0,6789"</f>
        <v>0,6789</v>
      </c>
      <c r="E9" s="8" t="s">
        <v>67</v>
      </c>
      <c r="F9" s="8" t="s">
        <v>21</v>
      </c>
      <c r="G9" s="10" t="s">
        <v>193</v>
      </c>
      <c r="H9" s="9" t="s">
        <v>145</v>
      </c>
      <c r="I9" s="9" t="s">
        <v>146</v>
      </c>
      <c r="J9" s="9"/>
      <c r="K9" s="8" t="str">
        <f>"120,0"</f>
        <v>120,0</v>
      </c>
      <c r="L9" s="10" t="str">
        <f>"96,1322"</f>
        <v>96,1322</v>
      </c>
      <c r="M9" s="8" t="s">
        <v>24</v>
      </c>
    </row>
    <row r="11" spans="1:13" ht="15">
      <c r="A11" s="45" t="s">
        <v>62</v>
      </c>
      <c r="B11" s="45"/>
      <c r="C11" s="45"/>
      <c r="D11" s="45"/>
      <c r="E11" s="45"/>
      <c r="F11" s="45"/>
      <c r="G11" s="45"/>
      <c r="H11" s="45"/>
      <c r="I11" s="45"/>
      <c r="J11" s="45"/>
      <c r="K11" s="45"/>
      <c r="L11" s="45"/>
    </row>
    <row r="12" spans="1:13">
      <c r="A12" s="8" t="s">
        <v>605</v>
      </c>
      <c r="B12" s="8" t="s">
        <v>606</v>
      </c>
      <c r="C12" s="8" t="s">
        <v>607</v>
      </c>
      <c r="D12" s="8" t="str">
        <f>"0,5869"</f>
        <v>0,5869</v>
      </c>
      <c r="E12" s="8" t="s">
        <v>67</v>
      </c>
      <c r="F12" s="8" t="s">
        <v>21</v>
      </c>
      <c r="G12" s="10" t="s">
        <v>433</v>
      </c>
      <c r="H12" s="10" t="s">
        <v>80</v>
      </c>
      <c r="I12" s="9" t="s">
        <v>465</v>
      </c>
      <c r="J12" s="9"/>
      <c r="K12" s="8" t="str">
        <f>"210,0"</f>
        <v>210,0</v>
      </c>
      <c r="L12" s="10" t="str">
        <f>"123,2490"</f>
        <v>123,2490</v>
      </c>
      <c r="M12" s="8" t="s">
        <v>24</v>
      </c>
    </row>
    <row r="14" spans="1:13" ht="15">
      <c r="E14" s="11" t="s">
        <v>34</v>
      </c>
    </row>
    <row r="15" spans="1:13" ht="15">
      <c r="E15" s="11" t="s">
        <v>35</v>
      </c>
    </row>
    <row r="16" spans="1:13" ht="15">
      <c r="E16" s="11" t="s">
        <v>36</v>
      </c>
    </row>
    <row r="17" spans="1:5" ht="15">
      <c r="E17" s="11" t="s">
        <v>37</v>
      </c>
    </row>
    <row r="18" spans="1:5" ht="15">
      <c r="E18" s="11" t="s">
        <v>37</v>
      </c>
    </row>
    <row r="19" spans="1:5" ht="15">
      <c r="E19" s="11" t="s">
        <v>38</v>
      </c>
    </row>
    <row r="20" spans="1:5" ht="15">
      <c r="E20" s="11"/>
    </row>
    <row r="22" spans="1:5" ht="18">
      <c r="A22" s="12" t="s">
        <v>39</v>
      </c>
      <c r="B22" s="12"/>
    </row>
    <row r="23" spans="1:5" ht="15">
      <c r="A23" s="13" t="s">
        <v>332</v>
      </c>
      <c r="B23" s="13"/>
    </row>
    <row r="24" spans="1:5" ht="14.25">
      <c r="A24" s="15"/>
      <c r="B24" s="16" t="s">
        <v>50</v>
      </c>
    </row>
    <row r="25" spans="1:5" ht="15">
      <c r="A25" s="17" t="s">
        <v>42</v>
      </c>
      <c r="B25" s="17" t="s">
        <v>43</v>
      </c>
      <c r="C25" s="17" t="s">
        <v>44</v>
      </c>
      <c r="D25" s="17" t="s">
        <v>45</v>
      </c>
      <c r="E25" s="17" t="s">
        <v>46</v>
      </c>
    </row>
    <row r="26" spans="1:5">
      <c r="A26" s="14" t="s">
        <v>597</v>
      </c>
      <c r="B26" s="5" t="s">
        <v>50</v>
      </c>
      <c r="C26" s="5" t="s">
        <v>96</v>
      </c>
      <c r="D26" s="5" t="s">
        <v>96</v>
      </c>
      <c r="E26" s="18" t="s">
        <v>608</v>
      </c>
    </row>
    <row r="29" spans="1:5" ht="15">
      <c r="A29" s="13" t="s">
        <v>40</v>
      </c>
      <c r="B29" s="13"/>
    </row>
    <row r="30" spans="1:5" ht="14.25">
      <c r="A30" s="15"/>
      <c r="B30" s="16" t="s">
        <v>41</v>
      </c>
    </row>
    <row r="31" spans="1:5" ht="15">
      <c r="A31" s="17" t="s">
        <v>42</v>
      </c>
      <c r="B31" s="17" t="s">
        <v>43</v>
      </c>
      <c r="C31" s="17" t="s">
        <v>44</v>
      </c>
      <c r="D31" s="17" t="s">
        <v>45</v>
      </c>
      <c r="E31" s="17" t="s">
        <v>46</v>
      </c>
    </row>
    <row r="32" spans="1:5">
      <c r="A32" s="14" t="s">
        <v>601</v>
      </c>
      <c r="B32" s="5" t="s">
        <v>47</v>
      </c>
      <c r="C32" s="5" t="s">
        <v>162</v>
      </c>
      <c r="D32" s="5" t="s">
        <v>193</v>
      </c>
      <c r="E32" s="18" t="s">
        <v>609</v>
      </c>
    </row>
    <row r="34" spans="1:5" ht="14.25">
      <c r="A34" s="15"/>
      <c r="B34" s="16" t="s">
        <v>50</v>
      </c>
    </row>
    <row r="35" spans="1:5" ht="15">
      <c r="A35" s="17" t="s">
        <v>42</v>
      </c>
      <c r="B35" s="17" t="s">
        <v>43</v>
      </c>
      <c r="C35" s="17" t="s">
        <v>44</v>
      </c>
      <c r="D35" s="17" t="s">
        <v>45</v>
      </c>
      <c r="E35" s="17" t="s">
        <v>46</v>
      </c>
    </row>
    <row r="36" spans="1:5">
      <c r="A36" s="14" t="s">
        <v>604</v>
      </c>
      <c r="B36" s="5" t="s">
        <v>50</v>
      </c>
      <c r="C36" s="5" t="s">
        <v>84</v>
      </c>
      <c r="D36" s="5" t="s">
        <v>80</v>
      </c>
      <c r="E36" s="18" t="s">
        <v>610</v>
      </c>
    </row>
    <row r="41" spans="1:5" ht="18">
      <c r="A41" s="12" t="s">
        <v>53</v>
      </c>
      <c r="B41" s="12"/>
    </row>
    <row r="42" spans="1:5" ht="15">
      <c r="A42" s="17" t="s">
        <v>54</v>
      </c>
      <c r="B42" s="17" t="s">
        <v>55</v>
      </c>
      <c r="C42" s="17" t="s">
        <v>56</v>
      </c>
    </row>
    <row r="43" spans="1:5">
      <c r="A43" s="5" t="s">
        <v>67</v>
      </c>
      <c r="B43" s="5" t="s">
        <v>589</v>
      </c>
      <c r="C43" s="5" t="s">
        <v>611</v>
      </c>
    </row>
    <row r="44" spans="1:5">
      <c r="A44" s="5" t="s">
        <v>30</v>
      </c>
      <c r="B44" s="5" t="s">
        <v>57</v>
      </c>
      <c r="C44" s="5" t="s">
        <v>612</v>
      </c>
    </row>
  </sheetData>
  <mergeCells count="14">
    <mergeCell ref="A1:M2"/>
    <mergeCell ref="A3:A4"/>
    <mergeCell ref="B3:B4"/>
    <mergeCell ref="C3:C4"/>
    <mergeCell ref="D3:D4"/>
    <mergeCell ref="E3:E4"/>
    <mergeCell ref="F3:F4"/>
    <mergeCell ref="G3:J3"/>
    <mergeCell ref="K3:K4"/>
    <mergeCell ref="L3:L4"/>
    <mergeCell ref="M3:M4"/>
    <mergeCell ref="A5:L5"/>
    <mergeCell ref="A8:L8"/>
    <mergeCell ref="A11:L1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56"/>
  <sheetViews>
    <sheetView topLeftCell="A43" zoomScale="90" zoomScaleNormal="90" workbookViewId="0">
      <selection activeCell="A58" sqref="A58"/>
    </sheetView>
  </sheetViews>
  <sheetFormatPr defaultRowHeight="12.75"/>
  <cols>
    <col min="1" max="1" width="31.85546875" style="5" bestFit="1" customWidth="1"/>
    <col min="2" max="2" width="38.28515625" style="5" bestFit="1" customWidth="1"/>
    <col min="3" max="3" width="200.7109375" style="5" bestFit="1" customWidth="1"/>
    <col min="4" max="4" width="9.28515625" style="5" bestFit="1" customWidth="1"/>
    <col min="5" max="5" width="22.7109375" style="5" bestFit="1" customWidth="1"/>
    <col min="6" max="6" width="34.425781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13.28515625" style="5" bestFit="1" customWidth="1"/>
    <col min="14" max="16384" width="9.140625" style="4"/>
  </cols>
  <sheetData>
    <row r="1" spans="1:13" s="3" customFormat="1" ht="29.1" customHeight="1">
      <c r="A1" s="44" t="s">
        <v>408</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3</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409</v>
      </c>
      <c r="B5" s="43"/>
      <c r="C5" s="43"/>
      <c r="D5" s="43"/>
      <c r="E5" s="43"/>
      <c r="F5" s="43"/>
      <c r="G5" s="43"/>
      <c r="H5" s="43"/>
      <c r="I5" s="43"/>
      <c r="J5" s="43"/>
      <c r="K5" s="43"/>
      <c r="L5" s="43"/>
    </row>
    <row r="6" spans="1:13">
      <c r="A6" s="19" t="s">
        <v>411</v>
      </c>
      <c r="B6" s="19" t="s">
        <v>412</v>
      </c>
      <c r="C6" s="19" t="s">
        <v>413</v>
      </c>
      <c r="D6" s="19" t="str">
        <f>"0,9976"</f>
        <v>0,9976</v>
      </c>
      <c r="E6" s="19" t="s">
        <v>67</v>
      </c>
      <c r="F6" s="19" t="s">
        <v>21</v>
      </c>
      <c r="G6" s="21" t="s">
        <v>84</v>
      </c>
      <c r="H6" s="21" t="s">
        <v>414</v>
      </c>
      <c r="I6" s="21" t="s">
        <v>210</v>
      </c>
      <c r="J6" s="20"/>
      <c r="K6" s="19" t="str">
        <f>"115,0"</f>
        <v>115,0</v>
      </c>
      <c r="L6" s="21" t="str">
        <f>"114,7240"</f>
        <v>114,7240</v>
      </c>
      <c r="M6" s="19" t="s">
        <v>415</v>
      </c>
    </row>
    <row r="7" spans="1:13">
      <c r="A7" s="22" t="s">
        <v>417</v>
      </c>
      <c r="B7" s="22" t="s">
        <v>418</v>
      </c>
      <c r="C7" s="22" t="s">
        <v>419</v>
      </c>
      <c r="D7" s="22" t="str">
        <f>"0,9770"</f>
        <v>0,9770</v>
      </c>
      <c r="E7" s="22" t="s">
        <v>74</v>
      </c>
      <c r="F7" s="22" t="s">
        <v>108</v>
      </c>
      <c r="G7" s="23" t="s">
        <v>420</v>
      </c>
      <c r="H7" s="24" t="s">
        <v>162</v>
      </c>
      <c r="I7" s="24" t="s">
        <v>421</v>
      </c>
      <c r="J7" s="23"/>
      <c r="K7" s="22" t="str">
        <f>"77,5"</f>
        <v>77,5</v>
      </c>
      <c r="L7" s="24" t="str">
        <f>"75,7175"</f>
        <v>75,7175</v>
      </c>
      <c r="M7" s="22" t="s">
        <v>24</v>
      </c>
    </row>
    <row r="9" spans="1:13" ht="15">
      <c r="A9" s="45" t="s">
        <v>90</v>
      </c>
      <c r="B9" s="45"/>
      <c r="C9" s="45"/>
      <c r="D9" s="45"/>
      <c r="E9" s="45"/>
      <c r="F9" s="45"/>
      <c r="G9" s="45"/>
      <c r="H9" s="45"/>
      <c r="I9" s="45"/>
      <c r="J9" s="45"/>
      <c r="K9" s="45"/>
      <c r="L9" s="45"/>
    </row>
    <row r="10" spans="1:13">
      <c r="A10" s="19" t="s">
        <v>98</v>
      </c>
      <c r="B10" s="19" t="s">
        <v>99</v>
      </c>
      <c r="C10" s="19" t="s">
        <v>100</v>
      </c>
      <c r="D10" s="19" t="str">
        <f>"0,8731"</f>
        <v>0,8731</v>
      </c>
      <c r="E10" s="19" t="s">
        <v>161</v>
      </c>
      <c r="F10" s="19" t="s">
        <v>21</v>
      </c>
      <c r="G10" s="21" t="s">
        <v>210</v>
      </c>
      <c r="H10" s="21" t="s">
        <v>194</v>
      </c>
      <c r="I10" s="21" t="s">
        <v>145</v>
      </c>
      <c r="J10" s="20"/>
      <c r="K10" s="19" t="str">
        <f>"130,0"</f>
        <v>130,0</v>
      </c>
      <c r="L10" s="21" t="str">
        <f>"113,5095"</f>
        <v>113,5095</v>
      </c>
      <c r="M10" s="19" t="s">
        <v>24</v>
      </c>
    </row>
    <row r="11" spans="1:13">
      <c r="A11" s="25" t="s">
        <v>105</v>
      </c>
      <c r="B11" s="25" t="s">
        <v>106</v>
      </c>
      <c r="C11" s="25" t="s">
        <v>107</v>
      </c>
      <c r="D11" s="25" t="str">
        <f>"0,8647"</f>
        <v>0,8647</v>
      </c>
      <c r="E11" s="25" t="s">
        <v>74</v>
      </c>
      <c r="F11" s="25" t="s">
        <v>108</v>
      </c>
      <c r="G11" s="27" t="s">
        <v>139</v>
      </c>
      <c r="H11" s="27" t="s">
        <v>81</v>
      </c>
      <c r="I11" s="26" t="s">
        <v>176</v>
      </c>
      <c r="J11" s="26"/>
      <c r="K11" s="25" t="str">
        <f>"100,0"</f>
        <v>100,0</v>
      </c>
      <c r="L11" s="27" t="str">
        <f>"86,4650"</f>
        <v>86,4650</v>
      </c>
      <c r="M11" s="25" t="s">
        <v>24</v>
      </c>
    </row>
    <row r="12" spans="1:13">
      <c r="A12" s="22" t="s">
        <v>422</v>
      </c>
      <c r="B12" s="22" t="s">
        <v>99</v>
      </c>
      <c r="C12" s="22" t="s">
        <v>100</v>
      </c>
      <c r="D12" s="22" t="str">
        <f>"0,8731"</f>
        <v>0,8731</v>
      </c>
      <c r="E12" s="22" t="s">
        <v>101</v>
      </c>
      <c r="F12" s="22" t="s">
        <v>21</v>
      </c>
      <c r="G12" s="23" t="s">
        <v>81</v>
      </c>
      <c r="H12" s="23"/>
      <c r="I12" s="23"/>
      <c r="J12" s="23"/>
      <c r="K12" s="22" t="str">
        <f>"0,0"</f>
        <v>0,0</v>
      </c>
      <c r="L12" s="24" t="str">
        <f>"0,0000"</f>
        <v>0,0000</v>
      </c>
      <c r="M12" s="22" t="s">
        <v>24</v>
      </c>
    </row>
    <row r="14" spans="1:13" ht="15">
      <c r="A14" s="45" t="s">
        <v>109</v>
      </c>
      <c r="B14" s="45"/>
      <c r="C14" s="45"/>
      <c r="D14" s="45"/>
      <c r="E14" s="45"/>
      <c r="F14" s="45"/>
      <c r="G14" s="45"/>
      <c r="H14" s="45"/>
      <c r="I14" s="45"/>
      <c r="J14" s="45"/>
      <c r="K14" s="45"/>
      <c r="L14" s="45"/>
    </row>
    <row r="15" spans="1:13">
      <c r="A15" s="19" t="s">
        <v>111</v>
      </c>
      <c r="B15" s="19" t="s">
        <v>112</v>
      </c>
      <c r="C15" s="19" t="s">
        <v>113</v>
      </c>
      <c r="D15" s="19" t="str">
        <f>"0,7862"</f>
        <v>0,7862</v>
      </c>
      <c r="E15" s="19" t="s">
        <v>74</v>
      </c>
      <c r="F15" s="19" t="s">
        <v>114</v>
      </c>
      <c r="G15" s="21" t="s">
        <v>238</v>
      </c>
      <c r="H15" s="21" t="s">
        <v>139</v>
      </c>
      <c r="I15" s="21" t="s">
        <v>81</v>
      </c>
      <c r="J15" s="20"/>
      <c r="K15" s="19" t="str">
        <f>"100,0"</f>
        <v>100,0</v>
      </c>
      <c r="L15" s="21" t="str">
        <f>"78,6200"</f>
        <v>78,6200</v>
      </c>
      <c r="M15" s="19" t="s">
        <v>24</v>
      </c>
    </row>
    <row r="16" spans="1:13">
      <c r="A16" s="25" t="s">
        <v>119</v>
      </c>
      <c r="B16" s="25" t="s">
        <v>120</v>
      </c>
      <c r="C16" s="25" t="s">
        <v>121</v>
      </c>
      <c r="D16" s="25" t="str">
        <f>"0,8291"</f>
        <v>0,8291</v>
      </c>
      <c r="E16" s="25" t="s">
        <v>101</v>
      </c>
      <c r="F16" s="25" t="s">
        <v>108</v>
      </c>
      <c r="G16" s="27" t="s">
        <v>84</v>
      </c>
      <c r="H16" s="26" t="s">
        <v>81</v>
      </c>
      <c r="I16" s="26"/>
      <c r="J16" s="26"/>
      <c r="K16" s="25" t="str">
        <f>"90,0"</f>
        <v>90,0</v>
      </c>
      <c r="L16" s="27" t="str">
        <f>"74,6190"</f>
        <v>74,6190</v>
      </c>
      <c r="M16" s="25" t="s">
        <v>24</v>
      </c>
    </row>
    <row r="17" spans="1:13">
      <c r="A17" s="22" t="s">
        <v>111</v>
      </c>
      <c r="B17" s="22" t="s">
        <v>122</v>
      </c>
      <c r="C17" s="22" t="s">
        <v>113</v>
      </c>
      <c r="D17" s="22" t="str">
        <f>"0,7862"</f>
        <v>0,7862</v>
      </c>
      <c r="E17" s="22" t="s">
        <v>74</v>
      </c>
      <c r="F17" s="22" t="s">
        <v>114</v>
      </c>
      <c r="G17" s="24" t="s">
        <v>238</v>
      </c>
      <c r="H17" s="24" t="s">
        <v>139</v>
      </c>
      <c r="I17" s="24" t="s">
        <v>81</v>
      </c>
      <c r="J17" s="23"/>
      <c r="K17" s="22" t="str">
        <f>"100,0"</f>
        <v>100,0</v>
      </c>
      <c r="L17" s="24" t="str">
        <f>"79,3276"</f>
        <v>79,3276</v>
      </c>
      <c r="M17" s="22" t="s">
        <v>24</v>
      </c>
    </row>
    <row r="19" spans="1:13" ht="15">
      <c r="A19" s="45" t="s">
        <v>123</v>
      </c>
      <c r="B19" s="45"/>
      <c r="C19" s="45"/>
      <c r="D19" s="45"/>
      <c r="E19" s="45"/>
      <c r="F19" s="45"/>
      <c r="G19" s="45"/>
      <c r="H19" s="45"/>
      <c r="I19" s="45"/>
      <c r="J19" s="45"/>
      <c r="K19" s="45"/>
      <c r="L19" s="45"/>
    </row>
    <row r="20" spans="1:13">
      <c r="A20" s="19" t="s">
        <v>125</v>
      </c>
      <c r="B20" s="19" t="s">
        <v>126</v>
      </c>
      <c r="C20" s="19" t="s">
        <v>127</v>
      </c>
      <c r="D20" s="19" t="str">
        <f>"0,7631"</f>
        <v>0,7631</v>
      </c>
      <c r="E20" s="19" t="s">
        <v>101</v>
      </c>
      <c r="F20" s="19" t="s">
        <v>108</v>
      </c>
      <c r="G20" s="21" t="s">
        <v>210</v>
      </c>
      <c r="H20" s="21" t="s">
        <v>423</v>
      </c>
      <c r="I20" s="21" t="s">
        <v>145</v>
      </c>
      <c r="J20" s="20"/>
      <c r="K20" s="19" t="str">
        <f>"130,0"</f>
        <v>130,0</v>
      </c>
      <c r="L20" s="21" t="str">
        <f>"99,2030"</f>
        <v>99,2030</v>
      </c>
      <c r="M20" s="19" t="s">
        <v>24</v>
      </c>
    </row>
    <row r="21" spans="1:13">
      <c r="A21" s="22" t="s">
        <v>425</v>
      </c>
      <c r="B21" s="22" t="s">
        <v>426</v>
      </c>
      <c r="C21" s="22" t="s">
        <v>427</v>
      </c>
      <c r="D21" s="22" t="str">
        <f>"0,7741"</f>
        <v>0,7741</v>
      </c>
      <c r="E21" s="22" t="s">
        <v>74</v>
      </c>
      <c r="F21" s="22" t="s">
        <v>21</v>
      </c>
      <c r="G21" s="24" t="s">
        <v>84</v>
      </c>
      <c r="H21" s="24" t="s">
        <v>139</v>
      </c>
      <c r="I21" s="24" t="s">
        <v>81</v>
      </c>
      <c r="J21" s="23"/>
      <c r="K21" s="22" t="str">
        <f>"100,0"</f>
        <v>100,0</v>
      </c>
      <c r="L21" s="24" t="str">
        <f>"77,4100"</f>
        <v>77,4100</v>
      </c>
      <c r="M21" s="22" t="s">
        <v>24</v>
      </c>
    </row>
    <row r="23" spans="1:13" ht="15">
      <c r="A23" s="45" t="s">
        <v>25</v>
      </c>
      <c r="B23" s="45"/>
      <c r="C23" s="45"/>
      <c r="D23" s="45"/>
      <c r="E23" s="45"/>
      <c r="F23" s="45"/>
      <c r="G23" s="45"/>
      <c r="H23" s="45"/>
      <c r="I23" s="45"/>
      <c r="J23" s="45"/>
      <c r="K23" s="45"/>
      <c r="L23" s="45"/>
    </row>
    <row r="24" spans="1:13">
      <c r="A24" s="8" t="s">
        <v>429</v>
      </c>
      <c r="B24" s="8" t="s">
        <v>430</v>
      </c>
      <c r="C24" s="8" t="s">
        <v>431</v>
      </c>
      <c r="D24" s="8" t="str">
        <f>"0,6936"</f>
        <v>0,6936</v>
      </c>
      <c r="E24" s="8" t="s">
        <v>101</v>
      </c>
      <c r="F24" s="8" t="s">
        <v>21</v>
      </c>
      <c r="G24" s="10" t="s">
        <v>115</v>
      </c>
      <c r="H24" s="10" t="s">
        <v>421</v>
      </c>
      <c r="I24" s="10" t="s">
        <v>432</v>
      </c>
      <c r="J24" s="9"/>
      <c r="K24" s="8" t="str">
        <f>"87,5"</f>
        <v>87,5</v>
      </c>
      <c r="L24" s="10" t="str">
        <f>"66,2735"</f>
        <v>66,2735</v>
      </c>
      <c r="M24" s="8" t="s">
        <v>24</v>
      </c>
    </row>
    <row r="26" spans="1:13" ht="15">
      <c r="A26" s="45" t="s">
        <v>128</v>
      </c>
      <c r="B26" s="45"/>
      <c r="C26" s="45"/>
      <c r="D26" s="45"/>
      <c r="E26" s="45"/>
      <c r="F26" s="45"/>
      <c r="G26" s="45"/>
      <c r="H26" s="45"/>
      <c r="I26" s="45"/>
      <c r="J26" s="45"/>
      <c r="K26" s="45"/>
      <c r="L26" s="45"/>
    </row>
    <row r="27" spans="1:13">
      <c r="A27" s="8" t="s">
        <v>130</v>
      </c>
      <c r="B27" s="8" t="s">
        <v>131</v>
      </c>
      <c r="C27" s="8" t="s">
        <v>132</v>
      </c>
      <c r="D27" s="8" t="str">
        <f>"1,1927"</f>
        <v>1,1927</v>
      </c>
      <c r="E27" s="8" t="s">
        <v>30</v>
      </c>
      <c r="F27" s="8" t="s">
        <v>133</v>
      </c>
      <c r="G27" s="10" t="s">
        <v>96</v>
      </c>
      <c r="H27" s="10" t="s">
        <v>115</v>
      </c>
      <c r="I27" s="9" t="s">
        <v>117</v>
      </c>
      <c r="J27" s="9"/>
      <c r="K27" s="8" t="str">
        <f>"65,0"</f>
        <v>65,0</v>
      </c>
      <c r="L27" s="10" t="str">
        <f>"95,3564"</f>
        <v>95,3564</v>
      </c>
      <c r="M27" s="8" t="s">
        <v>24</v>
      </c>
    </row>
    <row r="29" spans="1:13" ht="15">
      <c r="A29" s="45" t="s">
        <v>109</v>
      </c>
      <c r="B29" s="45"/>
      <c r="C29" s="45"/>
      <c r="D29" s="45"/>
      <c r="E29" s="45"/>
      <c r="F29" s="45"/>
      <c r="G29" s="45"/>
      <c r="H29" s="45"/>
      <c r="I29" s="45"/>
      <c r="J29" s="45"/>
      <c r="K29" s="45"/>
      <c r="L29" s="45"/>
    </row>
    <row r="30" spans="1:13">
      <c r="A30" s="8" t="s">
        <v>142</v>
      </c>
      <c r="B30" s="8" t="s">
        <v>143</v>
      </c>
      <c r="C30" s="8" t="s">
        <v>144</v>
      </c>
      <c r="D30" s="8" t="str">
        <f>"0,7268"</f>
        <v>0,7268</v>
      </c>
      <c r="E30" s="8" t="s">
        <v>20</v>
      </c>
      <c r="F30" s="8" t="s">
        <v>138</v>
      </c>
      <c r="G30" s="10" t="s">
        <v>33</v>
      </c>
      <c r="H30" s="10" t="s">
        <v>68</v>
      </c>
      <c r="I30" s="10" t="s">
        <v>433</v>
      </c>
      <c r="J30" s="9"/>
      <c r="K30" s="8" t="str">
        <f>"200,0"</f>
        <v>200,0</v>
      </c>
      <c r="L30" s="10" t="str">
        <f>"149,7208"</f>
        <v>149,7208</v>
      </c>
      <c r="M30" s="8" t="s">
        <v>24</v>
      </c>
    </row>
    <row r="32" spans="1:13" ht="15">
      <c r="A32" s="45" t="s">
        <v>123</v>
      </c>
      <c r="B32" s="45"/>
      <c r="C32" s="45"/>
      <c r="D32" s="45"/>
      <c r="E32" s="45"/>
      <c r="F32" s="45"/>
      <c r="G32" s="45"/>
      <c r="H32" s="45"/>
      <c r="I32" s="45"/>
      <c r="J32" s="45"/>
      <c r="K32" s="45"/>
      <c r="L32" s="45"/>
    </row>
    <row r="33" spans="1:13">
      <c r="A33" s="19" t="s">
        <v>172</v>
      </c>
      <c r="B33" s="19" t="s">
        <v>173</v>
      </c>
      <c r="C33" s="19" t="s">
        <v>174</v>
      </c>
      <c r="D33" s="19" t="str">
        <f>"0,6789"</f>
        <v>0,6789</v>
      </c>
      <c r="E33" s="19" t="s">
        <v>175</v>
      </c>
      <c r="F33" s="19" t="s">
        <v>138</v>
      </c>
      <c r="G33" s="21" t="s">
        <v>434</v>
      </c>
      <c r="H33" s="21" t="s">
        <v>435</v>
      </c>
      <c r="I33" s="20" t="s">
        <v>433</v>
      </c>
      <c r="J33" s="20"/>
      <c r="K33" s="19" t="str">
        <f>"185,0"</f>
        <v>185,0</v>
      </c>
      <c r="L33" s="21" t="str">
        <f>"135,6442"</f>
        <v>135,6442</v>
      </c>
      <c r="M33" s="19" t="s">
        <v>24</v>
      </c>
    </row>
    <row r="34" spans="1:13">
      <c r="A34" s="25" t="s">
        <v>437</v>
      </c>
      <c r="B34" s="25" t="s">
        <v>208</v>
      </c>
      <c r="C34" s="25" t="s">
        <v>192</v>
      </c>
      <c r="D34" s="25" t="str">
        <f>"0,6716"</f>
        <v>0,6716</v>
      </c>
      <c r="E34" s="25" t="s">
        <v>20</v>
      </c>
      <c r="F34" s="25" t="s">
        <v>21</v>
      </c>
      <c r="G34" s="27" t="s">
        <v>193</v>
      </c>
      <c r="H34" s="27" t="s">
        <v>145</v>
      </c>
      <c r="I34" s="27" t="s">
        <v>146</v>
      </c>
      <c r="J34" s="26"/>
      <c r="K34" s="25" t="str">
        <f>"140,0"</f>
        <v>140,0</v>
      </c>
      <c r="L34" s="27" t="str">
        <f>"97,7850"</f>
        <v>97,7850</v>
      </c>
      <c r="M34" s="25" t="s">
        <v>24</v>
      </c>
    </row>
    <row r="35" spans="1:13">
      <c r="A35" s="25" t="s">
        <v>439</v>
      </c>
      <c r="B35" s="25" t="s">
        <v>440</v>
      </c>
      <c r="C35" s="25" t="s">
        <v>441</v>
      </c>
      <c r="D35" s="25" t="str">
        <f>"0,7201"</f>
        <v>0,7201</v>
      </c>
      <c r="E35" s="25" t="s">
        <v>442</v>
      </c>
      <c r="F35" s="25" t="s">
        <v>108</v>
      </c>
      <c r="G35" s="26" t="s">
        <v>265</v>
      </c>
      <c r="H35" s="27" t="s">
        <v>265</v>
      </c>
      <c r="I35" s="26" t="s">
        <v>33</v>
      </c>
      <c r="J35" s="26"/>
      <c r="K35" s="25" t="str">
        <f>"150,0"</f>
        <v>150,0</v>
      </c>
      <c r="L35" s="27" t="str">
        <f>"109,0951"</f>
        <v>109,0951</v>
      </c>
      <c r="M35" s="25" t="s">
        <v>24</v>
      </c>
    </row>
    <row r="36" spans="1:13">
      <c r="A36" s="22" t="s">
        <v>444</v>
      </c>
      <c r="B36" s="22" t="s">
        <v>445</v>
      </c>
      <c r="C36" s="22" t="s">
        <v>192</v>
      </c>
      <c r="D36" s="22" t="str">
        <f>"0,6716"</f>
        <v>0,6716</v>
      </c>
      <c r="E36" s="22" t="s">
        <v>20</v>
      </c>
      <c r="F36" s="22" t="s">
        <v>21</v>
      </c>
      <c r="G36" s="24" t="s">
        <v>193</v>
      </c>
      <c r="H36" s="24" t="s">
        <v>145</v>
      </c>
      <c r="I36" s="24" t="s">
        <v>146</v>
      </c>
      <c r="J36" s="23"/>
      <c r="K36" s="22" t="str">
        <f>"140,0"</f>
        <v>140,0</v>
      </c>
      <c r="L36" s="24" t="str">
        <f>"94,9642"</f>
        <v>94,9642</v>
      </c>
      <c r="M36" s="22" t="s">
        <v>24</v>
      </c>
    </row>
    <row r="38" spans="1:13" ht="15">
      <c r="A38" s="45" t="s">
        <v>25</v>
      </c>
      <c r="B38" s="45"/>
      <c r="C38" s="45"/>
      <c r="D38" s="45"/>
      <c r="E38" s="45"/>
      <c r="F38" s="45"/>
      <c r="G38" s="45"/>
      <c r="H38" s="45"/>
      <c r="I38" s="45"/>
      <c r="J38" s="45"/>
      <c r="K38" s="45"/>
      <c r="L38" s="45"/>
    </row>
    <row r="39" spans="1:13">
      <c r="A39" s="19" t="s">
        <v>447</v>
      </c>
      <c r="B39" s="19" t="s">
        <v>448</v>
      </c>
      <c r="C39" s="19" t="s">
        <v>449</v>
      </c>
      <c r="D39" s="19" t="str">
        <f>"0,6352"</f>
        <v>0,6352</v>
      </c>
      <c r="E39" s="19" t="s">
        <v>442</v>
      </c>
      <c r="F39" s="19" t="s">
        <v>108</v>
      </c>
      <c r="G39" s="20" t="s">
        <v>32</v>
      </c>
      <c r="H39" s="21" t="s">
        <v>32</v>
      </c>
      <c r="I39" s="21" t="s">
        <v>450</v>
      </c>
      <c r="J39" s="20"/>
      <c r="K39" s="19" t="str">
        <f>"187,5"</f>
        <v>187,5</v>
      </c>
      <c r="L39" s="21" t="str">
        <f>"140,5380"</f>
        <v>140,5380</v>
      </c>
      <c r="M39" s="19" t="s">
        <v>24</v>
      </c>
    </row>
    <row r="40" spans="1:13">
      <c r="A40" s="25" t="s">
        <v>452</v>
      </c>
      <c r="B40" s="25" t="s">
        <v>453</v>
      </c>
      <c r="C40" s="25" t="s">
        <v>454</v>
      </c>
      <c r="D40" s="25" t="str">
        <f>"0,6193"</f>
        <v>0,6193</v>
      </c>
      <c r="E40" s="25" t="s">
        <v>167</v>
      </c>
      <c r="F40" s="25" t="s">
        <v>168</v>
      </c>
      <c r="G40" s="27" t="s">
        <v>323</v>
      </c>
      <c r="H40" s="27" t="s">
        <v>33</v>
      </c>
      <c r="I40" s="27" t="s">
        <v>68</v>
      </c>
      <c r="J40" s="26"/>
      <c r="K40" s="25" t="str">
        <f>"190,0"</f>
        <v>190,0</v>
      </c>
      <c r="L40" s="27" t="str">
        <f>"132,9637"</f>
        <v>132,9637</v>
      </c>
      <c r="M40" s="25" t="s">
        <v>24</v>
      </c>
    </row>
    <row r="41" spans="1:13">
      <c r="A41" s="25" t="s">
        <v>456</v>
      </c>
      <c r="B41" s="25" t="s">
        <v>457</v>
      </c>
      <c r="C41" s="25" t="s">
        <v>458</v>
      </c>
      <c r="D41" s="25" t="str">
        <f>"0,6347"</f>
        <v>0,6347</v>
      </c>
      <c r="E41" s="25" t="s">
        <v>167</v>
      </c>
      <c r="F41" s="25" t="s">
        <v>168</v>
      </c>
      <c r="G41" s="27" t="s">
        <v>433</v>
      </c>
      <c r="H41" s="26" t="s">
        <v>80</v>
      </c>
      <c r="I41" s="26" t="s">
        <v>80</v>
      </c>
      <c r="J41" s="26"/>
      <c r="K41" s="25" t="str">
        <f>"200,0"</f>
        <v>200,0</v>
      </c>
      <c r="L41" s="27" t="str">
        <f>"134,5564"</f>
        <v>134,5564</v>
      </c>
      <c r="M41" s="25" t="s">
        <v>24</v>
      </c>
    </row>
    <row r="42" spans="1:13">
      <c r="A42" s="25" t="s">
        <v>459</v>
      </c>
      <c r="B42" s="25" t="s">
        <v>208</v>
      </c>
      <c r="C42" s="25" t="s">
        <v>209</v>
      </c>
      <c r="D42" s="25" t="str">
        <f>"0,6405"</f>
        <v>0,6405</v>
      </c>
      <c r="E42" s="25" t="s">
        <v>101</v>
      </c>
      <c r="F42" s="25" t="s">
        <v>21</v>
      </c>
      <c r="G42" s="27" t="s">
        <v>194</v>
      </c>
      <c r="H42" s="27" t="s">
        <v>323</v>
      </c>
      <c r="I42" s="26" t="s">
        <v>450</v>
      </c>
      <c r="J42" s="26"/>
      <c r="K42" s="25" t="str">
        <f>"165,0"</f>
        <v>165,0</v>
      </c>
      <c r="L42" s="27" t="str">
        <f>"109,9098"</f>
        <v>109,9098</v>
      </c>
      <c r="M42" s="25" t="s">
        <v>24</v>
      </c>
    </row>
    <row r="43" spans="1:13">
      <c r="A43" s="25" t="s">
        <v>461</v>
      </c>
      <c r="B43" s="25" t="s">
        <v>462</v>
      </c>
      <c r="C43" s="25" t="s">
        <v>463</v>
      </c>
      <c r="D43" s="25" t="str">
        <f>"0,6203"</f>
        <v>0,6203</v>
      </c>
      <c r="E43" s="25" t="s">
        <v>20</v>
      </c>
      <c r="F43" s="25" t="s">
        <v>21</v>
      </c>
      <c r="G43" s="27" t="s">
        <v>433</v>
      </c>
      <c r="H43" s="27" t="s">
        <v>464</v>
      </c>
      <c r="I43" s="27" t="s">
        <v>465</v>
      </c>
      <c r="J43" s="26"/>
      <c r="K43" s="25" t="str">
        <f>"220,0"</f>
        <v>220,0</v>
      </c>
      <c r="L43" s="27" t="str">
        <f>"136,4660"</f>
        <v>136,4660</v>
      </c>
      <c r="M43" s="25" t="s">
        <v>24</v>
      </c>
    </row>
    <row r="44" spans="1:13">
      <c r="A44" s="25" t="s">
        <v>467</v>
      </c>
      <c r="B44" s="25" t="s">
        <v>112</v>
      </c>
      <c r="C44" s="25" t="s">
        <v>468</v>
      </c>
      <c r="D44" s="25" t="str">
        <f>"0,6430"</f>
        <v>0,6430</v>
      </c>
      <c r="E44" s="25" t="s">
        <v>74</v>
      </c>
      <c r="F44" s="25" t="s">
        <v>114</v>
      </c>
      <c r="G44" s="27" t="s">
        <v>68</v>
      </c>
      <c r="H44" s="27" t="s">
        <v>80</v>
      </c>
      <c r="I44" s="26"/>
      <c r="J44" s="26"/>
      <c r="K44" s="25" t="str">
        <f>"210,0"</f>
        <v>210,0</v>
      </c>
      <c r="L44" s="27" t="str">
        <f>"135,0300"</f>
        <v>135,0300</v>
      </c>
      <c r="M44" s="25" t="s">
        <v>24</v>
      </c>
    </row>
    <row r="45" spans="1:13">
      <c r="A45" s="25" t="s">
        <v>470</v>
      </c>
      <c r="B45" s="25" t="s">
        <v>471</v>
      </c>
      <c r="C45" s="25" t="s">
        <v>472</v>
      </c>
      <c r="D45" s="25" t="str">
        <f>"0,6219"</f>
        <v>0,6219</v>
      </c>
      <c r="E45" s="25" t="s">
        <v>101</v>
      </c>
      <c r="F45" s="25" t="s">
        <v>21</v>
      </c>
      <c r="G45" s="27" t="s">
        <v>68</v>
      </c>
      <c r="H45" s="27" t="s">
        <v>473</v>
      </c>
      <c r="I45" s="26" t="s">
        <v>474</v>
      </c>
      <c r="J45" s="26"/>
      <c r="K45" s="25" t="str">
        <f>"205,0"</f>
        <v>205,0</v>
      </c>
      <c r="L45" s="27" t="str">
        <f>"127,4895"</f>
        <v>127,4895</v>
      </c>
      <c r="M45" s="25" t="s">
        <v>24</v>
      </c>
    </row>
    <row r="46" spans="1:13">
      <c r="A46" s="25" t="s">
        <v>476</v>
      </c>
      <c r="B46" s="25" t="s">
        <v>477</v>
      </c>
      <c r="C46" s="25" t="s">
        <v>214</v>
      </c>
      <c r="D46" s="25" t="str">
        <f>"0,6367"</f>
        <v>0,6367</v>
      </c>
      <c r="E46" s="25" t="s">
        <v>74</v>
      </c>
      <c r="F46" s="25" t="s">
        <v>21</v>
      </c>
      <c r="G46" s="27" t="s">
        <v>68</v>
      </c>
      <c r="H46" s="27" t="s">
        <v>433</v>
      </c>
      <c r="I46" s="26" t="s">
        <v>478</v>
      </c>
      <c r="J46" s="26"/>
      <c r="K46" s="25" t="str">
        <f>"200,0"</f>
        <v>200,0</v>
      </c>
      <c r="L46" s="27" t="str">
        <f>"127,3400"</f>
        <v>127,3400</v>
      </c>
      <c r="M46" s="25" t="s">
        <v>24</v>
      </c>
    </row>
    <row r="47" spans="1:13">
      <c r="A47" s="25" t="s">
        <v>479</v>
      </c>
      <c r="B47" s="25" t="s">
        <v>237</v>
      </c>
      <c r="C47" s="25" t="s">
        <v>233</v>
      </c>
      <c r="D47" s="25" t="str">
        <f>"0,6273"</f>
        <v>0,6273</v>
      </c>
      <c r="E47" s="25" t="s">
        <v>101</v>
      </c>
      <c r="F47" s="25" t="s">
        <v>21</v>
      </c>
      <c r="G47" s="27" t="s">
        <v>193</v>
      </c>
      <c r="H47" s="27" t="s">
        <v>228</v>
      </c>
      <c r="I47" s="27" t="s">
        <v>247</v>
      </c>
      <c r="J47" s="26"/>
      <c r="K47" s="25" t="str">
        <f>"152,5"</f>
        <v>152,5</v>
      </c>
      <c r="L47" s="27" t="str">
        <f>"95,6633"</f>
        <v>95,6633</v>
      </c>
      <c r="M47" s="25" t="s">
        <v>24</v>
      </c>
    </row>
    <row r="48" spans="1:13">
      <c r="A48" s="25" t="s">
        <v>480</v>
      </c>
      <c r="B48" s="25" t="s">
        <v>122</v>
      </c>
      <c r="C48" s="25" t="s">
        <v>468</v>
      </c>
      <c r="D48" s="25" t="str">
        <f>"0,6430"</f>
        <v>0,6430</v>
      </c>
      <c r="E48" s="25" t="s">
        <v>74</v>
      </c>
      <c r="F48" s="25" t="s">
        <v>114</v>
      </c>
      <c r="G48" s="27" t="s">
        <v>68</v>
      </c>
      <c r="H48" s="27" t="s">
        <v>80</v>
      </c>
      <c r="I48" s="26"/>
      <c r="J48" s="26"/>
      <c r="K48" s="25" t="str">
        <f>"210,0"</f>
        <v>210,0</v>
      </c>
      <c r="L48" s="27" t="str">
        <f>"136,2453"</f>
        <v>136,2453</v>
      </c>
      <c r="M48" s="25" t="s">
        <v>24</v>
      </c>
    </row>
    <row r="49" spans="1:13">
      <c r="A49" s="25" t="s">
        <v>482</v>
      </c>
      <c r="B49" s="25" t="s">
        <v>483</v>
      </c>
      <c r="C49" s="25" t="s">
        <v>484</v>
      </c>
      <c r="D49" s="25" t="str">
        <f>"0,6461"</f>
        <v>0,6461</v>
      </c>
      <c r="E49" s="25" t="s">
        <v>74</v>
      </c>
      <c r="F49" s="25" t="s">
        <v>108</v>
      </c>
      <c r="G49" s="27" t="s">
        <v>434</v>
      </c>
      <c r="H49" s="27" t="s">
        <v>450</v>
      </c>
      <c r="I49" s="26"/>
      <c r="J49" s="26"/>
      <c r="K49" s="25" t="str">
        <f>"187,5"</f>
        <v>187,5</v>
      </c>
      <c r="L49" s="27" t="str">
        <f>"121,5072"</f>
        <v>121,5072</v>
      </c>
      <c r="M49" s="25" t="s">
        <v>24</v>
      </c>
    </row>
    <row r="50" spans="1:13">
      <c r="A50" s="22" t="s">
        <v>486</v>
      </c>
      <c r="B50" s="22" t="s">
        <v>487</v>
      </c>
      <c r="C50" s="22" t="s">
        <v>488</v>
      </c>
      <c r="D50" s="22" t="str">
        <f>"0,6327"</f>
        <v>0,6327</v>
      </c>
      <c r="E50" s="22" t="s">
        <v>101</v>
      </c>
      <c r="F50" s="22" t="s">
        <v>489</v>
      </c>
      <c r="G50" s="24" t="s">
        <v>248</v>
      </c>
      <c r="H50" s="24" t="s">
        <v>33</v>
      </c>
      <c r="I50" s="24" t="s">
        <v>68</v>
      </c>
      <c r="J50" s="23"/>
      <c r="K50" s="22" t="str">
        <f>"190,0"</f>
        <v>190,0</v>
      </c>
      <c r="L50" s="24" t="str">
        <f>"134,2673"</f>
        <v>134,2673</v>
      </c>
      <c r="M50" s="22" t="s">
        <v>24</v>
      </c>
    </row>
    <row r="52" spans="1:13" ht="15">
      <c r="A52" s="45" t="s">
        <v>62</v>
      </c>
      <c r="B52" s="45"/>
      <c r="C52" s="45"/>
      <c r="D52" s="45"/>
      <c r="E52" s="45"/>
      <c r="F52" s="45"/>
      <c r="G52" s="45"/>
      <c r="H52" s="45"/>
      <c r="I52" s="45"/>
      <c r="J52" s="45"/>
      <c r="K52" s="45"/>
      <c r="L52" s="45"/>
    </row>
    <row r="53" spans="1:13">
      <c r="A53" s="19" t="s">
        <v>491</v>
      </c>
      <c r="B53" s="19" t="s">
        <v>492</v>
      </c>
      <c r="C53" s="19" t="s">
        <v>493</v>
      </c>
      <c r="D53" s="19" t="str">
        <f>"0,6134"</f>
        <v>0,6134</v>
      </c>
      <c r="E53" s="19" t="s">
        <v>67</v>
      </c>
      <c r="F53" s="19" t="s">
        <v>21</v>
      </c>
      <c r="G53" s="21" t="s">
        <v>84</v>
      </c>
      <c r="H53" s="21" t="s">
        <v>81</v>
      </c>
      <c r="I53" s="21" t="s">
        <v>375</v>
      </c>
      <c r="J53" s="20"/>
      <c r="K53" s="19" t="str">
        <f>"110,0"</f>
        <v>110,0</v>
      </c>
      <c r="L53" s="21" t="str">
        <f>"82,9998"</f>
        <v>82,9998</v>
      </c>
      <c r="M53" s="19" t="s">
        <v>24</v>
      </c>
    </row>
    <row r="54" spans="1:13">
      <c r="A54" s="25" t="s">
        <v>495</v>
      </c>
      <c r="B54" s="25" t="s">
        <v>496</v>
      </c>
      <c r="C54" s="25" t="s">
        <v>497</v>
      </c>
      <c r="D54" s="25" t="str">
        <f>"0,5865"</f>
        <v>0,5865</v>
      </c>
      <c r="E54" s="25" t="s">
        <v>101</v>
      </c>
      <c r="F54" s="25" t="s">
        <v>108</v>
      </c>
      <c r="G54" s="27" t="s">
        <v>498</v>
      </c>
      <c r="H54" s="27" t="s">
        <v>499</v>
      </c>
      <c r="I54" s="26" t="s">
        <v>500</v>
      </c>
      <c r="J54" s="26"/>
      <c r="K54" s="25" t="str">
        <f>"250,0"</f>
        <v>250,0</v>
      </c>
      <c r="L54" s="27" t="str">
        <f>"148,0912"</f>
        <v>148,0912</v>
      </c>
      <c r="M54" s="25" t="s">
        <v>24</v>
      </c>
    </row>
    <row r="55" spans="1:13">
      <c r="A55" s="25" t="s">
        <v>502</v>
      </c>
      <c r="B55" s="25" t="s">
        <v>503</v>
      </c>
      <c r="C55" s="25" t="s">
        <v>259</v>
      </c>
      <c r="D55" s="25" t="str">
        <f>"0,5897"</f>
        <v>0,5897</v>
      </c>
      <c r="E55" s="25" t="s">
        <v>175</v>
      </c>
      <c r="F55" s="25" t="s">
        <v>21</v>
      </c>
      <c r="G55" s="27" t="s">
        <v>473</v>
      </c>
      <c r="H55" s="26" t="s">
        <v>474</v>
      </c>
      <c r="I55" s="26" t="s">
        <v>474</v>
      </c>
      <c r="J55" s="26"/>
      <c r="K55" s="25" t="str">
        <f>"205,0"</f>
        <v>205,0</v>
      </c>
      <c r="L55" s="27" t="str">
        <f>"120,8885"</f>
        <v>120,8885</v>
      </c>
      <c r="M55" s="25" t="s">
        <v>24</v>
      </c>
    </row>
    <row r="56" spans="1:13">
      <c r="A56" s="25" t="s">
        <v>495</v>
      </c>
      <c r="B56" s="25" t="s">
        <v>504</v>
      </c>
      <c r="C56" s="25" t="s">
        <v>497</v>
      </c>
      <c r="D56" s="25" t="str">
        <f>"0,5865"</f>
        <v>0,5865</v>
      </c>
      <c r="E56" s="25" t="s">
        <v>101</v>
      </c>
      <c r="F56" s="25" t="s">
        <v>108</v>
      </c>
      <c r="G56" s="27" t="s">
        <v>498</v>
      </c>
      <c r="H56" s="27" t="s">
        <v>499</v>
      </c>
      <c r="I56" s="26" t="s">
        <v>500</v>
      </c>
      <c r="J56" s="26"/>
      <c r="K56" s="25" t="str">
        <f>"250,0"</f>
        <v>250,0</v>
      </c>
      <c r="L56" s="27" t="str">
        <f>"146,6250"</f>
        <v>146,6250</v>
      </c>
      <c r="M56" s="25" t="s">
        <v>24</v>
      </c>
    </row>
    <row r="57" spans="1:13">
      <c r="A57" s="25" t="s">
        <v>506</v>
      </c>
      <c r="B57" s="25" t="s">
        <v>507</v>
      </c>
      <c r="C57" s="25" t="s">
        <v>508</v>
      </c>
      <c r="D57" s="25" t="str">
        <f>"0,5861"</f>
        <v>0,5861</v>
      </c>
      <c r="E57" s="25" t="s">
        <v>20</v>
      </c>
      <c r="F57" s="25" t="s">
        <v>21</v>
      </c>
      <c r="G57" s="27" t="s">
        <v>433</v>
      </c>
      <c r="H57" s="27" t="s">
        <v>465</v>
      </c>
      <c r="I57" s="27" t="s">
        <v>75</v>
      </c>
      <c r="J57" s="26"/>
      <c r="K57" s="25" t="str">
        <f>"240,0"</f>
        <v>240,0</v>
      </c>
      <c r="L57" s="27" t="str">
        <f>"140,6640"</f>
        <v>140,6640</v>
      </c>
      <c r="M57" s="25" t="s">
        <v>24</v>
      </c>
    </row>
    <row r="58" spans="1:13">
      <c r="A58" s="25" t="s">
        <v>273</v>
      </c>
      <c r="B58" s="25" t="s">
        <v>274</v>
      </c>
      <c r="C58" s="25" t="s">
        <v>275</v>
      </c>
      <c r="D58" s="25" t="str">
        <f>"0,5924"</f>
        <v>0,5924</v>
      </c>
      <c r="E58" s="25" t="s">
        <v>161</v>
      </c>
      <c r="F58" s="25" t="s">
        <v>21</v>
      </c>
      <c r="G58" s="27" t="s">
        <v>32</v>
      </c>
      <c r="H58" s="27" t="s">
        <v>33</v>
      </c>
      <c r="I58" s="27" t="s">
        <v>509</v>
      </c>
      <c r="J58" s="26"/>
      <c r="K58" s="25" t="str">
        <f>"192,5"</f>
        <v>192,5</v>
      </c>
      <c r="L58" s="27" t="str">
        <f>"114,0370"</f>
        <v>114,0370</v>
      </c>
      <c r="M58" s="25" t="s">
        <v>24</v>
      </c>
    </row>
    <row r="59" spans="1:13">
      <c r="A59" s="22" t="s">
        <v>511</v>
      </c>
      <c r="B59" s="22" t="s">
        <v>512</v>
      </c>
      <c r="C59" s="22" t="s">
        <v>513</v>
      </c>
      <c r="D59" s="22" t="str">
        <f>"0,6027"</f>
        <v>0,6027</v>
      </c>
      <c r="E59" s="22" t="s">
        <v>101</v>
      </c>
      <c r="F59" s="22" t="s">
        <v>21</v>
      </c>
      <c r="G59" s="24" t="s">
        <v>33</v>
      </c>
      <c r="H59" s="24" t="s">
        <v>68</v>
      </c>
      <c r="I59" s="23" t="s">
        <v>514</v>
      </c>
      <c r="J59" s="23"/>
      <c r="K59" s="22" t="str">
        <f>"190,0"</f>
        <v>190,0</v>
      </c>
      <c r="L59" s="24" t="str">
        <f>"114,5130"</f>
        <v>114,5130</v>
      </c>
      <c r="M59" s="22" t="s">
        <v>24</v>
      </c>
    </row>
    <row r="61" spans="1:13" ht="15">
      <c r="A61" s="45" t="s">
        <v>69</v>
      </c>
      <c r="B61" s="45"/>
      <c r="C61" s="45"/>
      <c r="D61" s="45"/>
      <c r="E61" s="45"/>
      <c r="F61" s="45"/>
      <c r="G61" s="45"/>
      <c r="H61" s="45"/>
      <c r="I61" s="45"/>
      <c r="J61" s="45"/>
      <c r="K61" s="45"/>
      <c r="L61" s="45"/>
    </row>
    <row r="62" spans="1:13">
      <c r="A62" s="19" t="s">
        <v>515</v>
      </c>
      <c r="B62" s="19" t="s">
        <v>292</v>
      </c>
      <c r="C62" s="19" t="s">
        <v>293</v>
      </c>
      <c r="D62" s="19" t="str">
        <f>"0,5580"</f>
        <v>0,5580</v>
      </c>
      <c r="E62" s="19" t="s">
        <v>101</v>
      </c>
      <c r="F62" s="19" t="s">
        <v>21</v>
      </c>
      <c r="G62" s="21" t="s">
        <v>80</v>
      </c>
      <c r="H62" s="21" t="s">
        <v>498</v>
      </c>
      <c r="I62" s="21" t="s">
        <v>75</v>
      </c>
      <c r="J62" s="20"/>
      <c r="K62" s="19" t="str">
        <f>"240,0"</f>
        <v>240,0</v>
      </c>
      <c r="L62" s="21" t="str">
        <f>"133,9080"</f>
        <v>133,9080</v>
      </c>
      <c r="M62" s="19" t="s">
        <v>24</v>
      </c>
    </row>
    <row r="63" spans="1:13">
      <c r="A63" s="25" t="s">
        <v>517</v>
      </c>
      <c r="B63" s="25" t="s">
        <v>518</v>
      </c>
      <c r="C63" s="25" t="s">
        <v>79</v>
      </c>
      <c r="D63" s="25" t="str">
        <f>"0,5751"</f>
        <v>0,5751</v>
      </c>
      <c r="E63" s="25" t="s">
        <v>101</v>
      </c>
      <c r="F63" s="25" t="s">
        <v>108</v>
      </c>
      <c r="G63" s="26" t="s">
        <v>500</v>
      </c>
      <c r="H63" s="27" t="s">
        <v>500</v>
      </c>
      <c r="I63" s="27" t="s">
        <v>519</v>
      </c>
      <c r="J63" s="26"/>
      <c r="K63" s="25" t="str">
        <f>"290,0"</f>
        <v>290,0</v>
      </c>
      <c r="L63" s="27" t="str">
        <f>"166,7790"</f>
        <v>166,7790</v>
      </c>
      <c r="M63" s="25" t="s">
        <v>24</v>
      </c>
    </row>
    <row r="64" spans="1:13">
      <c r="A64" s="25" t="s">
        <v>521</v>
      </c>
      <c r="B64" s="25" t="s">
        <v>522</v>
      </c>
      <c r="C64" s="25" t="s">
        <v>523</v>
      </c>
      <c r="D64" s="25" t="str">
        <f>"0,5587"</f>
        <v>0,5587</v>
      </c>
      <c r="E64" s="25" t="s">
        <v>74</v>
      </c>
      <c r="F64" s="25" t="s">
        <v>21</v>
      </c>
      <c r="G64" s="27" t="s">
        <v>498</v>
      </c>
      <c r="H64" s="27" t="s">
        <v>75</v>
      </c>
      <c r="I64" s="27" t="s">
        <v>524</v>
      </c>
      <c r="J64" s="26"/>
      <c r="K64" s="25" t="str">
        <f>"255,0"</f>
        <v>255,0</v>
      </c>
      <c r="L64" s="27" t="str">
        <f>"142,4812"</f>
        <v>142,4812</v>
      </c>
      <c r="M64" s="25" t="s">
        <v>24</v>
      </c>
    </row>
    <row r="65" spans="1:13">
      <c r="A65" s="25" t="s">
        <v>525</v>
      </c>
      <c r="B65" s="25" t="s">
        <v>314</v>
      </c>
      <c r="C65" s="25" t="s">
        <v>315</v>
      </c>
      <c r="D65" s="25" t="str">
        <f>"0,5543"</f>
        <v>0,5543</v>
      </c>
      <c r="E65" s="25" t="s">
        <v>74</v>
      </c>
      <c r="F65" s="25" t="s">
        <v>21</v>
      </c>
      <c r="G65" s="27" t="s">
        <v>433</v>
      </c>
      <c r="H65" s="27" t="s">
        <v>473</v>
      </c>
      <c r="I65" s="27" t="s">
        <v>80</v>
      </c>
      <c r="J65" s="26"/>
      <c r="K65" s="25" t="str">
        <f>"210,0"</f>
        <v>210,0</v>
      </c>
      <c r="L65" s="27" t="str">
        <f>"116,4030"</f>
        <v>116,4030</v>
      </c>
      <c r="M65" s="25" t="s">
        <v>24</v>
      </c>
    </row>
    <row r="66" spans="1:13">
      <c r="A66" s="22" t="s">
        <v>526</v>
      </c>
      <c r="B66" s="22" t="s">
        <v>72</v>
      </c>
      <c r="C66" s="22" t="s">
        <v>73</v>
      </c>
      <c r="D66" s="22" t="str">
        <f>"0,5583"</f>
        <v>0,5583</v>
      </c>
      <c r="E66" s="22" t="s">
        <v>74</v>
      </c>
      <c r="F66" s="22" t="s">
        <v>21</v>
      </c>
      <c r="G66" s="23" t="s">
        <v>75</v>
      </c>
      <c r="H66" s="23" t="s">
        <v>527</v>
      </c>
      <c r="I66" s="23" t="s">
        <v>527</v>
      </c>
      <c r="J66" s="23"/>
      <c r="K66" s="22" t="str">
        <f>"0,0"</f>
        <v>0,0</v>
      </c>
      <c r="L66" s="24" t="str">
        <f>"0,0000"</f>
        <v>0,0000</v>
      </c>
      <c r="M66" s="22" t="s">
        <v>24</v>
      </c>
    </row>
    <row r="68" spans="1:13" ht="15">
      <c r="A68" s="45" t="s">
        <v>317</v>
      </c>
      <c r="B68" s="45"/>
      <c r="C68" s="45"/>
      <c r="D68" s="45"/>
      <c r="E68" s="45"/>
      <c r="F68" s="45"/>
      <c r="G68" s="45"/>
      <c r="H68" s="45"/>
      <c r="I68" s="45"/>
      <c r="J68" s="45"/>
      <c r="K68" s="45"/>
      <c r="L68" s="45"/>
    </row>
    <row r="69" spans="1:13">
      <c r="A69" s="19" t="s">
        <v>529</v>
      </c>
      <c r="B69" s="19" t="s">
        <v>530</v>
      </c>
      <c r="C69" s="19" t="s">
        <v>531</v>
      </c>
      <c r="D69" s="19" t="str">
        <f>"0,5519"</f>
        <v>0,5519</v>
      </c>
      <c r="E69" s="19" t="s">
        <v>167</v>
      </c>
      <c r="F69" s="19" t="s">
        <v>108</v>
      </c>
      <c r="G69" s="21" t="s">
        <v>498</v>
      </c>
      <c r="H69" s="21" t="s">
        <v>524</v>
      </c>
      <c r="I69" s="21" t="s">
        <v>532</v>
      </c>
      <c r="J69" s="20"/>
      <c r="K69" s="19" t="str">
        <f>"275,0"</f>
        <v>275,0</v>
      </c>
      <c r="L69" s="21" t="str">
        <f>"151,7725"</f>
        <v>151,7725</v>
      </c>
      <c r="M69" s="19" t="s">
        <v>24</v>
      </c>
    </row>
    <row r="70" spans="1:13">
      <c r="A70" s="22" t="s">
        <v>534</v>
      </c>
      <c r="B70" s="22" t="s">
        <v>535</v>
      </c>
      <c r="C70" s="22" t="s">
        <v>536</v>
      </c>
      <c r="D70" s="22" t="str">
        <f>"0,5375"</f>
        <v>0,5375</v>
      </c>
      <c r="E70" s="22" t="s">
        <v>20</v>
      </c>
      <c r="F70" s="22" t="s">
        <v>21</v>
      </c>
      <c r="G70" s="24" t="s">
        <v>474</v>
      </c>
      <c r="H70" s="23" t="s">
        <v>537</v>
      </c>
      <c r="I70" s="24" t="s">
        <v>498</v>
      </c>
      <c r="J70" s="23"/>
      <c r="K70" s="22" t="str">
        <f>"230,0"</f>
        <v>230,0</v>
      </c>
      <c r="L70" s="24" t="str">
        <f>"123,6250"</f>
        <v>123,6250</v>
      </c>
      <c r="M70" s="22" t="s">
        <v>24</v>
      </c>
    </row>
    <row r="72" spans="1:13" ht="15">
      <c r="E72" s="11" t="s">
        <v>34</v>
      </c>
    </row>
    <row r="73" spans="1:13" ht="15">
      <c r="E73" s="11" t="s">
        <v>35</v>
      </c>
    </row>
    <row r="74" spans="1:13" ht="15">
      <c r="E74" s="11" t="s">
        <v>36</v>
      </c>
    </row>
    <row r="75" spans="1:13" ht="15">
      <c r="E75" s="11" t="s">
        <v>37</v>
      </c>
    </row>
    <row r="76" spans="1:13" ht="15">
      <c r="E76" s="11" t="s">
        <v>37</v>
      </c>
    </row>
    <row r="77" spans="1:13" ht="15">
      <c r="E77" s="11" t="s">
        <v>38</v>
      </c>
    </row>
    <row r="78" spans="1:13" ht="15">
      <c r="E78" s="11"/>
    </row>
    <row r="80" spans="1:13" ht="18">
      <c r="A80" s="12" t="s">
        <v>39</v>
      </c>
      <c r="B80" s="12"/>
    </row>
    <row r="81" spans="1:5" ht="15">
      <c r="A81" s="13" t="s">
        <v>332</v>
      </c>
      <c r="B81" s="13"/>
    </row>
    <row r="82" spans="1:5" ht="14.25">
      <c r="A82" s="15"/>
      <c r="B82" s="16" t="s">
        <v>50</v>
      </c>
    </row>
    <row r="83" spans="1:5" ht="15">
      <c r="A83" s="17" t="s">
        <v>42</v>
      </c>
      <c r="B83" s="17" t="s">
        <v>43</v>
      </c>
      <c r="C83" s="17" t="s">
        <v>44</v>
      </c>
      <c r="D83" s="17" t="s">
        <v>45</v>
      </c>
      <c r="E83" s="17" t="s">
        <v>46</v>
      </c>
    </row>
    <row r="84" spans="1:5">
      <c r="A84" s="14" t="s">
        <v>410</v>
      </c>
      <c r="B84" s="5" t="s">
        <v>50</v>
      </c>
      <c r="C84" s="5" t="s">
        <v>538</v>
      </c>
      <c r="D84" s="5" t="s">
        <v>210</v>
      </c>
      <c r="E84" s="18" t="s">
        <v>539</v>
      </c>
    </row>
    <row r="85" spans="1:5">
      <c r="A85" s="14" t="s">
        <v>97</v>
      </c>
      <c r="B85" s="5" t="s">
        <v>50</v>
      </c>
      <c r="C85" s="5" t="s">
        <v>96</v>
      </c>
      <c r="D85" s="5" t="s">
        <v>145</v>
      </c>
      <c r="E85" s="18" t="s">
        <v>540</v>
      </c>
    </row>
    <row r="86" spans="1:5">
      <c r="A86" s="14" t="s">
        <v>124</v>
      </c>
      <c r="B86" s="5" t="s">
        <v>50</v>
      </c>
      <c r="C86" s="5" t="s">
        <v>162</v>
      </c>
      <c r="D86" s="5" t="s">
        <v>145</v>
      </c>
      <c r="E86" s="18" t="s">
        <v>541</v>
      </c>
    </row>
    <row r="87" spans="1:5">
      <c r="A87" s="14" t="s">
        <v>104</v>
      </c>
      <c r="B87" s="5" t="s">
        <v>50</v>
      </c>
      <c r="C87" s="5" t="s">
        <v>96</v>
      </c>
      <c r="D87" s="5" t="s">
        <v>81</v>
      </c>
      <c r="E87" s="18" t="s">
        <v>542</v>
      </c>
    </row>
    <row r="88" spans="1:5">
      <c r="A88" s="14" t="s">
        <v>110</v>
      </c>
      <c r="B88" s="5" t="s">
        <v>50</v>
      </c>
      <c r="C88" s="5" t="s">
        <v>116</v>
      </c>
      <c r="D88" s="5" t="s">
        <v>81</v>
      </c>
      <c r="E88" s="18" t="s">
        <v>543</v>
      </c>
    </row>
    <row r="89" spans="1:5">
      <c r="A89" s="14" t="s">
        <v>424</v>
      </c>
      <c r="B89" s="5" t="s">
        <v>50</v>
      </c>
      <c r="C89" s="5" t="s">
        <v>162</v>
      </c>
      <c r="D89" s="5" t="s">
        <v>81</v>
      </c>
      <c r="E89" s="18" t="s">
        <v>544</v>
      </c>
    </row>
    <row r="90" spans="1:5">
      <c r="A90" s="14" t="s">
        <v>416</v>
      </c>
      <c r="B90" s="5" t="s">
        <v>50</v>
      </c>
      <c r="C90" s="5" t="s">
        <v>538</v>
      </c>
      <c r="D90" s="5" t="s">
        <v>421</v>
      </c>
      <c r="E90" s="18" t="s">
        <v>545</v>
      </c>
    </row>
    <row r="91" spans="1:5">
      <c r="A91" s="14" t="s">
        <v>118</v>
      </c>
      <c r="B91" s="5" t="s">
        <v>50</v>
      </c>
      <c r="C91" s="5" t="s">
        <v>116</v>
      </c>
      <c r="D91" s="5" t="s">
        <v>84</v>
      </c>
      <c r="E91" s="18" t="s">
        <v>546</v>
      </c>
    </row>
    <row r="93" spans="1:5" ht="14.25">
      <c r="A93" s="15"/>
      <c r="B93" s="16" t="s">
        <v>342</v>
      </c>
    </row>
    <row r="94" spans="1:5" ht="15">
      <c r="A94" s="17" t="s">
        <v>42</v>
      </c>
      <c r="B94" s="17" t="s">
        <v>43</v>
      </c>
      <c r="C94" s="17" t="s">
        <v>44</v>
      </c>
      <c r="D94" s="17" t="s">
        <v>45</v>
      </c>
      <c r="E94" s="17" t="s">
        <v>46</v>
      </c>
    </row>
    <row r="95" spans="1:5">
      <c r="A95" s="14" t="s">
        <v>110</v>
      </c>
      <c r="B95" s="5" t="s">
        <v>343</v>
      </c>
      <c r="C95" s="5" t="s">
        <v>116</v>
      </c>
      <c r="D95" s="5" t="s">
        <v>81</v>
      </c>
      <c r="E95" s="18" t="s">
        <v>547</v>
      </c>
    </row>
    <row r="96" spans="1:5">
      <c r="A96" s="14" t="s">
        <v>428</v>
      </c>
      <c r="B96" s="5" t="s">
        <v>548</v>
      </c>
      <c r="C96" s="5" t="s">
        <v>51</v>
      </c>
      <c r="D96" s="5" t="s">
        <v>432</v>
      </c>
      <c r="E96" s="18" t="s">
        <v>549</v>
      </c>
    </row>
    <row r="99" spans="1:5" ht="15">
      <c r="A99" s="13" t="s">
        <v>40</v>
      </c>
      <c r="B99" s="13"/>
    </row>
    <row r="100" spans="1:5" ht="14.25">
      <c r="A100" s="15"/>
      <c r="B100" s="16" t="s">
        <v>41</v>
      </c>
    </row>
    <row r="101" spans="1:5" ht="15">
      <c r="A101" s="17" t="s">
        <v>42</v>
      </c>
      <c r="B101" s="17" t="s">
        <v>43</v>
      </c>
      <c r="C101" s="17" t="s">
        <v>44</v>
      </c>
      <c r="D101" s="17" t="s">
        <v>45</v>
      </c>
      <c r="E101" s="17" t="s">
        <v>46</v>
      </c>
    </row>
    <row r="102" spans="1:5">
      <c r="A102" s="14" t="s">
        <v>446</v>
      </c>
      <c r="B102" s="5" t="s">
        <v>47</v>
      </c>
      <c r="C102" s="5" t="s">
        <v>51</v>
      </c>
      <c r="D102" s="5" t="s">
        <v>450</v>
      </c>
      <c r="E102" s="18" t="s">
        <v>550</v>
      </c>
    </row>
    <row r="103" spans="1:5">
      <c r="A103" s="14" t="s">
        <v>171</v>
      </c>
      <c r="B103" s="5" t="s">
        <v>347</v>
      </c>
      <c r="C103" s="5" t="s">
        <v>162</v>
      </c>
      <c r="D103" s="5" t="s">
        <v>435</v>
      </c>
      <c r="E103" s="18" t="s">
        <v>551</v>
      </c>
    </row>
    <row r="104" spans="1:5">
      <c r="A104" s="14" t="s">
        <v>455</v>
      </c>
      <c r="B104" s="5" t="s">
        <v>345</v>
      </c>
      <c r="C104" s="5" t="s">
        <v>51</v>
      </c>
      <c r="D104" s="5" t="s">
        <v>433</v>
      </c>
      <c r="E104" s="18" t="s">
        <v>552</v>
      </c>
    </row>
    <row r="105" spans="1:5">
      <c r="A105" s="14" t="s">
        <v>451</v>
      </c>
      <c r="B105" s="5" t="s">
        <v>347</v>
      </c>
      <c r="C105" s="5" t="s">
        <v>51</v>
      </c>
      <c r="D105" s="5" t="s">
        <v>68</v>
      </c>
      <c r="E105" s="18" t="s">
        <v>553</v>
      </c>
    </row>
    <row r="106" spans="1:5">
      <c r="A106" s="14" t="s">
        <v>206</v>
      </c>
      <c r="B106" s="5" t="s">
        <v>345</v>
      </c>
      <c r="C106" s="5" t="s">
        <v>51</v>
      </c>
      <c r="D106" s="5" t="s">
        <v>323</v>
      </c>
      <c r="E106" s="18" t="s">
        <v>554</v>
      </c>
    </row>
    <row r="107" spans="1:5">
      <c r="A107" s="14" t="s">
        <v>436</v>
      </c>
      <c r="B107" s="5" t="s">
        <v>345</v>
      </c>
      <c r="C107" s="5" t="s">
        <v>162</v>
      </c>
      <c r="D107" s="5" t="s">
        <v>146</v>
      </c>
      <c r="E107" s="18" t="s">
        <v>555</v>
      </c>
    </row>
    <row r="108" spans="1:5">
      <c r="A108" s="14" t="s">
        <v>129</v>
      </c>
      <c r="B108" s="5" t="s">
        <v>47</v>
      </c>
      <c r="C108" s="5" t="s">
        <v>352</v>
      </c>
      <c r="D108" s="5" t="s">
        <v>115</v>
      </c>
      <c r="E108" s="18" t="s">
        <v>556</v>
      </c>
    </row>
    <row r="109" spans="1:5">
      <c r="A109" s="14" t="s">
        <v>490</v>
      </c>
      <c r="B109" s="5" t="s">
        <v>47</v>
      </c>
      <c r="C109" s="5" t="s">
        <v>84</v>
      </c>
      <c r="D109" s="5" t="s">
        <v>375</v>
      </c>
      <c r="E109" s="18" t="s">
        <v>557</v>
      </c>
    </row>
    <row r="111" spans="1:5" ht="14.25">
      <c r="A111" s="15"/>
      <c r="B111" s="16" t="s">
        <v>356</v>
      </c>
    </row>
    <row r="112" spans="1:5" ht="15">
      <c r="A112" s="17" t="s">
        <v>42</v>
      </c>
      <c r="B112" s="17" t="s">
        <v>43</v>
      </c>
      <c r="C112" s="17" t="s">
        <v>44</v>
      </c>
      <c r="D112" s="17" t="s">
        <v>45</v>
      </c>
      <c r="E112" s="17" t="s">
        <v>46</v>
      </c>
    </row>
    <row r="113" spans="1:5">
      <c r="A113" s="14" t="s">
        <v>141</v>
      </c>
      <c r="B113" s="5" t="s">
        <v>334</v>
      </c>
      <c r="C113" s="5" t="s">
        <v>116</v>
      </c>
      <c r="D113" s="5" t="s">
        <v>433</v>
      </c>
      <c r="E113" s="18" t="s">
        <v>558</v>
      </c>
    </row>
    <row r="114" spans="1:5">
      <c r="A114" s="14" t="s">
        <v>494</v>
      </c>
      <c r="B114" s="5" t="s">
        <v>334</v>
      </c>
      <c r="C114" s="5" t="s">
        <v>84</v>
      </c>
      <c r="D114" s="5" t="s">
        <v>499</v>
      </c>
      <c r="E114" s="18" t="s">
        <v>559</v>
      </c>
    </row>
    <row r="115" spans="1:5">
      <c r="A115" s="14" t="s">
        <v>290</v>
      </c>
      <c r="B115" s="5" t="s">
        <v>334</v>
      </c>
      <c r="C115" s="5" t="s">
        <v>81</v>
      </c>
      <c r="D115" s="5" t="s">
        <v>75</v>
      </c>
      <c r="E115" s="18" t="s">
        <v>560</v>
      </c>
    </row>
    <row r="116" spans="1:5">
      <c r="A116" s="14" t="s">
        <v>501</v>
      </c>
      <c r="B116" s="5" t="s">
        <v>334</v>
      </c>
      <c r="C116" s="5" t="s">
        <v>84</v>
      </c>
      <c r="D116" s="5" t="s">
        <v>473</v>
      </c>
      <c r="E116" s="18" t="s">
        <v>561</v>
      </c>
    </row>
    <row r="117" spans="1:5">
      <c r="A117" s="14" t="s">
        <v>438</v>
      </c>
      <c r="B117" s="5" t="s">
        <v>334</v>
      </c>
      <c r="C117" s="5" t="s">
        <v>162</v>
      </c>
      <c r="D117" s="5" t="s">
        <v>265</v>
      </c>
      <c r="E117" s="18" t="s">
        <v>562</v>
      </c>
    </row>
    <row r="118" spans="1:5">
      <c r="A118" s="14" t="s">
        <v>443</v>
      </c>
      <c r="B118" s="5" t="s">
        <v>334</v>
      </c>
      <c r="C118" s="5" t="s">
        <v>162</v>
      </c>
      <c r="D118" s="5" t="s">
        <v>146</v>
      </c>
      <c r="E118" s="18" t="s">
        <v>563</v>
      </c>
    </row>
    <row r="120" spans="1:5" ht="14.25">
      <c r="A120" s="15"/>
      <c r="B120" s="16" t="s">
        <v>50</v>
      </c>
    </row>
    <row r="121" spans="1:5" ht="15">
      <c r="A121" s="17" t="s">
        <v>42</v>
      </c>
      <c r="B121" s="17" t="s">
        <v>43</v>
      </c>
      <c r="C121" s="17" t="s">
        <v>44</v>
      </c>
      <c r="D121" s="17" t="s">
        <v>45</v>
      </c>
      <c r="E121" s="17" t="s">
        <v>46</v>
      </c>
    </row>
    <row r="122" spans="1:5">
      <c r="A122" s="14" t="s">
        <v>516</v>
      </c>
      <c r="B122" s="5" t="s">
        <v>50</v>
      </c>
      <c r="C122" s="5" t="s">
        <v>81</v>
      </c>
      <c r="D122" s="5" t="s">
        <v>519</v>
      </c>
      <c r="E122" s="18" t="s">
        <v>564</v>
      </c>
    </row>
    <row r="123" spans="1:5">
      <c r="A123" s="14" t="s">
        <v>528</v>
      </c>
      <c r="B123" s="5" t="s">
        <v>50</v>
      </c>
      <c r="C123" s="5" t="s">
        <v>375</v>
      </c>
      <c r="D123" s="5" t="s">
        <v>532</v>
      </c>
      <c r="E123" s="18" t="s">
        <v>565</v>
      </c>
    </row>
    <row r="124" spans="1:5">
      <c r="A124" s="14" t="s">
        <v>494</v>
      </c>
      <c r="B124" s="5" t="s">
        <v>50</v>
      </c>
      <c r="C124" s="5" t="s">
        <v>84</v>
      </c>
      <c r="D124" s="5" t="s">
        <v>499</v>
      </c>
      <c r="E124" s="18" t="s">
        <v>566</v>
      </c>
    </row>
    <row r="125" spans="1:5">
      <c r="A125" s="14" t="s">
        <v>520</v>
      </c>
      <c r="B125" s="5" t="s">
        <v>50</v>
      </c>
      <c r="C125" s="5" t="s">
        <v>81</v>
      </c>
      <c r="D125" s="5" t="s">
        <v>524</v>
      </c>
      <c r="E125" s="18" t="s">
        <v>567</v>
      </c>
    </row>
    <row r="126" spans="1:5">
      <c r="A126" s="14" t="s">
        <v>505</v>
      </c>
      <c r="B126" s="5" t="s">
        <v>50</v>
      </c>
      <c r="C126" s="5" t="s">
        <v>84</v>
      </c>
      <c r="D126" s="5" t="s">
        <v>75</v>
      </c>
      <c r="E126" s="18" t="s">
        <v>568</v>
      </c>
    </row>
    <row r="127" spans="1:5">
      <c r="A127" s="14" t="s">
        <v>460</v>
      </c>
      <c r="B127" s="5" t="s">
        <v>50</v>
      </c>
      <c r="C127" s="5" t="s">
        <v>51</v>
      </c>
      <c r="D127" s="5" t="s">
        <v>465</v>
      </c>
      <c r="E127" s="18" t="s">
        <v>569</v>
      </c>
    </row>
    <row r="128" spans="1:5">
      <c r="A128" s="14" t="s">
        <v>466</v>
      </c>
      <c r="B128" s="5" t="s">
        <v>50</v>
      </c>
      <c r="C128" s="5" t="s">
        <v>51</v>
      </c>
      <c r="D128" s="5" t="s">
        <v>80</v>
      </c>
      <c r="E128" s="18" t="s">
        <v>570</v>
      </c>
    </row>
    <row r="129" spans="1:5">
      <c r="A129" s="14" t="s">
        <v>469</v>
      </c>
      <c r="B129" s="5" t="s">
        <v>50</v>
      </c>
      <c r="C129" s="5" t="s">
        <v>51</v>
      </c>
      <c r="D129" s="5" t="s">
        <v>473</v>
      </c>
      <c r="E129" s="18" t="s">
        <v>571</v>
      </c>
    </row>
    <row r="130" spans="1:5">
      <c r="A130" s="14" t="s">
        <v>475</v>
      </c>
      <c r="B130" s="5" t="s">
        <v>50</v>
      </c>
      <c r="C130" s="5" t="s">
        <v>51</v>
      </c>
      <c r="D130" s="5" t="s">
        <v>433</v>
      </c>
      <c r="E130" s="18" t="s">
        <v>572</v>
      </c>
    </row>
    <row r="131" spans="1:5">
      <c r="A131" s="14" t="s">
        <v>533</v>
      </c>
      <c r="B131" s="5" t="s">
        <v>50</v>
      </c>
      <c r="C131" s="5" t="s">
        <v>375</v>
      </c>
      <c r="D131" s="5" t="s">
        <v>498</v>
      </c>
      <c r="E131" s="18" t="s">
        <v>573</v>
      </c>
    </row>
    <row r="132" spans="1:5">
      <c r="A132" s="14" t="s">
        <v>312</v>
      </c>
      <c r="B132" s="5" t="s">
        <v>50</v>
      </c>
      <c r="C132" s="5" t="s">
        <v>81</v>
      </c>
      <c r="D132" s="5" t="s">
        <v>80</v>
      </c>
      <c r="E132" s="18" t="s">
        <v>574</v>
      </c>
    </row>
    <row r="133" spans="1:5">
      <c r="A133" s="14" t="s">
        <v>510</v>
      </c>
      <c r="B133" s="5" t="s">
        <v>50</v>
      </c>
      <c r="C133" s="5" t="s">
        <v>84</v>
      </c>
      <c r="D133" s="5" t="s">
        <v>68</v>
      </c>
      <c r="E133" s="18" t="s">
        <v>575</v>
      </c>
    </row>
    <row r="134" spans="1:5">
      <c r="A134" s="14" t="s">
        <v>272</v>
      </c>
      <c r="B134" s="5" t="s">
        <v>50</v>
      </c>
      <c r="C134" s="5" t="s">
        <v>84</v>
      </c>
      <c r="D134" s="5" t="s">
        <v>509</v>
      </c>
      <c r="E134" s="18" t="s">
        <v>576</v>
      </c>
    </row>
    <row r="135" spans="1:5">
      <c r="A135" s="14" t="s">
        <v>235</v>
      </c>
      <c r="B135" s="5" t="s">
        <v>50</v>
      </c>
      <c r="C135" s="5" t="s">
        <v>51</v>
      </c>
      <c r="D135" s="5" t="s">
        <v>247</v>
      </c>
      <c r="E135" s="18" t="s">
        <v>577</v>
      </c>
    </row>
    <row r="137" spans="1:5" ht="14.25">
      <c r="A137" s="15"/>
      <c r="B137" s="16" t="s">
        <v>342</v>
      </c>
    </row>
    <row r="138" spans="1:5" ht="15">
      <c r="A138" s="17" t="s">
        <v>42</v>
      </c>
      <c r="B138" s="17" t="s">
        <v>43</v>
      </c>
      <c r="C138" s="17" t="s">
        <v>44</v>
      </c>
      <c r="D138" s="17" t="s">
        <v>45</v>
      </c>
      <c r="E138" s="17" t="s">
        <v>46</v>
      </c>
    </row>
    <row r="139" spans="1:5">
      <c r="A139" s="14" t="s">
        <v>466</v>
      </c>
      <c r="B139" s="5" t="s">
        <v>343</v>
      </c>
      <c r="C139" s="5" t="s">
        <v>51</v>
      </c>
      <c r="D139" s="5" t="s">
        <v>80</v>
      </c>
      <c r="E139" s="18" t="s">
        <v>578</v>
      </c>
    </row>
    <row r="140" spans="1:5">
      <c r="A140" s="14" t="s">
        <v>485</v>
      </c>
      <c r="B140" s="5" t="s">
        <v>548</v>
      </c>
      <c r="C140" s="5" t="s">
        <v>51</v>
      </c>
      <c r="D140" s="5" t="s">
        <v>68</v>
      </c>
      <c r="E140" s="18" t="s">
        <v>579</v>
      </c>
    </row>
    <row r="141" spans="1:5">
      <c r="A141" s="14" t="s">
        <v>481</v>
      </c>
      <c r="B141" s="5" t="s">
        <v>343</v>
      </c>
      <c r="C141" s="5" t="s">
        <v>51</v>
      </c>
      <c r="D141" s="5" t="s">
        <v>450</v>
      </c>
      <c r="E141" s="18" t="s">
        <v>580</v>
      </c>
    </row>
    <row r="146" spans="1:3" ht="18">
      <c r="A146" s="12" t="s">
        <v>53</v>
      </c>
      <c r="B146" s="12"/>
    </row>
    <row r="147" spans="1:3" ht="15">
      <c r="A147" s="17" t="s">
        <v>54</v>
      </c>
      <c r="B147" s="17" t="s">
        <v>55</v>
      </c>
      <c r="C147" s="17" t="s">
        <v>56</v>
      </c>
    </row>
    <row r="148" spans="1:3">
      <c r="A148" s="5" t="s">
        <v>101</v>
      </c>
      <c r="B148" s="5" t="s">
        <v>581</v>
      </c>
      <c r="C148" s="5" t="s">
        <v>582</v>
      </c>
    </row>
    <row r="149" spans="1:3">
      <c r="A149" s="5" t="s">
        <v>74</v>
      </c>
      <c r="B149" s="5" t="s">
        <v>583</v>
      </c>
      <c r="C149" s="5" t="s">
        <v>584</v>
      </c>
    </row>
    <row r="150" spans="1:3">
      <c r="A150" s="5" t="s">
        <v>20</v>
      </c>
      <c r="B150" s="5" t="s">
        <v>585</v>
      </c>
      <c r="C150" s="5" t="s">
        <v>586</v>
      </c>
    </row>
    <row r="151" spans="1:3">
      <c r="A151" s="5" t="s">
        <v>167</v>
      </c>
      <c r="B151" s="5" t="s">
        <v>587</v>
      </c>
      <c r="C151" s="5" t="s">
        <v>588</v>
      </c>
    </row>
    <row r="152" spans="1:3">
      <c r="A152" s="5" t="s">
        <v>442</v>
      </c>
      <c r="B152" s="5" t="s">
        <v>589</v>
      </c>
      <c r="C152" s="5" t="s">
        <v>590</v>
      </c>
    </row>
    <row r="153" spans="1:3">
      <c r="A153" s="5" t="s">
        <v>67</v>
      </c>
      <c r="B153" s="5" t="s">
        <v>589</v>
      </c>
      <c r="C153" s="5" t="s">
        <v>591</v>
      </c>
    </row>
    <row r="154" spans="1:3">
      <c r="A154" s="5" t="s">
        <v>175</v>
      </c>
      <c r="B154" s="5" t="s">
        <v>86</v>
      </c>
      <c r="C154" s="5" t="s">
        <v>592</v>
      </c>
    </row>
    <row r="155" spans="1:3">
      <c r="A155" s="5" t="s">
        <v>161</v>
      </c>
      <c r="B155" s="5" t="s">
        <v>593</v>
      </c>
      <c r="C155" s="5" t="s">
        <v>594</v>
      </c>
    </row>
    <row r="156" spans="1:3">
      <c r="A156" s="5" t="s">
        <v>30</v>
      </c>
      <c r="B156" s="5" t="s">
        <v>57</v>
      </c>
      <c r="C156" s="5" t="s">
        <v>595</v>
      </c>
    </row>
  </sheetData>
  <mergeCells count="23">
    <mergeCell ref="A1:M2"/>
    <mergeCell ref="A3:A4"/>
    <mergeCell ref="B3:B4"/>
    <mergeCell ref="C3:C4"/>
    <mergeCell ref="D3:D4"/>
    <mergeCell ref="E3:E4"/>
    <mergeCell ref="F3:F4"/>
    <mergeCell ref="G3:J3"/>
    <mergeCell ref="K3:K4"/>
    <mergeCell ref="L3:L4"/>
    <mergeCell ref="M3:M4"/>
    <mergeCell ref="A5:L5"/>
    <mergeCell ref="A9:L9"/>
    <mergeCell ref="A14:L14"/>
    <mergeCell ref="A52:L52"/>
    <mergeCell ref="A61:L61"/>
    <mergeCell ref="A68:L68"/>
    <mergeCell ref="A19:L19"/>
    <mergeCell ref="A23:L23"/>
    <mergeCell ref="A26:L26"/>
    <mergeCell ref="A29:L29"/>
    <mergeCell ref="A32:L32"/>
    <mergeCell ref="A38:L3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173"/>
  <sheetViews>
    <sheetView tabSelected="1" topLeftCell="A46" workbookViewId="0">
      <selection activeCell="A74" sqref="A74"/>
    </sheetView>
  </sheetViews>
  <sheetFormatPr defaultRowHeight="12.75"/>
  <cols>
    <col min="1" max="1" width="31.85546875" style="5" bestFit="1" customWidth="1"/>
    <col min="2" max="2" width="51.42578125" style="5" bestFit="1" customWidth="1"/>
    <col min="3" max="3" width="152.7109375" style="5" bestFit="1" customWidth="1"/>
    <col min="4" max="4" width="9.28515625" style="5" bestFit="1" customWidth="1"/>
    <col min="5" max="5" width="22.7109375" style="5" bestFit="1" customWidth="1"/>
    <col min="6" max="6" width="34.42578125" style="5" bestFit="1" customWidth="1"/>
    <col min="7" max="8" width="5.5703125" style="4" bestFit="1" customWidth="1"/>
    <col min="9" max="9" width="6.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44" t="s">
        <v>89</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2</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90</v>
      </c>
      <c r="B5" s="43"/>
      <c r="C5" s="43"/>
      <c r="D5" s="43"/>
      <c r="E5" s="43"/>
      <c r="F5" s="43"/>
      <c r="G5" s="43"/>
      <c r="H5" s="43"/>
      <c r="I5" s="43"/>
      <c r="J5" s="43"/>
      <c r="K5" s="43"/>
      <c r="L5" s="43"/>
    </row>
    <row r="6" spans="1:13">
      <c r="A6" s="19" t="s">
        <v>92</v>
      </c>
      <c r="B6" s="19" t="s">
        <v>93</v>
      </c>
      <c r="C6" s="19" t="s">
        <v>94</v>
      </c>
      <c r="D6" s="19" t="str">
        <f>"0,8915"</f>
        <v>0,8915</v>
      </c>
      <c r="E6" s="19" t="s">
        <v>74</v>
      </c>
      <c r="F6" s="19" t="s">
        <v>21</v>
      </c>
      <c r="G6" s="21" t="s">
        <v>95</v>
      </c>
      <c r="H6" s="20" t="s">
        <v>96</v>
      </c>
      <c r="I6" s="20" t="s">
        <v>96</v>
      </c>
      <c r="J6" s="20"/>
      <c r="K6" s="19" t="str">
        <f>"50,0"</f>
        <v>50,0</v>
      </c>
      <c r="L6" s="21" t="str">
        <f>"44,5750"</f>
        <v>44,5750</v>
      </c>
      <c r="M6" s="19" t="s">
        <v>24</v>
      </c>
    </row>
    <row r="7" spans="1:13">
      <c r="A7" s="25" t="s">
        <v>98</v>
      </c>
      <c r="B7" s="25" t="s">
        <v>99</v>
      </c>
      <c r="C7" s="25" t="s">
        <v>100</v>
      </c>
      <c r="D7" s="25" t="str">
        <f>"0,8731"</f>
        <v>0,8731</v>
      </c>
      <c r="E7" s="25" t="s">
        <v>101</v>
      </c>
      <c r="F7" s="25" t="s">
        <v>21</v>
      </c>
      <c r="G7" s="27" t="s">
        <v>102</v>
      </c>
      <c r="H7" s="26" t="s">
        <v>96</v>
      </c>
      <c r="I7" s="27" t="s">
        <v>103</v>
      </c>
      <c r="J7" s="26"/>
      <c r="K7" s="25" t="str">
        <f>"62,5"</f>
        <v>62,5</v>
      </c>
      <c r="L7" s="27" t="str">
        <f>"54,5719"</f>
        <v>54,5719</v>
      </c>
      <c r="M7" s="25" t="s">
        <v>24</v>
      </c>
    </row>
    <row r="8" spans="1:13">
      <c r="A8" s="22" t="s">
        <v>105</v>
      </c>
      <c r="B8" s="22" t="s">
        <v>106</v>
      </c>
      <c r="C8" s="22" t="s">
        <v>107</v>
      </c>
      <c r="D8" s="22" t="str">
        <f>"0,8647"</f>
        <v>0,8647</v>
      </c>
      <c r="E8" s="22" t="s">
        <v>74</v>
      </c>
      <c r="F8" s="22" t="s">
        <v>108</v>
      </c>
      <c r="G8" s="23" t="s">
        <v>95</v>
      </c>
      <c r="H8" s="24" t="s">
        <v>95</v>
      </c>
      <c r="I8" s="24" t="s">
        <v>102</v>
      </c>
      <c r="J8" s="23"/>
      <c r="K8" s="22" t="str">
        <f>"55,0"</f>
        <v>55,0</v>
      </c>
      <c r="L8" s="24" t="str">
        <f>"47,5558"</f>
        <v>47,5558</v>
      </c>
      <c r="M8" s="22" t="s">
        <v>24</v>
      </c>
    </row>
    <row r="10" spans="1:13" ht="15">
      <c r="A10" s="45" t="s">
        <v>109</v>
      </c>
      <c r="B10" s="45"/>
      <c r="C10" s="45"/>
      <c r="D10" s="45"/>
      <c r="E10" s="45"/>
      <c r="F10" s="45"/>
      <c r="G10" s="45"/>
      <c r="H10" s="45"/>
      <c r="I10" s="45"/>
      <c r="J10" s="45"/>
      <c r="K10" s="45"/>
      <c r="L10" s="45"/>
    </row>
    <row r="11" spans="1:13">
      <c r="A11" s="19" t="s">
        <v>111</v>
      </c>
      <c r="B11" s="19" t="s">
        <v>112</v>
      </c>
      <c r="C11" s="19" t="s">
        <v>113</v>
      </c>
      <c r="D11" s="19" t="str">
        <f>"0,7862"</f>
        <v>0,7862</v>
      </c>
      <c r="E11" s="19" t="s">
        <v>74</v>
      </c>
      <c r="F11" s="19" t="s">
        <v>114</v>
      </c>
      <c r="G11" s="21" t="s">
        <v>115</v>
      </c>
      <c r="H11" s="21" t="s">
        <v>116</v>
      </c>
      <c r="I11" s="21" t="s">
        <v>117</v>
      </c>
      <c r="J11" s="20"/>
      <c r="K11" s="19" t="str">
        <f>"70,0"</f>
        <v>70,0</v>
      </c>
      <c r="L11" s="21" t="str">
        <f>"55,0340"</f>
        <v>55,0340</v>
      </c>
      <c r="M11" s="19" t="s">
        <v>24</v>
      </c>
    </row>
    <row r="12" spans="1:13">
      <c r="A12" s="25" t="s">
        <v>119</v>
      </c>
      <c r="B12" s="25" t="s">
        <v>120</v>
      </c>
      <c r="C12" s="25" t="s">
        <v>121</v>
      </c>
      <c r="D12" s="25" t="str">
        <f>"0,8291"</f>
        <v>0,8291</v>
      </c>
      <c r="E12" s="25" t="s">
        <v>101</v>
      </c>
      <c r="F12" s="25" t="s">
        <v>108</v>
      </c>
      <c r="G12" s="27" t="s">
        <v>95</v>
      </c>
      <c r="H12" s="26" t="s">
        <v>102</v>
      </c>
      <c r="I12" s="27" t="s">
        <v>102</v>
      </c>
      <c r="J12" s="26"/>
      <c r="K12" s="25" t="str">
        <f>"55,0"</f>
        <v>55,0</v>
      </c>
      <c r="L12" s="27" t="str">
        <f>"45,6005"</f>
        <v>45,6005</v>
      </c>
      <c r="M12" s="25" t="s">
        <v>24</v>
      </c>
    </row>
    <row r="13" spans="1:13">
      <c r="A13" s="22" t="s">
        <v>111</v>
      </c>
      <c r="B13" s="22" t="s">
        <v>122</v>
      </c>
      <c r="C13" s="22" t="s">
        <v>113</v>
      </c>
      <c r="D13" s="22" t="str">
        <f>"0,7862"</f>
        <v>0,7862</v>
      </c>
      <c r="E13" s="22" t="s">
        <v>74</v>
      </c>
      <c r="F13" s="22" t="s">
        <v>114</v>
      </c>
      <c r="G13" s="24" t="s">
        <v>115</v>
      </c>
      <c r="H13" s="24" t="s">
        <v>116</v>
      </c>
      <c r="I13" s="24" t="s">
        <v>117</v>
      </c>
      <c r="J13" s="23"/>
      <c r="K13" s="22" t="str">
        <f>"70,0"</f>
        <v>70,0</v>
      </c>
      <c r="L13" s="24" t="str">
        <f>"55,5293"</f>
        <v>55,5293</v>
      </c>
      <c r="M13" s="22" t="s">
        <v>24</v>
      </c>
    </row>
    <row r="15" spans="1:13" ht="15">
      <c r="A15" s="45" t="s">
        <v>123</v>
      </c>
      <c r="B15" s="45"/>
      <c r="C15" s="45"/>
      <c r="D15" s="45"/>
      <c r="E15" s="45"/>
      <c r="F15" s="45"/>
      <c r="G15" s="45"/>
      <c r="H15" s="45"/>
      <c r="I15" s="45"/>
      <c r="J15" s="45"/>
      <c r="K15" s="45"/>
      <c r="L15" s="45"/>
    </row>
    <row r="16" spans="1:13">
      <c r="A16" s="8" t="s">
        <v>125</v>
      </c>
      <c r="B16" s="8" t="s">
        <v>126</v>
      </c>
      <c r="C16" s="8" t="s">
        <v>127</v>
      </c>
      <c r="D16" s="8" t="str">
        <f>"0,7631"</f>
        <v>0,7631</v>
      </c>
      <c r="E16" s="8" t="s">
        <v>101</v>
      </c>
      <c r="F16" s="8" t="s">
        <v>108</v>
      </c>
      <c r="G16" s="10" t="s">
        <v>115</v>
      </c>
      <c r="H16" s="10" t="s">
        <v>117</v>
      </c>
      <c r="I16" s="9"/>
      <c r="J16" s="9"/>
      <c r="K16" s="8" t="str">
        <f>"70,0"</f>
        <v>70,0</v>
      </c>
      <c r="L16" s="10" t="str">
        <f>"53,4170"</f>
        <v>53,4170</v>
      </c>
      <c r="M16" s="8" t="s">
        <v>24</v>
      </c>
    </row>
    <row r="18" spans="1:13" ht="15">
      <c r="A18" s="45" t="s">
        <v>128</v>
      </c>
      <c r="B18" s="45"/>
      <c r="C18" s="45"/>
      <c r="D18" s="45"/>
      <c r="E18" s="45"/>
      <c r="F18" s="45"/>
      <c r="G18" s="45"/>
      <c r="H18" s="45"/>
      <c r="I18" s="45"/>
      <c r="J18" s="45"/>
      <c r="K18" s="45"/>
      <c r="L18" s="45"/>
    </row>
    <row r="19" spans="1:13">
      <c r="A19" s="8" t="s">
        <v>130</v>
      </c>
      <c r="B19" s="8" t="s">
        <v>131</v>
      </c>
      <c r="C19" s="8" t="s">
        <v>132</v>
      </c>
      <c r="D19" s="8" t="str">
        <f>"1,1927"</f>
        <v>1,1927</v>
      </c>
      <c r="E19" s="8" t="s">
        <v>30</v>
      </c>
      <c r="F19" s="8" t="s">
        <v>133</v>
      </c>
      <c r="G19" s="9" t="s">
        <v>23</v>
      </c>
      <c r="H19" s="10" t="s">
        <v>23</v>
      </c>
      <c r="I19" s="9" t="s">
        <v>95</v>
      </c>
      <c r="J19" s="9"/>
      <c r="K19" s="8" t="str">
        <f>"40,0"</f>
        <v>40,0</v>
      </c>
      <c r="L19" s="10" t="str">
        <f>"58,6808"</f>
        <v>58,6808</v>
      </c>
      <c r="M19" s="8" t="s">
        <v>24</v>
      </c>
    </row>
    <row r="21" spans="1:13" ht="15">
      <c r="A21" s="45" t="s">
        <v>90</v>
      </c>
      <c r="B21" s="45"/>
      <c r="C21" s="45"/>
      <c r="D21" s="45"/>
      <c r="E21" s="45"/>
      <c r="F21" s="45"/>
      <c r="G21" s="45"/>
      <c r="H21" s="45"/>
      <c r="I21" s="45"/>
      <c r="J21" s="45"/>
      <c r="K21" s="45"/>
      <c r="L21" s="45"/>
    </row>
    <row r="22" spans="1:13">
      <c r="A22" s="8" t="s">
        <v>135</v>
      </c>
      <c r="B22" s="8" t="s">
        <v>136</v>
      </c>
      <c r="C22" s="8" t="s">
        <v>137</v>
      </c>
      <c r="D22" s="8" t="str">
        <f>"0,8128"</f>
        <v>0,8128</v>
      </c>
      <c r="E22" s="8" t="s">
        <v>101</v>
      </c>
      <c r="F22" s="8" t="s">
        <v>138</v>
      </c>
      <c r="G22" s="9" t="s">
        <v>84</v>
      </c>
      <c r="H22" s="10" t="s">
        <v>139</v>
      </c>
      <c r="I22" s="10" t="s">
        <v>140</v>
      </c>
      <c r="J22" s="9"/>
      <c r="K22" s="8" t="str">
        <f>"100,0"</f>
        <v>100,0</v>
      </c>
      <c r="L22" s="10" t="str">
        <f>"83,7184"</f>
        <v>83,7184</v>
      </c>
      <c r="M22" s="8" t="s">
        <v>24</v>
      </c>
    </row>
    <row r="24" spans="1:13" ht="15">
      <c r="A24" s="45" t="s">
        <v>109</v>
      </c>
      <c r="B24" s="45"/>
      <c r="C24" s="45"/>
      <c r="D24" s="45"/>
      <c r="E24" s="45"/>
      <c r="F24" s="45"/>
      <c r="G24" s="45"/>
      <c r="H24" s="45"/>
      <c r="I24" s="45"/>
      <c r="J24" s="45"/>
      <c r="K24" s="45"/>
      <c r="L24" s="45"/>
    </row>
    <row r="25" spans="1:13">
      <c r="A25" s="19" t="s">
        <v>142</v>
      </c>
      <c r="B25" s="19" t="s">
        <v>143</v>
      </c>
      <c r="C25" s="19" t="s">
        <v>144</v>
      </c>
      <c r="D25" s="19" t="str">
        <f>"0,7268"</f>
        <v>0,7268</v>
      </c>
      <c r="E25" s="19" t="s">
        <v>20</v>
      </c>
      <c r="F25" s="19" t="s">
        <v>138</v>
      </c>
      <c r="G25" s="21" t="s">
        <v>145</v>
      </c>
      <c r="H25" s="21" t="s">
        <v>146</v>
      </c>
      <c r="I25" s="21" t="s">
        <v>147</v>
      </c>
      <c r="J25" s="20"/>
      <c r="K25" s="19" t="str">
        <f>"145,0"</f>
        <v>145,0</v>
      </c>
      <c r="L25" s="21" t="str">
        <f>"108,5476"</f>
        <v>108,5476</v>
      </c>
      <c r="M25" s="19" t="s">
        <v>24</v>
      </c>
    </row>
    <row r="26" spans="1:13">
      <c r="A26" s="22" t="s">
        <v>149</v>
      </c>
      <c r="B26" s="22" t="s">
        <v>150</v>
      </c>
      <c r="C26" s="22" t="s">
        <v>151</v>
      </c>
      <c r="D26" s="22" t="str">
        <f>"0,7337"</f>
        <v>0,7337</v>
      </c>
      <c r="E26" s="22" t="s">
        <v>74</v>
      </c>
      <c r="F26" s="22" t="s">
        <v>21</v>
      </c>
      <c r="G26" s="24" t="s">
        <v>84</v>
      </c>
      <c r="H26" s="23" t="s">
        <v>81</v>
      </c>
      <c r="I26" s="24" t="s">
        <v>81</v>
      </c>
      <c r="J26" s="23"/>
      <c r="K26" s="22" t="str">
        <f>"100,0"</f>
        <v>100,0</v>
      </c>
      <c r="L26" s="24" t="str">
        <f>"88,7043"</f>
        <v>88,7043</v>
      </c>
      <c r="M26" s="22" t="s">
        <v>24</v>
      </c>
    </row>
    <row r="28" spans="1:13" ht="15">
      <c r="A28" s="45" t="s">
        <v>123</v>
      </c>
      <c r="B28" s="45"/>
      <c r="C28" s="45"/>
      <c r="D28" s="45"/>
      <c r="E28" s="45"/>
      <c r="F28" s="45"/>
      <c r="G28" s="45"/>
      <c r="H28" s="45"/>
      <c r="I28" s="45"/>
      <c r="J28" s="45"/>
      <c r="K28" s="45"/>
      <c r="L28" s="45"/>
    </row>
    <row r="29" spans="1:13">
      <c r="A29" s="19" t="s">
        <v>153</v>
      </c>
      <c r="B29" s="19" t="s">
        <v>154</v>
      </c>
      <c r="C29" s="19" t="s">
        <v>155</v>
      </c>
      <c r="D29" s="19" t="str">
        <f>"0,6923"</f>
        <v>0,6923</v>
      </c>
      <c r="E29" s="19" t="s">
        <v>67</v>
      </c>
      <c r="F29" s="19" t="s">
        <v>21</v>
      </c>
      <c r="G29" s="20" t="s">
        <v>156</v>
      </c>
      <c r="H29" s="21" t="s">
        <v>156</v>
      </c>
      <c r="I29" s="20" t="s">
        <v>84</v>
      </c>
      <c r="J29" s="20"/>
      <c r="K29" s="19" t="str">
        <f>"80,0"</f>
        <v>80,0</v>
      </c>
      <c r="L29" s="21" t="str">
        <f>"68,1223"</f>
        <v>68,1223</v>
      </c>
      <c r="M29" s="19" t="s">
        <v>24</v>
      </c>
    </row>
    <row r="30" spans="1:13">
      <c r="A30" s="25" t="s">
        <v>158</v>
      </c>
      <c r="B30" s="25" t="s">
        <v>159</v>
      </c>
      <c r="C30" s="25" t="s">
        <v>160</v>
      </c>
      <c r="D30" s="25" t="str">
        <f>"0,6730"</f>
        <v>0,6730</v>
      </c>
      <c r="E30" s="25" t="s">
        <v>161</v>
      </c>
      <c r="F30" s="25" t="s">
        <v>21</v>
      </c>
      <c r="G30" s="27" t="s">
        <v>96</v>
      </c>
      <c r="H30" s="27" t="s">
        <v>117</v>
      </c>
      <c r="I30" s="26" t="s">
        <v>162</v>
      </c>
      <c r="J30" s="26"/>
      <c r="K30" s="25" t="str">
        <f>"70,0"</f>
        <v>70,0</v>
      </c>
      <c r="L30" s="27" t="str">
        <f>"55,5898"</f>
        <v>55,5898</v>
      </c>
      <c r="M30" s="25" t="s">
        <v>24</v>
      </c>
    </row>
    <row r="31" spans="1:13">
      <c r="A31" s="25" t="s">
        <v>164</v>
      </c>
      <c r="B31" s="25" t="s">
        <v>165</v>
      </c>
      <c r="C31" s="25" t="s">
        <v>166</v>
      </c>
      <c r="D31" s="25" t="str">
        <f>"0,6843"</f>
        <v>0,6843</v>
      </c>
      <c r="E31" s="25" t="s">
        <v>167</v>
      </c>
      <c r="F31" s="25" t="s">
        <v>168</v>
      </c>
      <c r="G31" s="27" t="s">
        <v>169</v>
      </c>
      <c r="H31" s="27" t="s">
        <v>23</v>
      </c>
      <c r="I31" s="26" t="s">
        <v>170</v>
      </c>
      <c r="J31" s="26"/>
      <c r="K31" s="25" t="str">
        <f>"40,0"</f>
        <v>40,0</v>
      </c>
      <c r="L31" s="27" t="str">
        <f>"33,6676"</f>
        <v>33,6676</v>
      </c>
      <c r="M31" s="25" t="s">
        <v>24</v>
      </c>
    </row>
    <row r="32" spans="1:13">
      <c r="A32" s="25" t="s">
        <v>172</v>
      </c>
      <c r="B32" s="25" t="s">
        <v>173</v>
      </c>
      <c r="C32" s="25" t="s">
        <v>174</v>
      </c>
      <c r="D32" s="25" t="str">
        <f>"0,6789"</f>
        <v>0,6789</v>
      </c>
      <c r="E32" s="25" t="s">
        <v>175</v>
      </c>
      <c r="F32" s="25" t="s">
        <v>138</v>
      </c>
      <c r="G32" s="27" t="s">
        <v>81</v>
      </c>
      <c r="H32" s="26" t="s">
        <v>176</v>
      </c>
      <c r="I32" s="27" t="s">
        <v>177</v>
      </c>
      <c r="J32" s="26"/>
      <c r="K32" s="25" t="str">
        <f>"107,5"</f>
        <v>107,5</v>
      </c>
      <c r="L32" s="27" t="str">
        <f>"78,8203"</f>
        <v>78,8203</v>
      </c>
      <c r="M32" s="25" t="s">
        <v>24</v>
      </c>
    </row>
    <row r="33" spans="1:13">
      <c r="A33" s="25" t="s">
        <v>178</v>
      </c>
      <c r="B33" s="25" t="s">
        <v>179</v>
      </c>
      <c r="C33" s="25" t="s">
        <v>180</v>
      </c>
      <c r="D33" s="25" t="str">
        <f>"0,6809"</f>
        <v>0,6809</v>
      </c>
      <c r="E33" s="25" t="s">
        <v>101</v>
      </c>
      <c r="F33" s="25" t="s">
        <v>21</v>
      </c>
      <c r="G33" s="26" t="s">
        <v>81</v>
      </c>
      <c r="H33" s="26" t="s">
        <v>176</v>
      </c>
      <c r="I33" s="26" t="s">
        <v>176</v>
      </c>
      <c r="J33" s="26"/>
      <c r="K33" s="25" t="str">
        <f>"0,0"</f>
        <v>0,0</v>
      </c>
      <c r="L33" s="27" t="str">
        <f>"0,0000"</f>
        <v>0,0000</v>
      </c>
      <c r="M33" s="25" t="s">
        <v>24</v>
      </c>
    </row>
    <row r="34" spans="1:13">
      <c r="A34" s="25" t="s">
        <v>182</v>
      </c>
      <c r="B34" s="25" t="s">
        <v>183</v>
      </c>
      <c r="C34" s="25" t="s">
        <v>174</v>
      </c>
      <c r="D34" s="25" t="str">
        <f>"0,6789"</f>
        <v>0,6789</v>
      </c>
      <c r="E34" s="25" t="s">
        <v>20</v>
      </c>
      <c r="F34" s="25" t="s">
        <v>21</v>
      </c>
      <c r="G34" s="26" t="s">
        <v>84</v>
      </c>
      <c r="H34" s="26" t="s">
        <v>139</v>
      </c>
      <c r="I34" s="27" t="s">
        <v>139</v>
      </c>
      <c r="J34" s="26"/>
      <c r="K34" s="25" t="str">
        <f>"95,0"</f>
        <v>95,0</v>
      </c>
      <c r="L34" s="27" t="str">
        <f>"65,7854"</f>
        <v>65,7854</v>
      </c>
      <c r="M34" s="25" t="s">
        <v>24</v>
      </c>
    </row>
    <row r="35" spans="1:13">
      <c r="A35" s="25" t="s">
        <v>185</v>
      </c>
      <c r="B35" s="25" t="s">
        <v>186</v>
      </c>
      <c r="C35" s="25" t="s">
        <v>187</v>
      </c>
      <c r="D35" s="25" t="str">
        <f>"0,6712"</f>
        <v>0,6712</v>
      </c>
      <c r="E35" s="25" t="s">
        <v>74</v>
      </c>
      <c r="F35" s="25" t="s">
        <v>21</v>
      </c>
      <c r="G35" s="26" t="s">
        <v>146</v>
      </c>
      <c r="H35" s="27" t="s">
        <v>146</v>
      </c>
      <c r="I35" s="26" t="s">
        <v>188</v>
      </c>
      <c r="J35" s="26"/>
      <c r="K35" s="25" t="str">
        <f>"140,0"</f>
        <v>140,0</v>
      </c>
      <c r="L35" s="27" t="str">
        <f>"93,9680"</f>
        <v>93,9680</v>
      </c>
      <c r="M35" s="25" t="s">
        <v>24</v>
      </c>
    </row>
    <row r="36" spans="1:13">
      <c r="A36" s="25" t="s">
        <v>190</v>
      </c>
      <c r="B36" s="25" t="s">
        <v>191</v>
      </c>
      <c r="C36" s="25" t="s">
        <v>192</v>
      </c>
      <c r="D36" s="25" t="str">
        <f>"0,6716"</f>
        <v>0,6716</v>
      </c>
      <c r="E36" s="25" t="s">
        <v>74</v>
      </c>
      <c r="F36" s="25" t="s">
        <v>108</v>
      </c>
      <c r="G36" s="26" t="s">
        <v>193</v>
      </c>
      <c r="H36" s="27" t="s">
        <v>193</v>
      </c>
      <c r="I36" s="26" t="s">
        <v>194</v>
      </c>
      <c r="J36" s="26"/>
      <c r="K36" s="25" t="str">
        <f>"120,0"</f>
        <v>120,0</v>
      </c>
      <c r="L36" s="27" t="str">
        <f>"80,5920"</f>
        <v>80,5920</v>
      </c>
      <c r="M36" s="25" t="s">
        <v>24</v>
      </c>
    </row>
    <row r="37" spans="1:13">
      <c r="A37" s="22" t="s">
        <v>196</v>
      </c>
      <c r="B37" s="22" t="s">
        <v>197</v>
      </c>
      <c r="C37" s="22" t="s">
        <v>198</v>
      </c>
      <c r="D37" s="22" t="str">
        <f>"0,6697"</f>
        <v>0,6697</v>
      </c>
      <c r="E37" s="22" t="s">
        <v>101</v>
      </c>
      <c r="F37" s="22" t="s">
        <v>108</v>
      </c>
      <c r="G37" s="24" t="s">
        <v>139</v>
      </c>
      <c r="H37" s="24" t="s">
        <v>199</v>
      </c>
      <c r="I37" s="24" t="s">
        <v>81</v>
      </c>
      <c r="J37" s="23"/>
      <c r="K37" s="22" t="str">
        <f>"100,0"</f>
        <v>100,0</v>
      </c>
      <c r="L37" s="24" t="str">
        <f>"66,9750"</f>
        <v>66,9750</v>
      </c>
      <c r="M37" s="22" t="s">
        <v>24</v>
      </c>
    </row>
    <row r="39" spans="1:13" ht="15">
      <c r="A39" s="45" t="s">
        <v>25</v>
      </c>
      <c r="B39" s="45"/>
      <c r="C39" s="45"/>
      <c r="D39" s="45"/>
      <c r="E39" s="45"/>
      <c r="F39" s="45"/>
      <c r="G39" s="45"/>
      <c r="H39" s="45"/>
      <c r="I39" s="45"/>
      <c r="J39" s="45"/>
      <c r="K39" s="45"/>
      <c r="L39" s="45"/>
    </row>
    <row r="40" spans="1:13">
      <c r="A40" s="19" t="s">
        <v>201</v>
      </c>
      <c r="B40" s="19" t="s">
        <v>202</v>
      </c>
      <c r="C40" s="19" t="s">
        <v>203</v>
      </c>
      <c r="D40" s="19" t="str">
        <f>"0,6399"</f>
        <v>0,6399</v>
      </c>
      <c r="E40" s="19" t="s">
        <v>20</v>
      </c>
      <c r="F40" s="19" t="s">
        <v>21</v>
      </c>
      <c r="G40" s="21" t="s">
        <v>204</v>
      </c>
      <c r="H40" s="20" t="s">
        <v>205</v>
      </c>
      <c r="I40" s="20" t="s">
        <v>205</v>
      </c>
      <c r="J40" s="20"/>
      <c r="K40" s="19" t="str">
        <f>"112,5"</f>
        <v>112,5</v>
      </c>
      <c r="L40" s="21" t="str">
        <f>"74,8683"</f>
        <v>74,8683</v>
      </c>
      <c r="M40" s="19" t="s">
        <v>24</v>
      </c>
    </row>
    <row r="41" spans="1:13">
      <c r="A41" s="25" t="s">
        <v>207</v>
      </c>
      <c r="B41" s="25" t="s">
        <v>208</v>
      </c>
      <c r="C41" s="25" t="s">
        <v>209</v>
      </c>
      <c r="D41" s="25" t="str">
        <f>"0,6405"</f>
        <v>0,6405</v>
      </c>
      <c r="E41" s="25" t="s">
        <v>101</v>
      </c>
      <c r="F41" s="25" t="s">
        <v>21</v>
      </c>
      <c r="G41" s="26" t="s">
        <v>210</v>
      </c>
      <c r="H41" s="26" t="s">
        <v>210</v>
      </c>
      <c r="I41" s="26" t="s">
        <v>210</v>
      </c>
      <c r="J41" s="26"/>
      <c r="K41" s="25" t="str">
        <f>"0,0"</f>
        <v>0,0</v>
      </c>
      <c r="L41" s="27" t="str">
        <f>"0,0000"</f>
        <v>0,0000</v>
      </c>
      <c r="M41" s="25" t="s">
        <v>24</v>
      </c>
    </row>
    <row r="42" spans="1:13">
      <c r="A42" s="25" t="s">
        <v>212</v>
      </c>
      <c r="B42" s="25" t="s">
        <v>213</v>
      </c>
      <c r="C42" s="25" t="s">
        <v>214</v>
      </c>
      <c r="D42" s="25" t="str">
        <f>"0,6367"</f>
        <v>0,6367</v>
      </c>
      <c r="E42" s="25" t="s">
        <v>101</v>
      </c>
      <c r="F42" s="25" t="s">
        <v>21</v>
      </c>
      <c r="G42" s="27" t="s">
        <v>145</v>
      </c>
      <c r="H42" s="27" t="s">
        <v>146</v>
      </c>
      <c r="I42" s="26" t="s">
        <v>147</v>
      </c>
      <c r="J42" s="26"/>
      <c r="K42" s="25" t="str">
        <f>"140,0"</f>
        <v>140,0</v>
      </c>
      <c r="L42" s="27" t="str">
        <f>"90,9208"</f>
        <v>90,9208</v>
      </c>
      <c r="M42" s="25" t="s">
        <v>24</v>
      </c>
    </row>
    <row r="43" spans="1:13">
      <c r="A43" s="25" t="s">
        <v>216</v>
      </c>
      <c r="B43" s="25" t="s">
        <v>217</v>
      </c>
      <c r="C43" s="25" t="s">
        <v>218</v>
      </c>
      <c r="D43" s="25" t="str">
        <f>"0,6295"</f>
        <v>0,6295</v>
      </c>
      <c r="E43" s="25" t="s">
        <v>20</v>
      </c>
      <c r="F43" s="25" t="s">
        <v>21</v>
      </c>
      <c r="G43" s="26" t="s">
        <v>194</v>
      </c>
      <c r="H43" s="26" t="s">
        <v>194</v>
      </c>
      <c r="I43" s="27" t="s">
        <v>194</v>
      </c>
      <c r="J43" s="26"/>
      <c r="K43" s="25" t="str">
        <f>"125,0"</f>
        <v>125,0</v>
      </c>
      <c r="L43" s="27" t="str">
        <f>"79,4744"</f>
        <v>79,4744</v>
      </c>
      <c r="M43" s="25" t="s">
        <v>24</v>
      </c>
    </row>
    <row r="44" spans="1:13">
      <c r="A44" s="25" t="s">
        <v>220</v>
      </c>
      <c r="B44" s="25" t="s">
        <v>221</v>
      </c>
      <c r="C44" s="25" t="s">
        <v>222</v>
      </c>
      <c r="D44" s="25" t="str">
        <f>"0,6321"</f>
        <v>0,6321</v>
      </c>
      <c r="E44" s="25" t="s">
        <v>101</v>
      </c>
      <c r="F44" s="25" t="s">
        <v>223</v>
      </c>
      <c r="G44" s="26" t="s">
        <v>193</v>
      </c>
      <c r="H44" s="27" t="s">
        <v>193</v>
      </c>
      <c r="I44" s="26" t="s">
        <v>145</v>
      </c>
      <c r="J44" s="26"/>
      <c r="K44" s="25" t="str">
        <f>"120,0"</f>
        <v>120,0</v>
      </c>
      <c r="L44" s="27" t="str">
        <f>"76,6105"</f>
        <v>76,6105</v>
      </c>
      <c r="M44" s="25" t="s">
        <v>24</v>
      </c>
    </row>
    <row r="45" spans="1:13">
      <c r="A45" s="25" t="s">
        <v>225</v>
      </c>
      <c r="B45" s="25" t="s">
        <v>226</v>
      </c>
      <c r="C45" s="25" t="s">
        <v>227</v>
      </c>
      <c r="D45" s="25" t="str">
        <f>"0,6214"</f>
        <v>0,6214</v>
      </c>
      <c r="E45" s="25" t="s">
        <v>101</v>
      </c>
      <c r="F45" s="25" t="s">
        <v>108</v>
      </c>
      <c r="G45" s="27" t="s">
        <v>228</v>
      </c>
      <c r="H45" s="27" t="s">
        <v>229</v>
      </c>
      <c r="I45" s="27" t="s">
        <v>188</v>
      </c>
      <c r="J45" s="26"/>
      <c r="K45" s="25" t="str">
        <f>"147,5"</f>
        <v>147,5</v>
      </c>
      <c r="L45" s="27" t="str">
        <f>"91,6565"</f>
        <v>91,6565</v>
      </c>
      <c r="M45" s="25" t="s">
        <v>24</v>
      </c>
    </row>
    <row r="46" spans="1:13">
      <c r="A46" s="25" t="s">
        <v>231</v>
      </c>
      <c r="B46" s="25" t="s">
        <v>232</v>
      </c>
      <c r="C46" s="25" t="s">
        <v>233</v>
      </c>
      <c r="D46" s="25" t="str">
        <f>"0,6273"</f>
        <v>0,6273</v>
      </c>
      <c r="E46" s="25" t="s">
        <v>101</v>
      </c>
      <c r="F46" s="25" t="s">
        <v>21</v>
      </c>
      <c r="G46" s="26" t="s">
        <v>145</v>
      </c>
      <c r="H46" s="27" t="s">
        <v>145</v>
      </c>
      <c r="I46" s="26" t="s">
        <v>146</v>
      </c>
      <c r="J46" s="26"/>
      <c r="K46" s="25" t="str">
        <f>"130,0"</f>
        <v>130,0</v>
      </c>
      <c r="L46" s="27" t="str">
        <f>"81,5490"</f>
        <v>81,5490</v>
      </c>
      <c r="M46" s="25" t="s">
        <v>24</v>
      </c>
    </row>
    <row r="47" spans="1:13">
      <c r="A47" s="25" t="s">
        <v>220</v>
      </c>
      <c r="B47" s="25" t="s">
        <v>234</v>
      </c>
      <c r="C47" s="25" t="s">
        <v>222</v>
      </c>
      <c r="D47" s="25" t="str">
        <f>"0,6321"</f>
        <v>0,6321</v>
      </c>
      <c r="E47" s="25" t="s">
        <v>101</v>
      </c>
      <c r="F47" s="25" t="s">
        <v>223</v>
      </c>
      <c r="G47" s="26" t="s">
        <v>193</v>
      </c>
      <c r="H47" s="27" t="s">
        <v>193</v>
      </c>
      <c r="I47" s="26" t="s">
        <v>145</v>
      </c>
      <c r="J47" s="26"/>
      <c r="K47" s="25" t="str">
        <f>"120,0"</f>
        <v>120,0</v>
      </c>
      <c r="L47" s="27" t="str">
        <f>"75,8520"</f>
        <v>75,8520</v>
      </c>
      <c r="M47" s="25" t="s">
        <v>24</v>
      </c>
    </row>
    <row r="48" spans="1:13">
      <c r="A48" s="22" t="s">
        <v>236</v>
      </c>
      <c r="B48" s="22" t="s">
        <v>237</v>
      </c>
      <c r="C48" s="22" t="s">
        <v>233</v>
      </c>
      <c r="D48" s="22" t="str">
        <f>"0,6273"</f>
        <v>0,6273</v>
      </c>
      <c r="E48" s="22" t="s">
        <v>101</v>
      </c>
      <c r="F48" s="22" t="s">
        <v>21</v>
      </c>
      <c r="G48" s="24" t="s">
        <v>162</v>
      </c>
      <c r="H48" s="24" t="s">
        <v>238</v>
      </c>
      <c r="I48" s="23" t="s">
        <v>139</v>
      </c>
      <c r="J48" s="23"/>
      <c r="K48" s="22" t="str">
        <f>"85,0"</f>
        <v>85,0</v>
      </c>
      <c r="L48" s="24" t="str">
        <f>"53,3205"</f>
        <v>53,3205</v>
      </c>
      <c r="M48" s="22" t="s">
        <v>24</v>
      </c>
    </row>
    <row r="50" spans="1:13" ht="15">
      <c r="A50" s="45" t="s">
        <v>62</v>
      </c>
      <c r="B50" s="45"/>
      <c r="C50" s="45"/>
      <c r="D50" s="45"/>
      <c r="E50" s="45"/>
      <c r="F50" s="45"/>
      <c r="G50" s="45"/>
      <c r="H50" s="45"/>
      <c r="I50" s="45"/>
      <c r="J50" s="45"/>
      <c r="K50" s="45"/>
      <c r="L50" s="45"/>
    </row>
    <row r="51" spans="1:13">
      <c r="A51" s="19" t="s">
        <v>240</v>
      </c>
      <c r="B51" s="19" t="s">
        <v>241</v>
      </c>
      <c r="C51" s="19" t="s">
        <v>242</v>
      </c>
      <c r="D51" s="19" t="str">
        <f>"0,6041"</f>
        <v>0,6041</v>
      </c>
      <c r="E51" s="19" t="s">
        <v>175</v>
      </c>
      <c r="F51" s="19" t="s">
        <v>138</v>
      </c>
      <c r="G51" s="21" t="s">
        <v>194</v>
      </c>
      <c r="H51" s="20" t="s">
        <v>145</v>
      </c>
      <c r="I51" s="20" t="s">
        <v>145</v>
      </c>
      <c r="J51" s="20"/>
      <c r="K51" s="19" t="str">
        <f>"125,0"</f>
        <v>125,0</v>
      </c>
      <c r="L51" s="21" t="str">
        <f>"85,3291"</f>
        <v>85,3291</v>
      </c>
      <c r="M51" s="19" t="s">
        <v>24</v>
      </c>
    </row>
    <row r="52" spans="1:13">
      <c r="A52" s="25" t="s">
        <v>244</v>
      </c>
      <c r="B52" s="25" t="s">
        <v>245</v>
      </c>
      <c r="C52" s="25" t="s">
        <v>246</v>
      </c>
      <c r="D52" s="25" t="str">
        <f>"0,5973"</f>
        <v>0,5973</v>
      </c>
      <c r="E52" s="25" t="s">
        <v>74</v>
      </c>
      <c r="F52" s="25" t="s">
        <v>21</v>
      </c>
      <c r="G52" s="27" t="s">
        <v>147</v>
      </c>
      <c r="H52" s="27" t="s">
        <v>247</v>
      </c>
      <c r="I52" s="27" t="s">
        <v>248</v>
      </c>
      <c r="J52" s="26"/>
      <c r="K52" s="25" t="str">
        <f>"160,0"</f>
        <v>160,0</v>
      </c>
      <c r="L52" s="27" t="str">
        <f>"99,3907"</f>
        <v>99,3907</v>
      </c>
      <c r="M52" s="25" t="s">
        <v>24</v>
      </c>
    </row>
    <row r="53" spans="1:13">
      <c r="A53" s="25" t="s">
        <v>249</v>
      </c>
      <c r="B53" s="25" t="s">
        <v>250</v>
      </c>
      <c r="C53" s="25" t="s">
        <v>251</v>
      </c>
      <c r="D53" s="25" t="str">
        <f>"0,6031"</f>
        <v>0,6031</v>
      </c>
      <c r="E53" s="25" t="s">
        <v>101</v>
      </c>
      <c r="F53" s="25" t="s">
        <v>21</v>
      </c>
      <c r="G53" s="26" t="s">
        <v>146</v>
      </c>
      <c r="H53" s="26" t="s">
        <v>146</v>
      </c>
      <c r="I53" s="26" t="s">
        <v>146</v>
      </c>
      <c r="J53" s="26"/>
      <c r="K53" s="25" t="str">
        <f>"0,0"</f>
        <v>0,0</v>
      </c>
      <c r="L53" s="27" t="str">
        <f>"0,0000"</f>
        <v>0,0000</v>
      </c>
      <c r="M53" s="25" t="s">
        <v>24</v>
      </c>
    </row>
    <row r="54" spans="1:13">
      <c r="A54" s="25" t="s">
        <v>253</v>
      </c>
      <c r="B54" s="25" t="s">
        <v>254</v>
      </c>
      <c r="C54" s="25" t="s">
        <v>255</v>
      </c>
      <c r="D54" s="25" t="str">
        <f>"0,5982"</f>
        <v>0,5982</v>
      </c>
      <c r="E54" s="25" t="s">
        <v>101</v>
      </c>
      <c r="F54" s="25" t="s">
        <v>21</v>
      </c>
      <c r="G54" s="27" t="s">
        <v>210</v>
      </c>
      <c r="H54" s="27" t="s">
        <v>194</v>
      </c>
      <c r="I54" s="27" t="s">
        <v>228</v>
      </c>
      <c r="J54" s="26"/>
      <c r="K54" s="25" t="str">
        <f>"135,0"</f>
        <v>135,0</v>
      </c>
      <c r="L54" s="27" t="str">
        <f>"82,3721"</f>
        <v>82,3721</v>
      </c>
      <c r="M54" s="25" t="s">
        <v>24</v>
      </c>
    </row>
    <row r="55" spans="1:13">
      <c r="A55" s="25" t="s">
        <v>257</v>
      </c>
      <c r="B55" s="25" t="s">
        <v>258</v>
      </c>
      <c r="C55" s="25" t="s">
        <v>259</v>
      </c>
      <c r="D55" s="25" t="str">
        <f>"0,5897"</f>
        <v>0,5897</v>
      </c>
      <c r="E55" s="25" t="s">
        <v>101</v>
      </c>
      <c r="F55" s="25" t="s">
        <v>260</v>
      </c>
      <c r="G55" s="26" t="s">
        <v>194</v>
      </c>
      <c r="H55" s="26" t="s">
        <v>194</v>
      </c>
      <c r="I55" s="27" t="s">
        <v>145</v>
      </c>
      <c r="J55" s="26"/>
      <c r="K55" s="25" t="str">
        <f>"130,0"</f>
        <v>130,0</v>
      </c>
      <c r="L55" s="27" t="str">
        <f>"77,4276"</f>
        <v>77,4276</v>
      </c>
      <c r="M55" s="25" t="s">
        <v>24</v>
      </c>
    </row>
    <row r="56" spans="1:13">
      <c r="A56" s="25" t="s">
        <v>262</v>
      </c>
      <c r="B56" s="25" t="s">
        <v>263</v>
      </c>
      <c r="C56" s="25" t="s">
        <v>264</v>
      </c>
      <c r="D56" s="25" t="str">
        <f>"0,5859"</f>
        <v>0,5859</v>
      </c>
      <c r="E56" s="25" t="s">
        <v>101</v>
      </c>
      <c r="F56" s="25" t="s">
        <v>108</v>
      </c>
      <c r="G56" s="27" t="s">
        <v>228</v>
      </c>
      <c r="H56" s="27" t="s">
        <v>265</v>
      </c>
      <c r="I56" s="27" t="s">
        <v>266</v>
      </c>
      <c r="J56" s="26"/>
      <c r="K56" s="25" t="str">
        <f>"157,5"</f>
        <v>157,5</v>
      </c>
      <c r="L56" s="27" t="str">
        <f>"92,2793"</f>
        <v>92,2793</v>
      </c>
      <c r="M56" s="25" t="s">
        <v>24</v>
      </c>
    </row>
    <row r="57" spans="1:13">
      <c r="A57" s="25" t="s">
        <v>268</v>
      </c>
      <c r="B57" s="25" t="s">
        <v>269</v>
      </c>
      <c r="C57" s="25" t="s">
        <v>270</v>
      </c>
      <c r="D57" s="25" t="str">
        <f>"0,5947"</f>
        <v>0,5947</v>
      </c>
      <c r="E57" s="25" t="s">
        <v>30</v>
      </c>
      <c r="F57" s="25" t="s">
        <v>133</v>
      </c>
      <c r="G57" s="27" t="s">
        <v>247</v>
      </c>
      <c r="H57" s="26" t="s">
        <v>271</v>
      </c>
      <c r="I57" s="26" t="s">
        <v>271</v>
      </c>
      <c r="J57" s="26"/>
      <c r="K57" s="25" t="str">
        <f>"152,5"</f>
        <v>152,5</v>
      </c>
      <c r="L57" s="27" t="str">
        <f>"90,6917"</f>
        <v>90,6917</v>
      </c>
      <c r="M57" s="25" t="s">
        <v>24</v>
      </c>
    </row>
    <row r="58" spans="1:13">
      <c r="A58" s="25" t="s">
        <v>273</v>
      </c>
      <c r="B58" s="25" t="s">
        <v>274</v>
      </c>
      <c r="C58" s="25" t="s">
        <v>275</v>
      </c>
      <c r="D58" s="25" t="str">
        <f>"0,5924"</f>
        <v>0,5924</v>
      </c>
      <c r="E58" s="25" t="s">
        <v>161</v>
      </c>
      <c r="F58" s="25" t="s">
        <v>21</v>
      </c>
      <c r="G58" s="27" t="s">
        <v>265</v>
      </c>
      <c r="H58" s="26" t="s">
        <v>271</v>
      </c>
      <c r="I58" s="26" t="s">
        <v>266</v>
      </c>
      <c r="J58" s="26"/>
      <c r="K58" s="25" t="str">
        <f>"150,0"</f>
        <v>150,0</v>
      </c>
      <c r="L58" s="27" t="str">
        <f>"88,8600"</f>
        <v>88,8600</v>
      </c>
      <c r="M58" s="25" t="s">
        <v>24</v>
      </c>
    </row>
    <row r="59" spans="1:13">
      <c r="A59" s="25" t="s">
        <v>277</v>
      </c>
      <c r="B59" s="25" t="s">
        <v>278</v>
      </c>
      <c r="C59" s="25" t="s">
        <v>279</v>
      </c>
      <c r="D59" s="25" t="str">
        <f>"0,6086"</f>
        <v>0,6086</v>
      </c>
      <c r="E59" s="25" t="s">
        <v>74</v>
      </c>
      <c r="F59" s="25" t="s">
        <v>108</v>
      </c>
      <c r="G59" s="27" t="s">
        <v>228</v>
      </c>
      <c r="H59" s="26" t="s">
        <v>146</v>
      </c>
      <c r="I59" s="26" t="s">
        <v>146</v>
      </c>
      <c r="J59" s="26"/>
      <c r="K59" s="25" t="str">
        <f>"135,0"</f>
        <v>135,0</v>
      </c>
      <c r="L59" s="27" t="str">
        <f>"82,1543"</f>
        <v>82,1543</v>
      </c>
      <c r="M59" s="25" t="s">
        <v>24</v>
      </c>
    </row>
    <row r="60" spans="1:13">
      <c r="A60" s="25" t="s">
        <v>281</v>
      </c>
      <c r="B60" s="25" t="s">
        <v>282</v>
      </c>
      <c r="C60" s="25" t="s">
        <v>283</v>
      </c>
      <c r="D60" s="25" t="str">
        <f>"0,6000"</f>
        <v>0,6000</v>
      </c>
      <c r="E60" s="25" t="s">
        <v>20</v>
      </c>
      <c r="F60" s="25" t="s">
        <v>21</v>
      </c>
      <c r="G60" s="27" t="s">
        <v>194</v>
      </c>
      <c r="H60" s="27" t="s">
        <v>228</v>
      </c>
      <c r="I60" s="26" t="s">
        <v>147</v>
      </c>
      <c r="J60" s="26"/>
      <c r="K60" s="25" t="str">
        <f>"135,0"</f>
        <v>135,0</v>
      </c>
      <c r="L60" s="27" t="str">
        <f>"81,0000"</f>
        <v>81,0000</v>
      </c>
      <c r="M60" s="25" t="s">
        <v>24</v>
      </c>
    </row>
    <row r="61" spans="1:13">
      <c r="A61" s="22" t="s">
        <v>284</v>
      </c>
      <c r="B61" s="22" t="s">
        <v>285</v>
      </c>
      <c r="C61" s="22" t="s">
        <v>270</v>
      </c>
      <c r="D61" s="22" t="str">
        <f>"0,5947"</f>
        <v>0,5947</v>
      </c>
      <c r="E61" s="22" t="s">
        <v>30</v>
      </c>
      <c r="F61" s="22" t="s">
        <v>133</v>
      </c>
      <c r="G61" s="24" t="s">
        <v>247</v>
      </c>
      <c r="H61" s="23" t="s">
        <v>271</v>
      </c>
      <c r="I61" s="23" t="s">
        <v>271</v>
      </c>
      <c r="J61" s="23"/>
      <c r="K61" s="22" t="str">
        <f>"152,5"</f>
        <v>152,5</v>
      </c>
      <c r="L61" s="24" t="str">
        <f>"90,9638"</f>
        <v>90,9638</v>
      </c>
      <c r="M61" s="22" t="s">
        <v>24</v>
      </c>
    </row>
    <row r="63" spans="1:13" ht="15">
      <c r="A63" s="45" t="s">
        <v>69</v>
      </c>
      <c r="B63" s="45"/>
      <c r="C63" s="45"/>
      <c r="D63" s="45"/>
      <c r="E63" s="45"/>
      <c r="F63" s="45"/>
      <c r="G63" s="45"/>
      <c r="H63" s="45"/>
      <c r="I63" s="45"/>
      <c r="J63" s="45"/>
      <c r="K63" s="45"/>
      <c r="L63" s="45"/>
    </row>
    <row r="64" spans="1:13">
      <c r="A64" s="19" t="s">
        <v>287</v>
      </c>
      <c r="B64" s="19" t="s">
        <v>288</v>
      </c>
      <c r="C64" s="19" t="s">
        <v>289</v>
      </c>
      <c r="D64" s="19" t="str">
        <f>"0,5678"</f>
        <v>0,5678</v>
      </c>
      <c r="E64" s="19" t="s">
        <v>101</v>
      </c>
      <c r="F64" s="19" t="s">
        <v>108</v>
      </c>
      <c r="G64" s="21" t="s">
        <v>229</v>
      </c>
      <c r="H64" s="20" t="s">
        <v>265</v>
      </c>
      <c r="I64" s="21" t="s">
        <v>265</v>
      </c>
      <c r="J64" s="20"/>
      <c r="K64" s="19" t="str">
        <f>"150,0"</f>
        <v>150,0</v>
      </c>
      <c r="L64" s="21" t="str">
        <f>"86,0217"</f>
        <v>86,0217</v>
      </c>
      <c r="M64" s="19" t="s">
        <v>24</v>
      </c>
    </row>
    <row r="65" spans="1:13">
      <c r="A65" s="25" t="s">
        <v>291</v>
      </c>
      <c r="B65" s="25" t="s">
        <v>292</v>
      </c>
      <c r="C65" s="25" t="s">
        <v>293</v>
      </c>
      <c r="D65" s="25" t="str">
        <f>"0,5580"</f>
        <v>0,5580</v>
      </c>
      <c r="E65" s="25" t="s">
        <v>101</v>
      </c>
      <c r="F65" s="25" t="s">
        <v>21</v>
      </c>
      <c r="G65" s="27" t="s">
        <v>146</v>
      </c>
      <c r="H65" s="27" t="s">
        <v>265</v>
      </c>
      <c r="I65" s="26" t="s">
        <v>248</v>
      </c>
      <c r="J65" s="26"/>
      <c r="K65" s="25" t="str">
        <f>"150,0"</f>
        <v>150,0</v>
      </c>
      <c r="L65" s="27" t="str">
        <f>"83,6925"</f>
        <v>83,6925</v>
      </c>
      <c r="M65" s="25" t="s">
        <v>24</v>
      </c>
    </row>
    <row r="66" spans="1:13">
      <c r="A66" s="25" t="s">
        <v>295</v>
      </c>
      <c r="B66" s="25" t="s">
        <v>296</v>
      </c>
      <c r="C66" s="25" t="s">
        <v>297</v>
      </c>
      <c r="D66" s="25" t="str">
        <f>"0,5597"</f>
        <v>0,5597</v>
      </c>
      <c r="E66" s="25" t="s">
        <v>175</v>
      </c>
      <c r="F66" s="25" t="s">
        <v>138</v>
      </c>
      <c r="G66" s="27" t="s">
        <v>298</v>
      </c>
      <c r="H66" s="27" t="s">
        <v>32</v>
      </c>
      <c r="I66" s="27" t="s">
        <v>299</v>
      </c>
      <c r="J66" s="26"/>
      <c r="K66" s="25" t="str">
        <f>"177,5"</f>
        <v>177,5</v>
      </c>
      <c r="L66" s="27" t="str">
        <f>"99,3468"</f>
        <v>99,3468</v>
      </c>
      <c r="M66" s="25" t="s">
        <v>24</v>
      </c>
    </row>
    <row r="67" spans="1:13">
      <c r="A67" s="25" t="s">
        <v>301</v>
      </c>
      <c r="B67" s="25" t="s">
        <v>302</v>
      </c>
      <c r="C67" s="25" t="s">
        <v>303</v>
      </c>
      <c r="D67" s="25" t="str">
        <f>"0,5565"</f>
        <v>0,5565</v>
      </c>
      <c r="E67" s="25" t="s">
        <v>67</v>
      </c>
      <c r="F67" s="25" t="s">
        <v>21</v>
      </c>
      <c r="G67" s="27" t="s">
        <v>229</v>
      </c>
      <c r="H67" s="27" t="s">
        <v>265</v>
      </c>
      <c r="I67" s="27" t="s">
        <v>271</v>
      </c>
      <c r="J67" s="26"/>
      <c r="K67" s="25" t="str">
        <f>"155,0"</f>
        <v>155,0</v>
      </c>
      <c r="L67" s="27" t="str">
        <f>"86,2575"</f>
        <v>86,2575</v>
      </c>
      <c r="M67" s="25" t="s">
        <v>24</v>
      </c>
    </row>
    <row r="68" spans="1:13">
      <c r="A68" s="25" t="s">
        <v>305</v>
      </c>
      <c r="B68" s="25" t="s">
        <v>306</v>
      </c>
      <c r="C68" s="25" t="s">
        <v>307</v>
      </c>
      <c r="D68" s="25" t="str">
        <f>"0,5599"</f>
        <v>0,5599</v>
      </c>
      <c r="E68" s="25" t="s">
        <v>161</v>
      </c>
      <c r="F68" s="25" t="s">
        <v>21</v>
      </c>
      <c r="G68" s="27" t="s">
        <v>147</v>
      </c>
      <c r="H68" s="26" t="s">
        <v>265</v>
      </c>
      <c r="I68" s="26" t="s">
        <v>247</v>
      </c>
      <c r="J68" s="26"/>
      <c r="K68" s="25" t="str">
        <f>"145,0"</f>
        <v>145,0</v>
      </c>
      <c r="L68" s="27" t="str">
        <f>"81,1855"</f>
        <v>81,1855</v>
      </c>
      <c r="M68" s="25" t="s">
        <v>24</v>
      </c>
    </row>
    <row r="69" spans="1:13">
      <c r="A69" s="25" t="s">
        <v>309</v>
      </c>
      <c r="B69" s="25" t="s">
        <v>310</v>
      </c>
      <c r="C69" s="25" t="s">
        <v>311</v>
      </c>
      <c r="D69" s="25" t="str">
        <f>"0,5667"</f>
        <v>0,5667</v>
      </c>
      <c r="E69" s="25" t="s">
        <v>67</v>
      </c>
      <c r="F69" s="25" t="s">
        <v>21</v>
      </c>
      <c r="G69" s="27" t="s">
        <v>228</v>
      </c>
      <c r="H69" s="27" t="s">
        <v>229</v>
      </c>
      <c r="I69" s="26" t="s">
        <v>265</v>
      </c>
      <c r="J69" s="26"/>
      <c r="K69" s="25" t="str">
        <f>"142,5"</f>
        <v>142,5</v>
      </c>
      <c r="L69" s="27" t="str">
        <f>"80,7619"</f>
        <v>80,7619</v>
      </c>
      <c r="M69" s="25" t="s">
        <v>24</v>
      </c>
    </row>
    <row r="70" spans="1:13">
      <c r="A70" s="25" t="s">
        <v>313</v>
      </c>
      <c r="B70" s="25" t="s">
        <v>314</v>
      </c>
      <c r="C70" s="25" t="s">
        <v>315</v>
      </c>
      <c r="D70" s="25" t="str">
        <f>"0,5543"</f>
        <v>0,5543</v>
      </c>
      <c r="E70" s="25" t="s">
        <v>74</v>
      </c>
      <c r="F70" s="25" t="s">
        <v>21</v>
      </c>
      <c r="G70" s="27" t="s">
        <v>145</v>
      </c>
      <c r="H70" s="27" t="s">
        <v>228</v>
      </c>
      <c r="I70" s="26" t="s">
        <v>229</v>
      </c>
      <c r="J70" s="26"/>
      <c r="K70" s="25" t="str">
        <f>"135,0"</f>
        <v>135,0</v>
      </c>
      <c r="L70" s="27" t="str">
        <f>"74,8305"</f>
        <v>74,8305</v>
      </c>
      <c r="M70" s="25" t="s">
        <v>24</v>
      </c>
    </row>
    <row r="71" spans="1:13">
      <c r="A71" s="22" t="s">
        <v>295</v>
      </c>
      <c r="B71" s="22" t="s">
        <v>316</v>
      </c>
      <c r="C71" s="22" t="s">
        <v>297</v>
      </c>
      <c r="D71" s="22" t="str">
        <f>"0,5597"</f>
        <v>0,5597</v>
      </c>
      <c r="E71" s="22" t="s">
        <v>175</v>
      </c>
      <c r="F71" s="22" t="s">
        <v>138</v>
      </c>
      <c r="G71" s="24" t="s">
        <v>298</v>
      </c>
      <c r="H71" s="24" t="s">
        <v>32</v>
      </c>
      <c r="I71" s="24" t="s">
        <v>299</v>
      </c>
      <c r="J71" s="23"/>
      <c r="K71" s="22" t="str">
        <f>"177,5"</f>
        <v>177,5</v>
      </c>
      <c r="L71" s="24" t="str">
        <f>"99,6448"</f>
        <v>99,6448</v>
      </c>
      <c r="M71" s="22" t="s">
        <v>24</v>
      </c>
    </row>
    <row r="73" spans="1:13" ht="15">
      <c r="A73" s="45" t="s">
        <v>317</v>
      </c>
      <c r="B73" s="45"/>
      <c r="C73" s="45"/>
      <c r="D73" s="45"/>
      <c r="E73" s="45"/>
      <c r="F73" s="45"/>
      <c r="G73" s="45"/>
      <c r="H73" s="45"/>
      <c r="I73" s="45"/>
      <c r="J73" s="45"/>
      <c r="K73" s="45"/>
      <c r="L73" s="45"/>
    </row>
    <row r="74" spans="1:13">
      <c r="A74" s="8" t="s">
        <v>319</v>
      </c>
      <c r="B74" s="8" t="s">
        <v>320</v>
      </c>
      <c r="C74" s="8" t="s">
        <v>321</v>
      </c>
      <c r="D74" s="8" t="str">
        <f>"0,5385"</f>
        <v>0,5385</v>
      </c>
      <c r="E74" s="8" t="s">
        <v>322</v>
      </c>
      <c r="F74" s="8" t="s">
        <v>21</v>
      </c>
      <c r="G74" s="10" t="s">
        <v>147</v>
      </c>
      <c r="H74" s="10" t="s">
        <v>271</v>
      </c>
      <c r="I74" s="9" t="s">
        <v>323</v>
      </c>
      <c r="J74" s="9"/>
      <c r="K74" s="8" t="str">
        <f>"155,0"</f>
        <v>155,0</v>
      </c>
      <c r="L74" s="10" t="str">
        <f>"83,4598"</f>
        <v>83,4598</v>
      </c>
      <c r="M74" s="8" t="s">
        <v>24</v>
      </c>
    </row>
    <row r="76" spans="1:13" ht="15">
      <c r="A76" s="45" t="s">
        <v>324</v>
      </c>
      <c r="B76" s="45"/>
      <c r="C76" s="45"/>
      <c r="D76" s="45"/>
      <c r="E76" s="45"/>
      <c r="F76" s="45"/>
      <c r="G76" s="45"/>
      <c r="H76" s="45"/>
      <c r="I76" s="45"/>
      <c r="J76" s="45"/>
      <c r="K76" s="45"/>
      <c r="L76" s="45"/>
    </row>
    <row r="77" spans="1:13">
      <c r="A77" s="19" t="s">
        <v>325</v>
      </c>
      <c r="B77" s="19" t="s">
        <v>326</v>
      </c>
      <c r="C77" s="19" t="s">
        <v>327</v>
      </c>
      <c r="D77" s="19" t="str">
        <f>"0,5241"</f>
        <v>0,5241</v>
      </c>
      <c r="E77" s="19" t="s">
        <v>30</v>
      </c>
      <c r="F77" s="19" t="s">
        <v>133</v>
      </c>
      <c r="G77" s="20" t="s">
        <v>147</v>
      </c>
      <c r="H77" s="20" t="s">
        <v>147</v>
      </c>
      <c r="I77" s="20" t="s">
        <v>147</v>
      </c>
      <c r="J77" s="20"/>
      <c r="K77" s="19" t="str">
        <f>"0,0"</f>
        <v>0,0</v>
      </c>
      <c r="L77" s="21" t="str">
        <f>"0,0000"</f>
        <v>0,0000</v>
      </c>
      <c r="M77" s="19" t="s">
        <v>24</v>
      </c>
    </row>
    <row r="78" spans="1:13">
      <c r="A78" s="22" t="s">
        <v>329</v>
      </c>
      <c r="B78" s="22" t="s">
        <v>330</v>
      </c>
      <c r="C78" s="22" t="s">
        <v>331</v>
      </c>
      <c r="D78" s="22" t="str">
        <f>"0,5342"</f>
        <v>0,5342</v>
      </c>
      <c r="E78" s="22" t="s">
        <v>101</v>
      </c>
      <c r="F78" s="22" t="s">
        <v>108</v>
      </c>
      <c r="G78" s="24" t="s">
        <v>265</v>
      </c>
      <c r="H78" s="24" t="s">
        <v>248</v>
      </c>
      <c r="I78" s="23" t="s">
        <v>32</v>
      </c>
      <c r="J78" s="23"/>
      <c r="K78" s="22" t="str">
        <f>"160,0"</f>
        <v>160,0</v>
      </c>
      <c r="L78" s="24" t="str">
        <f>"85,4640"</f>
        <v>85,4640</v>
      </c>
      <c r="M78" s="22" t="s">
        <v>24</v>
      </c>
    </row>
    <row r="80" spans="1:13" ht="15">
      <c r="E80" s="11" t="s">
        <v>34</v>
      </c>
    </row>
    <row r="81" spans="1:5" ht="15">
      <c r="E81" s="11" t="s">
        <v>35</v>
      </c>
    </row>
    <row r="82" spans="1:5" ht="15">
      <c r="E82" s="11" t="s">
        <v>36</v>
      </c>
    </row>
    <row r="83" spans="1:5" ht="15">
      <c r="E83" s="11" t="s">
        <v>37</v>
      </c>
    </row>
    <row r="84" spans="1:5" ht="15">
      <c r="E84" s="11" t="s">
        <v>37</v>
      </c>
    </row>
    <row r="85" spans="1:5" ht="15">
      <c r="E85" s="11" t="s">
        <v>38</v>
      </c>
    </row>
    <row r="86" spans="1:5" ht="15">
      <c r="E86" s="11"/>
    </row>
    <row r="88" spans="1:5" ht="18">
      <c r="A88" s="12" t="s">
        <v>39</v>
      </c>
      <c r="B88" s="12"/>
    </row>
    <row r="89" spans="1:5" ht="15">
      <c r="A89" s="13" t="s">
        <v>332</v>
      </c>
      <c r="B89" s="13"/>
    </row>
    <row r="90" spans="1:5" ht="14.25">
      <c r="A90" s="15"/>
      <c r="B90" s="16" t="s">
        <v>333</v>
      </c>
    </row>
    <row r="91" spans="1:5" ht="15">
      <c r="A91" s="17" t="s">
        <v>42</v>
      </c>
      <c r="B91" s="17" t="s">
        <v>43</v>
      </c>
      <c r="C91" s="17" t="s">
        <v>44</v>
      </c>
      <c r="D91" s="17" t="s">
        <v>45</v>
      </c>
      <c r="E91" s="17" t="s">
        <v>46</v>
      </c>
    </row>
    <row r="92" spans="1:5">
      <c r="A92" s="14" t="s">
        <v>91</v>
      </c>
      <c r="B92" s="5" t="s">
        <v>334</v>
      </c>
      <c r="C92" s="5" t="s">
        <v>96</v>
      </c>
      <c r="D92" s="5" t="s">
        <v>95</v>
      </c>
      <c r="E92" s="18" t="s">
        <v>335</v>
      </c>
    </row>
    <row r="94" spans="1:5" ht="14.25">
      <c r="A94" s="15"/>
      <c r="B94" s="16" t="s">
        <v>50</v>
      </c>
    </row>
    <row r="95" spans="1:5" ht="15">
      <c r="A95" s="17" t="s">
        <v>42</v>
      </c>
      <c r="B95" s="17" t="s">
        <v>43</v>
      </c>
      <c r="C95" s="17" t="s">
        <v>44</v>
      </c>
      <c r="D95" s="17" t="s">
        <v>45</v>
      </c>
      <c r="E95" s="17" t="s">
        <v>46</v>
      </c>
    </row>
    <row r="96" spans="1:5">
      <c r="A96" s="14" t="s">
        <v>110</v>
      </c>
      <c r="B96" s="5" t="s">
        <v>50</v>
      </c>
      <c r="C96" s="5" t="s">
        <v>116</v>
      </c>
      <c r="D96" s="5" t="s">
        <v>117</v>
      </c>
      <c r="E96" s="18" t="s">
        <v>336</v>
      </c>
    </row>
    <row r="97" spans="1:5">
      <c r="A97" s="14" t="s">
        <v>97</v>
      </c>
      <c r="B97" s="5" t="s">
        <v>50</v>
      </c>
      <c r="C97" s="5" t="s">
        <v>96</v>
      </c>
      <c r="D97" s="5" t="s">
        <v>337</v>
      </c>
      <c r="E97" s="18" t="s">
        <v>338</v>
      </c>
    </row>
    <row r="98" spans="1:5">
      <c r="A98" s="14" t="s">
        <v>124</v>
      </c>
      <c r="B98" s="5" t="s">
        <v>50</v>
      </c>
      <c r="C98" s="5" t="s">
        <v>162</v>
      </c>
      <c r="D98" s="5" t="s">
        <v>117</v>
      </c>
      <c r="E98" s="18" t="s">
        <v>339</v>
      </c>
    </row>
    <row r="99" spans="1:5">
      <c r="A99" s="14" t="s">
        <v>104</v>
      </c>
      <c r="B99" s="5" t="s">
        <v>50</v>
      </c>
      <c r="C99" s="5" t="s">
        <v>96</v>
      </c>
      <c r="D99" s="5" t="s">
        <v>102</v>
      </c>
      <c r="E99" s="18" t="s">
        <v>340</v>
      </c>
    </row>
    <row r="100" spans="1:5">
      <c r="A100" s="14" t="s">
        <v>118</v>
      </c>
      <c r="B100" s="5" t="s">
        <v>50</v>
      </c>
      <c r="C100" s="5" t="s">
        <v>116</v>
      </c>
      <c r="D100" s="5" t="s">
        <v>102</v>
      </c>
      <c r="E100" s="18" t="s">
        <v>341</v>
      </c>
    </row>
    <row r="102" spans="1:5" ht="14.25">
      <c r="A102" s="15"/>
      <c r="B102" s="16" t="s">
        <v>342</v>
      </c>
    </row>
    <row r="103" spans="1:5" ht="15">
      <c r="A103" s="17" t="s">
        <v>42</v>
      </c>
      <c r="B103" s="17" t="s">
        <v>43</v>
      </c>
      <c r="C103" s="17" t="s">
        <v>44</v>
      </c>
      <c r="D103" s="17" t="s">
        <v>45</v>
      </c>
      <c r="E103" s="17" t="s">
        <v>46</v>
      </c>
    </row>
    <row r="104" spans="1:5">
      <c r="A104" s="14" t="s">
        <v>110</v>
      </c>
      <c r="B104" s="5" t="s">
        <v>343</v>
      </c>
      <c r="C104" s="5" t="s">
        <v>116</v>
      </c>
      <c r="D104" s="5" t="s">
        <v>117</v>
      </c>
      <c r="E104" s="18" t="s">
        <v>344</v>
      </c>
    </row>
    <row r="107" spans="1:5" ht="15">
      <c r="A107" s="13" t="s">
        <v>40</v>
      </c>
      <c r="B107" s="13"/>
    </row>
    <row r="108" spans="1:5" ht="14.25">
      <c r="A108" s="15"/>
      <c r="B108" s="16" t="s">
        <v>41</v>
      </c>
    </row>
    <row r="109" spans="1:5" ht="15">
      <c r="A109" s="17" t="s">
        <v>42</v>
      </c>
      <c r="B109" s="17" t="s">
        <v>43</v>
      </c>
      <c r="C109" s="17" t="s">
        <v>44</v>
      </c>
      <c r="D109" s="17" t="s">
        <v>45</v>
      </c>
      <c r="E109" s="17" t="s">
        <v>46</v>
      </c>
    </row>
    <row r="110" spans="1:5">
      <c r="A110" s="14" t="s">
        <v>243</v>
      </c>
      <c r="B110" s="5" t="s">
        <v>345</v>
      </c>
      <c r="C110" s="5" t="s">
        <v>84</v>
      </c>
      <c r="D110" s="5" t="s">
        <v>248</v>
      </c>
      <c r="E110" s="18" t="s">
        <v>346</v>
      </c>
    </row>
    <row r="111" spans="1:5">
      <c r="A111" s="14" t="s">
        <v>239</v>
      </c>
      <c r="B111" s="5" t="s">
        <v>347</v>
      </c>
      <c r="C111" s="5" t="s">
        <v>84</v>
      </c>
      <c r="D111" s="5" t="s">
        <v>194</v>
      </c>
      <c r="E111" s="18" t="s">
        <v>348</v>
      </c>
    </row>
    <row r="112" spans="1:5">
      <c r="A112" s="14" t="s">
        <v>171</v>
      </c>
      <c r="B112" s="5" t="s">
        <v>347</v>
      </c>
      <c r="C112" s="5" t="s">
        <v>162</v>
      </c>
      <c r="D112" s="5" t="s">
        <v>177</v>
      </c>
      <c r="E112" s="18" t="s">
        <v>349</v>
      </c>
    </row>
    <row r="113" spans="1:5">
      <c r="A113" s="14" t="s">
        <v>200</v>
      </c>
      <c r="B113" s="5" t="s">
        <v>345</v>
      </c>
      <c r="C113" s="5" t="s">
        <v>51</v>
      </c>
      <c r="D113" s="5" t="s">
        <v>204</v>
      </c>
      <c r="E113" s="18" t="s">
        <v>350</v>
      </c>
    </row>
    <row r="114" spans="1:5">
      <c r="A114" s="14" t="s">
        <v>152</v>
      </c>
      <c r="B114" s="5" t="s">
        <v>47</v>
      </c>
      <c r="C114" s="5" t="s">
        <v>162</v>
      </c>
      <c r="D114" s="5" t="s">
        <v>156</v>
      </c>
      <c r="E114" s="18" t="s">
        <v>351</v>
      </c>
    </row>
    <row r="115" spans="1:5">
      <c r="A115" s="14" t="s">
        <v>129</v>
      </c>
      <c r="B115" s="5" t="s">
        <v>47</v>
      </c>
      <c r="C115" s="5" t="s">
        <v>352</v>
      </c>
      <c r="D115" s="5" t="s">
        <v>23</v>
      </c>
      <c r="E115" s="18" t="s">
        <v>353</v>
      </c>
    </row>
    <row r="116" spans="1:5">
      <c r="A116" s="14" t="s">
        <v>157</v>
      </c>
      <c r="B116" s="5" t="s">
        <v>47</v>
      </c>
      <c r="C116" s="5" t="s">
        <v>162</v>
      </c>
      <c r="D116" s="5" t="s">
        <v>117</v>
      </c>
      <c r="E116" s="18" t="s">
        <v>354</v>
      </c>
    </row>
    <row r="117" spans="1:5">
      <c r="A117" s="14" t="s">
        <v>163</v>
      </c>
      <c r="B117" s="5" t="s">
        <v>47</v>
      </c>
      <c r="C117" s="5" t="s">
        <v>162</v>
      </c>
      <c r="D117" s="5" t="s">
        <v>23</v>
      </c>
      <c r="E117" s="18" t="s">
        <v>355</v>
      </c>
    </row>
    <row r="119" spans="1:5" ht="14.25">
      <c r="A119" s="15"/>
      <c r="B119" s="16" t="s">
        <v>356</v>
      </c>
    </row>
    <row r="120" spans="1:5" ht="15">
      <c r="A120" s="17" t="s">
        <v>42</v>
      </c>
      <c r="B120" s="17" t="s">
        <v>43</v>
      </c>
      <c r="C120" s="17" t="s">
        <v>44</v>
      </c>
      <c r="D120" s="17" t="s">
        <v>45</v>
      </c>
      <c r="E120" s="17" t="s">
        <v>46</v>
      </c>
    </row>
    <row r="121" spans="1:5">
      <c r="A121" s="14" t="s">
        <v>141</v>
      </c>
      <c r="B121" s="5" t="s">
        <v>334</v>
      </c>
      <c r="C121" s="5" t="s">
        <v>116</v>
      </c>
      <c r="D121" s="5" t="s">
        <v>147</v>
      </c>
      <c r="E121" s="18" t="s">
        <v>357</v>
      </c>
    </row>
    <row r="122" spans="1:5">
      <c r="A122" s="14" t="s">
        <v>211</v>
      </c>
      <c r="B122" s="5" t="s">
        <v>334</v>
      </c>
      <c r="C122" s="5" t="s">
        <v>51</v>
      </c>
      <c r="D122" s="5" t="s">
        <v>146</v>
      </c>
      <c r="E122" s="18" t="s">
        <v>358</v>
      </c>
    </row>
    <row r="123" spans="1:5">
      <c r="A123" s="14" t="s">
        <v>286</v>
      </c>
      <c r="B123" s="5" t="s">
        <v>334</v>
      </c>
      <c r="C123" s="5" t="s">
        <v>81</v>
      </c>
      <c r="D123" s="5" t="s">
        <v>265</v>
      </c>
      <c r="E123" s="18" t="s">
        <v>359</v>
      </c>
    </row>
    <row r="124" spans="1:5">
      <c r="A124" s="14" t="s">
        <v>134</v>
      </c>
      <c r="B124" s="5" t="s">
        <v>334</v>
      </c>
      <c r="C124" s="5" t="s">
        <v>96</v>
      </c>
      <c r="D124" s="5" t="s">
        <v>81</v>
      </c>
      <c r="E124" s="18" t="s">
        <v>360</v>
      </c>
    </row>
    <row r="125" spans="1:5">
      <c r="A125" s="14" t="s">
        <v>290</v>
      </c>
      <c r="B125" s="5" t="s">
        <v>334</v>
      </c>
      <c r="C125" s="5" t="s">
        <v>81</v>
      </c>
      <c r="D125" s="5" t="s">
        <v>265</v>
      </c>
      <c r="E125" s="18" t="s">
        <v>361</v>
      </c>
    </row>
    <row r="126" spans="1:5">
      <c r="A126" s="14" t="s">
        <v>252</v>
      </c>
      <c r="B126" s="5" t="s">
        <v>334</v>
      </c>
      <c r="C126" s="5" t="s">
        <v>84</v>
      </c>
      <c r="D126" s="5" t="s">
        <v>228</v>
      </c>
      <c r="E126" s="18" t="s">
        <v>362</v>
      </c>
    </row>
    <row r="127" spans="1:5">
      <c r="A127" s="14" t="s">
        <v>215</v>
      </c>
      <c r="B127" s="5" t="s">
        <v>334</v>
      </c>
      <c r="C127" s="5" t="s">
        <v>51</v>
      </c>
      <c r="D127" s="5" t="s">
        <v>194</v>
      </c>
      <c r="E127" s="18" t="s">
        <v>363</v>
      </c>
    </row>
    <row r="128" spans="1:5">
      <c r="A128" s="14" t="s">
        <v>256</v>
      </c>
      <c r="B128" s="5" t="s">
        <v>334</v>
      </c>
      <c r="C128" s="5" t="s">
        <v>84</v>
      </c>
      <c r="D128" s="5" t="s">
        <v>145</v>
      </c>
      <c r="E128" s="18" t="s">
        <v>364</v>
      </c>
    </row>
    <row r="129" spans="1:5">
      <c r="A129" s="14" t="s">
        <v>219</v>
      </c>
      <c r="B129" s="5" t="s">
        <v>334</v>
      </c>
      <c r="C129" s="5" t="s">
        <v>51</v>
      </c>
      <c r="D129" s="5" t="s">
        <v>193</v>
      </c>
      <c r="E129" s="18" t="s">
        <v>365</v>
      </c>
    </row>
    <row r="130" spans="1:5">
      <c r="A130" s="14" t="s">
        <v>181</v>
      </c>
      <c r="B130" s="5" t="s">
        <v>334</v>
      </c>
      <c r="C130" s="5" t="s">
        <v>162</v>
      </c>
      <c r="D130" s="5" t="s">
        <v>139</v>
      </c>
      <c r="E130" s="18" t="s">
        <v>366</v>
      </c>
    </row>
    <row r="132" spans="1:5" ht="14.25">
      <c r="A132" s="15"/>
      <c r="B132" s="16" t="s">
        <v>50</v>
      </c>
    </row>
    <row r="133" spans="1:5" ht="15">
      <c r="A133" s="17" t="s">
        <v>42</v>
      </c>
      <c r="B133" s="17" t="s">
        <v>43</v>
      </c>
      <c r="C133" s="17" t="s">
        <v>44</v>
      </c>
      <c r="D133" s="17" t="s">
        <v>45</v>
      </c>
      <c r="E133" s="17" t="s">
        <v>46</v>
      </c>
    </row>
    <row r="134" spans="1:5">
      <c r="A134" s="14" t="s">
        <v>294</v>
      </c>
      <c r="B134" s="5" t="s">
        <v>50</v>
      </c>
      <c r="C134" s="5" t="s">
        <v>81</v>
      </c>
      <c r="D134" s="5" t="s">
        <v>299</v>
      </c>
      <c r="E134" s="18" t="s">
        <v>367</v>
      </c>
    </row>
    <row r="135" spans="1:5">
      <c r="A135" s="14" t="s">
        <v>184</v>
      </c>
      <c r="B135" s="5" t="s">
        <v>50</v>
      </c>
      <c r="C135" s="5" t="s">
        <v>162</v>
      </c>
      <c r="D135" s="5" t="s">
        <v>146</v>
      </c>
      <c r="E135" s="18" t="s">
        <v>368</v>
      </c>
    </row>
    <row r="136" spans="1:5">
      <c r="A136" s="14" t="s">
        <v>261</v>
      </c>
      <c r="B136" s="5" t="s">
        <v>50</v>
      </c>
      <c r="C136" s="5" t="s">
        <v>84</v>
      </c>
      <c r="D136" s="5" t="s">
        <v>266</v>
      </c>
      <c r="E136" s="18" t="s">
        <v>369</v>
      </c>
    </row>
    <row r="137" spans="1:5">
      <c r="A137" s="14" t="s">
        <v>224</v>
      </c>
      <c r="B137" s="5" t="s">
        <v>50</v>
      </c>
      <c r="C137" s="5" t="s">
        <v>51</v>
      </c>
      <c r="D137" s="5" t="s">
        <v>188</v>
      </c>
      <c r="E137" s="18" t="s">
        <v>370</v>
      </c>
    </row>
    <row r="138" spans="1:5">
      <c r="A138" s="14" t="s">
        <v>267</v>
      </c>
      <c r="B138" s="5" t="s">
        <v>50</v>
      </c>
      <c r="C138" s="5" t="s">
        <v>84</v>
      </c>
      <c r="D138" s="5" t="s">
        <v>247</v>
      </c>
      <c r="E138" s="18" t="s">
        <v>371</v>
      </c>
    </row>
    <row r="139" spans="1:5">
      <c r="A139" s="14" t="s">
        <v>272</v>
      </c>
      <c r="B139" s="5" t="s">
        <v>50</v>
      </c>
      <c r="C139" s="5" t="s">
        <v>84</v>
      </c>
      <c r="D139" s="5" t="s">
        <v>265</v>
      </c>
      <c r="E139" s="18" t="s">
        <v>372</v>
      </c>
    </row>
    <row r="140" spans="1:5">
      <c r="A140" s="14" t="s">
        <v>300</v>
      </c>
      <c r="B140" s="5" t="s">
        <v>50</v>
      </c>
      <c r="C140" s="5" t="s">
        <v>81</v>
      </c>
      <c r="D140" s="5" t="s">
        <v>271</v>
      </c>
      <c r="E140" s="18" t="s">
        <v>373</v>
      </c>
    </row>
    <row r="141" spans="1:5">
      <c r="A141" s="14" t="s">
        <v>328</v>
      </c>
      <c r="B141" s="5" t="s">
        <v>50</v>
      </c>
      <c r="C141" s="5" t="s">
        <v>194</v>
      </c>
      <c r="D141" s="5" t="s">
        <v>248</v>
      </c>
      <c r="E141" s="18" t="s">
        <v>374</v>
      </c>
    </row>
    <row r="142" spans="1:5">
      <c r="A142" s="14" t="s">
        <v>318</v>
      </c>
      <c r="B142" s="5" t="s">
        <v>50</v>
      </c>
      <c r="C142" s="5" t="s">
        <v>375</v>
      </c>
      <c r="D142" s="5" t="s">
        <v>271</v>
      </c>
      <c r="E142" s="18" t="s">
        <v>376</v>
      </c>
    </row>
    <row r="143" spans="1:5">
      <c r="A143" s="14" t="s">
        <v>276</v>
      </c>
      <c r="B143" s="5" t="s">
        <v>50</v>
      </c>
      <c r="C143" s="5" t="s">
        <v>84</v>
      </c>
      <c r="D143" s="5" t="s">
        <v>228</v>
      </c>
      <c r="E143" s="18" t="s">
        <v>377</v>
      </c>
    </row>
    <row r="144" spans="1:5">
      <c r="A144" s="14" t="s">
        <v>230</v>
      </c>
      <c r="B144" s="5" t="s">
        <v>50</v>
      </c>
      <c r="C144" s="5" t="s">
        <v>51</v>
      </c>
      <c r="D144" s="5" t="s">
        <v>145</v>
      </c>
      <c r="E144" s="18" t="s">
        <v>378</v>
      </c>
    </row>
    <row r="145" spans="1:5">
      <c r="A145" s="14" t="s">
        <v>304</v>
      </c>
      <c r="B145" s="5" t="s">
        <v>50</v>
      </c>
      <c r="C145" s="5" t="s">
        <v>81</v>
      </c>
      <c r="D145" s="5" t="s">
        <v>147</v>
      </c>
      <c r="E145" s="18" t="s">
        <v>379</v>
      </c>
    </row>
    <row r="146" spans="1:5">
      <c r="A146" s="14" t="s">
        <v>280</v>
      </c>
      <c r="B146" s="5" t="s">
        <v>50</v>
      </c>
      <c r="C146" s="5" t="s">
        <v>84</v>
      </c>
      <c r="D146" s="5" t="s">
        <v>228</v>
      </c>
      <c r="E146" s="18" t="s">
        <v>380</v>
      </c>
    </row>
    <row r="147" spans="1:5">
      <c r="A147" s="14" t="s">
        <v>308</v>
      </c>
      <c r="B147" s="5" t="s">
        <v>50</v>
      </c>
      <c r="C147" s="5" t="s">
        <v>81</v>
      </c>
      <c r="D147" s="5" t="s">
        <v>229</v>
      </c>
      <c r="E147" s="18" t="s">
        <v>381</v>
      </c>
    </row>
    <row r="148" spans="1:5">
      <c r="A148" s="14" t="s">
        <v>189</v>
      </c>
      <c r="B148" s="5" t="s">
        <v>50</v>
      </c>
      <c r="C148" s="5" t="s">
        <v>162</v>
      </c>
      <c r="D148" s="5" t="s">
        <v>193</v>
      </c>
      <c r="E148" s="18" t="s">
        <v>382</v>
      </c>
    </row>
    <row r="149" spans="1:5">
      <c r="A149" s="14" t="s">
        <v>219</v>
      </c>
      <c r="B149" s="5" t="s">
        <v>50</v>
      </c>
      <c r="C149" s="5" t="s">
        <v>51</v>
      </c>
      <c r="D149" s="5" t="s">
        <v>193</v>
      </c>
      <c r="E149" s="18" t="s">
        <v>383</v>
      </c>
    </row>
    <row r="150" spans="1:5">
      <c r="A150" s="14" t="s">
        <v>312</v>
      </c>
      <c r="B150" s="5" t="s">
        <v>50</v>
      </c>
      <c r="C150" s="5" t="s">
        <v>81</v>
      </c>
      <c r="D150" s="5" t="s">
        <v>228</v>
      </c>
      <c r="E150" s="18" t="s">
        <v>384</v>
      </c>
    </row>
    <row r="151" spans="1:5">
      <c r="A151" s="14" t="s">
        <v>195</v>
      </c>
      <c r="B151" s="5" t="s">
        <v>50</v>
      </c>
      <c r="C151" s="5" t="s">
        <v>162</v>
      </c>
      <c r="D151" s="5" t="s">
        <v>81</v>
      </c>
      <c r="E151" s="18" t="s">
        <v>385</v>
      </c>
    </row>
    <row r="152" spans="1:5">
      <c r="A152" s="14" t="s">
        <v>235</v>
      </c>
      <c r="B152" s="5" t="s">
        <v>50</v>
      </c>
      <c r="C152" s="5" t="s">
        <v>51</v>
      </c>
      <c r="D152" s="5" t="s">
        <v>238</v>
      </c>
      <c r="E152" s="18" t="s">
        <v>386</v>
      </c>
    </row>
    <row r="154" spans="1:5" ht="14.25">
      <c r="A154" s="15"/>
      <c r="B154" s="16" t="s">
        <v>342</v>
      </c>
    </row>
    <row r="155" spans="1:5" ht="15">
      <c r="A155" s="17" t="s">
        <v>42</v>
      </c>
      <c r="B155" s="17" t="s">
        <v>43</v>
      </c>
      <c r="C155" s="17" t="s">
        <v>44</v>
      </c>
      <c r="D155" s="17" t="s">
        <v>45</v>
      </c>
      <c r="E155" s="17" t="s">
        <v>46</v>
      </c>
    </row>
    <row r="156" spans="1:5">
      <c r="A156" s="14" t="s">
        <v>294</v>
      </c>
      <c r="B156" s="5" t="s">
        <v>343</v>
      </c>
      <c r="C156" s="5" t="s">
        <v>81</v>
      </c>
      <c r="D156" s="5" t="s">
        <v>299</v>
      </c>
      <c r="E156" s="18" t="s">
        <v>387</v>
      </c>
    </row>
    <row r="157" spans="1:5">
      <c r="A157" s="14" t="s">
        <v>267</v>
      </c>
      <c r="B157" s="5" t="s">
        <v>343</v>
      </c>
      <c r="C157" s="5" t="s">
        <v>84</v>
      </c>
      <c r="D157" s="5" t="s">
        <v>247</v>
      </c>
      <c r="E157" s="18" t="s">
        <v>388</v>
      </c>
    </row>
    <row r="158" spans="1:5">
      <c r="A158" s="14" t="s">
        <v>148</v>
      </c>
      <c r="B158" s="5" t="s">
        <v>389</v>
      </c>
      <c r="C158" s="5" t="s">
        <v>116</v>
      </c>
      <c r="D158" s="5" t="s">
        <v>81</v>
      </c>
      <c r="E158" s="18" t="s">
        <v>390</v>
      </c>
    </row>
    <row r="163" spans="1:3" ht="18">
      <c r="A163" s="12" t="s">
        <v>53</v>
      </c>
      <c r="B163" s="12"/>
    </row>
    <row r="164" spans="1:3" ht="15">
      <c r="A164" s="17" t="s">
        <v>54</v>
      </c>
      <c r="B164" s="17" t="s">
        <v>55</v>
      </c>
      <c r="C164" s="17" t="s">
        <v>56</v>
      </c>
    </row>
    <row r="165" spans="1:3">
      <c r="A165" s="5" t="s">
        <v>101</v>
      </c>
      <c r="B165" s="5" t="s">
        <v>391</v>
      </c>
      <c r="C165" s="5" t="s">
        <v>392</v>
      </c>
    </row>
    <row r="166" spans="1:3">
      <c r="A166" s="5" t="s">
        <v>74</v>
      </c>
      <c r="B166" s="5" t="s">
        <v>393</v>
      </c>
      <c r="C166" s="5" t="s">
        <v>394</v>
      </c>
    </row>
    <row r="167" spans="1:3">
      <c r="A167" s="5" t="s">
        <v>175</v>
      </c>
      <c r="B167" s="5" t="s">
        <v>395</v>
      </c>
      <c r="C167" s="5" t="s">
        <v>396</v>
      </c>
    </row>
    <row r="168" spans="1:3">
      <c r="A168" s="5" t="s">
        <v>20</v>
      </c>
      <c r="B168" s="5" t="s">
        <v>397</v>
      </c>
      <c r="C168" s="5" t="s">
        <v>398</v>
      </c>
    </row>
    <row r="169" spans="1:3">
      <c r="A169" s="5" t="s">
        <v>30</v>
      </c>
      <c r="B169" s="5" t="s">
        <v>399</v>
      </c>
      <c r="C169" s="5" t="s">
        <v>400</v>
      </c>
    </row>
    <row r="170" spans="1:3">
      <c r="A170" s="5" t="s">
        <v>67</v>
      </c>
      <c r="B170" s="5" t="s">
        <v>401</v>
      </c>
      <c r="C170" s="5" t="s">
        <v>402</v>
      </c>
    </row>
    <row r="171" spans="1:3">
      <c r="A171" s="5" t="s">
        <v>322</v>
      </c>
      <c r="B171" s="5" t="s">
        <v>57</v>
      </c>
      <c r="C171" s="5" t="s">
        <v>403</v>
      </c>
    </row>
    <row r="172" spans="1:3">
      <c r="A172" s="5" t="s">
        <v>161</v>
      </c>
      <c r="B172" s="5" t="s">
        <v>404</v>
      </c>
      <c r="C172" s="5" t="s">
        <v>405</v>
      </c>
    </row>
    <row r="173" spans="1:3">
      <c r="A173" s="5" t="s">
        <v>167</v>
      </c>
      <c r="B173" s="5" t="s">
        <v>406</v>
      </c>
      <c r="C173" s="5" t="s">
        <v>407</v>
      </c>
    </row>
  </sheetData>
  <mergeCells count="23">
    <mergeCell ref="A1:M2"/>
    <mergeCell ref="A3:A4"/>
    <mergeCell ref="B3:B4"/>
    <mergeCell ref="C3:C4"/>
    <mergeCell ref="D3:D4"/>
    <mergeCell ref="E3:E4"/>
    <mergeCell ref="F3:F4"/>
    <mergeCell ref="G3:J3"/>
    <mergeCell ref="K3:K4"/>
    <mergeCell ref="L3:L4"/>
    <mergeCell ref="M3:M4"/>
    <mergeCell ref="A5:L5"/>
    <mergeCell ref="A10:L10"/>
    <mergeCell ref="A15:L15"/>
    <mergeCell ref="A63:L63"/>
    <mergeCell ref="A73:L73"/>
    <mergeCell ref="A76:L76"/>
    <mergeCell ref="A18:L18"/>
    <mergeCell ref="A21:L21"/>
    <mergeCell ref="A24:L24"/>
    <mergeCell ref="A28:L28"/>
    <mergeCell ref="A39:L39"/>
    <mergeCell ref="A50:L5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34"/>
  <sheetViews>
    <sheetView workbookViewId="0">
      <selection sqref="A1:U2"/>
    </sheetView>
  </sheetViews>
  <sheetFormatPr defaultRowHeight="12.75"/>
  <cols>
    <col min="1" max="1" width="31.85546875" style="5" bestFit="1" customWidth="1"/>
    <col min="2" max="2" width="22.85546875" style="5" bestFit="1" customWidth="1"/>
    <col min="3" max="3" width="30.425781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44" t="s">
        <v>61</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3</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62</v>
      </c>
      <c r="B5" s="43"/>
      <c r="C5" s="43"/>
      <c r="D5" s="43"/>
      <c r="E5" s="43"/>
      <c r="F5" s="43"/>
      <c r="G5" s="43"/>
      <c r="H5" s="43"/>
      <c r="I5" s="43"/>
      <c r="J5" s="43"/>
      <c r="K5" s="43"/>
      <c r="L5" s="43"/>
    </row>
    <row r="6" spans="1:13">
      <c r="A6" s="8" t="s">
        <v>64</v>
      </c>
      <c r="B6" s="8" t="s">
        <v>65</v>
      </c>
      <c r="C6" s="8" t="s">
        <v>66</v>
      </c>
      <c r="D6" s="8" t="str">
        <f>"0,5907"</f>
        <v>0,5907</v>
      </c>
      <c r="E6" s="8" t="s">
        <v>67</v>
      </c>
      <c r="F6" s="8" t="s">
        <v>21</v>
      </c>
      <c r="G6" s="10" t="s">
        <v>33</v>
      </c>
      <c r="H6" s="9" t="s">
        <v>68</v>
      </c>
      <c r="I6" s="9" t="s">
        <v>68</v>
      </c>
      <c r="J6" s="9"/>
      <c r="K6" s="8" t="str">
        <f>"180,0"</f>
        <v>180,0</v>
      </c>
      <c r="L6" s="10" t="str">
        <f>"106,3350"</f>
        <v>106,3350</v>
      </c>
      <c r="M6" s="8" t="s">
        <v>24</v>
      </c>
    </row>
    <row r="8" spans="1:13" ht="15">
      <c r="A8" s="45" t="s">
        <v>69</v>
      </c>
      <c r="B8" s="45"/>
      <c r="C8" s="45"/>
      <c r="D8" s="45"/>
      <c r="E8" s="45"/>
      <c r="F8" s="45"/>
      <c r="G8" s="45"/>
      <c r="H8" s="45"/>
      <c r="I8" s="45"/>
      <c r="J8" s="45"/>
      <c r="K8" s="45"/>
      <c r="L8" s="45"/>
    </row>
    <row r="9" spans="1:13">
      <c r="A9" s="19" t="s">
        <v>71</v>
      </c>
      <c r="B9" s="19" t="s">
        <v>72</v>
      </c>
      <c r="C9" s="19" t="s">
        <v>73</v>
      </c>
      <c r="D9" s="19" t="str">
        <f>"0,5583"</f>
        <v>0,5583</v>
      </c>
      <c r="E9" s="19" t="s">
        <v>74</v>
      </c>
      <c r="F9" s="19" t="s">
        <v>21</v>
      </c>
      <c r="G9" s="21" t="s">
        <v>75</v>
      </c>
      <c r="H9" s="20"/>
      <c r="I9" s="20"/>
      <c r="J9" s="20"/>
      <c r="K9" s="19" t="str">
        <f>"240,0"</f>
        <v>240,0</v>
      </c>
      <c r="L9" s="21" t="str">
        <f>"133,9920"</f>
        <v>133,9920</v>
      </c>
      <c r="M9" s="19" t="s">
        <v>24</v>
      </c>
    </row>
    <row r="10" spans="1:13">
      <c r="A10" s="22" t="s">
        <v>77</v>
      </c>
      <c r="B10" s="22" t="s">
        <v>78</v>
      </c>
      <c r="C10" s="22" t="s">
        <v>79</v>
      </c>
      <c r="D10" s="22" t="str">
        <f>"0,5751"</f>
        <v>0,5751</v>
      </c>
      <c r="E10" s="22" t="s">
        <v>67</v>
      </c>
      <c r="F10" s="22" t="s">
        <v>21</v>
      </c>
      <c r="G10" s="24" t="s">
        <v>32</v>
      </c>
      <c r="H10" s="24" t="s">
        <v>68</v>
      </c>
      <c r="I10" s="24" t="s">
        <v>80</v>
      </c>
      <c r="J10" s="23"/>
      <c r="K10" s="22" t="str">
        <f>"210,0"</f>
        <v>210,0</v>
      </c>
      <c r="L10" s="24" t="str">
        <f>"120,7710"</f>
        <v>120,7710</v>
      </c>
      <c r="M10" s="22" t="s">
        <v>24</v>
      </c>
    </row>
    <row r="12" spans="1:13" ht="15">
      <c r="E12" s="11" t="s">
        <v>34</v>
      </c>
    </row>
    <row r="13" spans="1:13" ht="15">
      <c r="E13" s="11" t="s">
        <v>35</v>
      </c>
    </row>
    <row r="14" spans="1:13" ht="15">
      <c r="E14" s="11" t="s">
        <v>36</v>
      </c>
    </row>
    <row r="15" spans="1:13" ht="15">
      <c r="E15" s="11" t="s">
        <v>37</v>
      </c>
    </row>
    <row r="16" spans="1:13" ht="15">
      <c r="E16" s="11" t="s">
        <v>37</v>
      </c>
    </row>
    <row r="17" spans="1:5" ht="15">
      <c r="E17" s="11" t="s">
        <v>38</v>
      </c>
    </row>
    <row r="18" spans="1:5" ht="15">
      <c r="E18" s="11"/>
    </row>
    <row r="20" spans="1:5" ht="18">
      <c r="A20" s="12" t="s">
        <v>39</v>
      </c>
      <c r="B20" s="12"/>
    </row>
    <row r="21" spans="1:5" ht="15">
      <c r="A21" s="13" t="s">
        <v>40</v>
      </c>
      <c r="B21" s="13"/>
    </row>
    <row r="22" spans="1:5" ht="14.25">
      <c r="A22" s="15"/>
      <c r="B22" s="16" t="s">
        <v>50</v>
      </c>
    </row>
    <row r="23" spans="1:5" ht="15">
      <c r="A23" s="17" t="s">
        <v>42</v>
      </c>
      <c r="B23" s="17" t="s">
        <v>43</v>
      </c>
      <c r="C23" s="17" t="s">
        <v>44</v>
      </c>
      <c r="D23" s="17" t="s">
        <v>45</v>
      </c>
      <c r="E23" s="17" t="s">
        <v>46</v>
      </c>
    </row>
    <row r="24" spans="1:5">
      <c r="A24" s="14" t="s">
        <v>70</v>
      </c>
      <c r="B24" s="5" t="s">
        <v>50</v>
      </c>
      <c r="C24" s="5" t="s">
        <v>81</v>
      </c>
      <c r="D24" s="5" t="s">
        <v>75</v>
      </c>
      <c r="E24" s="18" t="s">
        <v>82</v>
      </c>
    </row>
    <row r="25" spans="1:5">
      <c r="A25" s="14" t="s">
        <v>76</v>
      </c>
      <c r="B25" s="5" t="s">
        <v>50</v>
      </c>
      <c r="C25" s="5" t="s">
        <v>81</v>
      </c>
      <c r="D25" s="5" t="s">
        <v>80</v>
      </c>
      <c r="E25" s="18" t="s">
        <v>83</v>
      </c>
    </row>
    <row r="26" spans="1:5">
      <c r="A26" s="14" t="s">
        <v>63</v>
      </c>
      <c r="B26" s="5" t="s">
        <v>50</v>
      </c>
      <c r="C26" s="5" t="s">
        <v>84</v>
      </c>
      <c r="D26" s="5" t="s">
        <v>33</v>
      </c>
      <c r="E26" s="18" t="s">
        <v>85</v>
      </c>
    </row>
    <row r="31" spans="1:5" ht="18">
      <c r="A31" s="12" t="s">
        <v>53</v>
      </c>
      <c r="B31" s="12"/>
    </row>
    <row r="32" spans="1:5" ht="15">
      <c r="A32" s="17" t="s">
        <v>54</v>
      </c>
      <c r="B32" s="17" t="s">
        <v>55</v>
      </c>
      <c r="C32" s="17" t="s">
        <v>56</v>
      </c>
    </row>
    <row r="33" spans="1:3">
      <c r="A33" s="5" t="s">
        <v>67</v>
      </c>
      <c r="B33" s="5" t="s">
        <v>86</v>
      </c>
      <c r="C33" s="5" t="s">
        <v>87</v>
      </c>
    </row>
    <row r="34" spans="1:3">
      <c r="A34" s="5" t="s">
        <v>74</v>
      </c>
      <c r="B34" s="5" t="s">
        <v>57</v>
      </c>
      <c r="C34" s="5" t="s">
        <v>88</v>
      </c>
    </row>
  </sheetData>
  <mergeCells count="13">
    <mergeCell ref="E3:E4"/>
    <mergeCell ref="F3:F4"/>
    <mergeCell ref="G3:J3"/>
    <mergeCell ref="K3:K4"/>
    <mergeCell ref="L3:L4"/>
    <mergeCell ref="M3:M4"/>
    <mergeCell ref="A5:L5"/>
    <mergeCell ref="A8:L8"/>
    <mergeCell ref="A1:M2"/>
    <mergeCell ref="A3:A4"/>
    <mergeCell ref="B3:B4"/>
    <mergeCell ref="C3:C4"/>
    <mergeCell ref="D3:D4"/>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Лист5">
    <pageSetUpPr fitToPage="1"/>
  </sheetPr>
  <dimension ref="A1:M35"/>
  <sheetViews>
    <sheetView workbookViewId="0">
      <selection sqref="A1:U2"/>
    </sheetView>
  </sheetViews>
  <sheetFormatPr defaultRowHeight="12.75"/>
  <cols>
    <col min="1" max="1" width="31.85546875" style="5" bestFit="1" customWidth="1"/>
    <col min="2" max="2" width="27.7109375" style="5" bestFit="1" customWidth="1"/>
    <col min="3" max="3" width="19.140625" style="5" bestFit="1" customWidth="1"/>
    <col min="4" max="4" width="9.28515625" style="5" bestFit="1" customWidth="1"/>
    <col min="5" max="5" width="22.7109375" style="5" bestFit="1" customWidth="1"/>
    <col min="6" max="6" width="33.57031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44" t="s">
        <v>13</v>
      </c>
      <c r="B1" s="33"/>
      <c r="C1" s="33"/>
      <c r="D1" s="33"/>
      <c r="E1" s="33"/>
      <c r="F1" s="33"/>
      <c r="G1" s="33"/>
      <c r="H1" s="33"/>
      <c r="I1" s="33"/>
      <c r="J1" s="33"/>
      <c r="K1" s="33"/>
      <c r="L1" s="33"/>
      <c r="M1" s="34"/>
    </row>
    <row r="2" spans="1:13" s="3" customFormat="1" ht="62.1" customHeight="1" thickBot="1">
      <c r="A2" s="35"/>
      <c r="B2" s="36"/>
      <c r="C2" s="36"/>
      <c r="D2" s="36"/>
      <c r="E2" s="36"/>
      <c r="F2" s="36"/>
      <c r="G2" s="36"/>
      <c r="H2" s="36"/>
      <c r="I2" s="36"/>
      <c r="J2" s="36"/>
      <c r="K2" s="36"/>
      <c r="L2" s="36"/>
      <c r="M2" s="37"/>
    </row>
    <row r="3" spans="1:13" s="1" customFormat="1" ht="12.75" customHeight="1">
      <c r="A3" s="38" t="s">
        <v>0</v>
      </c>
      <c r="B3" s="40" t="s">
        <v>9</v>
      </c>
      <c r="C3" s="40" t="s">
        <v>12</v>
      </c>
      <c r="D3" s="42" t="s">
        <v>14</v>
      </c>
      <c r="E3" s="42" t="s">
        <v>7</v>
      </c>
      <c r="F3" s="42" t="s">
        <v>11</v>
      </c>
      <c r="G3" s="42" t="s">
        <v>2</v>
      </c>
      <c r="H3" s="42"/>
      <c r="I3" s="42"/>
      <c r="J3" s="42"/>
      <c r="K3" s="42" t="s">
        <v>60</v>
      </c>
      <c r="L3" s="42" t="s">
        <v>6</v>
      </c>
      <c r="M3" s="30" t="s">
        <v>5</v>
      </c>
    </row>
    <row r="4" spans="1:13" s="1" customFormat="1" ht="21" customHeight="1" thickBot="1">
      <c r="A4" s="39"/>
      <c r="B4" s="41"/>
      <c r="C4" s="41"/>
      <c r="D4" s="41"/>
      <c r="E4" s="41"/>
      <c r="F4" s="41"/>
      <c r="G4" s="2">
        <v>1</v>
      </c>
      <c r="H4" s="2">
        <v>2</v>
      </c>
      <c r="I4" s="2">
        <v>3</v>
      </c>
      <c r="J4" s="2" t="s">
        <v>8</v>
      </c>
      <c r="K4" s="41"/>
      <c r="L4" s="41"/>
      <c r="M4" s="31"/>
    </row>
    <row r="5" spans="1:13" ht="15">
      <c r="A5" s="43" t="s">
        <v>15</v>
      </c>
      <c r="B5" s="43"/>
      <c r="C5" s="43"/>
      <c r="D5" s="43"/>
      <c r="E5" s="43"/>
      <c r="F5" s="43"/>
      <c r="G5" s="43"/>
      <c r="H5" s="43"/>
      <c r="I5" s="43"/>
      <c r="J5" s="43"/>
      <c r="K5" s="43"/>
      <c r="L5" s="43"/>
    </row>
    <row r="6" spans="1:13">
      <c r="A6" s="8" t="s">
        <v>17</v>
      </c>
      <c r="B6" s="8" t="s">
        <v>18</v>
      </c>
      <c r="C6" s="8" t="s">
        <v>19</v>
      </c>
      <c r="D6" s="8" t="str">
        <f>"0,8782"</f>
        <v>0,8782</v>
      </c>
      <c r="E6" s="8" t="s">
        <v>20</v>
      </c>
      <c r="F6" s="8" t="s">
        <v>21</v>
      </c>
      <c r="G6" s="10" t="s">
        <v>22</v>
      </c>
      <c r="H6" s="9" t="s">
        <v>23</v>
      </c>
      <c r="I6" s="9" t="s">
        <v>23</v>
      </c>
      <c r="J6" s="9"/>
      <c r="K6" s="8" t="str">
        <f>"30,0"</f>
        <v>30,0</v>
      </c>
      <c r="L6" s="10" t="str">
        <f>"31,0883"</f>
        <v>31,0883</v>
      </c>
      <c r="M6" s="8" t="s">
        <v>24</v>
      </c>
    </row>
    <row r="8" spans="1:13" ht="15">
      <c r="A8" s="45" t="s">
        <v>25</v>
      </c>
      <c r="B8" s="45"/>
      <c r="C8" s="45"/>
      <c r="D8" s="45"/>
      <c r="E8" s="45"/>
      <c r="F8" s="45"/>
      <c r="G8" s="45"/>
      <c r="H8" s="45"/>
      <c r="I8" s="45"/>
      <c r="J8" s="45"/>
      <c r="K8" s="45"/>
      <c r="L8" s="45"/>
    </row>
    <row r="9" spans="1:13">
      <c r="A9" s="8" t="s">
        <v>27</v>
      </c>
      <c r="B9" s="8" t="s">
        <v>28</v>
      </c>
      <c r="C9" s="8" t="s">
        <v>29</v>
      </c>
      <c r="D9" s="8" t="str">
        <f>"0,6324"</f>
        <v>0,6324</v>
      </c>
      <c r="E9" s="8" t="s">
        <v>30</v>
      </c>
      <c r="F9" s="8" t="s">
        <v>31</v>
      </c>
      <c r="G9" s="10" t="s">
        <v>32</v>
      </c>
      <c r="H9" s="9" t="s">
        <v>33</v>
      </c>
      <c r="I9" s="9" t="s">
        <v>33</v>
      </c>
      <c r="J9" s="9"/>
      <c r="K9" s="8" t="str">
        <f>"170,0"</f>
        <v>170,0</v>
      </c>
      <c r="L9" s="10" t="str">
        <f>"107,5080"</f>
        <v>107,5080</v>
      </c>
      <c r="M9" s="8" t="s">
        <v>24</v>
      </c>
    </row>
    <row r="11" spans="1:13" ht="15">
      <c r="E11" s="11" t="s">
        <v>34</v>
      </c>
    </row>
    <row r="12" spans="1:13" ht="15">
      <c r="E12" s="11" t="s">
        <v>35</v>
      </c>
    </row>
    <row r="13" spans="1:13" ht="15">
      <c r="E13" s="11" t="s">
        <v>36</v>
      </c>
    </row>
    <row r="14" spans="1:13" ht="15">
      <c r="E14" s="11" t="s">
        <v>37</v>
      </c>
    </row>
    <row r="15" spans="1:13" ht="15">
      <c r="E15" s="11" t="s">
        <v>37</v>
      </c>
    </row>
    <row r="16" spans="1:13" ht="15">
      <c r="E16" s="11" t="s">
        <v>38</v>
      </c>
    </row>
    <row r="17" spans="1:5" ht="15">
      <c r="E17" s="11"/>
    </row>
    <row r="19" spans="1:5" ht="18">
      <c r="A19" s="12" t="s">
        <v>39</v>
      </c>
      <c r="B19" s="12"/>
    </row>
    <row r="20" spans="1:5" ht="15">
      <c r="A20" s="13" t="s">
        <v>40</v>
      </c>
      <c r="B20" s="13"/>
    </row>
    <row r="21" spans="1:5" ht="14.25">
      <c r="A21" s="15"/>
      <c r="B21" s="16" t="s">
        <v>41</v>
      </c>
    </row>
    <row r="22" spans="1:5" ht="15">
      <c r="A22" s="17" t="s">
        <v>42</v>
      </c>
      <c r="B22" s="17" t="s">
        <v>43</v>
      </c>
      <c r="C22" s="17" t="s">
        <v>44</v>
      </c>
      <c r="D22" s="17" t="s">
        <v>45</v>
      </c>
      <c r="E22" s="17" t="s">
        <v>46</v>
      </c>
    </row>
    <row r="23" spans="1:5">
      <c r="A23" s="14" t="s">
        <v>16</v>
      </c>
      <c r="B23" s="5" t="s">
        <v>47</v>
      </c>
      <c r="C23" s="5" t="s">
        <v>48</v>
      </c>
      <c r="D23" s="5" t="s">
        <v>22</v>
      </c>
      <c r="E23" s="18" t="s">
        <v>49</v>
      </c>
    </row>
    <row r="25" spans="1:5" ht="14.25">
      <c r="A25" s="15"/>
      <c r="B25" s="16" t="s">
        <v>50</v>
      </c>
    </row>
    <row r="26" spans="1:5" ht="15">
      <c r="A26" s="17" t="s">
        <v>42</v>
      </c>
      <c r="B26" s="17" t="s">
        <v>43</v>
      </c>
      <c r="C26" s="17" t="s">
        <v>44</v>
      </c>
      <c r="D26" s="17" t="s">
        <v>45</v>
      </c>
      <c r="E26" s="17" t="s">
        <v>46</v>
      </c>
    </row>
    <row r="27" spans="1:5">
      <c r="A27" s="14" t="s">
        <v>26</v>
      </c>
      <c r="B27" s="5" t="s">
        <v>50</v>
      </c>
      <c r="C27" s="5" t="s">
        <v>51</v>
      </c>
      <c r="D27" s="5" t="s">
        <v>32</v>
      </c>
      <c r="E27" s="18" t="s">
        <v>52</v>
      </c>
    </row>
    <row r="32" spans="1:5" ht="18">
      <c r="A32" s="12" t="s">
        <v>53</v>
      </c>
      <c r="B32" s="12"/>
    </row>
    <row r="33" spans="1:3" ht="15">
      <c r="A33" s="17" t="s">
        <v>54</v>
      </c>
      <c r="B33" s="17" t="s">
        <v>55</v>
      </c>
      <c r="C33" s="17" t="s">
        <v>56</v>
      </c>
    </row>
    <row r="34" spans="1:3">
      <c r="A34" s="5" t="s">
        <v>30</v>
      </c>
      <c r="B34" s="5" t="s">
        <v>57</v>
      </c>
      <c r="C34" s="5" t="s">
        <v>58</v>
      </c>
    </row>
    <row r="35" spans="1:3">
      <c r="A35" s="5" t="s">
        <v>20</v>
      </c>
      <c r="B35" s="5" t="s">
        <v>57</v>
      </c>
      <c r="C35" s="5" t="s">
        <v>59</v>
      </c>
    </row>
  </sheetData>
  <mergeCells count="13">
    <mergeCell ref="M3:M4"/>
    <mergeCell ref="F3:F4"/>
    <mergeCell ref="E3:E4"/>
    <mergeCell ref="D3:D4"/>
    <mergeCell ref="K3:K4"/>
    <mergeCell ref="L3:L4"/>
    <mergeCell ref="A5:L5"/>
    <mergeCell ref="A8:L8"/>
    <mergeCell ref="A1:M2"/>
    <mergeCell ref="G3:J3"/>
    <mergeCell ref="A3:A4"/>
    <mergeCell ref="B3:B4"/>
    <mergeCell ref="C3:C4"/>
  </mergeCells>
  <phoneticPr fontId="0" type="noConversion"/>
  <pageMargins left="0.19685039370078741" right="0.47244094488188981" top="0.43307086614173229" bottom="0.47244094488188981" header="0.51181102362204722" footer="0.51181102362204722"/>
  <pageSetup scale="58" fitToHeight="100" orientation="landscape" horizontalDpi="300" verticalDpi="300" r:id="rId1"/>
  <headerFooter alignWithMargins="0">
    <oddFooter>&amp;L&amp;G&amp;R&amp;D&amp;T&amp;P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Лист6</vt:lpstr>
      <vt:lpstr>Люб. тяга софт экип.</vt:lpstr>
      <vt:lpstr>Люб. жим софт экип.</vt:lpstr>
      <vt:lpstr>Люб. тяга б.э.</vt:lpstr>
      <vt:lpstr>Люб. жим б.э.</vt:lpstr>
      <vt:lpstr>ПРО тяга б.э.</vt:lpstr>
      <vt:lpstr>ПРО жим б.э.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Tomchin</dc:creator>
  <cp:lastModifiedBy>Андрей</cp:lastModifiedBy>
  <cp:lastPrinted>2015-07-16T19:10:53Z</cp:lastPrinted>
  <dcterms:created xsi:type="dcterms:W3CDTF">2002-06-16T13:36:44Z</dcterms:created>
  <dcterms:modified xsi:type="dcterms:W3CDTF">2017-12-29T15:40:35Z</dcterms:modified>
</cp:coreProperties>
</file>