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15" windowWidth="11340" windowHeight="9690" firstSheet="9" activeTab="14"/>
  </bookViews>
  <sheets>
    <sheet name="Люб. присед софт экип." sheetId="36" r:id="rId1"/>
    <sheet name="Люб. тяга софт экип." sheetId="35" r:id="rId2"/>
    <sheet name="Люб. присед мн.слой" sheetId="34" r:id="rId3"/>
    <sheet name="Люб. жим софт экип." sheetId="33" r:id="rId4"/>
    <sheet name="Люб. ПЛ. софт экип." sheetId="32" r:id="rId5"/>
    <sheet name="Люб. присед 1.слой" sheetId="31" r:id="rId6"/>
    <sheet name="Люб. тяга мн.слой" sheetId="30" r:id="rId7"/>
    <sheet name="Люб. тяга 1.слой" sheetId="29" r:id="rId8"/>
    <sheet name="Люб. присед б.э." sheetId="28" r:id="rId9"/>
    <sheet name="Люб. жим мн.слой" sheetId="27" r:id="rId10"/>
    <sheet name="Люб. ПЛ. мн.слой" sheetId="26" r:id="rId11"/>
    <sheet name="Люб. жим 1.слой" sheetId="25" r:id="rId12"/>
    <sheet name="Люб. ПЛ. 1.слой" sheetId="24" r:id="rId13"/>
    <sheet name="Люб. тяга б.э." sheetId="23" r:id="rId14"/>
    <sheet name="Люб. жим б.э." sheetId="22" r:id="rId15"/>
    <sheet name="Люб. ПЛ. б.э." sheetId="21" r:id="rId16"/>
    <sheet name="ПРО присед софт экип." sheetId="20" r:id="rId17"/>
    <sheet name="ПРО тяга софт экип." sheetId="19" r:id="rId18"/>
    <sheet name="ПРО присед мн.слой" sheetId="18" r:id="rId19"/>
    <sheet name="ПРО жим софт экип." sheetId="17" r:id="rId20"/>
    <sheet name="ПРО ПЛ. софт экип." sheetId="16" r:id="rId21"/>
    <sheet name="ПРО присед 1.слой" sheetId="15" r:id="rId22"/>
    <sheet name="ПРО тяга мн.слой" sheetId="14" r:id="rId23"/>
    <sheet name="ПРО тяга 1.слой" sheetId="13" r:id="rId24"/>
    <sheet name="ПРО присед б.э." sheetId="12" r:id="rId25"/>
    <sheet name="ПРО жим мн.слой" sheetId="11" r:id="rId26"/>
    <sheet name="ПРО ПЛ. мн.слой" sheetId="10" r:id="rId27"/>
    <sheet name="ПРО жим 1.слой" sheetId="9" r:id="rId28"/>
    <sheet name="ПРО ПЛ. 1.слой" sheetId="8" r:id="rId29"/>
    <sheet name="ПРО тяга б.э." sheetId="7" r:id="rId30"/>
    <sheet name="ПРО жим б.э." sheetId="6" r:id="rId31"/>
    <sheet name="ПРО ПЛ. б.э." sheetId="5" r:id="rId32"/>
    <sheet name="ПРО Нж 1_2 вес" sheetId="42" r:id="rId33"/>
    <sheet name="ПРО Нж 1 вес" sheetId="43" r:id="rId34"/>
    <sheet name="Люб. НЖ 1_2 вес" sheetId="38" r:id="rId35"/>
    <sheet name="Люб. НЖ 1 вес" sheetId="39" r:id="rId36"/>
    <sheet name="Люб. Военный жим" sheetId="40" r:id="rId37"/>
    <sheet name="Проф. Военный жим" sheetId="41" r:id="rId38"/>
  </sheets>
  <definedNames>
    <definedName name="_xlnm._FilterDatabase" localSheetId="31" hidden="1">'ПРО ПЛ. б.э.'!$A$1:$S$3</definedName>
  </definedNames>
  <calcPr calcId="124519" refMode="R1C1"/>
</workbook>
</file>

<file path=xl/calcChain.xml><?xml version="1.0" encoding="utf-8"?>
<calcChain xmlns="http://schemas.openxmlformats.org/spreadsheetml/2006/main">
  <c r="J8" i="43"/>
  <c r="I8"/>
  <c r="D8"/>
  <c r="J7"/>
  <c r="I7"/>
  <c r="D7"/>
  <c r="J6"/>
  <c r="I6"/>
  <c r="D6"/>
  <c r="D6" i="41"/>
  <c r="J16" i="39"/>
  <c r="I16"/>
  <c r="D16"/>
  <c r="J13"/>
  <c r="I13"/>
  <c r="D13"/>
  <c r="J10"/>
  <c r="I10"/>
  <c r="D10"/>
  <c r="J7"/>
  <c r="I7"/>
  <c r="D7"/>
  <c r="J6"/>
  <c r="I6"/>
  <c r="D6"/>
  <c r="L14" i="33"/>
  <c r="K14"/>
  <c r="D14"/>
  <c r="L13"/>
  <c r="K13"/>
  <c r="D13"/>
  <c r="L10"/>
  <c r="K10"/>
  <c r="D10"/>
  <c r="L7"/>
  <c r="K7"/>
  <c r="D7"/>
  <c r="L6"/>
  <c r="K6"/>
  <c r="D6"/>
  <c r="T6" i="32"/>
  <c r="S6"/>
  <c r="D6"/>
  <c r="L10" i="28"/>
  <c r="K10"/>
  <c r="D10"/>
  <c r="L9"/>
  <c r="K9"/>
  <c r="D9"/>
  <c r="L6"/>
  <c r="K6"/>
  <c r="D6"/>
  <c r="L6" i="27"/>
  <c r="K6"/>
  <c r="D6"/>
  <c r="L9" i="25"/>
  <c r="K9"/>
  <c r="D9"/>
  <c r="L6"/>
  <c r="K6"/>
  <c r="D6"/>
  <c r="T6" i="24"/>
  <c r="S6"/>
  <c r="D6"/>
  <c r="L59" i="23"/>
  <c r="K59"/>
  <c r="D59"/>
  <c r="L56"/>
  <c r="K56"/>
  <c r="D56"/>
  <c r="L53"/>
  <c r="K53"/>
  <c r="D53"/>
  <c r="L50"/>
  <c r="K50"/>
  <c r="D50"/>
  <c r="L49"/>
  <c r="K49"/>
  <c r="D49"/>
  <c r="L48"/>
  <c r="K48"/>
  <c r="D48"/>
  <c r="L45"/>
  <c r="K45"/>
  <c r="D45"/>
  <c r="L44"/>
  <c r="K44"/>
  <c r="D44"/>
  <c r="L43"/>
  <c r="K43"/>
  <c r="D43"/>
  <c r="L40"/>
  <c r="K40"/>
  <c r="D40"/>
  <c r="L39"/>
  <c r="K39"/>
  <c r="D39"/>
  <c r="L38"/>
  <c r="K38"/>
  <c r="D38"/>
  <c r="L37"/>
  <c r="K37"/>
  <c r="D37"/>
  <c r="L34"/>
  <c r="K34"/>
  <c r="D34"/>
  <c r="L33"/>
  <c r="K33"/>
  <c r="D33"/>
  <c r="L32"/>
  <c r="K32"/>
  <c r="D32"/>
  <c r="L31"/>
  <c r="K31"/>
  <c r="D31"/>
  <c r="L30"/>
  <c r="K30"/>
  <c r="D30"/>
  <c r="L27"/>
  <c r="K27"/>
  <c r="D27"/>
  <c r="L26"/>
  <c r="K26"/>
  <c r="D26"/>
  <c r="L23"/>
  <c r="K23"/>
  <c r="D23"/>
  <c r="L20"/>
  <c r="K20"/>
  <c r="D20"/>
  <c r="L19"/>
  <c r="K19"/>
  <c r="D19"/>
  <c r="L16"/>
  <c r="K16"/>
  <c r="D16"/>
  <c r="L13"/>
  <c r="K13"/>
  <c r="D13"/>
  <c r="L10"/>
  <c r="K10"/>
  <c r="D10"/>
  <c r="L9"/>
  <c r="K9"/>
  <c r="D9"/>
  <c r="L6"/>
  <c r="K6"/>
  <c r="D6"/>
  <c r="L58" i="22"/>
  <c r="K58"/>
  <c r="D58"/>
  <c r="L55"/>
  <c r="K55"/>
  <c r="D55"/>
  <c r="L52"/>
  <c r="K52"/>
  <c r="D52"/>
  <c r="L51"/>
  <c r="K51"/>
  <c r="D51"/>
  <c r="L50"/>
  <c r="K50"/>
  <c r="D50"/>
  <c r="L49"/>
  <c r="K49"/>
  <c r="D49"/>
  <c r="L46"/>
  <c r="K46"/>
  <c r="D46"/>
  <c r="L45"/>
  <c r="K45"/>
  <c r="D45"/>
  <c r="L44"/>
  <c r="K44"/>
  <c r="D44"/>
  <c r="L43"/>
  <c r="K43"/>
  <c r="D43"/>
  <c r="L40"/>
  <c r="K40"/>
  <c r="D40"/>
  <c r="L39"/>
  <c r="K39"/>
  <c r="D39"/>
  <c r="L38"/>
  <c r="K38"/>
  <c r="D38"/>
  <c r="L37"/>
  <c r="K37"/>
  <c r="D37"/>
  <c r="L36"/>
  <c r="K36"/>
  <c r="D36"/>
  <c r="L35"/>
  <c r="K35"/>
  <c r="D35"/>
  <c r="L34"/>
  <c r="K34"/>
  <c r="D34"/>
  <c r="L31"/>
  <c r="K31"/>
  <c r="D31"/>
  <c r="L30"/>
  <c r="K30"/>
  <c r="D30"/>
  <c r="L29"/>
  <c r="K29"/>
  <c r="D29"/>
  <c r="L26"/>
  <c r="K26"/>
  <c r="D26"/>
  <c r="L25"/>
  <c r="K25"/>
  <c r="D25"/>
  <c r="L24"/>
  <c r="K24"/>
  <c r="D24"/>
  <c r="L21"/>
  <c r="K21"/>
  <c r="D21"/>
  <c r="L20"/>
  <c r="K20"/>
  <c r="D20"/>
  <c r="L19"/>
  <c r="K19"/>
  <c r="D19"/>
  <c r="L16"/>
  <c r="K16"/>
  <c r="D16"/>
  <c r="L13"/>
  <c r="K13"/>
  <c r="D13"/>
  <c r="L12"/>
  <c r="K12"/>
  <c r="D12"/>
  <c r="L9"/>
  <c r="K9"/>
  <c r="D9"/>
  <c r="L6"/>
  <c r="K6"/>
  <c r="D6"/>
  <c r="T44" i="21"/>
  <c r="S44"/>
  <c r="D44"/>
  <c r="T43"/>
  <c r="S43"/>
  <c r="D43"/>
  <c r="T40"/>
  <c r="S40"/>
  <c r="D40"/>
  <c r="T39"/>
  <c r="S39"/>
  <c r="D39"/>
  <c r="T36"/>
  <c r="S36"/>
  <c r="D36"/>
  <c r="T35"/>
  <c r="S35"/>
  <c r="D35"/>
  <c r="T34"/>
  <c r="S34"/>
  <c r="D34"/>
  <c r="T33"/>
  <c r="S33"/>
  <c r="D33"/>
  <c r="T32"/>
  <c r="S32"/>
  <c r="D32"/>
  <c r="T31"/>
  <c r="S31"/>
  <c r="D31"/>
  <c r="T28"/>
  <c r="S28"/>
  <c r="D28"/>
  <c r="T27"/>
  <c r="S27"/>
  <c r="D27"/>
  <c r="T26"/>
  <c r="S26"/>
  <c r="D26"/>
  <c r="T23"/>
  <c r="S23"/>
  <c r="D23"/>
  <c r="T22"/>
  <c r="S22"/>
  <c r="D22"/>
  <c r="T21"/>
  <c r="S21"/>
  <c r="D21"/>
  <c r="T18"/>
  <c r="S18"/>
  <c r="D18"/>
  <c r="T17"/>
  <c r="S17"/>
  <c r="D17"/>
  <c r="T16"/>
  <c r="S16"/>
  <c r="D16"/>
  <c r="T15"/>
  <c r="S15"/>
  <c r="D15"/>
  <c r="T12"/>
  <c r="S12"/>
  <c r="D12"/>
  <c r="T9"/>
  <c r="S9"/>
  <c r="D9"/>
  <c r="T6"/>
  <c r="S6"/>
  <c r="D6"/>
  <c r="L6" i="19"/>
  <c r="K6"/>
  <c r="D6"/>
  <c r="L6" i="18"/>
  <c r="K6"/>
  <c r="D6"/>
  <c r="L24" i="17"/>
  <c r="K24"/>
  <c r="D24"/>
  <c r="L21"/>
  <c r="K21"/>
  <c r="D21"/>
  <c r="L20"/>
  <c r="K20"/>
  <c r="D20"/>
  <c r="L17"/>
  <c r="K17"/>
  <c r="D17"/>
  <c r="L14"/>
  <c r="K14"/>
  <c r="D14"/>
  <c r="L13"/>
  <c r="K13"/>
  <c r="D13"/>
  <c r="L10"/>
  <c r="K10"/>
  <c r="D10"/>
  <c r="L9"/>
  <c r="K9"/>
  <c r="D9"/>
  <c r="L6"/>
  <c r="K6"/>
  <c r="D6"/>
  <c r="T12" i="16"/>
  <c r="S12"/>
  <c r="D12"/>
  <c r="T9"/>
  <c r="S9"/>
  <c r="D9"/>
  <c r="T6"/>
  <c r="S6"/>
  <c r="D6"/>
  <c r="L9" i="14"/>
  <c r="K9"/>
  <c r="D9"/>
  <c r="L6"/>
  <c r="K6"/>
  <c r="D6"/>
  <c r="L6" i="13"/>
  <c r="K6"/>
  <c r="D6"/>
  <c r="L12" i="12"/>
  <c r="K12"/>
  <c r="D12"/>
  <c r="L9"/>
  <c r="K9"/>
  <c r="D9"/>
  <c r="L6"/>
  <c r="K6"/>
  <c r="D6"/>
  <c r="T12" i="10"/>
  <c r="S12"/>
  <c r="D12"/>
  <c r="T9"/>
  <c r="S9"/>
  <c r="D9"/>
  <c r="T6"/>
  <c r="S6"/>
  <c r="D6"/>
  <c r="L6" i="9"/>
  <c r="K6"/>
  <c r="D6"/>
  <c r="L26" i="7"/>
  <c r="K26"/>
  <c r="D26"/>
  <c r="L25"/>
  <c r="K25"/>
  <c r="D25"/>
  <c r="L22"/>
  <c r="K22"/>
  <c r="D22"/>
  <c r="L19"/>
  <c r="K19"/>
  <c r="D19"/>
  <c r="L18"/>
  <c r="K18"/>
  <c r="D18"/>
  <c r="L17"/>
  <c r="K17"/>
  <c r="D17"/>
  <c r="L14"/>
  <c r="K14"/>
  <c r="D14"/>
  <c r="L13"/>
  <c r="K13"/>
  <c r="D13"/>
  <c r="L10"/>
  <c r="K10"/>
  <c r="D10"/>
  <c r="L9"/>
  <c r="K9"/>
  <c r="D9"/>
  <c r="L6"/>
  <c r="K6"/>
  <c r="D6"/>
  <c r="L46" i="6"/>
  <c r="K46"/>
  <c r="D46"/>
  <c r="L43"/>
  <c r="K43"/>
  <c r="D43"/>
  <c r="L40"/>
  <c r="K40"/>
  <c r="D40"/>
  <c r="L37"/>
  <c r="K37"/>
  <c r="D37"/>
  <c r="L36"/>
  <c r="K36"/>
  <c r="D36"/>
  <c r="L35"/>
  <c r="K35"/>
  <c r="D35"/>
  <c r="L32"/>
  <c r="K32"/>
  <c r="D32"/>
  <c r="L31"/>
  <c r="K31"/>
  <c r="D31"/>
  <c r="L30"/>
  <c r="K30"/>
  <c r="D30"/>
  <c r="L29"/>
  <c r="K29"/>
  <c r="D29"/>
  <c r="L26"/>
  <c r="K26"/>
  <c r="D26"/>
  <c r="L25"/>
  <c r="K25"/>
  <c r="D25"/>
  <c r="L24"/>
  <c r="K24"/>
  <c r="D24"/>
  <c r="L23"/>
  <c r="K23"/>
  <c r="D23"/>
  <c r="L22"/>
  <c r="K22"/>
  <c r="D22"/>
  <c r="L21"/>
  <c r="K21"/>
  <c r="D21"/>
  <c r="L20"/>
  <c r="K20"/>
  <c r="D20"/>
  <c r="L19"/>
  <c r="K19"/>
  <c r="D19"/>
  <c r="L16"/>
  <c r="K16"/>
  <c r="D16"/>
  <c r="L13"/>
  <c r="K13"/>
  <c r="D13"/>
  <c r="L10"/>
  <c r="K10"/>
  <c r="D10"/>
  <c r="L9"/>
  <c r="K9"/>
  <c r="D9"/>
  <c r="L6"/>
  <c r="K6"/>
  <c r="D6"/>
  <c r="T38" i="5"/>
  <c r="S38"/>
  <c r="D38"/>
  <c r="T37"/>
  <c r="S37"/>
  <c r="D37"/>
  <c r="T34"/>
  <c r="S34"/>
  <c r="D34"/>
  <c r="T31"/>
  <c r="S31"/>
  <c r="D31"/>
  <c r="T30"/>
  <c r="S30"/>
  <c r="D30"/>
  <c r="T27"/>
  <c r="S27"/>
  <c r="D27"/>
  <c r="T24"/>
  <c r="S24"/>
  <c r="D24"/>
  <c r="T23"/>
  <c r="S23"/>
  <c r="D23"/>
  <c r="T22"/>
  <c r="S22"/>
  <c r="D22"/>
  <c r="T21"/>
  <c r="S21"/>
  <c r="D21"/>
  <c r="T18"/>
  <c r="S18"/>
  <c r="D18"/>
  <c r="T15"/>
  <c r="S15"/>
  <c r="D15"/>
  <c r="T14"/>
  <c r="S14"/>
  <c r="D14"/>
  <c r="T13"/>
  <c r="S13"/>
  <c r="D13"/>
  <c r="T12"/>
  <c r="S12"/>
  <c r="D12"/>
  <c r="T9"/>
  <c r="S9"/>
  <c r="D9"/>
  <c r="T6"/>
  <c r="S6"/>
  <c r="D6"/>
</calcChain>
</file>

<file path=xl/sharedStrings.xml><?xml version="1.0" encoding="utf-8"?>
<sst xmlns="http://schemas.openxmlformats.org/spreadsheetml/2006/main" count="3905" uniqueCount="1088">
  <si>
    <t>ФИО</t>
  </si>
  <si>
    <t>Присед</t>
  </si>
  <si>
    <t>Жим</t>
  </si>
  <si>
    <t>Тяга</t>
  </si>
  <si>
    <t>Сумма</t>
  </si>
  <si>
    <t>Тренер</t>
  </si>
  <si>
    <t>Очки</t>
  </si>
  <si>
    <t>Команда</t>
  </si>
  <si>
    <t>Рек</t>
  </si>
  <si>
    <t>Возр груп
Год. р./Возраст</t>
  </si>
  <si>
    <t>Город/область</t>
  </si>
  <si>
    <t>Соб.
Вес</t>
  </si>
  <si>
    <t>Кубок мира по пауэрлифтингу и силовым видам спорта 2017 НАП Джубга
ПРО пауэрлифтинг без экипировки
Краснодар/Краснодарский край 14 - 16 апреля 2017 г.</t>
  </si>
  <si>
    <t>Shv/Mel</t>
  </si>
  <si>
    <t>ВЕСОВАЯ КАТЕГОРИЯ   60</t>
  </si>
  <si>
    <t>Царёва Наталья</t>
  </si>
  <si>
    <t>1. Царёва Наталья</t>
  </si>
  <si>
    <t>Открытая (16.05.1979)/37</t>
  </si>
  <si>
    <t>57,50</t>
  </si>
  <si>
    <t xml:space="preserve">Лично </t>
  </si>
  <si>
    <t xml:space="preserve">Туапсе/Краснодарский край </t>
  </si>
  <si>
    <t>90,0</t>
  </si>
  <si>
    <t>95,0</t>
  </si>
  <si>
    <t>100,0</t>
  </si>
  <si>
    <t>60,0</t>
  </si>
  <si>
    <t>65,0</t>
  </si>
  <si>
    <t>70,0</t>
  </si>
  <si>
    <t>110,0</t>
  </si>
  <si>
    <t>120,0</t>
  </si>
  <si>
    <t xml:space="preserve">Менуков А </t>
  </si>
  <si>
    <t>ВЕСОВАЯ КАТЕГОРИЯ   67.5</t>
  </si>
  <si>
    <t>Терещенко Елена</t>
  </si>
  <si>
    <t>1. Терещенко Елена</t>
  </si>
  <si>
    <t>Открытая (09.05.1988)/28</t>
  </si>
  <si>
    <t>65,80</t>
  </si>
  <si>
    <t xml:space="preserve">Краснодар/Краснодарский край </t>
  </si>
  <si>
    <t>97,5</t>
  </si>
  <si>
    <t>45,0</t>
  </si>
  <si>
    <t>50,0</t>
  </si>
  <si>
    <t>115,0</t>
  </si>
  <si>
    <t>122,5</t>
  </si>
  <si>
    <t xml:space="preserve"> </t>
  </si>
  <si>
    <t>Обухов Денис</t>
  </si>
  <si>
    <t>1. Обухов Денис</t>
  </si>
  <si>
    <t>Юноши 18 - 19 (28.05.1997)/19</t>
  </si>
  <si>
    <t>66,30</t>
  </si>
  <si>
    <t xml:space="preserve">Азовская Крепость </t>
  </si>
  <si>
    <t xml:space="preserve">Азов/Ростовская область </t>
  </si>
  <si>
    <t>140,0</t>
  </si>
  <si>
    <t>150,0</t>
  </si>
  <si>
    <t>105,0</t>
  </si>
  <si>
    <t>135,0</t>
  </si>
  <si>
    <t>145,0</t>
  </si>
  <si>
    <t>155,0</t>
  </si>
  <si>
    <t>Маслов Богдан</t>
  </si>
  <si>
    <t>2. Маслов Богдан</t>
  </si>
  <si>
    <t>Юноши 18 - 19 (12.05.1997)/19</t>
  </si>
  <si>
    <t>63,90</t>
  </si>
  <si>
    <t xml:space="preserve">Майкоп/Адыгея </t>
  </si>
  <si>
    <t>130,0</t>
  </si>
  <si>
    <t>85,0</t>
  </si>
  <si>
    <t>165,0</t>
  </si>
  <si>
    <t>Шульга Павел</t>
  </si>
  <si>
    <t>1. Шульга Павел</t>
  </si>
  <si>
    <t>Юниоры 20 - 23 (10.04.1996)/21</t>
  </si>
  <si>
    <t>66,90</t>
  </si>
  <si>
    <t xml:space="preserve">Тлевцежев К.Х. </t>
  </si>
  <si>
    <t>Кузнецов Игорь</t>
  </si>
  <si>
    <t>1. Кузнецов Игорь</t>
  </si>
  <si>
    <t>Открытая (17.08.1989)/27</t>
  </si>
  <si>
    <t>67,00</t>
  </si>
  <si>
    <t xml:space="preserve">Russia </t>
  </si>
  <si>
    <t>210,0</t>
  </si>
  <si>
    <t>220,0</t>
  </si>
  <si>
    <t>225,0</t>
  </si>
  <si>
    <t>227,5</t>
  </si>
  <si>
    <t>160,0</t>
  </si>
  <si>
    <t>260,0</t>
  </si>
  <si>
    <t>267,5</t>
  </si>
  <si>
    <t xml:space="preserve">Крылов </t>
  </si>
  <si>
    <t>ВЕСОВАЯ КАТЕГОРИЯ   75</t>
  </si>
  <si>
    <t>Анохин Александр</t>
  </si>
  <si>
    <t>1. Анохин Александр</t>
  </si>
  <si>
    <t>Открытая (14.12.1983)/33</t>
  </si>
  <si>
    <t>71,20</t>
  </si>
  <si>
    <t>112,5</t>
  </si>
  <si>
    <t>190,0</t>
  </si>
  <si>
    <t>205,0</t>
  </si>
  <si>
    <t xml:space="preserve">Самостоятельно </t>
  </si>
  <si>
    <t>ВЕСОВАЯ КАТЕГОРИЯ   82.5</t>
  </si>
  <si>
    <t>Поляков Николай</t>
  </si>
  <si>
    <t>1. Поляков Николай</t>
  </si>
  <si>
    <t>Открытая (09.07.1983)/33</t>
  </si>
  <si>
    <t>82,30</t>
  </si>
  <si>
    <t>240,0</t>
  </si>
  <si>
    <t>250,0</t>
  </si>
  <si>
    <t>255,0</t>
  </si>
  <si>
    <t>230,0</t>
  </si>
  <si>
    <t>245,0</t>
  </si>
  <si>
    <t>Федосов Павел</t>
  </si>
  <si>
    <t>2. Федосов Павел</t>
  </si>
  <si>
    <t>Открытая (12.08.1991)/25</t>
  </si>
  <si>
    <t>81,00</t>
  </si>
  <si>
    <t xml:space="preserve">Геленджик/Краснодарский край </t>
  </si>
  <si>
    <t>180,0</t>
  </si>
  <si>
    <t>200,0</t>
  </si>
  <si>
    <t>217,5</t>
  </si>
  <si>
    <t>Фурсов Дмитрий</t>
  </si>
  <si>
    <t>3. Фурсов Дмитрий</t>
  </si>
  <si>
    <t>Открытая (08.08.1991)/25</t>
  </si>
  <si>
    <t>81,50</t>
  </si>
  <si>
    <t xml:space="preserve">Сочи/Краснодарский край </t>
  </si>
  <si>
    <t>Тлевцежев Каплан</t>
  </si>
  <si>
    <t>1. Тлевцежев Каплан</t>
  </si>
  <si>
    <t>Мастера 60 - 64 (13.02.1956)/61</t>
  </si>
  <si>
    <t>82,50</t>
  </si>
  <si>
    <t xml:space="preserve">Нарт </t>
  </si>
  <si>
    <t xml:space="preserve">Майкоп </t>
  </si>
  <si>
    <t>185,0</t>
  </si>
  <si>
    <t>92,5</t>
  </si>
  <si>
    <t>215,0</t>
  </si>
  <si>
    <t xml:space="preserve">Тлевцежев Каплан Хамедович </t>
  </si>
  <si>
    <t>ВЕСОВАЯ КАТЕГОРИЯ   90</t>
  </si>
  <si>
    <t>Подольнев Евгений</t>
  </si>
  <si>
    <t>1. Подольнев Евгений</t>
  </si>
  <si>
    <t>Открытая (09.08.1979)/37</t>
  </si>
  <si>
    <t>89,70</t>
  </si>
  <si>
    <t xml:space="preserve">Ставрополь/Ставропольский край </t>
  </si>
  <si>
    <t>ВЕСОВАЯ КАТЕГОРИЯ   100</t>
  </si>
  <si>
    <t>Сихаджок Анзор</t>
  </si>
  <si>
    <t>1. Сихаджок Анзор</t>
  </si>
  <si>
    <t>Открытая (06.02.1989)/28</t>
  </si>
  <si>
    <t>100,00</t>
  </si>
  <si>
    <t xml:space="preserve">Краснодар </t>
  </si>
  <si>
    <t>285,0</t>
  </si>
  <si>
    <t>305,0</t>
  </si>
  <si>
    <t>316,0</t>
  </si>
  <si>
    <t>280,0</t>
  </si>
  <si>
    <t>310,0</t>
  </si>
  <si>
    <t>Вагин Дмитрий</t>
  </si>
  <si>
    <t>2. Вагин Дмитрий</t>
  </si>
  <si>
    <t>Открытая (08.03.1989)/28</t>
  </si>
  <si>
    <t>98,00</t>
  </si>
  <si>
    <t>175,0</t>
  </si>
  <si>
    <t>195,0</t>
  </si>
  <si>
    <t>270,0</t>
  </si>
  <si>
    <t>ВЕСОВАЯ КАТЕГОРИЯ   110</t>
  </si>
  <si>
    <t>Кузьменко Игорь</t>
  </si>
  <si>
    <t>1. Кузьменко Игорь</t>
  </si>
  <si>
    <t>Мастера 45 - 49 (09.08.1967)/49</t>
  </si>
  <si>
    <t>106,90</t>
  </si>
  <si>
    <t xml:space="preserve">Невинномысск/Ставропольский край </t>
  </si>
  <si>
    <t>170,0</t>
  </si>
  <si>
    <t>ВЕСОВАЯ КАТЕГОРИЯ   125</t>
  </si>
  <si>
    <t>Спиркин Роман</t>
  </si>
  <si>
    <t>1. Спиркин Роман</t>
  </si>
  <si>
    <t>Юноши 18 - 19 (01.07.1997)/19</t>
  </si>
  <si>
    <t>114,20</t>
  </si>
  <si>
    <t>75,0</t>
  </si>
  <si>
    <t>Шавоев Яшар</t>
  </si>
  <si>
    <t>1. Шавоев Яшар</t>
  </si>
  <si>
    <t>Открытая (02.10.1986)/30</t>
  </si>
  <si>
    <t>119,00</t>
  </si>
  <si>
    <t>300,0</t>
  </si>
  <si>
    <t>315,0</t>
  </si>
  <si>
    <t>290,0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</si>
  <si>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</si>
  <si>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</si>
  <si>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</si>
  <si>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</si>
  <si>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</si>
  <si>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</si>
  <si>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</si>
  <si>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</si>
  <si>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</si>
  <si>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</si>
  <si>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</si>
  <si>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</si>
  <si>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</si>
  <si>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>249,8020</t>
  </si>
  <si>
    <t>67,5</t>
  </si>
  <si>
    <t>215,0280</t>
  </si>
  <si>
    <t xml:space="preserve">Мужчины </t>
  </si>
  <si>
    <t xml:space="preserve">Юноши </t>
  </si>
  <si>
    <t xml:space="preserve">Юноши 18 - 19 </t>
  </si>
  <si>
    <t>395,0</t>
  </si>
  <si>
    <t>313,6869</t>
  </si>
  <si>
    <t>405,0</t>
  </si>
  <si>
    <t>310,7192</t>
  </si>
  <si>
    <t>125,0</t>
  </si>
  <si>
    <t>355,0</t>
  </si>
  <si>
    <t>196,4513</t>
  </si>
  <si>
    <t xml:space="preserve">Юниоры </t>
  </si>
  <si>
    <t xml:space="preserve">Юниоры 20 - 23 </t>
  </si>
  <si>
    <t>302,2653</t>
  </si>
  <si>
    <t>645,0</t>
  </si>
  <si>
    <t>471,3015</t>
  </si>
  <si>
    <t>841,0</t>
  </si>
  <si>
    <t>465,9140</t>
  </si>
  <si>
    <t>760,0</t>
  </si>
  <si>
    <t>401,2040</t>
  </si>
  <si>
    <t>82,5</t>
  </si>
  <si>
    <t>640,0</t>
  </si>
  <si>
    <t>396,9920</t>
  </si>
  <si>
    <t>675,0</t>
  </si>
  <si>
    <t>377,3925</t>
  </si>
  <si>
    <t>595,0</t>
  </si>
  <si>
    <t>348,9675</t>
  </si>
  <si>
    <t>552,5</t>
  </si>
  <si>
    <t>346,5833</t>
  </si>
  <si>
    <t>550,0</t>
  </si>
  <si>
    <t>343,5300</t>
  </si>
  <si>
    <t>445,0</t>
  </si>
  <si>
    <t>308,4295</t>
  </si>
  <si>
    <t xml:space="preserve">Мастера </t>
  </si>
  <si>
    <t xml:space="preserve">Мастера 60 - 64 </t>
  </si>
  <si>
    <t>500,0</t>
  </si>
  <si>
    <t>526,4050</t>
  </si>
  <si>
    <t xml:space="preserve">Мастера 45 - 49 </t>
  </si>
  <si>
    <t>490,0</t>
  </si>
  <si>
    <t>303,0948</t>
  </si>
  <si>
    <t>Кубок мира по пауэрлифтингу и силовым видам спорта 2017 НАП Джубга
ПРО жим лежа без экипировки
Краснодар/Краснодарский край 14 - 16 апреля 2017 г.</t>
  </si>
  <si>
    <t>ВЕСОВАЯ КАТЕГОРИЯ   56</t>
  </si>
  <si>
    <t>Крутько Марина</t>
  </si>
  <si>
    <t>1. Крутько Марина</t>
  </si>
  <si>
    <t>Открытая (11.11.1987)/29</t>
  </si>
  <si>
    <t>55,70</t>
  </si>
  <si>
    <t xml:space="preserve">Ставрополь </t>
  </si>
  <si>
    <t xml:space="preserve">Троицкий Валерий </t>
  </si>
  <si>
    <t>Михайлова Юлия</t>
  </si>
  <si>
    <t>1. Михайлова Юлия</t>
  </si>
  <si>
    <t>Открытая (18.02.1982)/35</t>
  </si>
  <si>
    <t>59,70</t>
  </si>
  <si>
    <t xml:space="preserve">Астрахань/Астраханская область </t>
  </si>
  <si>
    <t>80,0</t>
  </si>
  <si>
    <t>87,5</t>
  </si>
  <si>
    <t>2. Царёва Наталья</t>
  </si>
  <si>
    <t xml:space="preserve">Погосян </t>
  </si>
  <si>
    <t>Галченков Александр</t>
  </si>
  <si>
    <t>1. Галченков Александр</t>
  </si>
  <si>
    <t>Юноши 14 - 15 (01.06.2003)/13</t>
  </si>
  <si>
    <t>40,0</t>
  </si>
  <si>
    <t>47,5</t>
  </si>
  <si>
    <t>Воробьев Вадим</t>
  </si>
  <si>
    <t>1. Воробьев Вадим</t>
  </si>
  <si>
    <t>Открытая (13.04.1991)/26</t>
  </si>
  <si>
    <t>80,20</t>
  </si>
  <si>
    <t>172,5</t>
  </si>
  <si>
    <t>Соловьев Евгений</t>
  </si>
  <si>
    <t>1. Соловьев Евгений</t>
  </si>
  <si>
    <t>Открытая (24.02.1988)/29</t>
  </si>
  <si>
    <t>88,10</t>
  </si>
  <si>
    <t>Гамаюнов Михаил</t>
  </si>
  <si>
    <t>2. Гамаюнов Михаил</t>
  </si>
  <si>
    <t>Открытая (09.12.1988)/28</t>
  </si>
  <si>
    <t>87,60</t>
  </si>
  <si>
    <t>182,5</t>
  </si>
  <si>
    <t>187,5</t>
  </si>
  <si>
    <t>192,5</t>
  </si>
  <si>
    <t xml:space="preserve">Иванцов Евгений Александрович </t>
  </si>
  <si>
    <t>Арчвава Альберт</t>
  </si>
  <si>
    <t>3. Арчвава Альберт</t>
  </si>
  <si>
    <t>Открытая (21.07.1989)/27</t>
  </si>
  <si>
    <t>90,00</t>
  </si>
  <si>
    <t xml:space="preserve">Комсомольск-на-Амуре/Хабаровский край </t>
  </si>
  <si>
    <t>Рыбалко Владимир</t>
  </si>
  <si>
    <t>4. Рыбалко Владимир</t>
  </si>
  <si>
    <t>Открытая (04.05.1987)/29</t>
  </si>
  <si>
    <t>85,00</t>
  </si>
  <si>
    <t xml:space="preserve">Курганинск/Краснодарский край </t>
  </si>
  <si>
    <t>177,5</t>
  </si>
  <si>
    <t>-. Кункаев Владимир</t>
  </si>
  <si>
    <t>Открытая (11.06.1982)/34</t>
  </si>
  <si>
    <t>89,10</t>
  </si>
  <si>
    <t>-. Мальсагов Муса</t>
  </si>
  <si>
    <t>Мастера 45 - 49 (17.09.1968)/48</t>
  </si>
  <si>
    <t xml:space="preserve">Грозный/Чечня </t>
  </si>
  <si>
    <t>0,0</t>
  </si>
  <si>
    <t>Фесун Александр</t>
  </si>
  <si>
    <t>1. Фесун Александр</t>
  </si>
  <si>
    <t>Мастера 50 - 54 (09.03.1966)/51</t>
  </si>
  <si>
    <t>89,30</t>
  </si>
  <si>
    <t>Горюнов Владимир</t>
  </si>
  <si>
    <t>1. Горюнов Владимир</t>
  </si>
  <si>
    <t>Мастера 60 - 64 (02.02.1953)/64</t>
  </si>
  <si>
    <t>85,70</t>
  </si>
  <si>
    <t>Бурлаков Виталий</t>
  </si>
  <si>
    <t>1. Бурлаков Виталий</t>
  </si>
  <si>
    <t>Открытая (29.03.1993)/24</t>
  </si>
  <si>
    <t>99,20</t>
  </si>
  <si>
    <t xml:space="preserve">Light Fit </t>
  </si>
  <si>
    <t xml:space="preserve">ст. Старовеличковская </t>
  </si>
  <si>
    <t>Башкатов Евгений</t>
  </si>
  <si>
    <t>2. Башкатов Евгений</t>
  </si>
  <si>
    <t>Открытая (31.03.1992)/25</t>
  </si>
  <si>
    <t>95,00</t>
  </si>
  <si>
    <t>162,5</t>
  </si>
  <si>
    <t>Кулик Алексей</t>
  </si>
  <si>
    <t>1. Кулик Алексей</t>
  </si>
  <si>
    <t>Мастера 40 - 44 (17.01.1975)/42</t>
  </si>
  <si>
    <t>99,60</t>
  </si>
  <si>
    <t>Шарипов Роман</t>
  </si>
  <si>
    <t>1. Шарипов Роман</t>
  </si>
  <si>
    <t>Мастера 45 - 49 (23.05.1970)/46</t>
  </si>
  <si>
    <t>96,50</t>
  </si>
  <si>
    <t xml:space="preserve">Hardgainer </t>
  </si>
  <si>
    <t>Юсупов Муслим</t>
  </si>
  <si>
    <t>1. Юсупов Муслим</t>
  </si>
  <si>
    <t>Открытая (02.04.1982)/35</t>
  </si>
  <si>
    <t>105,00</t>
  </si>
  <si>
    <t>Зотов Олег</t>
  </si>
  <si>
    <t>2. Зотов Олег</t>
  </si>
  <si>
    <t>Открытая (18.01.1985)/32</t>
  </si>
  <si>
    <t>Олесюк Виталий</t>
  </si>
  <si>
    <t>3. Олесюк Виталий</t>
  </si>
  <si>
    <t>Открытая (29.05.1986)/30</t>
  </si>
  <si>
    <t>101,60</t>
  </si>
  <si>
    <t>Маклашов Роман</t>
  </si>
  <si>
    <t>1. Маклашов Роман</t>
  </si>
  <si>
    <t>Открытая (16.06.1992)/24</t>
  </si>
  <si>
    <t>114,70</t>
  </si>
  <si>
    <t>202,5</t>
  </si>
  <si>
    <t>ВЕСОВАЯ КАТЕГОРИЯ   140</t>
  </si>
  <si>
    <t>Доронин Анатолий</t>
  </si>
  <si>
    <t>1. Доронин Анатолий</t>
  </si>
  <si>
    <t>Открытая (12.06.1982)/34</t>
  </si>
  <si>
    <t>134,80</t>
  </si>
  <si>
    <t>ВЕСОВАЯ КАТЕГОРИЯ   140+</t>
  </si>
  <si>
    <t>Бобряшов Владимир</t>
  </si>
  <si>
    <t>1. Бобряшов Владимир</t>
  </si>
  <si>
    <t>Открытая (22.12.1988)/28</t>
  </si>
  <si>
    <t>140,20</t>
  </si>
  <si>
    <t xml:space="preserve">Будённовск/Ставропольский край </t>
  </si>
  <si>
    <t>56,0</t>
  </si>
  <si>
    <t>91,6000</t>
  </si>
  <si>
    <t>77,8185</t>
  </si>
  <si>
    <t>57,9897</t>
  </si>
  <si>
    <t xml:space="preserve">Юноши 14 - 15 </t>
  </si>
  <si>
    <t>49,6613</t>
  </si>
  <si>
    <t>119,6140</t>
  </si>
  <si>
    <t>118,6000</t>
  </si>
  <si>
    <t>114,5760</t>
  </si>
  <si>
    <t>111,2070</t>
  </si>
  <si>
    <t>107,7247</t>
  </si>
  <si>
    <t>107,6490</t>
  </si>
  <si>
    <t>105,6888</t>
  </si>
  <si>
    <t>105,6400</t>
  </si>
  <si>
    <t>97,9290</t>
  </si>
  <si>
    <t>97,8660</t>
  </si>
  <si>
    <t>96,5260</t>
  </si>
  <si>
    <t>96,3200</t>
  </si>
  <si>
    <t>81,4784</t>
  </si>
  <si>
    <t>174,4857</t>
  </si>
  <si>
    <t>108,3902</t>
  </si>
  <si>
    <t xml:space="preserve">Мастера 50 - 54 </t>
  </si>
  <si>
    <t>92,0494</t>
  </si>
  <si>
    <t xml:space="preserve">Мастера 40 - 44 </t>
  </si>
  <si>
    <t>83,9993</t>
  </si>
  <si>
    <t>Результат</t>
  </si>
  <si>
    <t>Кубок мира по пауэрлифтингу и силовым видам спорта 2017 НАП Джубга
ПРО становая тяга без экипировки
Краснодар/Краснодарский край 14 - 16 апреля 2017 г.</t>
  </si>
  <si>
    <t>-. Азарян Карина</t>
  </si>
  <si>
    <t>Открытая (23.10.1989)/27</t>
  </si>
  <si>
    <t>58,30</t>
  </si>
  <si>
    <t>132,5</t>
  </si>
  <si>
    <t>Тамаев Сайд</t>
  </si>
  <si>
    <t>1. Тамаев Сайд</t>
  </si>
  <si>
    <t>Юниоры 20 - 23 (15.05.1995)/21</t>
  </si>
  <si>
    <t>67,20</t>
  </si>
  <si>
    <t>Авраменко Олег</t>
  </si>
  <si>
    <t>1. Авраменко Олег</t>
  </si>
  <si>
    <t>Открытая (12.11.1976)/40</t>
  </si>
  <si>
    <t>Сатов Виталий</t>
  </si>
  <si>
    <t>2. Сатов Виталий</t>
  </si>
  <si>
    <t>Открытая (23.12.1981)/35</t>
  </si>
  <si>
    <t xml:space="preserve">Unrealgym </t>
  </si>
  <si>
    <t>Горбунов Антон</t>
  </si>
  <si>
    <t>1. Горбунов Антон</t>
  </si>
  <si>
    <t>Открытая (03.04.1983)/34</t>
  </si>
  <si>
    <t xml:space="preserve">Пермь/Пермский край </t>
  </si>
  <si>
    <t>Кручинин Александр</t>
  </si>
  <si>
    <t>2. Кручинин Александр</t>
  </si>
  <si>
    <t>Открытая (05.03.1992)/25</t>
  </si>
  <si>
    <t>Дадонов Михаил</t>
  </si>
  <si>
    <t>1. Дадонов Михаил</t>
  </si>
  <si>
    <t>Открытая (13.01.1988)/29</t>
  </si>
  <si>
    <t>108,30</t>
  </si>
  <si>
    <t>247,5</t>
  </si>
  <si>
    <t>Таловасов Анатолий</t>
  </si>
  <si>
    <t>1. Таловасов Анатолий</t>
  </si>
  <si>
    <t>Мастера 55 - 59 (01.12.1960)/56</t>
  </si>
  <si>
    <t>117,00</t>
  </si>
  <si>
    <t xml:space="preserve">П. тульский </t>
  </si>
  <si>
    <t>141,2221</t>
  </si>
  <si>
    <t>189,9820</t>
  </si>
  <si>
    <t>158,3700</t>
  </si>
  <si>
    <t>154,8250</t>
  </si>
  <si>
    <t>151,7250</t>
  </si>
  <si>
    <t>146,6250</t>
  </si>
  <si>
    <t>133,3035</t>
  </si>
  <si>
    <t>117,6670</t>
  </si>
  <si>
    <t>242,0285</t>
  </si>
  <si>
    <t xml:space="preserve">Мастера 55 - 59 </t>
  </si>
  <si>
    <t>166,6122</t>
  </si>
  <si>
    <t>Кубок мира по пауэрлифтингу и силовым видам спорта 2017 НАП Джубга
ПРО пауэрлифтинг в однослойной экипировке
Краснодар/Краснодарский край 14 - 16 апреля 2017 г.</t>
  </si>
  <si>
    <t>Кубок мира по пауэрлифтингу и силовым видам спорта 2017 НАП Джубга
ПРО жим лежа в однослойной экипировке
Краснодар/Краснодарский край 14 - 16 апреля 2017 г.</t>
  </si>
  <si>
    <t>106,0259</t>
  </si>
  <si>
    <t>Кубок мира по пауэрлифтингу и силовым видам спорта 2017 НАП Джубга
ПРО пауэрлифтинг в многослойной экипировке
Краснодар/Краснодарский край 14 - 16 апреля 2017 г.</t>
  </si>
  <si>
    <t>Шеремет Дмитрий</t>
  </si>
  <si>
    <t>1. Шеремет Дмитрий</t>
  </si>
  <si>
    <t>Открытая (08.09.1978)/38</t>
  </si>
  <si>
    <t>88,00</t>
  </si>
  <si>
    <t xml:space="preserve">Чемпион </t>
  </si>
  <si>
    <t xml:space="preserve">Горячий ключ </t>
  </si>
  <si>
    <t xml:space="preserve">Сизов А. В. </t>
  </si>
  <si>
    <t>Митрофанов Павел</t>
  </si>
  <si>
    <t>1. Митрофанов Павел</t>
  </si>
  <si>
    <t>Открытая (12.08.1983)/33</t>
  </si>
  <si>
    <t>98,90</t>
  </si>
  <si>
    <t>340,0</t>
  </si>
  <si>
    <t>360,0</t>
  </si>
  <si>
    <t>380,0</t>
  </si>
  <si>
    <t xml:space="preserve">Сизов андрей </t>
  </si>
  <si>
    <t>Гулевский Кирилл</t>
  </si>
  <si>
    <t>1. Гулевский Кирилл</t>
  </si>
  <si>
    <t>Открытая (07.10.1987)/29</t>
  </si>
  <si>
    <t>137,60</t>
  </si>
  <si>
    <t>400,0</t>
  </si>
  <si>
    <t>430,0</t>
  </si>
  <si>
    <t>460,0</t>
  </si>
  <si>
    <t xml:space="preserve">Ступников Роман </t>
  </si>
  <si>
    <t>940,0</t>
  </si>
  <si>
    <t>523,3920</t>
  </si>
  <si>
    <t>1020,0</t>
  </si>
  <si>
    <t>516,2628</t>
  </si>
  <si>
    <t>680,0</t>
  </si>
  <si>
    <t>403,5800</t>
  </si>
  <si>
    <t>Кубок мира по пауэрлифтингу и силовым видам спорта 2017 НАП Джубга
ПРО жим лежа в многослойной экипировке
Краснодар/Краснодарский край 14 - 16 апреля 2017 г.</t>
  </si>
  <si>
    <t>Кубок мира по пауэрлифтингу и силовым видам спорта 2017 НАП Джубга
ПРО присед без экипировки
Краснодар/Краснодарский край 14 - 16 апреля 2017 г.</t>
  </si>
  <si>
    <t>Лобанов Виталий</t>
  </si>
  <si>
    <t>1. Лобанов Виталий</t>
  </si>
  <si>
    <t>Мастера 45 - 49 (26.09.1967)/49</t>
  </si>
  <si>
    <t>85,20</t>
  </si>
  <si>
    <t>175,0640</t>
  </si>
  <si>
    <t>128,2327</t>
  </si>
  <si>
    <t>Кубок мира по пауэрлифтингу и силовым видам спорта 2017 НАП Джубга
ПРО становая тяга в однослойной экипировке
Краснодар/Краснодарский край 14 - 16 апреля 2017 г.</t>
  </si>
  <si>
    <t>Сизов Андрей</t>
  </si>
  <si>
    <t>1. Сизов Андрей</t>
  </si>
  <si>
    <t>Мастера 45 - 49 (29.01.1968)/49</t>
  </si>
  <si>
    <t>96,00</t>
  </si>
  <si>
    <t>200,3007</t>
  </si>
  <si>
    <t>Кубок мира по пауэрлифтингу и силовым видам спорта 2017 НАП Джубга
ПРО становая тяга в многослойной экипировке
Краснодар/Краснодарский край 14 - 16 апреля 2017 г.</t>
  </si>
  <si>
    <t>Крылов Артем</t>
  </si>
  <si>
    <t>1. Крылов Артем</t>
  </si>
  <si>
    <t>Открытая (03.09.1990)/26</t>
  </si>
  <si>
    <t>320,0</t>
  </si>
  <si>
    <t>341,0</t>
  </si>
  <si>
    <t xml:space="preserve">Чернов. Е </t>
  </si>
  <si>
    <t>Винников Владимир</t>
  </si>
  <si>
    <t>1. Винников Владимир</t>
  </si>
  <si>
    <t>Открытая (28.08.1986)/30</t>
  </si>
  <si>
    <t>97,00</t>
  </si>
  <si>
    <t>272,5</t>
  </si>
  <si>
    <t>187,2960</t>
  </si>
  <si>
    <t>140,4750</t>
  </si>
  <si>
    <t>Кубок мира по пауэрлифтингу и силовым видам спорта 2017 НАП Джубга
ПРО присед в однослойной экипировке
Краснодар/Краснодарский край 14 - 16 апреля 2017 г.</t>
  </si>
  <si>
    <t>Кубок мира по пауэрлифтингу и силовым видам спорта 2017 НАП Джубга
ПРО пауэрлифтинг в софт экипировке
Краснодар/Краснодарский край 14 - 16 апреля 2017 г.</t>
  </si>
  <si>
    <t>Смородин Иван</t>
  </si>
  <si>
    <t>1. Смородин Иван</t>
  </si>
  <si>
    <t>Юниоры 20 - 23 (25.09.1994)/22</t>
  </si>
  <si>
    <t>66,40</t>
  </si>
  <si>
    <t>Радионов Евгений</t>
  </si>
  <si>
    <t>-. Радионов Евгений</t>
  </si>
  <si>
    <t>Открытая (10.05.1983)/33</t>
  </si>
  <si>
    <t>87,80</t>
  </si>
  <si>
    <t>Колючкин Николай</t>
  </si>
  <si>
    <t>-. Колючкин Николай</t>
  </si>
  <si>
    <t>Мастера 45 - 49 (20.05.1967)/49</t>
  </si>
  <si>
    <t>97,80</t>
  </si>
  <si>
    <t xml:space="preserve">Asport </t>
  </si>
  <si>
    <t>137,5</t>
  </si>
  <si>
    <t>235,0</t>
  </si>
  <si>
    <t>505,0</t>
  </si>
  <si>
    <t>375,7538</t>
  </si>
  <si>
    <t>Кубок мира по пауэрлифтингу и силовым видам спорта 2017 НАП Джубга
ПРО жим лежа в софт экипировке
Краснодар/Краснодарский край 14 - 16 апреля 2017 г.</t>
  </si>
  <si>
    <t>Тураева Анна</t>
  </si>
  <si>
    <t>1. Тураева Анна</t>
  </si>
  <si>
    <t>Открытая (18.08.1978)/38</t>
  </si>
  <si>
    <t>80,00</t>
  </si>
  <si>
    <t xml:space="preserve">Туапсе </t>
  </si>
  <si>
    <t xml:space="preserve">Устинов </t>
  </si>
  <si>
    <t>-. Кошкин Сергей</t>
  </si>
  <si>
    <t>Открытая (28.09.1971)/45</t>
  </si>
  <si>
    <t xml:space="preserve">ставрополь </t>
  </si>
  <si>
    <t>Мастера 45 - 49 (28.09.1971)/45</t>
  </si>
  <si>
    <t>1. Радионов Евгений</t>
  </si>
  <si>
    <t>222,5</t>
  </si>
  <si>
    <t>Холявка Евгений</t>
  </si>
  <si>
    <t>2. Холявка Евгений</t>
  </si>
  <si>
    <t>Открытая (25.04.1988)/28</t>
  </si>
  <si>
    <t xml:space="preserve">Горячий Ключ/Краснодарский край </t>
  </si>
  <si>
    <t>Тарасов Александр</t>
  </si>
  <si>
    <t>1. Тарасов Александр</t>
  </si>
  <si>
    <t>Открытая (28.05.1980)/36</t>
  </si>
  <si>
    <t>106,80</t>
  </si>
  <si>
    <t xml:space="preserve">Кошкин Сергей </t>
  </si>
  <si>
    <t>Чугунов Евгений</t>
  </si>
  <si>
    <t>1. Чугунов Евгений</t>
  </si>
  <si>
    <t>Открытая (24.04.1983)/33</t>
  </si>
  <si>
    <t>124,00</t>
  </si>
  <si>
    <t>295,0</t>
  </si>
  <si>
    <t>-. Микао Михаил</t>
  </si>
  <si>
    <t>Открытая (29.07.1985)/31</t>
  </si>
  <si>
    <t>124,80</t>
  </si>
  <si>
    <t>307,5</t>
  </si>
  <si>
    <t xml:space="preserve">Чугунов Евгений </t>
  </si>
  <si>
    <t>Калинин Дмитрий</t>
  </si>
  <si>
    <t>1. Калинин Дмитрий</t>
  </si>
  <si>
    <t>Открытая (05.01.1989)/28</t>
  </si>
  <si>
    <t>131,00</t>
  </si>
  <si>
    <t>123,9930</t>
  </si>
  <si>
    <t>154,1080</t>
  </si>
  <si>
    <t>149,0020</t>
  </si>
  <si>
    <t>146,0160</t>
  </si>
  <si>
    <t>139,6605</t>
  </si>
  <si>
    <t>132,0538</t>
  </si>
  <si>
    <t>Кубок мира по пауэрлифтингу и силовым видам спорта 2017 НАП Джубга
ПРО присед в многослойной экипировке
Краснодар/Краснодарский край 14 - 16 апреля 2017 г.</t>
  </si>
  <si>
    <t>Кубок мира по пауэрлифтингу и силовым видам спорта 2017 НАП Джубга
ПРО становая тяга в софт экипировке
Краснодар/Краснодарский край 14 - 16 апреля 2017 г.</t>
  </si>
  <si>
    <t>1. Колючкин Николай</t>
  </si>
  <si>
    <t>98,60</t>
  </si>
  <si>
    <t>159,4450</t>
  </si>
  <si>
    <t>Кубок мира по пауэрлифтингу и силовым видам спорта 2017 НАП Джубга
ПРО присед в софт экипировке
Краснодар/Краснодарский край 14 - 16 апреля 2017 г.</t>
  </si>
  <si>
    <t>Кубок мира по пауэрлифтингу и силовым видам спорта 2017 НАП Джубга
Любители пауэрлифтинг без экипировки
Краснодар/Краснодарский край 14 - 16 апреля 2017 г.</t>
  </si>
  <si>
    <t>ВЕСОВАЯ КАТЕГОРИЯ   52</t>
  </si>
  <si>
    <t>Котлярова Татьяна</t>
  </si>
  <si>
    <t>1. Котлярова Татьяна</t>
  </si>
  <si>
    <t>Открытая (06.06.1994)/22</t>
  </si>
  <si>
    <t>51,90</t>
  </si>
  <si>
    <t>62,5</t>
  </si>
  <si>
    <t xml:space="preserve">Чугунов евгений, микао михаил </t>
  </si>
  <si>
    <t>Владимирова Нателла</t>
  </si>
  <si>
    <t>1. Владимирова Нателла</t>
  </si>
  <si>
    <t>Открытая (25.09.1988)/28</t>
  </si>
  <si>
    <t>55,00</t>
  </si>
  <si>
    <t>102,5</t>
  </si>
  <si>
    <t>55,0</t>
  </si>
  <si>
    <t>57,5</t>
  </si>
  <si>
    <t>127,5</t>
  </si>
  <si>
    <t>142,5</t>
  </si>
  <si>
    <t>Гугнинский Сергей</t>
  </si>
  <si>
    <t>1. Гугнинский Сергей</t>
  </si>
  <si>
    <t>Открытая (10.05.1992)/24</t>
  </si>
  <si>
    <t>67,50</t>
  </si>
  <si>
    <t>-. Гапон Антон</t>
  </si>
  <si>
    <t>Юниоры 20 - 23 (19.01.1996)/21</t>
  </si>
  <si>
    <t>73,40</t>
  </si>
  <si>
    <t xml:space="preserve">авраменко </t>
  </si>
  <si>
    <t>Алампиев Сергей</t>
  </si>
  <si>
    <t>1. Алампиев Сергей</t>
  </si>
  <si>
    <t>Открытая (07.04.1957)/60</t>
  </si>
  <si>
    <t>74,00</t>
  </si>
  <si>
    <t xml:space="preserve">Шахты </t>
  </si>
  <si>
    <t>Черняев Игорь</t>
  </si>
  <si>
    <t>2. Черняев Игорь</t>
  </si>
  <si>
    <t>Открытая (05.04.1984)/33</t>
  </si>
  <si>
    <t>74,60</t>
  </si>
  <si>
    <t xml:space="preserve">Нет </t>
  </si>
  <si>
    <t>Мастера 60 - 64 (07.04.1957)/60</t>
  </si>
  <si>
    <t>Бойцевский Дмитрий</t>
  </si>
  <si>
    <t>1. Бойцевский Дмитрий</t>
  </si>
  <si>
    <t>Юноши 14 - 15 (16.06.2003)/13</t>
  </si>
  <si>
    <t>79,30</t>
  </si>
  <si>
    <t>70,0w</t>
  </si>
  <si>
    <t>85,0w</t>
  </si>
  <si>
    <t>Титуленко Эдуард</t>
  </si>
  <si>
    <t>1. Титуленко Эдуард</t>
  </si>
  <si>
    <t>Юниоры 20 - 23 (10.07.1996)/20</t>
  </si>
  <si>
    <t>Носенко Дмитрий</t>
  </si>
  <si>
    <t>1. Носенко Дмитрий</t>
  </si>
  <si>
    <t>Мастера 40 - 44 (12.10.1976)/40</t>
  </si>
  <si>
    <t xml:space="preserve">Таганрог/Ростовская область </t>
  </si>
  <si>
    <t>207,5</t>
  </si>
  <si>
    <t>Белоусов Дмитрий</t>
  </si>
  <si>
    <t>1. Белоусов Дмитрий</t>
  </si>
  <si>
    <t>Юниоры 20 - 23 (28.11.1996)/20</t>
  </si>
  <si>
    <t>89,20</t>
  </si>
  <si>
    <t>185,0w</t>
  </si>
  <si>
    <t>Мацегоров Евгений</t>
  </si>
  <si>
    <t>1. Мацегоров Евгений</t>
  </si>
  <si>
    <t>Открытая (06.05.1986)/30</t>
  </si>
  <si>
    <t>88,90</t>
  </si>
  <si>
    <t>237,5</t>
  </si>
  <si>
    <t>Крят Игорь</t>
  </si>
  <si>
    <t>2. Крят Игорь</t>
  </si>
  <si>
    <t>Открытая (31.05.1988)/28</t>
  </si>
  <si>
    <t>86,70</t>
  </si>
  <si>
    <t xml:space="preserve">Тимашёвск/Краснодарский край </t>
  </si>
  <si>
    <t>232,5</t>
  </si>
  <si>
    <t>Смык Виталий</t>
  </si>
  <si>
    <t>1. Смык Виталий</t>
  </si>
  <si>
    <t>Юноши 14 - 15 (12.08.2001)/15</t>
  </si>
  <si>
    <t>99,50</t>
  </si>
  <si>
    <t xml:space="preserve">Михайловск/Ставропольский край </t>
  </si>
  <si>
    <t>Карпенко Владислав</t>
  </si>
  <si>
    <t>1. Карпенко Владислав</t>
  </si>
  <si>
    <t>Открытая (02.11.1987)/29</t>
  </si>
  <si>
    <t>99,40</t>
  </si>
  <si>
    <t xml:space="preserve">Виталий волков </t>
  </si>
  <si>
    <t>Бойцевский Александр</t>
  </si>
  <si>
    <t>2. Бойцевский Александр</t>
  </si>
  <si>
    <t>Открытая (30.05.1987)/29</t>
  </si>
  <si>
    <t>96,30</t>
  </si>
  <si>
    <t>157,5</t>
  </si>
  <si>
    <t>Шеховцов Артем</t>
  </si>
  <si>
    <t>3. Шеховцов Артем</t>
  </si>
  <si>
    <t>Открытая (25.01.1985)/32</t>
  </si>
  <si>
    <t xml:space="preserve">Славянск-на-Кубани/Краснодарский край </t>
  </si>
  <si>
    <t>275,0</t>
  </si>
  <si>
    <t>Симонов Алексей</t>
  </si>
  <si>
    <t>4. Симонов Алексей</t>
  </si>
  <si>
    <t>Открытая (19.09.1987)/29</t>
  </si>
  <si>
    <t>92,50</t>
  </si>
  <si>
    <t>Манаков Михаил</t>
  </si>
  <si>
    <t>1. Манаков Михаил</t>
  </si>
  <si>
    <t>Мастера 55 - 59 (09.10.1957)/59</t>
  </si>
  <si>
    <t>Серкуш Аслан</t>
  </si>
  <si>
    <t>1. Серкуш Аслан</t>
  </si>
  <si>
    <t>Открытая (24.09.1987)/29</t>
  </si>
  <si>
    <t>103,00</t>
  </si>
  <si>
    <t>Грехов Роман</t>
  </si>
  <si>
    <t>1. Грехов Роман</t>
  </si>
  <si>
    <t>Мастера 40 - 44 (25.07.1972)/44</t>
  </si>
  <si>
    <t>108,80</t>
  </si>
  <si>
    <t>Фатыхов Артем</t>
  </si>
  <si>
    <t>1. Фатыхов Артем</t>
  </si>
  <si>
    <t>Юноши 16 - 17 (07.04.2001)/16</t>
  </si>
  <si>
    <t>118,90</t>
  </si>
  <si>
    <t>Абрегов Юрий</t>
  </si>
  <si>
    <t>1. Абрегов Юрий</t>
  </si>
  <si>
    <t>Мастера 50 - 54 (21.10.1964)/52</t>
  </si>
  <si>
    <t>118,50</t>
  </si>
  <si>
    <t>52,0</t>
  </si>
  <si>
    <t>332,5</t>
  </si>
  <si>
    <t>322,8076</t>
  </si>
  <si>
    <t>268,4240</t>
  </si>
  <si>
    <t>375,0</t>
  </si>
  <si>
    <t>245,7202</t>
  </si>
  <si>
    <t xml:space="preserve">Юноши 16 - 17 </t>
  </si>
  <si>
    <t>390,0</t>
  </si>
  <si>
    <t>232,6896</t>
  </si>
  <si>
    <t>287,5</t>
  </si>
  <si>
    <t>225,2591</t>
  </si>
  <si>
    <t>635,0</t>
  </si>
  <si>
    <t>405,0532</t>
  </si>
  <si>
    <t>542,5</t>
  </si>
  <si>
    <t>328,8391</t>
  </si>
  <si>
    <t>555,0</t>
  </si>
  <si>
    <t>402,8190</t>
  </si>
  <si>
    <t>660,0</t>
  </si>
  <si>
    <t>366,6300</t>
  </si>
  <si>
    <t>361,3500</t>
  </si>
  <si>
    <t>602,5</t>
  </si>
  <si>
    <t>355,2942</t>
  </si>
  <si>
    <t>339,7497</t>
  </si>
  <si>
    <t>339,1580</t>
  </si>
  <si>
    <t>590,0</t>
  </si>
  <si>
    <t>328,0400</t>
  </si>
  <si>
    <t>545,0</t>
  </si>
  <si>
    <t>326,5095</t>
  </si>
  <si>
    <t>485,0</t>
  </si>
  <si>
    <t>323,6405</t>
  </si>
  <si>
    <t>510,0</t>
  </si>
  <si>
    <t>293,8110</t>
  </si>
  <si>
    <t>557,9149</t>
  </si>
  <si>
    <t>398,5629</t>
  </si>
  <si>
    <t>319,3573</t>
  </si>
  <si>
    <t>307,8463</t>
  </si>
  <si>
    <t>480,0</t>
  </si>
  <si>
    <t>303,2640</t>
  </si>
  <si>
    <t>Кубок мира по пауэрлифтингу и силовым видам спорта 2017 НАП Джубга
Любители жим лежа без экипировки
Краснодар/Краснодарский край 14 - 16 апреля 2017 г.</t>
  </si>
  <si>
    <t>ВЕСОВАЯ КАТЕГОРИЯ   44</t>
  </si>
  <si>
    <t>Воронова Елизавета</t>
  </si>
  <si>
    <t>1. Воронова Елизавета</t>
  </si>
  <si>
    <t>Девушки 14 - 15 (06.09.2005)/11</t>
  </si>
  <si>
    <t>43,50</t>
  </si>
  <si>
    <t xml:space="preserve">Белгород/Белгородская область </t>
  </si>
  <si>
    <t>66,0</t>
  </si>
  <si>
    <t>Чехова Дарья</t>
  </si>
  <si>
    <t>1. Чехова Дарья</t>
  </si>
  <si>
    <t>Открытая (28.07.1984)/32</t>
  </si>
  <si>
    <t>59,90</t>
  </si>
  <si>
    <t>77,5</t>
  </si>
  <si>
    <t>Аксёнова Юлия</t>
  </si>
  <si>
    <t>1. Аксёнова Юлия</t>
  </si>
  <si>
    <t>Девушки 16 - 17 (25.06.1999)/17</t>
  </si>
  <si>
    <t>64,40</t>
  </si>
  <si>
    <t>Турыгина Полина</t>
  </si>
  <si>
    <t>1. Турыгина Полина</t>
  </si>
  <si>
    <t>Открытая (19.10.1985)/31</t>
  </si>
  <si>
    <t>63,10</t>
  </si>
  <si>
    <t xml:space="preserve">Сочи </t>
  </si>
  <si>
    <t>Ачмизов Руслан</t>
  </si>
  <si>
    <t>1. Ачмизов Руслан</t>
  </si>
  <si>
    <t>Открытая (11.11.1986)/30</t>
  </si>
  <si>
    <t>58,80</t>
  </si>
  <si>
    <t>Ананьев Руслан</t>
  </si>
  <si>
    <t>1. Ананьев Руслан</t>
  </si>
  <si>
    <t>Юноши 16 - 17 (19.02.2001)/16</t>
  </si>
  <si>
    <t>63,50</t>
  </si>
  <si>
    <t>Шутов Виталий</t>
  </si>
  <si>
    <t>1. Шутов Виталий</t>
  </si>
  <si>
    <t>Открытая (27.10.1991)/25</t>
  </si>
  <si>
    <t>Тимерханов Владимир</t>
  </si>
  <si>
    <t>2. Тимерханов Владимир</t>
  </si>
  <si>
    <t>Открытая (14.10.1988)/28</t>
  </si>
  <si>
    <t>66,10</t>
  </si>
  <si>
    <t>Гусаков Виталий</t>
  </si>
  <si>
    <t>1. Гусаков Виталий</t>
  </si>
  <si>
    <t>Юноши 16 - 17 (14.11.1999)/17</t>
  </si>
  <si>
    <t>74,30</t>
  </si>
  <si>
    <t xml:space="preserve">Солнышко </t>
  </si>
  <si>
    <t xml:space="preserve">Темрюк/Краснодарский край </t>
  </si>
  <si>
    <t>Варельджан Сергей</t>
  </si>
  <si>
    <t>1. Варельджан Сергей</t>
  </si>
  <si>
    <t>Юниоры 20 - 23 (13.07.1995)/21</t>
  </si>
  <si>
    <t>72,50</t>
  </si>
  <si>
    <t>Дворкин Леонид</t>
  </si>
  <si>
    <t>1. Дворкин Леонид</t>
  </si>
  <si>
    <t>Мастера 75 - 79 (23.01.1941)/76</t>
  </si>
  <si>
    <t>74,80</t>
  </si>
  <si>
    <t>Мартьянов Максим</t>
  </si>
  <si>
    <t>1. Мартьянов Максим</t>
  </si>
  <si>
    <t>Открытая (19.02.1984)/33</t>
  </si>
  <si>
    <t>81,20</t>
  </si>
  <si>
    <t xml:space="preserve">Зевс </t>
  </si>
  <si>
    <t>147,5</t>
  </si>
  <si>
    <t>Ткаченко Александр</t>
  </si>
  <si>
    <t>2. Ткаченко Александр</t>
  </si>
  <si>
    <t>Открытая (22.08.1989)/27</t>
  </si>
  <si>
    <t>79,90</t>
  </si>
  <si>
    <t>Шевченко Юрий</t>
  </si>
  <si>
    <t>3. Шевченко Юрий</t>
  </si>
  <si>
    <t>Открытая (07.10.1990)/26</t>
  </si>
  <si>
    <t>78,50</t>
  </si>
  <si>
    <t>Ануфриев Илья</t>
  </si>
  <si>
    <t>1. Ануфриев Илья</t>
  </si>
  <si>
    <t>Юноши 18 - 19 (23.09.1997)/19</t>
  </si>
  <si>
    <t>87,00</t>
  </si>
  <si>
    <t xml:space="preserve">Оренбург/Оренбургская область </t>
  </si>
  <si>
    <t>Кнурев Николай</t>
  </si>
  <si>
    <t>1. Кнурев Николай</t>
  </si>
  <si>
    <t>Открытая (15.01.1981)/36</t>
  </si>
  <si>
    <t xml:space="preserve">Элиста/Калмыкия </t>
  </si>
  <si>
    <t>Гришечко Владислав</t>
  </si>
  <si>
    <t>2. Гришечко Владислав</t>
  </si>
  <si>
    <t>Открытая (12.08.1989)/27</t>
  </si>
  <si>
    <t>88,70</t>
  </si>
  <si>
    <t>Беспальчев Александр</t>
  </si>
  <si>
    <t>3. Беспальчев Александр</t>
  </si>
  <si>
    <t>Открытая (29.06.1984)/32</t>
  </si>
  <si>
    <t>87,50</t>
  </si>
  <si>
    <t>Кармирьян Михаил</t>
  </si>
  <si>
    <t>4. Кармирьян Михаил</t>
  </si>
  <si>
    <t>Открытая (09.08.1982)/34</t>
  </si>
  <si>
    <t>87,40</t>
  </si>
  <si>
    <t>Маликов Дмитрий</t>
  </si>
  <si>
    <t>1. Маликов Дмитрий</t>
  </si>
  <si>
    <t>Мастера 40 - 44 (22.02.1976)/41</t>
  </si>
  <si>
    <t>89,40</t>
  </si>
  <si>
    <t>Печка Кирилл</t>
  </si>
  <si>
    <t>1. Печка Кирилл</t>
  </si>
  <si>
    <t>Открытая (30.09.1983)/33</t>
  </si>
  <si>
    <t>97,60</t>
  </si>
  <si>
    <t xml:space="preserve">Московский/Московская область </t>
  </si>
  <si>
    <t>Пирогов Кирилл</t>
  </si>
  <si>
    <t>2. Пирогов Кирилл</t>
  </si>
  <si>
    <t>Открытая (27.06.1979)/37</t>
  </si>
  <si>
    <t>99,00</t>
  </si>
  <si>
    <t>-. Абрам Андрей</t>
  </si>
  <si>
    <t>Открытая (11.01.1979)/38</t>
  </si>
  <si>
    <t>97,20</t>
  </si>
  <si>
    <t>Романов Роман</t>
  </si>
  <si>
    <t>1. Романов Роман</t>
  </si>
  <si>
    <t>Открытая (23.03.1984)/33</t>
  </si>
  <si>
    <t>107,50</t>
  </si>
  <si>
    <t xml:space="preserve">пгт Тульский[4]/Адыгея </t>
  </si>
  <si>
    <t>167,5</t>
  </si>
  <si>
    <t>Крапивка Иван</t>
  </si>
  <si>
    <t>2. Крапивка Иван</t>
  </si>
  <si>
    <t>Открытая (13.10.1977)/39</t>
  </si>
  <si>
    <t>109,20</t>
  </si>
  <si>
    <t>Дороничев Сергей</t>
  </si>
  <si>
    <t>3. Дороничев Сергей</t>
  </si>
  <si>
    <t>Открытая (06.11.1982)/34</t>
  </si>
  <si>
    <t>101,10</t>
  </si>
  <si>
    <t>Олифир Андрей</t>
  </si>
  <si>
    <t>1. Олифир Андрей</t>
  </si>
  <si>
    <t>Мастера 40 - 44 (15.06.1975)/41</t>
  </si>
  <si>
    <t>109,80</t>
  </si>
  <si>
    <t>-. Хохлов Олег</t>
  </si>
  <si>
    <t>Мастера 45 - 49 (24.03.1971)/46</t>
  </si>
  <si>
    <t>122,00</t>
  </si>
  <si>
    <t>Кашпаров Денис</t>
  </si>
  <si>
    <t>1. Кашпаров Денис</t>
  </si>
  <si>
    <t>Открытая (27.01.1985)/32</t>
  </si>
  <si>
    <t>127,80</t>
  </si>
  <si>
    <t xml:space="preserve">Новочеркасск/Ростовская область </t>
  </si>
  <si>
    <t xml:space="preserve">Девушки </t>
  </si>
  <si>
    <t>44,0</t>
  </si>
  <si>
    <t>89,4640</t>
  </si>
  <si>
    <t>52,5560</t>
  </si>
  <si>
    <t>63,9491</t>
  </si>
  <si>
    <t>60,3505</t>
  </si>
  <si>
    <t>90,1482</t>
  </si>
  <si>
    <t>88,5616</t>
  </si>
  <si>
    <t>65,1049</t>
  </si>
  <si>
    <t>95,7627</t>
  </si>
  <si>
    <t>86,3771</t>
  </si>
  <si>
    <t>107,4103</t>
  </si>
  <si>
    <t>105,9515</t>
  </si>
  <si>
    <t>105,0375</t>
  </si>
  <si>
    <t>92,4750</t>
  </si>
  <si>
    <t>92,3645</t>
  </si>
  <si>
    <t>90,7215</t>
  </si>
  <si>
    <t>90,4165</t>
  </si>
  <si>
    <t>87,3438</t>
  </si>
  <si>
    <t>86,2575</t>
  </si>
  <si>
    <t>85,6225</t>
  </si>
  <si>
    <t>84,8730</t>
  </si>
  <si>
    <t>83,9387</t>
  </si>
  <si>
    <t>83,4340</t>
  </si>
  <si>
    <t>83,0100</t>
  </si>
  <si>
    <t>81,3463</t>
  </si>
  <si>
    <t>59,6000</t>
  </si>
  <si>
    <t xml:space="preserve">Мастера 75 - 79 </t>
  </si>
  <si>
    <t>145,7122</t>
  </si>
  <si>
    <t>111,9559</t>
  </si>
  <si>
    <t>88,4195</t>
  </si>
  <si>
    <t>87,4754</t>
  </si>
  <si>
    <t>Кубок мира по пауэрлифтингу и силовым видам спорта 2017 НАП Джубга
Любители становая тяга без экипировки
Краснодар/Краснодарский край 14 - 16 апреля 2017 г.</t>
  </si>
  <si>
    <t>ВЕСОВАЯ КАТЕГОРИЯ   48</t>
  </si>
  <si>
    <t>Жарасова Мадина</t>
  </si>
  <si>
    <t>1. Жарасова Мадина</t>
  </si>
  <si>
    <t>Юниорки 20 - 23 (30.09.1993)/23</t>
  </si>
  <si>
    <t>45,30</t>
  </si>
  <si>
    <t>Слащева Александра</t>
  </si>
  <si>
    <t>1. Слащева Александра</t>
  </si>
  <si>
    <t>Девушки 16 - 17 (17.04.2000)/16</t>
  </si>
  <si>
    <t>50,50</t>
  </si>
  <si>
    <t>Каменева Екатерина</t>
  </si>
  <si>
    <t>1. Каменева Екатерина</t>
  </si>
  <si>
    <t>Открытая (10.01.1990)/27</t>
  </si>
  <si>
    <t>51,50</t>
  </si>
  <si>
    <t>Шеремет Анжелика</t>
  </si>
  <si>
    <t>1. Шеремет Анжелика</t>
  </si>
  <si>
    <t>Девушки 16 - 17 (27.06.2000)/16</t>
  </si>
  <si>
    <t>55,60</t>
  </si>
  <si>
    <t>Смехнова Людмила</t>
  </si>
  <si>
    <t>1. Смехнова Людмила</t>
  </si>
  <si>
    <t>Открытая (30.07.1981)/35</t>
  </si>
  <si>
    <t>Гоова Динара</t>
  </si>
  <si>
    <t>1. Гоова Динара</t>
  </si>
  <si>
    <t>Открытая (06.02.1988)/29</t>
  </si>
  <si>
    <t>73,50</t>
  </si>
  <si>
    <t>Руденко Елена</t>
  </si>
  <si>
    <t>1. Руденко Елена</t>
  </si>
  <si>
    <t>Мастера 45 - 49 (19.05.1970)/46</t>
  </si>
  <si>
    <t>74,90</t>
  </si>
  <si>
    <t xml:space="preserve">Гулькевичи/Краснодарский край </t>
  </si>
  <si>
    <t>Ежов Виктор</t>
  </si>
  <si>
    <t>1. Ежов Виктор</t>
  </si>
  <si>
    <t>Юноши 16 - 17 (01.12.1999)/17</t>
  </si>
  <si>
    <t>152,5</t>
  </si>
  <si>
    <t>Шаврин Борис</t>
  </si>
  <si>
    <t>1. Шаврин Борис</t>
  </si>
  <si>
    <t>Мастера 65 - 69 (12.03.1951)/66</t>
  </si>
  <si>
    <t>66,60</t>
  </si>
  <si>
    <t>163,5</t>
  </si>
  <si>
    <t>Чурушкин Роман</t>
  </si>
  <si>
    <t>1. Чурушкин Роман</t>
  </si>
  <si>
    <t>Юноши 16 - 17 (04.11.1999)/17</t>
  </si>
  <si>
    <t>73,70</t>
  </si>
  <si>
    <t>197,5</t>
  </si>
  <si>
    <t>Куличков Владимир</t>
  </si>
  <si>
    <t>2. Куличков Владимир</t>
  </si>
  <si>
    <t>Юноши 16 - 17 (21.06.2000)/16</t>
  </si>
  <si>
    <t>Акулиничев Виктор</t>
  </si>
  <si>
    <t>2. Акулиничев Виктор</t>
  </si>
  <si>
    <t>Открытая (03.08.1987)/29</t>
  </si>
  <si>
    <t>Шеремет Григорий</t>
  </si>
  <si>
    <t>1. Шеремет Григорий</t>
  </si>
  <si>
    <t>Юноши 16 - 17 (14.02.2001)/16</t>
  </si>
  <si>
    <t>76,90</t>
  </si>
  <si>
    <t>Осипов Олег</t>
  </si>
  <si>
    <t>1. Осипов Олег</t>
  </si>
  <si>
    <t>Открытая (12.11.1986)/30</t>
  </si>
  <si>
    <t>82,00</t>
  </si>
  <si>
    <t>Акшенцев Анатолий</t>
  </si>
  <si>
    <t>1. Акшенцев Анатолий</t>
  </si>
  <si>
    <t>Мастера 60 - 64 (09.05.1956)/60</t>
  </si>
  <si>
    <t xml:space="preserve">Анапа/Краснодарский край </t>
  </si>
  <si>
    <t>Дудкин Роман</t>
  </si>
  <si>
    <t>1. Дудкин Роман</t>
  </si>
  <si>
    <t>Открытая (20.11.1990)/26</t>
  </si>
  <si>
    <t>88,80</t>
  </si>
  <si>
    <t xml:space="preserve">Пятигорск/Ставропольский край </t>
  </si>
  <si>
    <t>Митрофанов Жоэль</t>
  </si>
  <si>
    <t>2. Митрофанов Жоэль</t>
  </si>
  <si>
    <t>Открытая (18.05.1992)/24</t>
  </si>
  <si>
    <t>89,90</t>
  </si>
  <si>
    <t>Клименченко Владимир</t>
  </si>
  <si>
    <t>1. Клименченко Владимир</t>
  </si>
  <si>
    <t>Мастера 40 - 44 (28.03.1975)/42</t>
  </si>
  <si>
    <t>Житник Павел</t>
  </si>
  <si>
    <t>1. Житник Павел</t>
  </si>
  <si>
    <t>Открытая (17.05.1992)/24</t>
  </si>
  <si>
    <t>265,0</t>
  </si>
  <si>
    <t>2. Шеховцов Артем</t>
  </si>
  <si>
    <t>Насрулаев Амир</t>
  </si>
  <si>
    <t>1. Насрулаев Амир</t>
  </si>
  <si>
    <t>Открытая (08.08.1990)/26</t>
  </si>
  <si>
    <t>277,5</t>
  </si>
  <si>
    <t>Духно Дмитрий</t>
  </si>
  <si>
    <t>1. Духно Дмитрий</t>
  </si>
  <si>
    <t>Открытая (14.01.1980)/37</t>
  </si>
  <si>
    <t>111,50</t>
  </si>
  <si>
    <t>112,2958</t>
  </si>
  <si>
    <t>101,6698</t>
  </si>
  <si>
    <t xml:space="preserve">Юниорки </t>
  </si>
  <si>
    <t>48,0</t>
  </si>
  <si>
    <t>92,0210</t>
  </si>
  <si>
    <t>112,2630</t>
  </si>
  <si>
    <t>101,1010</t>
  </si>
  <si>
    <t>100,6775</t>
  </si>
  <si>
    <t>111,9601</t>
  </si>
  <si>
    <t>138,1085</t>
  </si>
  <si>
    <t>137,2270</t>
  </si>
  <si>
    <t>117,3060</t>
  </si>
  <si>
    <t>111,5843</t>
  </si>
  <si>
    <t>176,9320</t>
  </si>
  <si>
    <t>152,6920</t>
  </si>
  <si>
    <t>151,1100</t>
  </si>
  <si>
    <t>149,7945</t>
  </si>
  <si>
    <t>146,8100</t>
  </si>
  <si>
    <t>144,5600</t>
  </si>
  <si>
    <t>136,9665</t>
  </si>
  <si>
    <t>132,7725</t>
  </si>
  <si>
    <t>121,5360</t>
  </si>
  <si>
    <t>116,3190</t>
  </si>
  <si>
    <t>115,6757</t>
  </si>
  <si>
    <t>248,5759</t>
  </si>
  <si>
    <t xml:space="preserve">Мастера 65 - 69 </t>
  </si>
  <si>
    <t>242,4326</t>
  </si>
  <si>
    <t>229,5885</t>
  </si>
  <si>
    <t>161,2165</t>
  </si>
  <si>
    <t>132,8777</t>
  </si>
  <si>
    <t>126,3600</t>
  </si>
  <si>
    <t>Кубок мира по пауэрлифтингу и силовым видам спорта 2017 НАП Джубга
Любители пауэрлифтинг в однослойной экипировке
Краснодар/Краснодарский край 14 - 16 апреля 2017 г.</t>
  </si>
  <si>
    <t>Гуденко Николай</t>
  </si>
  <si>
    <t>1. Гуденко Николай</t>
  </si>
  <si>
    <t>Открытая (27.04.1989)/27</t>
  </si>
  <si>
    <t>442,5</t>
  </si>
  <si>
    <t>280,0582</t>
  </si>
  <si>
    <t>Кубок мира по пауэрлифтингу и силовым видам спорта 2017 НАП Джубга
Любители жим лежа в однослойной экипировке
Краснодар/Краснодарский край 14 - 16 апреля 2017 г.</t>
  </si>
  <si>
    <t>Погосян Степан</t>
  </si>
  <si>
    <t>1. Погосян Степан</t>
  </si>
  <si>
    <t>Открытая (18.04.1985)/31</t>
  </si>
  <si>
    <t>86,50</t>
  </si>
  <si>
    <t xml:space="preserve">Olympia </t>
  </si>
  <si>
    <t xml:space="preserve">Хачатурян Армен Робертович </t>
  </si>
  <si>
    <t>Иванков Андрей</t>
  </si>
  <si>
    <t>1. Иванков Андрей</t>
  </si>
  <si>
    <t>Открытая (29.01.1989)/28</t>
  </si>
  <si>
    <t xml:space="preserve">краснодар </t>
  </si>
  <si>
    <t xml:space="preserve">Гаряшина А.П. </t>
  </si>
  <si>
    <t>132,0000</t>
  </si>
  <si>
    <t>109,4590</t>
  </si>
  <si>
    <t>Кубок мира по пауэрлифтингу и силовым видам спорта 2017 НАП Джубга
Любители пауэрлифтинг в многослойной экипировке
Краснодар/Краснодарский край 14 - 16 апреля 2017 г.</t>
  </si>
  <si>
    <t>Кубок мира по пауэрлифтингу и силовым видам спорта 2017 НАП Джубга
Любители жим лежа в многослойной экипировке
Краснодар/Краснодарский край 14 - 16 апреля 2017 г.</t>
  </si>
  <si>
    <t>Ванян Владимир</t>
  </si>
  <si>
    <t>1. Ванян Владимир</t>
  </si>
  <si>
    <t>Открытая (14.10.1989)/27</t>
  </si>
  <si>
    <t xml:space="preserve">Ст.тбилисская </t>
  </si>
  <si>
    <t xml:space="preserve">Тренируюсь самостоятельно </t>
  </si>
  <si>
    <t>132,7280</t>
  </si>
  <si>
    <t>Кубок мира по пауэрлифтингу и силовым видам спорта 2017 НАП Джубга
Любители присед без экипировки
Краснодар/Краснодарский край 14 - 16 апреля 2017 г.</t>
  </si>
  <si>
    <t>Читаия Анатолий</t>
  </si>
  <si>
    <t>1. Читаия Анатолий</t>
  </si>
  <si>
    <t>Юноши 18 - 19 (05.12.1997)/19</t>
  </si>
  <si>
    <t>79,00</t>
  </si>
  <si>
    <t>102,5570</t>
  </si>
  <si>
    <t>132,8704</t>
  </si>
  <si>
    <t>107,4060</t>
  </si>
  <si>
    <t>Кубок мира по пауэрлифтингу и силовым видам спорта 2017 НАП Джубга
Любители становая тяга в однослойной экипировке
Краснодар/Краснодарский край 14 - 16 апреля 2017 г.</t>
  </si>
  <si>
    <t>Кубок мира по пауэрлифтингу и силовым видам спорта 2017 НАП Джубга
Любители становая тяга в многослойной экипировке
Краснодар/Краснодарский край 14 - 16 апреля 2017 г.</t>
  </si>
  <si>
    <t>Кубок мира по пауэрлифтингу и силовым видам спорта 2017 НАП Джубга
Любители присед в однослойной экипировке
Краснодар/Краснодарский край 14 - 16 апреля 2017 г.</t>
  </si>
  <si>
    <t>Кубок мира по пауэрлифтингу и силовым видам спорта 2017 НАП Джубга
Любители пауэрлифтинг в софт экипировке
Краснодар/Краснодарский край 14 - 16 апреля 2017 г.</t>
  </si>
  <si>
    <t>Коробейников Константин</t>
  </si>
  <si>
    <t>1. Коробейников Константин</t>
  </si>
  <si>
    <t>Юниоры 20 - 23 (29.03.1996)/21</t>
  </si>
  <si>
    <t>131,60</t>
  </si>
  <si>
    <t>615,0</t>
  </si>
  <si>
    <t>321,8551</t>
  </si>
  <si>
    <t>Кубок мира по пауэрлифтингу и силовым видам спорта 2017 НАП Джубга
Любители жим лежа в софт экипировке
Краснодар/Краснодарский край 14 - 16 апреля 2017 г.</t>
  </si>
  <si>
    <t>Сафонов Александр</t>
  </si>
  <si>
    <t>1. Сафонов Александр</t>
  </si>
  <si>
    <t>Открытая (18.02.1976)/41</t>
  </si>
  <si>
    <t>89,80</t>
  </si>
  <si>
    <t>Мастера 40 - 44 (18.02.1976)/41</t>
  </si>
  <si>
    <t>Нечушкин Артем</t>
  </si>
  <si>
    <t>1. Нечушкин Артем</t>
  </si>
  <si>
    <t>Юноши 16 - 17 (09.07.1999)/17</t>
  </si>
  <si>
    <t>154,90</t>
  </si>
  <si>
    <t>282,5</t>
  </si>
  <si>
    <t>Открытая (09.07.1999)/17</t>
  </si>
  <si>
    <t>131,7870</t>
  </si>
  <si>
    <t>122,0250</t>
  </si>
  <si>
    <t>111,3590</t>
  </si>
  <si>
    <t>111,6931</t>
  </si>
  <si>
    <t>107,6620</t>
  </si>
  <si>
    <t>Кубок мира по пауэрлифтингу и силовым видам спорта 2017 НАП Джубга
Любители присед в многослойной экипировке
Краснодар/Краснодарский край 14 - 16 апреля 2017 г.</t>
  </si>
  <si>
    <t>Кубок мира по пауэрлифтингу и силовым видам спорта 2017 НАП Джубга
Любители становая тяга в софт экипировке
Краснодар/Краснодарский край 14 - 16 апреля 2017 г.</t>
  </si>
  <si>
    <t>Кубок мира по пауэрлифтингу и силовым видам спорта 2017 НАП Джубга
Любители присед в софт экипировке
Краснодар/Краснодарский край 14 - 16 апреля 2017 г.</t>
  </si>
  <si>
    <t>Кубок мира нап джугба народный жим
Любители народный жим (1/2 вес)
Краснодар/Краснодарский край 14 - 16 апреля 2017 г.</t>
  </si>
  <si>
    <t>Жим мн. повт.</t>
  </si>
  <si>
    <t>Тоннаж</t>
  </si>
  <si>
    <t>Вес</t>
  </si>
  <si>
    <t>Повторы</t>
  </si>
  <si>
    <t>Кубок мира нап джугба народный жим
Любители народный жим (1 вес)
Краснодар/Краснодарский край 14 - 16 апреля 2017 г.</t>
  </si>
  <si>
    <t>НАП Н.Ж.</t>
  </si>
  <si>
    <t>1. Мунаев Николай</t>
  </si>
  <si>
    <t>Открытая (30.10.1986)/30</t>
  </si>
  <si>
    <t xml:space="preserve">Тульский </t>
  </si>
  <si>
    <t>32,0</t>
  </si>
  <si>
    <t xml:space="preserve">Никулкин Р.Н. </t>
  </si>
  <si>
    <t>2. Кулян Арут</t>
  </si>
  <si>
    <t>Открытая (30.01.1986)/31</t>
  </si>
  <si>
    <t>15,0</t>
  </si>
  <si>
    <t>1. Миннеахметов Рафаил</t>
  </si>
  <si>
    <t>Мастера 50 - 54 (23.02.1965)/52</t>
  </si>
  <si>
    <t>98,70</t>
  </si>
  <si>
    <t>22,0</t>
  </si>
  <si>
    <t>1. Алиев Тельман</t>
  </si>
  <si>
    <t>Открытая (04.07.1981)/35</t>
  </si>
  <si>
    <t>30,0</t>
  </si>
  <si>
    <t>-. Ткаченко Александр</t>
  </si>
  <si>
    <t>127,50</t>
  </si>
  <si>
    <t xml:space="preserve">НАП Н.Ж. </t>
  </si>
  <si>
    <t>Алиев Тельман</t>
  </si>
  <si>
    <t>3150,0</t>
  </si>
  <si>
    <t>2113,6500</t>
  </si>
  <si>
    <t>Мунаев Николай</t>
  </si>
  <si>
    <t>2560,0</t>
  </si>
  <si>
    <t>1996,7999</t>
  </si>
  <si>
    <t>Кулян Арут</t>
  </si>
  <si>
    <t>1237,5</t>
  </si>
  <si>
    <t>936,0450</t>
  </si>
  <si>
    <t>Миннеахметов Рафаил</t>
  </si>
  <si>
    <t>2200,0</t>
  </si>
  <si>
    <t>1475,1000</t>
  </si>
  <si>
    <t>Кубок мира нап джугба народный жим
Любители военный жим
Краснодар/Краснодарский край 14 - 16 апреля 2017 г.</t>
  </si>
  <si>
    <t>Кубок мира нап джугба народный жим
Профессионалы военный жим
Краснодар/Краснодарский край 14 - 16 апреля 2017 г.</t>
  </si>
  <si>
    <t>155</t>
  </si>
  <si>
    <t>78.9322</t>
  </si>
  <si>
    <t>Кубок мира нап джугба народный жим
Профессионалы народный жим (1/2 вес)
Краснодар/Краснодарский край 14 - 16 апреля 2017 г.</t>
  </si>
  <si>
    <t>Кубок мира нап джугба народный жим
Профессионалы народный жим (1 вес)
Краснодар/Краснодарский край 14 - 16 апреля 2017 г.</t>
  </si>
  <si>
    <t>1. Штурмин Артем</t>
  </si>
  <si>
    <t>Юниоры 20 - 23 (27.08.1994)/22</t>
  </si>
  <si>
    <t>84,00</t>
  </si>
  <si>
    <t>39,0</t>
  </si>
  <si>
    <t>1. Данилов Александр</t>
  </si>
  <si>
    <t>Открытая (24.05.1977)/39</t>
  </si>
  <si>
    <t>86,40</t>
  </si>
  <si>
    <t xml:space="preserve">Миасс/Челябинская область </t>
  </si>
  <si>
    <t>57,0</t>
  </si>
  <si>
    <t>2. Элканишвили Георгий</t>
  </si>
  <si>
    <t>Открытая (01.11.1988)/28</t>
  </si>
  <si>
    <t>86,00</t>
  </si>
  <si>
    <t xml:space="preserve">Минеральные Воды/Ставропольский край </t>
  </si>
  <si>
    <t>41,0</t>
  </si>
  <si>
    <t>Штурмин Артем</t>
  </si>
  <si>
    <t>3315,0</t>
  </si>
  <si>
    <t>2534,9805</t>
  </si>
  <si>
    <t>Данилов Александр</t>
  </si>
  <si>
    <t>4987,5</t>
  </si>
  <si>
    <t>3708,2062</t>
  </si>
  <si>
    <t>Элканишвили Георгий</t>
  </si>
  <si>
    <t>3587,5</t>
  </si>
  <si>
    <t>2679,5038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</si>
</sst>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center"/>
    </xf>
    <xf numFmtId="49" fontId="7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0" fillId="0" borderId="15" xfId="0" applyNumberFormat="1" applyFont="1" applyFill="1" applyBorder="1" applyAlignment="1">
      <alignment horizontal="center"/>
    </xf>
    <xf numFmtId="49" fontId="7" fillId="0" borderId="15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0" fillId="0" borderId="16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9" fillId="0" borderId="0" xfId="0" applyNumberFormat="1" applyFont="1" applyFill="1" applyBorder="1" applyAlignment="1">
      <alignment horizontal="left" indent="1"/>
    </xf>
    <xf numFmtId="49" fontId="9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13" xfId="0" applyNumberForma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/>
    </xf>
    <xf numFmtId="1" fontId="0" fillId="0" borderId="14" xfId="0" applyNumberFormat="1" applyFont="1" applyFill="1" applyBorder="1" applyAlignment="1">
      <alignment horizontal="center"/>
    </xf>
    <xf numFmtId="1" fontId="0" fillId="0" borderId="16" xfId="0" applyNumberFormat="1" applyFont="1" applyFill="1" applyBorder="1" applyAlignment="1">
      <alignment horizontal="center"/>
    </xf>
    <xf numFmtId="1" fontId="0" fillId="0" borderId="13" xfId="0" applyNumberFormat="1" applyFont="1" applyFill="1" applyBorder="1" applyAlignment="1">
      <alignment horizontal="center"/>
    </xf>
    <xf numFmtId="1" fontId="7" fillId="0" borderId="13" xfId="0" applyNumberFormat="1" applyFont="1" applyFill="1" applyBorder="1" applyAlignment="1">
      <alignment horizontal="center"/>
    </xf>
    <xf numFmtId="49" fontId="0" fillId="0" borderId="13" xfId="0" applyNumberFormat="1" applyFill="1" applyBorder="1" applyAlignment="1">
      <alignment horizontal="center"/>
    </xf>
    <xf numFmtId="49" fontId="3" fillId="0" borderId="13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1" fontId="0" fillId="0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M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1" t="s">
        <v>1021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/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6" spans="1:13" ht="15">
      <c r="E6" s="18" t="s">
        <v>166</v>
      </c>
    </row>
    <row r="7" spans="1:13" ht="15">
      <c r="E7" s="18" t="s">
        <v>167</v>
      </c>
    </row>
    <row r="8" spans="1:13" ht="15">
      <c r="E8" s="18" t="s">
        <v>168</v>
      </c>
    </row>
    <row r="9" spans="1:13" ht="15">
      <c r="E9" s="18" t="s">
        <v>169</v>
      </c>
    </row>
    <row r="10" spans="1:13" ht="15">
      <c r="E10" s="18" t="s">
        <v>169</v>
      </c>
    </row>
    <row r="11" spans="1:13" ht="15">
      <c r="E11" s="18" t="s">
        <v>170</v>
      </c>
    </row>
    <row r="12" spans="1:13" ht="15">
      <c r="E12" s="18"/>
    </row>
    <row r="14" spans="1:13" ht="18">
      <c r="A14" s="19" t="s">
        <v>171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1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16.71093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26.85546875" style="5" bestFit="1" customWidth="1"/>
    <col min="14" max="16384" width="9.140625" style="4"/>
  </cols>
  <sheetData>
    <row r="1" spans="1:13" s="3" customFormat="1" ht="29.1" customHeight="1">
      <c r="A1" s="41" t="s">
        <v>977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 t="s">
        <v>13</v>
      </c>
      <c r="E3" s="37" t="s">
        <v>7</v>
      </c>
      <c r="F3" s="37" t="s">
        <v>10</v>
      </c>
      <c r="G3" s="37" t="s">
        <v>2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5" spans="1:13" ht="15">
      <c r="A5" s="52" t="s">
        <v>128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6" t="s">
        <v>979</v>
      </c>
      <c r="B6" s="6" t="s">
        <v>980</v>
      </c>
      <c r="C6" s="6" t="s">
        <v>448</v>
      </c>
      <c r="D6" s="6" t="str">
        <f>"0,5648"</f>
        <v>0,5648</v>
      </c>
      <c r="E6" s="6" t="s">
        <v>71</v>
      </c>
      <c r="F6" s="6" t="s">
        <v>981</v>
      </c>
      <c r="G6" s="7" t="s">
        <v>480</v>
      </c>
      <c r="H6" s="8" t="s">
        <v>96</v>
      </c>
      <c r="I6" s="8" t="s">
        <v>96</v>
      </c>
      <c r="J6" s="8"/>
      <c r="K6" s="6" t="str">
        <f>"235,0"</f>
        <v>235,0</v>
      </c>
      <c r="L6" s="7" t="str">
        <f>"132,7280"</f>
        <v>132,7280</v>
      </c>
      <c r="M6" s="6" t="s">
        <v>982</v>
      </c>
    </row>
    <row r="8" spans="1:13" ht="15">
      <c r="E8" s="18" t="s">
        <v>166</v>
      </c>
    </row>
    <row r="9" spans="1:13" ht="15">
      <c r="E9" s="18" t="s">
        <v>167</v>
      </c>
    </row>
    <row r="10" spans="1:13" ht="15">
      <c r="E10" s="18" t="s">
        <v>168</v>
      </c>
    </row>
    <row r="11" spans="1:13" ht="15">
      <c r="E11" s="18" t="s">
        <v>169</v>
      </c>
    </row>
    <row r="12" spans="1:13" ht="15">
      <c r="E12" s="18" t="s">
        <v>169</v>
      </c>
    </row>
    <row r="13" spans="1:13" ht="15">
      <c r="E13" s="18" t="s">
        <v>170</v>
      </c>
    </row>
    <row r="14" spans="1:13" ht="15">
      <c r="E14" s="18"/>
    </row>
    <row r="16" spans="1:13" ht="18">
      <c r="A16" s="19" t="s">
        <v>171</v>
      </c>
      <c r="B16" s="19"/>
    </row>
    <row r="17" spans="1:5" ht="15">
      <c r="A17" s="20" t="s">
        <v>182</v>
      </c>
      <c r="B17" s="20"/>
    </row>
    <row r="18" spans="1:5" ht="14.25">
      <c r="A18" s="22"/>
      <c r="B18" s="23" t="s">
        <v>173</v>
      </c>
    </row>
    <row r="19" spans="1:5" ht="15">
      <c r="A19" s="24" t="s">
        <v>174</v>
      </c>
      <c r="B19" s="24" t="s">
        <v>175</v>
      </c>
      <c r="C19" s="24" t="s">
        <v>176</v>
      </c>
      <c r="D19" s="24" t="s">
        <v>177</v>
      </c>
      <c r="E19" s="24" t="s">
        <v>178</v>
      </c>
    </row>
    <row r="20" spans="1:5">
      <c r="A20" s="21" t="s">
        <v>978</v>
      </c>
      <c r="B20" s="5" t="s">
        <v>173</v>
      </c>
      <c r="C20" s="5" t="s">
        <v>23</v>
      </c>
      <c r="D20" s="5" t="s">
        <v>480</v>
      </c>
      <c r="E20" s="25" t="s">
        <v>983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honeticPr fontId="1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3" width="2.140625" style="4" bestFit="1" customWidth="1"/>
    <col min="14" max="14" width="4.85546875" style="4" bestFit="1" customWidth="1"/>
    <col min="15" max="17" width="2.140625" style="4" bestFit="1" customWidth="1"/>
    <col min="18" max="18" width="4.85546875" style="4" bestFit="1" customWidth="1"/>
    <col min="19" max="19" width="7.85546875" style="5" bestFit="1" customWidth="1"/>
    <col min="20" max="20" width="6.42578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41" t="s">
        <v>976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0</v>
      </c>
      <c r="B3" s="49" t="s">
        <v>9</v>
      </c>
      <c r="C3" s="49" t="s">
        <v>11</v>
      </c>
      <c r="D3" s="37"/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39" t="s">
        <v>5</v>
      </c>
    </row>
    <row r="4" spans="1:21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38"/>
      <c r="T4" s="38"/>
      <c r="U4" s="40"/>
    </row>
    <row r="6" spans="1:21" ht="15">
      <c r="E6" s="18" t="s">
        <v>166</v>
      </c>
    </row>
    <row r="7" spans="1:21" ht="15">
      <c r="E7" s="18" t="s">
        <v>167</v>
      </c>
    </row>
    <row r="8" spans="1:21" ht="15">
      <c r="E8" s="18" t="s">
        <v>168</v>
      </c>
    </row>
    <row r="9" spans="1:21" ht="15">
      <c r="E9" s="18" t="s">
        <v>169</v>
      </c>
    </row>
    <row r="10" spans="1:21" ht="15">
      <c r="E10" s="18" t="s">
        <v>169</v>
      </c>
    </row>
    <row r="11" spans="1:21" ht="15">
      <c r="E11" s="18" t="s">
        <v>170</v>
      </c>
    </row>
    <row r="12" spans="1:21" ht="15">
      <c r="E12" s="18"/>
    </row>
    <row r="14" spans="1:21" ht="18">
      <c r="A14" s="19" t="s">
        <v>171</v>
      </c>
      <c r="B14" s="19"/>
    </row>
  </sheetData>
  <mergeCells count="13">
    <mergeCell ref="U3:U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</mergeCells>
  <phoneticPr fontId="1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16.71093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27.5703125" style="5" bestFit="1" customWidth="1"/>
    <col min="14" max="16384" width="9.140625" style="4"/>
  </cols>
  <sheetData>
    <row r="1" spans="1:13" s="3" customFormat="1" ht="29.1" customHeight="1">
      <c r="A1" s="41" t="s">
        <v>962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 t="s">
        <v>13</v>
      </c>
      <c r="E3" s="37" t="s">
        <v>7</v>
      </c>
      <c r="F3" s="37" t="s">
        <v>10</v>
      </c>
      <c r="G3" s="37" t="s">
        <v>2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5" spans="1:13" ht="15">
      <c r="A5" s="52" t="s">
        <v>122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6" t="s">
        <v>964</v>
      </c>
      <c r="B6" s="6" t="s">
        <v>965</v>
      </c>
      <c r="C6" s="6" t="s">
        <v>966</v>
      </c>
      <c r="D6" s="6" t="str">
        <f>"0,6000"</f>
        <v>0,6000</v>
      </c>
      <c r="E6" s="6" t="s">
        <v>967</v>
      </c>
      <c r="F6" s="6" t="s">
        <v>488</v>
      </c>
      <c r="G6" s="7" t="s">
        <v>72</v>
      </c>
      <c r="H6" s="7" t="s">
        <v>73</v>
      </c>
      <c r="I6" s="8" t="s">
        <v>97</v>
      </c>
      <c r="J6" s="8"/>
      <c r="K6" s="6" t="str">
        <f>"220,0"</f>
        <v>220,0</v>
      </c>
      <c r="L6" s="7" t="str">
        <f>"132,0000"</f>
        <v>132,0000</v>
      </c>
      <c r="M6" s="6" t="s">
        <v>968</v>
      </c>
    </row>
    <row r="8" spans="1:13" ht="15">
      <c r="A8" s="50" t="s">
        <v>128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3">
      <c r="A9" s="6" t="s">
        <v>970</v>
      </c>
      <c r="B9" s="6" t="s">
        <v>971</v>
      </c>
      <c r="C9" s="6" t="s">
        <v>620</v>
      </c>
      <c r="D9" s="6" t="str">
        <f>"0,5761"</f>
        <v>0,5761</v>
      </c>
      <c r="E9" s="6" t="s">
        <v>71</v>
      </c>
      <c r="F9" s="6" t="s">
        <v>972</v>
      </c>
      <c r="G9" s="7" t="s">
        <v>86</v>
      </c>
      <c r="H9" s="8" t="s">
        <v>72</v>
      </c>
      <c r="I9" s="8" t="s">
        <v>72</v>
      </c>
      <c r="J9" s="8"/>
      <c r="K9" s="6" t="str">
        <f>"190,0"</f>
        <v>190,0</v>
      </c>
      <c r="L9" s="7" t="str">
        <f>"109,4590"</f>
        <v>109,4590</v>
      </c>
      <c r="M9" s="6" t="s">
        <v>973</v>
      </c>
    </row>
    <row r="11" spans="1:13" ht="15">
      <c r="E11" s="18" t="s">
        <v>166</v>
      </c>
    </row>
    <row r="12" spans="1:13" ht="15">
      <c r="E12" s="18" t="s">
        <v>167</v>
      </c>
    </row>
    <row r="13" spans="1:13" ht="15">
      <c r="E13" s="18" t="s">
        <v>168</v>
      </c>
    </row>
    <row r="14" spans="1:13" ht="15">
      <c r="E14" s="18" t="s">
        <v>169</v>
      </c>
    </row>
    <row r="15" spans="1:13" ht="15">
      <c r="E15" s="18" t="s">
        <v>169</v>
      </c>
    </row>
    <row r="16" spans="1:13" ht="15">
      <c r="E16" s="18" t="s">
        <v>170</v>
      </c>
    </row>
    <row r="17" spans="1:5" ht="15">
      <c r="E17" s="18"/>
    </row>
    <row r="19" spans="1:5" ht="18">
      <c r="A19" s="19" t="s">
        <v>171</v>
      </c>
      <c r="B19" s="19"/>
    </row>
    <row r="20" spans="1:5" ht="15">
      <c r="A20" s="20" t="s">
        <v>182</v>
      </c>
      <c r="B20" s="20"/>
    </row>
    <row r="21" spans="1:5" ht="14.25">
      <c r="A21" s="22"/>
      <c r="B21" s="23" t="s">
        <v>173</v>
      </c>
    </row>
    <row r="22" spans="1:5" ht="15">
      <c r="A22" s="24" t="s">
        <v>174</v>
      </c>
      <c r="B22" s="24" t="s">
        <v>175</v>
      </c>
      <c r="C22" s="24" t="s">
        <v>176</v>
      </c>
      <c r="D22" s="24" t="s">
        <v>177</v>
      </c>
      <c r="E22" s="24" t="s">
        <v>178</v>
      </c>
    </row>
    <row r="23" spans="1:5">
      <c r="A23" s="21" t="s">
        <v>963</v>
      </c>
      <c r="B23" s="5" t="s">
        <v>173</v>
      </c>
      <c r="C23" s="5" t="s">
        <v>21</v>
      </c>
      <c r="D23" s="5" t="s">
        <v>73</v>
      </c>
      <c r="E23" s="25" t="s">
        <v>974</v>
      </c>
    </row>
    <row r="24" spans="1:5">
      <c r="A24" s="21" t="s">
        <v>969</v>
      </c>
      <c r="B24" s="5" t="s">
        <v>173</v>
      </c>
      <c r="C24" s="5" t="s">
        <v>23</v>
      </c>
      <c r="D24" s="5" t="s">
        <v>86</v>
      </c>
      <c r="E24" s="25" t="s">
        <v>975</v>
      </c>
    </row>
  </sheetData>
  <mergeCells count="13"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A8:L8"/>
    <mergeCell ref="K3:K4"/>
    <mergeCell ref="L3:L4"/>
  </mergeCells>
  <phoneticPr fontId="1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20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5.5703125" style="5" bestFit="1" customWidth="1"/>
    <col min="7" max="9" width="5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41" t="s">
        <v>956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0</v>
      </c>
      <c r="B3" s="49" t="s">
        <v>9</v>
      </c>
      <c r="C3" s="49" t="s">
        <v>11</v>
      </c>
      <c r="D3" s="37" t="s">
        <v>13</v>
      </c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39" t="s">
        <v>5</v>
      </c>
    </row>
    <row r="4" spans="1:21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38"/>
      <c r="T4" s="38"/>
      <c r="U4" s="40"/>
    </row>
    <row r="5" spans="1:21" ht="15">
      <c r="A5" s="52" t="s">
        <v>89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1">
      <c r="A6" s="6" t="s">
        <v>958</v>
      </c>
      <c r="B6" s="6" t="s">
        <v>959</v>
      </c>
      <c r="C6" s="6" t="s">
        <v>487</v>
      </c>
      <c r="D6" s="6" t="str">
        <f>"0,6329"</f>
        <v>0,6329</v>
      </c>
      <c r="E6" s="6" t="s">
        <v>19</v>
      </c>
      <c r="F6" s="6" t="s">
        <v>899</v>
      </c>
      <c r="G6" s="7" t="s">
        <v>59</v>
      </c>
      <c r="H6" s="8" t="s">
        <v>48</v>
      </c>
      <c r="I6" s="8" t="s">
        <v>48</v>
      </c>
      <c r="J6" s="8"/>
      <c r="K6" s="7" t="s">
        <v>23</v>
      </c>
      <c r="L6" s="7" t="s">
        <v>50</v>
      </c>
      <c r="M6" s="7" t="s">
        <v>27</v>
      </c>
      <c r="N6" s="8"/>
      <c r="O6" s="7" t="s">
        <v>152</v>
      </c>
      <c r="P6" s="7" t="s">
        <v>86</v>
      </c>
      <c r="Q6" s="7" t="s">
        <v>321</v>
      </c>
      <c r="R6" s="8"/>
      <c r="S6" s="6" t="str">
        <f>"442,5"</f>
        <v>442,5</v>
      </c>
      <c r="T6" s="7" t="str">
        <f>"280,0582"</f>
        <v>280,0582</v>
      </c>
      <c r="U6" s="6" t="s">
        <v>41</v>
      </c>
    </row>
    <row r="8" spans="1:21" ht="15">
      <c r="E8" s="18" t="s">
        <v>166</v>
      </c>
    </row>
    <row r="9" spans="1:21" ht="15">
      <c r="E9" s="18" t="s">
        <v>167</v>
      </c>
    </row>
    <row r="10" spans="1:21" ht="15">
      <c r="E10" s="18" t="s">
        <v>168</v>
      </c>
    </row>
    <row r="11" spans="1:21" ht="15">
      <c r="E11" s="18" t="s">
        <v>169</v>
      </c>
    </row>
    <row r="12" spans="1:21" ht="15">
      <c r="E12" s="18" t="s">
        <v>169</v>
      </c>
    </row>
    <row r="13" spans="1:21" ht="15">
      <c r="E13" s="18" t="s">
        <v>170</v>
      </c>
    </row>
    <row r="14" spans="1:21" ht="15">
      <c r="E14" s="18"/>
    </row>
    <row r="16" spans="1:21" ht="18">
      <c r="A16" s="19" t="s">
        <v>171</v>
      </c>
      <c r="B16" s="19"/>
    </row>
    <row r="17" spans="1:5" ht="15">
      <c r="A17" s="20" t="s">
        <v>182</v>
      </c>
      <c r="B17" s="20"/>
    </row>
    <row r="18" spans="1:5" ht="14.25">
      <c r="A18" s="22"/>
      <c r="B18" s="23" t="s">
        <v>173</v>
      </c>
    </row>
    <row r="19" spans="1:5" ht="15">
      <c r="A19" s="24" t="s">
        <v>174</v>
      </c>
      <c r="B19" s="24" t="s">
        <v>175</v>
      </c>
      <c r="C19" s="24" t="s">
        <v>176</v>
      </c>
      <c r="D19" s="24" t="s">
        <v>177</v>
      </c>
      <c r="E19" s="24" t="s">
        <v>178</v>
      </c>
    </row>
    <row r="20" spans="1:5">
      <c r="A20" s="21" t="s">
        <v>957</v>
      </c>
      <c r="B20" s="5" t="s">
        <v>173</v>
      </c>
      <c r="C20" s="5" t="s">
        <v>201</v>
      </c>
      <c r="D20" s="5" t="s">
        <v>960</v>
      </c>
      <c r="E20" s="25" t="s">
        <v>961</v>
      </c>
    </row>
  </sheetData>
  <mergeCells count="14"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</mergeCells>
  <phoneticPr fontId="1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120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9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8.140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5.7109375" style="5" bestFit="1" customWidth="1"/>
    <col min="14" max="16384" width="9.140625" style="4"/>
  </cols>
  <sheetData>
    <row r="1" spans="1:13" s="3" customFormat="1" ht="29.1" customHeight="1">
      <c r="A1" s="41" t="s">
        <v>838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 t="s">
        <v>13</v>
      </c>
      <c r="E3" s="37" t="s">
        <v>7</v>
      </c>
      <c r="F3" s="37" t="s">
        <v>10</v>
      </c>
      <c r="G3" s="37" t="s">
        <v>3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5" spans="1:13" ht="15">
      <c r="A5" s="52" t="s">
        <v>839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6" t="s">
        <v>841</v>
      </c>
      <c r="B6" s="6" t="s">
        <v>842</v>
      </c>
      <c r="C6" s="6" t="s">
        <v>843</v>
      </c>
      <c r="D6" s="6" t="str">
        <f>"1,0826"</f>
        <v>1,0826</v>
      </c>
      <c r="E6" s="6" t="s">
        <v>19</v>
      </c>
      <c r="F6" s="6" t="s">
        <v>233</v>
      </c>
      <c r="G6" s="7" t="s">
        <v>158</v>
      </c>
      <c r="H6" s="7" t="s">
        <v>60</v>
      </c>
      <c r="I6" s="8" t="s">
        <v>22</v>
      </c>
      <c r="J6" s="8"/>
      <c r="K6" s="6" t="str">
        <f>"85,0"</f>
        <v>85,0</v>
      </c>
      <c r="L6" s="7" t="str">
        <f>"92,0210"</f>
        <v>92,0210</v>
      </c>
      <c r="M6" s="6" t="s">
        <v>41</v>
      </c>
    </row>
    <row r="8" spans="1:13" ht="15">
      <c r="A8" s="50" t="s">
        <v>532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3">
      <c r="A9" s="9" t="s">
        <v>845</v>
      </c>
      <c r="B9" s="9" t="s">
        <v>846</v>
      </c>
      <c r="C9" s="9" t="s">
        <v>847</v>
      </c>
      <c r="D9" s="9" t="str">
        <f>"0,9919"</f>
        <v>0,9919</v>
      </c>
      <c r="E9" s="9" t="s">
        <v>19</v>
      </c>
      <c r="F9" s="9" t="s">
        <v>601</v>
      </c>
      <c r="G9" s="10" t="s">
        <v>21</v>
      </c>
      <c r="H9" s="10" t="s">
        <v>23</v>
      </c>
      <c r="I9" s="10" t="s">
        <v>543</v>
      </c>
      <c r="J9" s="11"/>
      <c r="K9" s="9" t="str">
        <f>"102,5"</f>
        <v>102,5</v>
      </c>
      <c r="L9" s="10" t="str">
        <f>"101,6698"</f>
        <v>101,6698</v>
      </c>
      <c r="M9" s="9" t="s">
        <v>41</v>
      </c>
    </row>
    <row r="10" spans="1:13">
      <c r="A10" s="15" t="s">
        <v>849</v>
      </c>
      <c r="B10" s="15" t="s">
        <v>850</v>
      </c>
      <c r="C10" s="15" t="s">
        <v>851</v>
      </c>
      <c r="D10" s="15" t="str">
        <f>"0,9762"</f>
        <v>0,9762</v>
      </c>
      <c r="E10" s="15" t="s">
        <v>19</v>
      </c>
      <c r="F10" s="15" t="s">
        <v>111</v>
      </c>
      <c r="G10" s="16" t="s">
        <v>543</v>
      </c>
      <c r="H10" s="17" t="s">
        <v>39</v>
      </c>
      <c r="I10" s="16" t="s">
        <v>39</v>
      </c>
      <c r="J10" s="17"/>
      <c r="K10" s="15" t="str">
        <f>"115,0"</f>
        <v>115,0</v>
      </c>
      <c r="L10" s="16" t="str">
        <f>"112,2630"</f>
        <v>112,2630</v>
      </c>
      <c r="M10" s="15" t="s">
        <v>41</v>
      </c>
    </row>
    <row r="12" spans="1:13" ht="15">
      <c r="A12" s="50" t="s">
        <v>222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3">
      <c r="A13" s="6" t="s">
        <v>853</v>
      </c>
      <c r="B13" s="6" t="s">
        <v>854</v>
      </c>
      <c r="C13" s="6" t="s">
        <v>855</v>
      </c>
      <c r="D13" s="6" t="str">
        <f>"0,9167"</f>
        <v>0,9167</v>
      </c>
      <c r="E13" s="6" t="s">
        <v>411</v>
      </c>
      <c r="F13" s="6" t="s">
        <v>499</v>
      </c>
      <c r="G13" s="7" t="s">
        <v>39</v>
      </c>
      <c r="H13" s="7" t="s">
        <v>40</v>
      </c>
      <c r="I13" s="8" t="s">
        <v>59</v>
      </c>
      <c r="J13" s="8"/>
      <c r="K13" s="6" t="str">
        <f>"122,5"</f>
        <v>122,5</v>
      </c>
      <c r="L13" s="7" t="str">
        <f>"112,2958"</f>
        <v>112,2958</v>
      </c>
      <c r="M13" s="6" t="s">
        <v>413</v>
      </c>
    </row>
    <row r="15" spans="1:13" ht="15">
      <c r="A15" s="50" t="s">
        <v>30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3">
      <c r="A16" s="6" t="s">
        <v>857</v>
      </c>
      <c r="B16" s="6" t="s">
        <v>858</v>
      </c>
      <c r="C16" s="6" t="s">
        <v>551</v>
      </c>
      <c r="D16" s="6" t="str">
        <f>"0,7777"</f>
        <v>0,7777</v>
      </c>
      <c r="E16" s="6" t="s">
        <v>19</v>
      </c>
      <c r="F16" s="6" t="s">
        <v>35</v>
      </c>
      <c r="G16" s="7" t="s">
        <v>28</v>
      </c>
      <c r="H16" s="7" t="s">
        <v>189</v>
      </c>
      <c r="I16" s="7" t="s">
        <v>59</v>
      </c>
      <c r="J16" s="8"/>
      <c r="K16" s="6" t="str">
        <f>"130,0"</f>
        <v>130,0</v>
      </c>
      <c r="L16" s="7" t="str">
        <f>"101,1010"</f>
        <v>101,1010</v>
      </c>
      <c r="M16" s="6" t="s">
        <v>41</v>
      </c>
    </row>
    <row r="18" spans="1:13" ht="15">
      <c r="A18" s="50" t="s">
        <v>80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</row>
    <row r="19" spans="1:13">
      <c r="A19" s="9" t="s">
        <v>860</v>
      </c>
      <c r="B19" s="9" t="s">
        <v>861</v>
      </c>
      <c r="C19" s="9" t="s">
        <v>862</v>
      </c>
      <c r="D19" s="9" t="str">
        <f>"0,7322"</f>
        <v>0,7322</v>
      </c>
      <c r="E19" s="9" t="s">
        <v>19</v>
      </c>
      <c r="F19" s="9" t="s">
        <v>35</v>
      </c>
      <c r="G19" s="10" t="s">
        <v>546</v>
      </c>
      <c r="H19" s="10" t="s">
        <v>363</v>
      </c>
      <c r="I19" s="10" t="s">
        <v>479</v>
      </c>
      <c r="J19" s="11"/>
      <c r="K19" s="9" t="str">
        <f>"137,5"</f>
        <v>137,5</v>
      </c>
      <c r="L19" s="10" t="str">
        <f>"100,6775"</f>
        <v>100,6775</v>
      </c>
      <c r="M19" s="9" t="s">
        <v>41</v>
      </c>
    </row>
    <row r="20" spans="1:13">
      <c r="A20" s="15" t="s">
        <v>864</v>
      </c>
      <c r="B20" s="15" t="s">
        <v>865</v>
      </c>
      <c r="C20" s="15" t="s">
        <v>866</v>
      </c>
      <c r="D20" s="15" t="str">
        <f>"0,7223"</f>
        <v>0,7223</v>
      </c>
      <c r="E20" s="15" t="s">
        <v>19</v>
      </c>
      <c r="F20" s="15" t="s">
        <v>867</v>
      </c>
      <c r="G20" s="16" t="s">
        <v>479</v>
      </c>
      <c r="H20" s="16" t="s">
        <v>547</v>
      </c>
      <c r="I20" s="16" t="s">
        <v>52</v>
      </c>
      <c r="J20" s="17"/>
      <c r="K20" s="15" t="str">
        <f>"145,0"</f>
        <v>145,0</v>
      </c>
      <c r="L20" s="16" t="str">
        <f>"111,9601"</f>
        <v>111,9601</v>
      </c>
      <c r="M20" s="15" t="s">
        <v>41</v>
      </c>
    </row>
    <row r="22" spans="1:13" ht="15">
      <c r="A22" s="50" t="s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3">
      <c r="A23" s="6" t="s">
        <v>701</v>
      </c>
      <c r="B23" s="6" t="s">
        <v>702</v>
      </c>
      <c r="C23" s="6" t="s">
        <v>703</v>
      </c>
      <c r="D23" s="6" t="str">
        <f>"0,8301"</f>
        <v>0,8301</v>
      </c>
      <c r="E23" s="6" t="s">
        <v>19</v>
      </c>
      <c r="F23" s="6" t="s">
        <v>35</v>
      </c>
      <c r="G23" s="7" t="s">
        <v>53</v>
      </c>
      <c r="H23" s="7" t="s">
        <v>61</v>
      </c>
      <c r="I23" s="8" t="s">
        <v>143</v>
      </c>
      <c r="J23" s="8"/>
      <c r="K23" s="6" t="str">
        <f>"165,0"</f>
        <v>165,0</v>
      </c>
      <c r="L23" s="7" t="str">
        <f>"136,9665"</f>
        <v>136,9665</v>
      </c>
      <c r="M23" s="6" t="s">
        <v>41</v>
      </c>
    </row>
    <row r="25" spans="1:13" ht="15">
      <c r="A25" s="50" t="s">
        <v>30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</row>
    <row r="26" spans="1:13">
      <c r="A26" s="9" t="s">
        <v>869</v>
      </c>
      <c r="B26" s="9" t="s">
        <v>870</v>
      </c>
      <c r="C26" s="9" t="s">
        <v>65</v>
      </c>
      <c r="D26" s="9" t="str">
        <f>"0,7317"</f>
        <v>0,7317</v>
      </c>
      <c r="E26" s="9" t="s">
        <v>19</v>
      </c>
      <c r="F26" s="9" t="s">
        <v>499</v>
      </c>
      <c r="G26" s="10" t="s">
        <v>48</v>
      </c>
      <c r="H26" s="10" t="s">
        <v>734</v>
      </c>
      <c r="I26" s="10" t="s">
        <v>871</v>
      </c>
      <c r="J26" s="11"/>
      <c r="K26" s="9" t="str">
        <f>"152,5"</f>
        <v>152,5</v>
      </c>
      <c r="L26" s="10" t="str">
        <f>"111,5843"</f>
        <v>111,5843</v>
      </c>
      <c r="M26" s="9" t="s">
        <v>413</v>
      </c>
    </row>
    <row r="27" spans="1:13">
      <c r="A27" s="15" t="s">
        <v>873</v>
      </c>
      <c r="B27" s="15" t="s">
        <v>874</v>
      </c>
      <c r="C27" s="15" t="s">
        <v>875</v>
      </c>
      <c r="D27" s="15" t="str">
        <f>"0,7347"</f>
        <v>0,7347</v>
      </c>
      <c r="E27" s="15" t="s">
        <v>19</v>
      </c>
      <c r="F27" s="15" t="s">
        <v>784</v>
      </c>
      <c r="G27" s="16" t="s">
        <v>871</v>
      </c>
      <c r="H27" s="16" t="s">
        <v>876</v>
      </c>
      <c r="I27" s="16" t="s">
        <v>785</v>
      </c>
      <c r="J27" s="17"/>
      <c r="K27" s="15" t="str">
        <f>"167,5"</f>
        <v>167,5</v>
      </c>
      <c r="L27" s="16" t="str">
        <f>"242,4326"</f>
        <v>242,4326</v>
      </c>
      <c r="M27" s="15" t="s">
        <v>41</v>
      </c>
    </row>
    <row r="29" spans="1:13" ht="15">
      <c r="A29" s="50" t="s">
        <v>80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13">
      <c r="A30" s="9" t="s">
        <v>878</v>
      </c>
      <c r="B30" s="9" t="s">
        <v>879</v>
      </c>
      <c r="C30" s="9" t="s">
        <v>880</v>
      </c>
      <c r="D30" s="9" t="str">
        <f>"0,6737"</f>
        <v>0,6737</v>
      </c>
      <c r="E30" s="9" t="s">
        <v>19</v>
      </c>
      <c r="F30" s="9" t="s">
        <v>233</v>
      </c>
      <c r="G30" s="10" t="s">
        <v>104</v>
      </c>
      <c r="H30" s="10" t="s">
        <v>881</v>
      </c>
      <c r="I30" s="10" t="s">
        <v>87</v>
      </c>
      <c r="J30" s="11"/>
      <c r="K30" s="9" t="str">
        <f>"205,0"</f>
        <v>205,0</v>
      </c>
      <c r="L30" s="10" t="str">
        <f>"138,1085"</f>
        <v>138,1085</v>
      </c>
      <c r="M30" s="9" t="s">
        <v>41</v>
      </c>
    </row>
    <row r="31" spans="1:13">
      <c r="A31" s="12" t="s">
        <v>883</v>
      </c>
      <c r="B31" s="12" t="s">
        <v>884</v>
      </c>
      <c r="C31" s="12" t="s">
        <v>718</v>
      </c>
      <c r="D31" s="12" t="str">
        <f>"0,6694"</f>
        <v>0,6694</v>
      </c>
      <c r="E31" s="12" t="s">
        <v>478</v>
      </c>
      <c r="F31" s="12" t="s">
        <v>233</v>
      </c>
      <c r="G31" s="13" t="s">
        <v>270</v>
      </c>
      <c r="H31" s="13" t="s">
        <v>144</v>
      </c>
      <c r="I31" s="13" t="s">
        <v>87</v>
      </c>
      <c r="J31" s="14"/>
      <c r="K31" s="12" t="str">
        <f>"205,0"</f>
        <v>205,0</v>
      </c>
      <c r="L31" s="13" t="str">
        <f>"137,2270"</f>
        <v>137,2270</v>
      </c>
      <c r="M31" s="12" t="s">
        <v>41</v>
      </c>
    </row>
    <row r="32" spans="1:13">
      <c r="A32" s="12" t="s">
        <v>557</v>
      </c>
      <c r="B32" s="12" t="s">
        <v>558</v>
      </c>
      <c r="C32" s="12" t="s">
        <v>559</v>
      </c>
      <c r="D32" s="12" t="str">
        <f>"0,6716"</f>
        <v>0,6716</v>
      </c>
      <c r="E32" s="12" t="s">
        <v>71</v>
      </c>
      <c r="F32" s="12" t="s">
        <v>560</v>
      </c>
      <c r="G32" s="13" t="s">
        <v>86</v>
      </c>
      <c r="H32" s="13" t="s">
        <v>120</v>
      </c>
      <c r="I32" s="13" t="s">
        <v>74</v>
      </c>
      <c r="J32" s="14"/>
      <c r="K32" s="12" t="str">
        <f>"225,0"</f>
        <v>225,0</v>
      </c>
      <c r="L32" s="13" t="str">
        <f>"151,1100"</f>
        <v>151,1100</v>
      </c>
      <c r="M32" s="12" t="s">
        <v>88</v>
      </c>
    </row>
    <row r="33" spans="1:13">
      <c r="A33" s="12" t="s">
        <v>886</v>
      </c>
      <c r="B33" s="12" t="s">
        <v>887</v>
      </c>
      <c r="C33" s="12" t="s">
        <v>862</v>
      </c>
      <c r="D33" s="12" t="str">
        <f>"0,6752"</f>
        <v>0,6752</v>
      </c>
      <c r="E33" s="12" t="s">
        <v>19</v>
      </c>
      <c r="F33" s="12" t="s">
        <v>127</v>
      </c>
      <c r="G33" s="13" t="s">
        <v>76</v>
      </c>
      <c r="H33" s="14" t="s">
        <v>104</v>
      </c>
      <c r="I33" s="13" t="s">
        <v>104</v>
      </c>
      <c r="J33" s="14"/>
      <c r="K33" s="12" t="str">
        <f>"180,0"</f>
        <v>180,0</v>
      </c>
      <c r="L33" s="13" t="str">
        <f>"121,5360"</f>
        <v>121,5360</v>
      </c>
      <c r="M33" s="12" t="s">
        <v>41</v>
      </c>
    </row>
    <row r="34" spans="1:13">
      <c r="A34" s="15" t="s">
        <v>557</v>
      </c>
      <c r="B34" s="15" t="s">
        <v>566</v>
      </c>
      <c r="C34" s="15" t="s">
        <v>559</v>
      </c>
      <c r="D34" s="15" t="str">
        <f>"0,6716"</f>
        <v>0,6716</v>
      </c>
      <c r="E34" s="15" t="s">
        <v>71</v>
      </c>
      <c r="F34" s="15" t="s">
        <v>560</v>
      </c>
      <c r="G34" s="16" t="s">
        <v>86</v>
      </c>
      <c r="H34" s="16" t="s">
        <v>120</v>
      </c>
      <c r="I34" s="16" t="s">
        <v>74</v>
      </c>
      <c r="J34" s="17"/>
      <c r="K34" s="15" t="str">
        <f>"225,0"</f>
        <v>225,0</v>
      </c>
      <c r="L34" s="16" t="str">
        <f>"248,5759"</f>
        <v>248,5759</v>
      </c>
      <c r="M34" s="15" t="s">
        <v>88</v>
      </c>
    </row>
    <row r="36" spans="1:13" ht="15">
      <c r="A36" s="50" t="s">
        <v>89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3">
      <c r="A37" s="9" t="s">
        <v>889</v>
      </c>
      <c r="B37" s="9" t="s">
        <v>890</v>
      </c>
      <c r="C37" s="9" t="s">
        <v>891</v>
      </c>
      <c r="D37" s="9" t="str">
        <f>"0,6517"</f>
        <v>0,6517</v>
      </c>
      <c r="E37" s="9" t="s">
        <v>411</v>
      </c>
      <c r="F37" s="9" t="s">
        <v>499</v>
      </c>
      <c r="G37" s="10" t="s">
        <v>152</v>
      </c>
      <c r="H37" s="10" t="s">
        <v>104</v>
      </c>
      <c r="I37" s="11"/>
      <c r="J37" s="11"/>
      <c r="K37" s="9" t="str">
        <f>"180,0"</f>
        <v>180,0</v>
      </c>
      <c r="L37" s="10" t="str">
        <f>"117,3060"</f>
        <v>117,3060</v>
      </c>
      <c r="M37" s="9" t="s">
        <v>413</v>
      </c>
    </row>
    <row r="38" spans="1:13">
      <c r="A38" s="12" t="s">
        <v>893</v>
      </c>
      <c r="B38" s="12" t="s">
        <v>894</v>
      </c>
      <c r="C38" s="12" t="s">
        <v>895</v>
      </c>
      <c r="D38" s="12" t="str">
        <f>"0,6319"</f>
        <v>0,6319</v>
      </c>
      <c r="E38" s="12" t="s">
        <v>19</v>
      </c>
      <c r="F38" s="12" t="s">
        <v>595</v>
      </c>
      <c r="G38" s="13" t="s">
        <v>77</v>
      </c>
      <c r="H38" s="13" t="s">
        <v>145</v>
      </c>
      <c r="I38" s="13" t="s">
        <v>137</v>
      </c>
      <c r="J38" s="14"/>
      <c r="K38" s="12" t="str">
        <f>"280,0"</f>
        <v>280,0</v>
      </c>
      <c r="L38" s="13" t="str">
        <f>"176,9320"</f>
        <v>176,9320</v>
      </c>
      <c r="M38" s="12" t="s">
        <v>41</v>
      </c>
    </row>
    <row r="39" spans="1:13">
      <c r="A39" s="12" t="s">
        <v>577</v>
      </c>
      <c r="B39" s="12" t="s">
        <v>578</v>
      </c>
      <c r="C39" s="12" t="s">
        <v>246</v>
      </c>
      <c r="D39" s="12" t="str">
        <f>"0,6318"</f>
        <v>0,6318</v>
      </c>
      <c r="E39" s="12" t="s">
        <v>19</v>
      </c>
      <c r="F39" s="12" t="s">
        <v>579</v>
      </c>
      <c r="G39" s="13" t="s">
        <v>104</v>
      </c>
      <c r="H39" s="13" t="s">
        <v>105</v>
      </c>
      <c r="I39" s="14" t="s">
        <v>580</v>
      </c>
      <c r="J39" s="14"/>
      <c r="K39" s="12" t="str">
        <f>"200,0"</f>
        <v>200,0</v>
      </c>
      <c r="L39" s="13" t="str">
        <f>"126,3600"</f>
        <v>126,3600</v>
      </c>
      <c r="M39" s="12" t="s">
        <v>41</v>
      </c>
    </row>
    <row r="40" spans="1:13">
      <c r="A40" s="15" t="s">
        <v>897</v>
      </c>
      <c r="B40" s="15" t="s">
        <v>898</v>
      </c>
      <c r="C40" s="15" t="s">
        <v>93</v>
      </c>
      <c r="D40" s="15" t="str">
        <f>"0,6203"</f>
        <v>0,6203</v>
      </c>
      <c r="E40" s="15" t="s">
        <v>19</v>
      </c>
      <c r="F40" s="15" t="s">
        <v>899</v>
      </c>
      <c r="G40" s="16" t="s">
        <v>74</v>
      </c>
      <c r="H40" s="17" t="s">
        <v>480</v>
      </c>
      <c r="I40" s="17" t="s">
        <v>480</v>
      </c>
      <c r="J40" s="17"/>
      <c r="K40" s="15" t="str">
        <f>"225,0"</f>
        <v>225,0</v>
      </c>
      <c r="L40" s="16" t="str">
        <f>"229,5885"</f>
        <v>229,5885</v>
      </c>
      <c r="M40" s="15" t="s">
        <v>41</v>
      </c>
    </row>
    <row r="42" spans="1:13" ht="15">
      <c r="A42" s="50" t="s">
        <v>122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3">
      <c r="A43" s="9" t="s">
        <v>901</v>
      </c>
      <c r="B43" s="9" t="s">
        <v>902</v>
      </c>
      <c r="C43" s="9" t="s">
        <v>903</v>
      </c>
      <c r="D43" s="9" t="str">
        <f>"0,5901"</f>
        <v>0,5901</v>
      </c>
      <c r="E43" s="9" t="s">
        <v>19</v>
      </c>
      <c r="F43" s="9" t="s">
        <v>904</v>
      </c>
      <c r="G43" s="10" t="s">
        <v>120</v>
      </c>
      <c r="H43" s="10" t="s">
        <v>73</v>
      </c>
      <c r="I43" s="10" t="s">
        <v>74</v>
      </c>
      <c r="J43" s="11"/>
      <c r="K43" s="9" t="str">
        <f>"225,0"</f>
        <v>225,0</v>
      </c>
      <c r="L43" s="10" t="str">
        <f>"132,7725"</f>
        <v>132,7725</v>
      </c>
      <c r="M43" s="9" t="s">
        <v>41</v>
      </c>
    </row>
    <row r="44" spans="1:13">
      <c r="A44" s="12" t="s">
        <v>906</v>
      </c>
      <c r="B44" s="12" t="s">
        <v>907</v>
      </c>
      <c r="C44" s="12" t="s">
        <v>908</v>
      </c>
      <c r="D44" s="12" t="str">
        <f>"0,5857"</f>
        <v>0,5857</v>
      </c>
      <c r="E44" s="12" t="s">
        <v>19</v>
      </c>
      <c r="F44" s="12" t="s">
        <v>233</v>
      </c>
      <c r="G44" s="13" t="s">
        <v>104</v>
      </c>
      <c r="H44" s="13" t="s">
        <v>86</v>
      </c>
      <c r="I44" s="13" t="s">
        <v>881</v>
      </c>
      <c r="J44" s="14"/>
      <c r="K44" s="12" t="str">
        <f>"197,5"</f>
        <v>197,5</v>
      </c>
      <c r="L44" s="13" t="str">
        <f>"115,6757"</f>
        <v>115,6757</v>
      </c>
      <c r="M44" s="12" t="s">
        <v>41</v>
      </c>
    </row>
    <row r="45" spans="1:13">
      <c r="A45" s="15" t="s">
        <v>910</v>
      </c>
      <c r="B45" s="15" t="s">
        <v>911</v>
      </c>
      <c r="C45" s="15" t="s">
        <v>263</v>
      </c>
      <c r="D45" s="15" t="str">
        <f>"0,5853"</f>
        <v>0,5853</v>
      </c>
      <c r="E45" s="15" t="s">
        <v>71</v>
      </c>
      <c r="F45" s="15" t="s">
        <v>35</v>
      </c>
      <c r="G45" s="16" t="s">
        <v>74</v>
      </c>
      <c r="H45" s="17" t="s">
        <v>97</v>
      </c>
      <c r="I45" s="17" t="s">
        <v>97</v>
      </c>
      <c r="J45" s="17"/>
      <c r="K45" s="15" t="str">
        <f>"225,0"</f>
        <v>225,0</v>
      </c>
      <c r="L45" s="16" t="str">
        <f>"132,8777"</f>
        <v>132,8777</v>
      </c>
      <c r="M45" s="15" t="s">
        <v>41</v>
      </c>
    </row>
    <row r="47" spans="1:13" ht="15">
      <c r="A47" s="50" t="s">
        <v>128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3">
      <c r="A48" s="9" t="s">
        <v>913</v>
      </c>
      <c r="B48" s="9" t="s">
        <v>914</v>
      </c>
      <c r="C48" s="9" t="s">
        <v>132</v>
      </c>
      <c r="D48" s="9" t="str">
        <f>"0,5540"</f>
        <v>0,5540</v>
      </c>
      <c r="E48" s="9" t="s">
        <v>19</v>
      </c>
      <c r="F48" s="9" t="s">
        <v>20</v>
      </c>
      <c r="G48" s="10" t="s">
        <v>95</v>
      </c>
      <c r="H48" s="10" t="s">
        <v>77</v>
      </c>
      <c r="I48" s="10" t="s">
        <v>915</v>
      </c>
      <c r="J48" s="11"/>
      <c r="K48" s="9" t="str">
        <f>"265,0"</f>
        <v>265,0</v>
      </c>
      <c r="L48" s="10" t="str">
        <f>"146,8100"</f>
        <v>146,8100</v>
      </c>
      <c r="M48" s="9" t="s">
        <v>41</v>
      </c>
    </row>
    <row r="49" spans="1:13">
      <c r="A49" s="12" t="s">
        <v>916</v>
      </c>
      <c r="B49" s="12" t="s">
        <v>614</v>
      </c>
      <c r="C49" s="12" t="s">
        <v>289</v>
      </c>
      <c r="D49" s="12" t="str">
        <f>"0,5560"</f>
        <v>0,5560</v>
      </c>
      <c r="E49" s="12" t="s">
        <v>19</v>
      </c>
      <c r="F49" s="12" t="s">
        <v>615</v>
      </c>
      <c r="G49" s="13" t="s">
        <v>94</v>
      </c>
      <c r="H49" s="13" t="s">
        <v>77</v>
      </c>
      <c r="I49" s="14"/>
      <c r="J49" s="14"/>
      <c r="K49" s="12" t="str">
        <f>"260,0"</f>
        <v>260,0</v>
      </c>
      <c r="L49" s="13" t="str">
        <f>"144,5600"</f>
        <v>144,5600</v>
      </c>
      <c r="M49" s="12" t="s">
        <v>41</v>
      </c>
    </row>
    <row r="50" spans="1:13">
      <c r="A50" s="15" t="s">
        <v>622</v>
      </c>
      <c r="B50" s="15" t="s">
        <v>623</v>
      </c>
      <c r="C50" s="15" t="s">
        <v>304</v>
      </c>
      <c r="D50" s="15" t="str">
        <f>"0,5633"</f>
        <v>0,5633</v>
      </c>
      <c r="E50" s="15" t="s">
        <v>19</v>
      </c>
      <c r="F50" s="15" t="s">
        <v>233</v>
      </c>
      <c r="G50" s="16" t="s">
        <v>61</v>
      </c>
      <c r="H50" s="16" t="s">
        <v>247</v>
      </c>
      <c r="I50" s="16" t="s">
        <v>104</v>
      </c>
      <c r="J50" s="17"/>
      <c r="K50" s="15" t="str">
        <f>"180,0"</f>
        <v>180,0</v>
      </c>
      <c r="L50" s="16" t="str">
        <f>"161,2165"</f>
        <v>161,2165</v>
      </c>
      <c r="M50" s="15" t="s">
        <v>41</v>
      </c>
    </row>
    <row r="52" spans="1:13" ht="15">
      <c r="A52" s="50" t="s">
        <v>146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3">
      <c r="A53" s="6" t="s">
        <v>918</v>
      </c>
      <c r="B53" s="6" t="s">
        <v>919</v>
      </c>
      <c r="C53" s="6" t="s">
        <v>783</v>
      </c>
      <c r="D53" s="6" t="str">
        <f>"0,5398"</f>
        <v>0,5398</v>
      </c>
      <c r="E53" s="6" t="s">
        <v>19</v>
      </c>
      <c r="F53" s="6" t="s">
        <v>233</v>
      </c>
      <c r="G53" s="7" t="s">
        <v>96</v>
      </c>
      <c r="H53" s="7" t="s">
        <v>78</v>
      </c>
      <c r="I53" s="7" t="s">
        <v>920</v>
      </c>
      <c r="J53" s="8"/>
      <c r="K53" s="6" t="str">
        <f>"277,5"</f>
        <v>277,5</v>
      </c>
      <c r="L53" s="7" t="str">
        <f>"149,7945"</f>
        <v>149,7945</v>
      </c>
      <c r="M53" s="6" t="s">
        <v>41</v>
      </c>
    </row>
    <row r="55" spans="1:13" ht="15">
      <c r="A55" s="50" t="s">
        <v>153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3">
      <c r="A56" s="6" t="s">
        <v>922</v>
      </c>
      <c r="B56" s="6" t="s">
        <v>923</v>
      </c>
      <c r="C56" s="6" t="s">
        <v>924</v>
      </c>
      <c r="D56" s="6" t="str">
        <f>"0,5348"</f>
        <v>0,5348</v>
      </c>
      <c r="E56" s="6" t="s">
        <v>19</v>
      </c>
      <c r="F56" s="6" t="s">
        <v>35</v>
      </c>
      <c r="G56" s="7" t="s">
        <v>86</v>
      </c>
      <c r="H56" s="7" t="s">
        <v>72</v>
      </c>
      <c r="I56" s="7" t="s">
        <v>106</v>
      </c>
      <c r="J56" s="8"/>
      <c r="K56" s="6" t="str">
        <f>"217,5"</f>
        <v>217,5</v>
      </c>
      <c r="L56" s="7" t="str">
        <f>"116,3190"</f>
        <v>116,3190</v>
      </c>
      <c r="M56" s="6" t="s">
        <v>41</v>
      </c>
    </row>
    <row r="58" spans="1:13" ht="15">
      <c r="A58" s="50" t="s">
        <v>322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</row>
    <row r="59" spans="1:13">
      <c r="A59" s="6" t="s">
        <v>802</v>
      </c>
      <c r="B59" s="6" t="s">
        <v>803</v>
      </c>
      <c r="C59" s="6" t="s">
        <v>804</v>
      </c>
      <c r="D59" s="6" t="str">
        <f>"0,5176"</f>
        <v>0,5176</v>
      </c>
      <c r="E59" s="6" t="s">
        <v>19</v>
      </c>
      <c r="F59" s="6" t="s">
        <v>805</v>
      </c>
      <c r="G59" s="7" t="s">
        <v>915</v>
      </c>
      <c r="H59" s="7" t="s">
        <v>134</v>
      </c>
      <c r="I59" s="7" t="s">
        <v>509</v>
      </c>
      <c r="J59" s="8"/>
      <c r="K59" s="6" t="str">
        <f>"295,0"</f>
        <v>295,0</v>
      </c>
      <c r="L59" s="7" t="str">
        <f>"152,6920"</f>
        <v>152,6920</v>
      </c>
      <c r="M59" s="6" t="s">
        <v>41</v>
      </c>
    </row>
    <row r="61" spans="1:13" ht="15">
      <c r="E61" s="18" t="s">
        <v>166</v>
      </c>
    </row>
    <row r="62" spans="1:13" ht="15">
      <c r="E62" s="18" t="s">
        <v>167</v>
      </c>
    </row>
    <row r="63" spans="1:13" ht="15">
      <c r="E63" s="18" t="s">
        <v>168</v>
      </c>
    </row>
    <row r="64" spans="1:13" ht="15">
      <c r="E64" s="18" t="s">
        <v>169</v>
      </c>
    </row>
    <row r="65" spans="1:5" ht="15">
      <c r="E65" s="18" t="s">
        <v>169</v>
      </c>
    </row>
    <row r="66" spans="1:5" ht="15">
      <c r="E66" s="18" t="s">
        <v>170</v>
      </c>
    </row>
    <row r="67" spans="1:5" ht="15">
      <c r="E67" s="18"/>
    </row>
    <row r="69" spans="1:5" ht="18">
      <c r="A69" s="19" t="s">
        <v>171</v>
      </c>
      <c r="B69" s="19"/>
    </row>
    <row r="70" spans="1:5" ht="15">
      <c r="A70" s="20" t="s">
        <v>172</v>
      </c>
      <c r="B70" s="20"/>
    </row>
    <row r="71" spans="1:5" ht="14.25">
      <c r="A71" s="22"/>
      <c r="B71" s="23" t="s">
        <v>806</v>
      </c>
    </row>
    <row r="72" spans="1:5" ht="15">
      <c r="A72" s="24" t="s">
        <v>174</v>
      </c>
      <c r="B72" s="24" t="s">
        <v>175</v>
      </c>
      <c r="C72" s="24" t="s">
        <v>176</v>
      </c>
      <c r="D72" s="24" t="s">
        <v>177</v>
      </c>
      <c r="E72" s="24" t="s">
        <v>178</v>
      </c>
    </row>
    <row r="73" spans="1:5">
      <c r="A73" s="21" t="s">
        <v>852</v>
      </c>
      <c r="B73" s="5" t="s">
        <v>646</v>
      </c>
      <c r="C73" s="5" t="s">
        <v>333</v>
      </c>
      <c r="D73" s="5" t="s">
        <v>40</v>
      </c>
      <c r="E73" s="25" t="s">
        <v>925</v>
      </c>
    </row>
    <row r="74" spans="1:5">
      <c r="A74" s="21" t="s">
        <v>844</v>
      </c>
      <c r="B74" s="5" t="s">
        <v>646</v>
      </c>
      <c r="C74" s="5" t="s">
        <v>640</v>
      </c>
      <c r="D74" s="5" t="s">
        <v>543</v>
      </c>
      <c r="E74" s="25" t="s">
        <v>926</v>
      </c>
    </row>
    <row r="76" spans="1:5" ht="14.25">
      <c r="A76" s="22"/>
      <c r="B76" s="23" t="s">
        <v>927</v>
      </c>
    </row>
    <row r="77" spans="1:5" ht="15">
      <c r="A77" s="24" t="s">
        <v>174</v>
      </c>
      <c r="B77" s="24" t="s">
        <v>175</v>
      </c>
      <c r="C77" s="24" t="s">
        <v>176</v>
      </c>
      <c r="D77" s="24" t="s">
        <v>177</v>
      </c>
      <c r="E77" s="24" t="s">
        <v>178</v>
      </c>
    </row>
    <row r="78" spans="1:5">
      <c r="A78" s="21" t="s">
        <v>840</v>
      </c>
      <c r="B78" s="5" t="s">
        <v>193</v>
      </c>
      <c r="C78" s="5" t="s">
        <v>928</v>
      </c>
      <c r="D78" s="5" t="s">
        <v>60</v>
      </c>
      <c r="E78" s="25" t="s">
        <v>929</v>
      </c>
    </row>
    <row r="80" spans="1:5" ht="14.25">
      <c r="A80" s="22"/>
      <c r="B80" s="23" t="s">
        <v>173</v>
      </c>
    </row>
    <row r="81" spans="1:5" ht="15">
      <c r="A81" s="24" t="s">
        <v>174</v>
      </c>
      <c r="B81" s="24" t="s">
        <v>175</v>
      </c>
      <c r="C81" s="24" t="s">
        <v>176</v>
      </c>
      <c r="D81" s="24" t="s">
        <v>177</v>
      </c>
      <c r="E81" s="24" t="s">
        <v>178</v>
      </c>
    </row>
    <row r="82" spans="1:5">
      <c r="A82" s="21" t="s">
        <v>848</v>
      </c>
      <c r="B82" s="5" t="s">
        <v>173</v>
      </c>
      <c r="C82" s="5" t="s">
        <v>640</v>
      </c>
      <c r="D82" s="5" t="s">
        <v>39</v>
      </c>
      <c r="E82" s="25" t="s">
        <v>930</v>
      </c>
    </row>
    <row r="83" spans="1:5">
      <c r="A83" s="21" t="s">
        <v>856</v>
      </c>
      <c r="B83" s="5" t="s">
        <v>173</v>
      </c>
      <c r="C83" s="5" t="s">
        <v>180</v>
      </c>
      <c r="D83" s="5" t="s">
        <v>59</v>
      </c>
      <c r="E83" s="25" t="s">
        <v>931</v>
      </c>
    </row>
    <row r="84" spans="1:5">
      <c r="A84" s="21" t="s">
        <v>859</v>
      </c>
      <c r="B84" s="5" t="s">
        <v>173</v>
      </c>
      <c r="C84" s="5" t="s">
        <v>158</v>
      </c>
      <c r="D84" s="5" t="s">
        <v>479</v>
      </c>
      <c r="E84" s="25" t="s">
        <v>932</v>
      </c>
    </row>
    <row r="86" spans="1:5" ht="14.25">
      <c r="A86" s="22"/>
      <c r="B86" s="23" t="s">
        <v>214</v>
      </c>
    </row>
    <row r="87" spans="1:5" ht="15">
      <c r="A87" s="24" t="s">
        <v>174</v>
      </c>
      <c r="B87" s="24" t="s">
        <v>175</v>
      </c>
      <c r="C87" s="24" t="s">
        <v>176</v>
      </c>
      <c r="D87" s="24" t="s">
        <v>177</v>
      </c>
      <c r="E87" s="24" t="s">
        <v>178</v>
      </c>
    </row>
    <row r="88" spans="1:5">
      <c r="A88" s="21" t="s">
        <v>863</v>
      </c>
      <c r="B88" s="5" t="s">
        <v>218</v>
      </c>
      <c r="C88" s="5" t="s">
        <v>158</v>
      </c>
      <c r="D88" s="5" t="s">
        <v>52</v>
      </c>
      <c r="E88" s="25" t="s">
        <v>933</v>
      </c>
    </row>
    <row r="91" spans="1:5" ht="15">
      <c r="A91" s="20" t="s">
        <v>182</v>
      </c>
      <c r="B91" s="20"/>
    </row>
    <row r="92" spans="1:5" ht="14.25">
      <c r="A92" s="22"/>
      <c r="B92" s="23" t="s">
        <v>183</v>
      </c>
    </row>
    <row r="93" spans="1:5" ht="15">
      <c r="A93" s="24" t="s">
        <v>174</v>
      </c>
      <c r="B93" s="24" t="s">
        <v>175</v>
      </c>
      <c r="C93" s="24" t="s">
        <v>176</v>
      </c>
      <c r="D93" s="24" t="s">
        <v>177</v>
      </c>
      <c r="E93" s="24" t="s">
        <v>178</v>
      </c>
    </row>
    <row r="94" spans="1:5">
      <c r="A94" s="21" t="s">
        <v>877</v>
      </c>
      <c r="B94" s="5" t="s">
        <v>646</v>
      </c>
      <c r="C94" s="5" t="s">
        <v>158</v>
      </c>
      <c r="D94" s="5" t="s">
        <v>87</v>
      </c>
      <c r="E94" s="25" t="s">
        <v>934</v>
      </c>
    </row>
    <row r="95" spans="1:5">
      <c r="A95" s="21" t="s">
        <v>882</v>
      </c>
      <c r="B95" s="5" t="s">
        <v>646</v>
      </c>
      <c r="C95" s="5" t="s">
        <v>158</v>
      </c>
      <c r="D95" s="5" t="s">
        <v>87</v>
      </c>
      <c r="E95" s="25" t="s">
        <v>935</v>
      </c>
    </row>
    <row r="96" spans="1:5">
      <c r="A96" s="21" t="s">
        <v>888</v>
      </c>
      <c r="B96" s="5" t="s">
        <v>646</v>
      </c>
      <c r="C96" s="5" t="s">
        <v>201</v>
      </c>
      <c r="D96" s="5" t="s">
        <v>104</v>
      </c>
      <c r="E96" s="25" t="s">
        <v>936</v>
      </c>
    </row>
    <row r="97" spans="1:5">
      <c r="A97" s="21" t="s">
        <v>868</v>
      </c>
      <c r="B97" s="5" t="s">
        <v>646</v>
      </c>
      <c r="C97" s="5" t="s">
        <v>180</v>
      </c>
      <c r="D97" s="5" t="s">
        <v>871</v>
      </c>
      <c r="E97" s="25" t="s">
        <v>937</v>
      </c>
    </row>
    <row r="99" spans="1:5" ht="14.25">
      <c r="A99" s="22"/>
      <c r="B99" s="23" t="s">
        <v>173</v>
      </c>
    </row>
    <row r="100" spans="1:5" ht="15">
      <c r="A100" s="24" t="s">
        <v>174</v>
      </c>
      <c r="B100" s="24" t="s">
        <v>175</v>
      </c>
      <c r="C100" s="24" t="s">
        <v>176</v>
      </c>
      <c r="D100" s="24" t="s">
        <v>177</v>
      </c>
      <c r="E100" s="24" t="s">
        <v>178</v>
      </c>
    </row>
    <row r="101" spans="1:5">
      <c r="A101" s="21" t="s">
        <v>892</v>
      </c>
      <c r="B101" s="5" t="s">
        <v>173</v>
      </c>
      <c r="C101" s="5" t="s">
        <v>201</v>
      </c>
      <c r="D101" s="5" t="s">
        <v>137</v>
      </c>
      <c r="E101" s="25" t="s">
        <v>938</v>
      </c>
    </row>
    <row r="102" spans="1:5">
      <c r="A102" s="21" t="s">
        <v>801</v>
      </c>
      <c r="B102" s="5" t="s">
        <v>173</v>
      </c>
      <c r="C102" s="5" t="s">
        <v>48</v>
      </c>
      <c r="D102" s="5" t="s">
        <v>509</v>
      </c>
      <c r="E102" s="25" t="s">
        <v>939</v>
      </c>
    </row>
    <row r="103" spans="1:5">
      <c r="A103" s="21" t="s">
        <v>556</v>
      </c>
      <c r="B103" s="5" t="s">
        <v>173</v>
      </c>
      <c r="C103" s="5" t="s">
        <v>158</v>
      </c>
      <c r="D103" s="5" t="s">
        <v>74</v>
      </c>
      <c r="E103" s="25" t="s">
        <v>940</v>
      </c>
    </row>
    <row r="104" spans="1:5">
      <c r="A104" s="21" t="s">
        <v>917</v>
      </c>
      <c r="B104" s="5" t="s">
        <v>173</v>
      </c>
      <c r="C104" s="5" t="s">
        <v>27</v>
      </c>
      <c r="D104" s="5" t="s">
        <v>920</v>
      </c>
      <c r="E104" s="25" t="s">
        <v>941</v>
      </c>
    </row>
    <row r="105" spans="1:5">
      <c r="A105" s="21" t="s">
        <v>912</v>
      </c>
      <c r="B105" s="5" t="s">
        <v>173</v>
      </c>
      <c r="C105" s="5" t="s">
        <v>23</v>
      </c>
      <c r="D105" s="5" t="s">
        <v>915</v>
      </c>
      <c r="E105" s="25" t="s">
        <v>942</v>
      </c>
    </row>
    <row r="106" spans="1:5">
      <c r="A106" s="21" t="s">
        <v>612</v>
      </c>
      <c r="B106" s="5" t="s">
        <v>173</v>
      </c>
      <c r="C106" s="5" t="s">
        <v>23</v>
      </c>
      <c r="D106" s="5" t="s">
        <v>77</v>
      </c>
      <c r="E106" s="25" t="s">
        <v>943</v>
      </c>
    </row>
    <row r="107" spans="1:5">
      <c r="A107" s="21" t="s">
        <v>700</v>
      </c>
      <c r="B107" s="5" t="s">
        <v>173</v>
      </c>
      <c r="C107" s="5" t="s">
        <v>24</v>
      </c>
      <c r="D107" s="5" t="s">
        <v>61</v>
      </c>
      <c r="E107" s="25" t="s">
        <v>944</v>
      </c>
    </row>
    <row r="108" spans="1:5">
      <c r="A108" s="21" t="s">
        <v>900</v>
      </c>
      <c r="B108" s="5" t="s">
        <v>173</v>
      </c>
      <c r="C108" s="5" t="s">
        <v>21</v>
      </c>
      <c r="D108" s="5" t="s">
        <v>74</v>
      </c>
      <c r="E108" s="25" t="s">
        <v>945</v>
      </c>
    </row>
    <row r="109" spans="1:5">
      <c r="A109" s="21" t="s">
        <v>885</v>
      </c>
      <c r="B109" s="5" t="s">
        <v>173</v>
      </c>
      <c r="C109" s="5" t="s">
        <v>158</v>
      </c>
      <c r="D109" s="5" t="s">
        <v>104</v>
      </c>
      <c r="E109" s="25" t="s">
        <v>946</v>
      </c>
    </row>
    <row r="110" spans="1:5">
      <c r="A110" s="21" t="s">
        <v>921</v>
      </c>
      <c r="B110" s="5" t="s">
        <v>173</v>
      </c>
      <c r="C110" s="5" t="s">
        <v>189</v>
      </c>
      <c r="D110" s="5" t="s">
        <v>106</v>
      </c>
      <c r="E110" s="25" t="s">
        <v>947</v>
      </c>
    </row>
    <row r="111" spans="1:5">
      <c r="A111" s="21" t="s">
        <v>905</v>
      </c>
      <c r="B111" s="5" t="s">
        <v>173</v>
      </c>
      <c r="C111" s="5" t="s">
        <v>21</v>
      </c>
      <c r="D111" s="5" t="s">
        <v>881</v>
      </c>
      <c r="E111" s="25" t="s">
        <v>948</v>
      </c>
    </row>
    <row r="113" spans="1:5" ht="14.25">
      <c r="A113" s="22"/>
      <c r="B113" s="23" t="s">
        <v>214</v>
      </c>
    </row>
    <row r="114" spans="1:5" ht="15">
      <c r="A114" s="24" t="s">
        <v>174</v>
      </c>
      <c r="B114" s="24" t="s">
        <v>175</v>
      </c>
      <c r="C114" s="24" t="s">
        <v>176</v>
      </c>
      <c r="D114" s="24" t="s">
        <v>177</v>
      </c>
      <c r="E114" s="24" t="s">
        <v>178</v>
      </c>
    </row>
    <row r="115" spans="1:5">
      <c r="A115" s="21" t="s">
        <v>556</v>
      </c>
      <c r="B115" s="5" t="s">
        <v>215</v>
      </c>
      <c r="C115" s="5" t="s">
        <v>158</v>
      </c>
      <c r="D115" s="5" t="s">
        <v>74</v>
      </c>
      <c r="E115" s="25" t="s">
        <v>949</v>
      </c>
    </row>
    <row r="116" spans="1:5">
      <c r="A116" s="21" t="s">
        <v>872</v>
      </c>
      <c r="B116" s="5" t="s">
        <v>950</v>
      </c>
      <c r="C116" s="5" t="s">
        <v>180</v>
      </c>
      <c r="D116" s="5" t="s">
        <v>785</v>
      </c>
      <c r="E116" s="25" t="s">
        <v>951</v>
      </c>
    </row>
    <row r="117" spans="1:5">
      <c r="A117" s="21" t="s">
        <v>896</v>
      </c>
      <c r="B117" s="5" t="s">
        <v>215</v>
      </c>
      <c r="C117" s="5" t="s">
        <v>201</v>
      </c>
      <c r="D117" s="5" t="s">
        <v>74</v>
      </c>
      <c r="E117" s="25" t="s">
        <v>952</v>
      </c>
    </row>
    <row r="118" spans="1:5">
      <c r="A118" s="21" t="s">
        <v>621</v>
      </c>
      <c r="B118" s="5" t="s">
        <v>401</v>
      </c>
      <c r="C118" s="5" t="s">
        <v>23</v>
      </c>
      <c r="D118" s="5" t="s">
        <v>104</v>
      </c>
      <c r="E118" s="25" t="s">
        <v>953</v>
      </c>
    </row>
    <row r="119" spans="1:5">
      <c r="A119" s="21" t="s">
        <v>909</v>
      </c>
      <c r="B119" s="5" t="s">
        <v>356</v>
      </c>
      <c r="C119" s="5" t="s">
        <v>21</v>
      </c>
      <c r="D119" s="5" t="s">
        <v>74</v>
      </c>
      <c r="E119" s="25" t="s">
        <v>954</v>
      </c>
    </row>
    <row r="120" spans="1:5">
      <c r="A120" s="21" t="s">
        <v>576</v>
      </c>
      <c r="B120" s="5" t="s">
        <v>356</v>
      </c>
      <c r="C120" s="5" t="s">
        <v>201</v>
      </c>
      <c r="D120" s="5" t="s">
        <v>105</v>
      </c>
      <c r="E120" s="25" t="s">
        <v>955</v>
      </c>
    </row>
  </sheetData>
  <mergeCells count="25">
    <mergeCell ref="A22:L22"/>
    <mergeCell ref="A25:L25"/>
    <mergeCell ref="A29:L29"/>
    <mergeCell ref="A36:L36"/>
    <mergeCell ref="A58:L58"/>
    <mergeCell ref="A42:L42"/>
    <mergeCell ref="A47:L47"/>
    <mergeCell ref="A52:L52"/>
    <mergeCell ref="A55:L55"/>
    <mergeCell ref="A8:L8"/>
    <mergeCell ref="A12:L12"/>
    <mergeCell ref="A15:L15"/>
    <mergeCell ref="A18:L18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honeticPr fontId="1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117"/>
  <sheetViews>
    <sheetView tabSelected="1" workbookViewId="0">
      <selection activeCell="B19" sqref="B19"/>
    </sheetView>
  </sheetViews>
  <sheetFormatPr defaultRowHeight="12.75"/>
  <cols>
    <col min="1" max="1" width="26" style="5" bestFit="1" customWidth="1"/>
    <col min="2" max="2" width="29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2.57031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1" t="s">
        <v>678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 t="s">
        <v>13</v>
      </c>
      <c r="E3" s="37" t="s">
        <v>7</v>
      </c>
      <c r="F3" s="37" t="s">
        <v>10</v>
      </c>
      <c r="G3" s="37" t="s">
        <v>2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5" spans="1:13" ht="15">
      <c r="A5" s="52" t="s">
        <v>679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6" t="s">
        <v>681</v>
      </c>
      <c r="B6" s="6" t="s">
        <v>682</v>
      </c>
      <c r="C6" s="6" t="s">
        <v>683</v>
      </c>
      <c r="D6" s="6" t="str">
        <f>"1,1190"</f>
        <v>1,1190</v>
      </c>
      <c r="E6" s="6" t="s">
        <v>19</v>
      </c>
      <c r="F6" s="6" t="s">
        <v>684</v>
      </c>
      <c r="G6" s="7" t="s">
        <v>24</v>
      </c>
      <c r="H6" s="7" t="s">
        <v>25</v>
      </c>
      <c r="I6" s="8" t="s">
        <v>685</v>
      </c>
      <c r="J6" s="8"/>
      <c r="K6" s="6" t="str">
        <f>"65,0"</f>
        <v>65,0</v>
      </c>
      <c r="L6" s="7" t="str">
        <f>"89,4640"</f>
        <v>89,4640</v>
      </c>
      <c r="M6" s="6" t="s">
        <v>41</v>
      </c>
    </row>
    <row r="8" spans="1:13" ht="15">
      <c r="A8" s="50" t="s">
        <v>14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3">
      <c r="A9" s="6" t="s">
        <v>687</v>
      </c>
      <c r="B9" s="6" t="s">
        <v>688</v>
      </c>
      <c r="C9" s="6" t="s">
        <v>689</v>
      </c>
      <c r="D9" s="6" t="str">
        <f>"0,8622"</f>
        <v>0,8622</v>
      </c>
      <c r="E9" s="6" t="s">
        <v>19</v>
      </c>
      <c r="F9" s="6" t="s">
        <v>499</v>
      </c>
      <c r="G9" s="7" t="s">
        <v>26</v>
      </c>
      <c r="H9" s="8" t="s">
        <v>690</v>
      </c>
      <c r="I9" s="8" t="s">
        <v>690</v>
      </c>
      <c r="J9" s="8"/>
      <c r="K9" s="6" t="str">
        <f>"70,0"</f>
        <v>70,0</v>
      </c>
      <c r="L9" s="7" t="str">
        <f>"60,3505"</f>
        <v>60,3505</v>
      </c>
      <c r="M9" s="6" t="s">
        <v>41</v>
      </c>
    </row>
    <row r="11" spans="1:13" ht="15">
      <c r="A11" s="50" t="s">
        <v>30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1:13">
      <c r="A12" s="9" t="s">
        <v>692</v>
      </c>
      <c r="B12" s="9" t="s">
        <v>693</v>
      </c>
      <c r="C12" s="9" t="s">
        <v>694</v>
      </c>
      <c r="D12" s="9" t="str">
        <f>"0,8110"</f>
        <v>0,8110</v>
      </c>
      <c r="E12" s="9" t="s">
        <v>19</v>
      </c>
      <c r="F12" s="9" t="s">
        <v>684</v>
      </c>
      <c r="G12" s="10" t="s">
        <v>544</v>
      </c>
      <c r="H12" s="10" t="s">
        <v>24</v>
      </c>
      <c r="I12" s="11" t="s">
        <v>537</v>
      </c>
      <c r="J12" s="11"/>
      <c r="K12" s="9" t="str">
        <f>"60,0"</f>
        <v>60,0</v>
      </c>
      <c r="L12" s="10" t="str">
        <f>"52,5560"</f>
        <v>52,5560</v>
      </c>
      <c r="M12" s="9" t="s">
        <v>41</v>
      </c>
    </row>
    <row r="13" spans="1:13">
      <c r="A13" s="15" t="s">
        <v>696</v>
      </c>
      <c r="B13" s="15" t="s">
        <v>697</v>
      </c>
      <c r="C13" s="15" t="s">
        <v>698</v>
      </c>
      <c r="D13" s="15" t="str">
        <f>"0,8252"</f>
        <v>0,8252</v>
      </c>
      <c r="E13" s="15" t="s">
        <v>71</v>
      </c>
      <c r="F13" s="15" t="s">
        <v>699</v>
      </c>
      <c r="G13" s="16" t="s">
        <v>158</v>
      </c>
      <c r="H13" s="16" t="s">
        <v>690</v>
      </c>
      <c r="I13" s="17" t="s">
        <v>234</v>
      </c>
      <c r="J13" s="17"/>
      <c r="K13" s="15" t="str">
        <f>"77,5"</f>
        <v>77,5</v>
      </c>
      <c r="L13" s="16" t="str">
        <f>"63,9491"</f>
        <v>63,9491</v>
      </c>
      <c r="M13" s="15" t="s">
        <v>41</v>
      </c>
    </row>
    <row r="15" spans="1:13" ht="15">
      <c r="A15" s="50" t="s">
        <v>14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3">
      <c r="A16" s="6" t="s">
        <v>701</v>
      </c>
      <c r="B16" s="6" t="s">
        <v>702</v>
      </c>
      <c r="C16" s="6" t="s">
        <v>703</v>
      </c>
      <c r="D16" s="6" t="str">
        <f>"0,8301"</f>
        <v>0,8301</v>
      </c>
      <c r="E16" s="6" t="s">
        <v>19</v>
      </c>
      <c r="F16" s="6" t="s">
        <v>35</v>
      </c>
      <c r="G16" s="7" t="s">
        <v>23</v>
      </c>
      <c r="H16" s="8" t="s">
        <v>27</v>
      </c>
      <c r="I16" s="8" t="s">
        <v>39</v>
      </c>
      <c r="J16" s="8"/>
      <c r="K16" s="6" t="str">
        <f>"100,0"</f>
        <v>100,0</v>
      </c>
      <c r="L16" s="7" t="str">
        <f>"83,0100"</f>
        <v>83,0100</v>
      </c>
      <c r="M16" s="6" t="s">
        <v>41</v>
      </c>
    </row>
    <row r="18" spans="1:13" ht="15">
      <c r="A18" s="50" t="s">
        <v>30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</row>
    <row r="19" spans="1:13">
      <c r="A19" s="9" t="s">
        <v>705</v>
      </c>
      <c r="B19" s="9" t="s">
        <v>706</v>
      </c>
      <c r="C19" s="9" t="s">
        <v>707</v>
      </c>
      <c r="D19" s="9" t="str">
        <f>"0,7682"</f>
        <v>0,7682</v>
      </c>
      <c r="E19" s="9" t="s">
        <v>19</v>
      </c>
      <c r="F19" s="9" t="s">
        <v>35</v>
      </c>
      <c r="G19" s="11" t="s">
        <v>158</v>
      </c>
      <c r="H19" s="11" t="s">
        <v>158</v>
      </c>
      <c r="I19" s="10" t="s">
        <v>158</v>
      </c>
      <c r="J19" s="11"/>
      <c r="K19" s="9" t="str">
        <f>"75,0"</f>
        <v>75,0</v>
      </c>
      <c r="L19" s="10" t="str">
        <f>"65,1049"</f>
        <v>65,1049</v>
      </c>
      <c r="M19" s="9" t="s">
        <v>41</v>
      </c>
    </row>
    <row r="20" spans="1:13">
      <c r="A20" s="12" t="s">
        <v>709</v>
      </c>
      <c r="B20" s="12" t="s">
        <v>710</v>
      </c>
      <c r="C20" s="12" t="s">
        <v>70</v>
      </c>
      <c r="D20" s="12" t="str">
        <f>"0,7307"</f>
        <v>0,7307</v>
      </c>
      <c r="E20" s="12" t="s">
        <v>19</v>
      </c>
      <c r="F20" s="12" t="s">
        <v>35</v>
      </c>
      <c r="G20" s="13" t="s">
        <v>189</v>
      </c>
      <c r="H20" s="13" t="s">
        <v>51</v>
      </c>
      <c r="I20" s="13" t="s">
        <v>52</v>
      </c>
      <c r="J20" s="14"/>
      <c r="K20" s="12" t="str">
        <f>"145,0"</f>
        <v>145,0</v>
      </c>
      <c r="L20" s="13" t="str">
        <f>"105,9515"</f>
        <v>105,9515</v>
      </c>
      <c r="M20" s="12" t="s">
        <v>41</v>
      </c>
    </row>
    <row r="21" spans="1:13">
      <c r="A21" s="15" t="s">
        <v>712</v>
      </c>
      <c r="B21" s="15" t="s">
        <v>713</v>
      </c>
      <c r="C21" s="15" t="s">
        <v>714</v>
      </c>
      <c r="D21" s="15" t="str">
        <f>"0,7398"</f>
        <v>0,7398</v>
      </c>
      <c r="E21" s="15" t="s">
        <v>19</v>
      </c>
      <c r="F21" s="15" t="s">
        <v>103</v>
      </c>
      <c r="G21" s="16" t="s">
        <v>28</v>
      </c>
      <c r="H21" s="17" t="s">
        <v>189</v>
      </c>
      <c r="I21" s="16" t="s">
        <v>189</v>
      </c>
      <c r="J21" s="17"/>
      <c r="K21" s="15" t="str">
        <f>"125,0"</f>
        <v>125,0</v>
      </c>
      <c r="L21" s="16" t="str">
        <f>"92,4750"</f>
        <v>92,4750</v>
      </c>
      <c r="M21" s="15" t="s">
        <v>41</v>
      </c>
    </row>
    <row r="23" spans="1:13" ht="15">
      <c r="A23" s="50" t="s">
        <v>80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3">
      <c r="A24" s="9" t="s">
        <v>716</v>
      </c>
      <c r="B24" s="9" t="s">
        <v>717</v>
      </c>
      <c r="C24" s="9" t="s">
        <v>718</v>
      </c>
      <c r="D24" s="9" t="str">
        <f>"0,6694"</f>
        <v>0,6694</v>
      </c>
      <c r="E24" s="9" t="s">
        <v>719</v>
      </c>
      <c r="F24" s="9" t="s">
        <v>720</v>
      </c>
      <c r="G24" s="10" t="s">
        <v>39</v>
      </c>
      <c r="H24" s="10" t="s">
        <v>40</v>
      </c>
      <c r="I24" s="11" t="s">
        <v>546</v>
      </c>
      <c r="J24" s="11"/>
      <c r="K24" s="9" t="str">
        <f>"122,5"</f>
        <v>122,5</v>
      </c>
      <c r="L24" s="10" t="str">
        <f>"88,5616"</f>
        <v>88,5616</v>
      </c>
      <c r="M24" s="9" t="s">
        <v>41</v>
      </c>
    </row>
    <row r="25" spans="1:13">
      <c r="A25" s="12" t="s">
        <v>722</v>
      </c>
      <c r="B25" s="12" t="s">
        <v>723</v>
      </c>
      <c r="C25" s="12" t="s">
        <v>724</v>
      </c>
      <c r="D25" s="12" t="str">
        <f>"0,6828"</f>
        <v>0,6828</v>
      </c>
      <c r="E25" s="12" t="s">
        <v>19</v>
      </c>
      <c r="F25" s="12" t="s">
        <v>58</v>
      </c>
      <c r="G25" s="13" t="s">
        <v>40</v>
      </c>
      <c r="H25" s="13" t="s">
        <v>59</v>
      </c>
      <c r="I25" s="13" t="s">
        <v>479</v>
      </c>
      <c r="J25" s="14"/>
      <c r="K25" s="12" t="str">
        <f>"137,5"</f>
        <v>137,5</v>
      </c>
      <c r="L25" s="13" t="str">
        <f>"95,7627"</f>
        <v>95,7627</v>
      </c>
      <c r="M25" s="12" t="s">
        <v>41</v>
      </c>
    </row>
    <row r="26" spans="1:13">
      <c r="A26" s="15" t="s">
        <v>726</v>
      </c>
      <c r="B26" s="15" t="s">
        <v>727</v>
      </c>
      <c r="C26" s="15" t="s">
        <v>728</v>
      </c>
      <c r="D26" s="15" t="str">
        <f>"0,6659"</f>
        <v>0,6659</v>
      </c>
      <c r="E26" s="15" t="s">
        <v>19</v>
      </c>
      <c r="F26" s="15" t="s">
        <v>35</v>
      </c>
      <c r="G26" s="16" t="s">
        <v>36</v>
      </c>
      <c r="H26" s="16" t="s">
        <v>543</v>
      </c>
      <c r="I26" s="16" t="s">
        <v>50</v>
      </c>
      <c r="J26" s="17"/>
      <c r="K26" s="15" t="str">
        <f>"105,0"</f>
        <v>105,0</v>
      </c>
      <c r="L26" s="16" t="str">
        <f>"145,7122"</f>
        <v>145,7122</v>
      </c>
      <c r="M26" s="15" t="s">
        <v>41</v>
      </c>
    </row>
    <row r="28" spans="1:13" ht="15">
      <c r="A28" s="50" t="s">
        <v>89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13">
      <c r="A29" s="9" t="s">
        <v>730</v>
      </c>
      <c r="B29" s="9" t="s">
        <v>731</v>
      </c>
      <c r="C29" s="9" t="s">
        <v>732</v>
      </c>
      <c r="D29" s="9" t="str">
        <f>"0,6262"</f>
        <v>0,6262</v>
      </c>
      <c r="E29" s="9" t="s">
        <v>733</v>
      </c>
      <c r="F29" s="9" t="s">
        <v>601</v>
      </c>
      <c r="G29" s="10" t="s">
        <v>48</v>
      </c>
      <c r="H29" s="10" t="s">
        <v>734</v>
      </c>
      <c r="I29" s="11" t="s">
        <v>49</v>
      </c>
      <c r="J29" s="11"/>
      <c r="K29" s="9" t="str">
        <f>"147,5"</f>
        <v>147,5</v>
      </c>
      <c r="L29" s="10" t="str">
        <f>"92,3645"</f>
        <v>92,3645</v>
      </c>
      <c r="M29" s="9" t="s">
        <v>41</v>
      </c>
    </row>
    <row r="30" spans="1:13">
      <c r="A30" s="12" t="s">
        <v>736</v>
      </c>
      <c r="B30" s="12" t="s">
        <v>737</v>
      </c>
      <c r="C30" s="12" t="s">
        <v>738</v>
      </c>
      <c r="D30" s="12" t="str">
        <f>"0,6335"</f>
        <v>0,6335</v>
      </c>
      <c r="E30" s="12" t="s">
        <v>19</v>
      </c>
      <c r="F30" s="12" t="s">
        <v>35</v>
      </c>
      <c r="G30" s="13" t="s">
        <v>546</v>
      </c>
      <c r="H30" s="13" t="s">
        <v>363</v>
      </c>
      <c r="I30" s="14" t="s">
        <v>479</v>
      </c>
      <c r="J30" s="14"/>
      <c r="K30" s="12" t="str">
        <f>"132,5"</f>
        <v>132,5</v>
      </c>
      <c r="L30" s="13" t="str">
        <f>"83,9387"</f>
        <v>83,9387</v>
      </c>
      <c r="M30" s="12" t="s">
        <v>41</v>
      </c>
    </row>
    <row r="31" spans="1:13">
      <c r="A31" s="15" t="s">
        <v>740</v>
      </c>
      <c r="B31" s="15" t="s">
        <v>741</v>
      </c>
      <c r="C31" s="15" t="s">
        <v>742</v>
      </c>
      <c r="D31" s="15" t="str">
        <f>"0,6418"</f>
        <v>0,6418</v>
      </c>
      <c r="E31" s="15" t="s">
        <v>19</v>
      </c>
      <c r="F31" s="15" t="s">
        <v>35</v>
      </c>
      <c r="G31" s="16" t="s">
        <v>189</v>
      </c>
      <c r="H31" s="17" t="s">
        <v>59</v>
      </c>
      <c r="I31" s="16" t="s">
        <v>59</v>
      </c>
      <c r="J31" s="17"/>
      <c r="K31" s="15" t="str">
        <f>"130,0"</f>
        <v>130,0</v>
      </c>
      <c r="L31" s="16" t="str">
        <f>"83,4340"</f>
        <v>83,4340</v>
      </c>
      <c r="M31" s="15" t="s">
        <v>41</v>
      </c>
    </row>
    <row r="33" spans="1:13" ht="15">
      <c r="A33" s="50" t="s">
        <v>122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3">
      <c r="A34" s="9" t="s">
        <v>744</v>
      </c>
      <c r="B34" s="9" t="s">
        <v>745</v>
      </c>
      <c r="C34" s="9" t="s">
        <v>746</v>
      </c>
      <c r="D34" s="9" t="str">
        <f>"0,5978"</f>
        <v>0,5978</v>
      </c>
      <c r="E34" s="9" t="s">
        <v>19</v>
      </c>
      <c r="F34" s="9" t="s">
        <v>747</v>
      </c>
      <c r="G34" s="10" t="s">
        <v>52</v>
      </c>
      <c r="H34" s="11" t="s">
        <v>53</v>
      </c>
      <c r="I34" s="11" t="s">
        <v>53</v>
      </c>
      <c r="J34" s="11"/>
      <c r="K34" s="9" t="str">
        <f>"145,0"</f>
        <v>145,0</v>
      </c>
      <c r="L34" s="10" t="str">
        <f>"90,1482"</f>
        <v>90,1482</v>
      </c>
      <c r="M34" s="9" t="s">
        <v>41</v>
      </c>
    </row>
    <row r="35" spans="1:13">
      <c r="A35" s="12" t="s">
        <v>582</v>
      </c>
      <c r="B35" s="12" t="s">
        <v>583</v>
      </c>
      <c r="C35" s="12" t="s">
        <v>584</v>
      </c>
      <c r="D35" s="12" t="str">
        <f>"0,5885"</f>
        <v>0,5885</v>
      </c>
      <c r="E35" s="12" t="s">
        <v>19</v>
      </c>
      <c r="F35" s="12" t="s">
        <v>233</v>
      </c>
      <c r="G35" s="13" t="s">
        <v>59</v>
      </c>
      <c r="H35" s="13" t="s">
        <v>479</v>
      </c>
      <c r="I35" s="13" t="s">
        <v>547</v>
      </c>
      <c r="J35" s="14"/>
      <c r="K35" s="12" t="str">
        <f>"142,5"</f>
        <v>142,5</v>
      </c>
      <c r="L35" s="13" t="str">
        <f>"86,3771"</f>
        <v>86,3771</v>
      </c>
      <c r="M35" s="12" t="s">
        <v>41</v>
      </c>
    </row>
    <row r="36" spans="1:13">
      <c r="A36" s="12" t="s">
        <v>749</v>
      </c>
      <c r="B36" s="12" t="s">
        <v>750</v>
      </c>
      <c r="C36" s="12" t="s">
        <v>263</v>
      </c>
      <c r="D36" s="12" t="str">
        <f>"0,5853"</f>
        <v>0,5853</v>
      </c>
      <c r="E36" s="12" t="s">
        <v>19</v>
      </c>
      <c r="F36" s="12" t="s">
        <v>751</v>
      </c>
      <c r="G36" s="13" t="s">
        <v>49</v>
      </c>
      <c r="H36" s="14" t="s">
        <v>53</v>
      </c>
      <c r="I36" s="13" t="s">
        <v>53</v>
      </c>
      <c r="J36" s="14"/>
      <c r="K36" s="12" t="str">
        <f>"155,0"</f>
        <v>155,0</v>
      </c>
      <c r="L36" s="13" t="str">
        <f>"90,7215"</f>
        <v>90,7215</v>
      </c>
      <c r="M36" s="12" t="s">
        <v>41</v>
      </c>
    </row>
    <row r="37" spans="1:13">
      <c r="A37" s="12" t="s">
        <v>753</v>
      </c>
      <c r="B37" s="12" t="s">
        <v>754</v>
      </c>
      <c r="C37" s="12" t="s">
        <v>755</v>
      </c>
      <c r="D37" s="12" t="str">
        <f>"0,5905"</f>
        <v>0,5905</v>
      </c>
      <c r="E37" s="12" t="s">
        <v>19</v>
      </c>
      <c r="F37" s="12" t="s">
        <v>499</v>
      </c>
      <c r="G37" s="13" t="s">
        <v>52</v>
      </c>
      <c r="H37" s="14" t="s">
        <v>53</v>
      </c>
      <c r="I37" s="14" t="s">
        <v>53</v>
      </c>
      <c r="J37" s="14"/>
      <c r="K37" s="12" t="str">
        <f>"145,0"</f>
        <v>145,0</v>
      </c>
      <c r="L37" s="13" t="str">
        <f>"85,6225"</f>
        <v>85,6225</v>
      </c>
      <c r="M37" s="12" t="s">
        <v>41</v>
      </c>
    </row>
    <row r="38" spans="1:13">
      <c r="A38" s="12" t="s">
        <v>757</v>
      </c>
      <c r="B38" s="12" t="s">
        <v>758</v>
      </c>
      <c r="C38" s="12" t="s">
        <v>759</v>
      </c>
      <c r="D38" s="12" t="str">
        <f>"0,5956"</f>
        <v>0,5956</v>
      </c>
      <c r="E38" s="12" t="s">
        <v>19</v>
      </c>
      <c r="F38" s="12" t="s">
        <v>595</v>
      </c>
      <c r="G38" s="13" t="s">
        <v>59</v>
      </c>
      <c r="H38" s="13" t="s">
        <v>51</v>
      </c>
      <c r="I38" s="13" t="s">
        <v>547</v>
      </c>
      <c r="J38" s="14"/>
      <c r="K38" s="12" t="str">
        <f>"142,5"</f>
        <v>142,5</v>
      </c>
      <c r="L38" s="13" t="str">
        <f>"84,8730"</f>
        <v>84,8730</v>
      </c>
      <c r="M38" s="12" t="s">
        <v>41</v>
      </c>
    </row>
    <row r="39" spans="1:13">
      <c r="A39" s="12" t="s">
        <v>761</v>
      </c>
      <c r="B39" s="12" t="s">
        <v>762</v>
      </c>
      <c r="C39" s="12" t="s">
        <v>763</v>
      </c>
      <c r="D39" s="12" t="str">
        <f>"0,5960"</f>
        <v>0,5960</v>
      </c>
      <c r="E39" s="12" t="s">
        <v>19</v>
      </c>
      <c r="F39" s="12" t="s">
        <v>20</v>
      </c>
      <c r="G39" s="13" t="s">
        <v>23</v>
      </c>
      <c r="H39" s="14" t="s">
        <v>27</v>
      </c>
      <c r="I39" s="14" t="s">
        <v>27</v>
      </c>
      <c r="J39" s="14"/>
      <c r="K39" s="12" t="str">
        <f>"100,0"</f>
        <v>100,0</v>
      </c>
      <c r="L39" s="13" t="str">
        <f>"59,6000"</f>
        <v>59,6000</v>
      </c>
      <c r="M39" s="12" t="s">
        <v>41</v>
      </c>
    </row>
    <row r="40" spans="1:13">
      <c r="A40" s="15" t="s">
        <v>765</v>
      </c>
      <c r="B40" s="15" t="s">
        <v>766</v>
      </c>
      <c r="C40" s="15" t="s">
        <v>767</v>
      </c>
      <c r="D40" s="15" t="str">
        <f>"0,5877"</f>
        <v>0,5877</v>
      </c>
      <c r="E40" s="15" t="s">
        <v>71</v>
      </c>
      <c r="F40" s="15" t="s">
        <v>133</v>
      </c>
      <c r="G40" s="16" t="s">
        <v>49</v>
      </c>
      <c r="H40" s="17" t="s">
        <v>76</v>
      </c>
      <c r="I40" s="17" t="s">
        <v>76</v>
      </c>
      <c r="J40" s="17"/>
      <c r="K40" s="15" t="str">
        <f>"150,0"</f>
        <v>150,0</v>
      </c>
      <c r="L40" s="16" t="str">
        <f>"88,4195"</f>
        <v>88,4195</v>
      </c>
      <c r="M40" s="15" t="s">
        <v>41</v>
      </c>
    </row>
    <row r="42" spans="1:13" ht="15">
      <c r="A42" s="50" t="s">
        <v>128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3">
      <c r="A43" s="9" t="s">
        <v>769</v>
      </c>
      <c r="B43" s="9" t="s">
        <v>770</v>
      </c>
      <c r="C43" s="9" t="s">
        <v>771</v>
      </c>
      <c r="D43" s="9" t="str">
        <f>"0,5602"</f>
        <v>0,5602</v>
      </c>
      <c r="E43" s="9" t="s">
        <v>19</v>
      </c>
      <c r="F43" s="9" t="s">
        <v>772</v>
      </c>
      <c r="G43" s="10" t="s">
        <v>104</v>
      </c>
      <c r="H43" s="10" t="s">
        <v>257</v>
      </c>
      <c r="I43" s="11" t="s">
        <v>144</v>
      </c>
      <c r="J43" s="11"/>
      <c r="K43" s="9" t="str">
        <f>"187,5"</f>
        <v>187,5</v>
      </c>
      <c r="L43" s="10" t="str">
        <f>"105,0375"</f>
        <v>105,0375</v>
      </c>
      <c r="M43" s="9" t="s">
        <v>41</v>
      </c>
    </row>
    <row r="44" spans="1:13">
      <c r="A44" s="12" t="s">
        <v>774</v>
      </c>
      <c r="B44" s="12" t="s">
        <v>775</v>
      </c>
      <c r="C44" s="12" t="s">
        <v>776</v>
      </c>
      <c r="D44" s="12" t="str">
        <f>"0,5565"</f>
        <v>0,5565</v>
      </c>
      <c r="E44" s="12" t="s">
        <v>19</v>
      </c>
      <c r="F44" s="12" t="s">
        <v>111</v>
      </c>
      <c r="G44" s="13" t="s">
        <v>53</v>
      </c>
      <c r="H44" s="14" t="s">
        <v>296</v>
      </c>
      <c r="I44" s="14" t="s">
        <v>296</v>
      </c>
      <c r="J44" s="14"/>
      <c r="K44" s="12" t="str">
        <f>"155,0"</f>
        <v>155,0</v>
      </c>
      <c r="L44" s="13" t="str">
        <f>"86,2575"</f>
        <v>86,2575</v>
      </c>
      <c r="M44" s="12" t="s">
        <v>41</v>
      </c>
    </row>
    <row r="45" spans="1:13">
      <c r="A45" s="12" t="s">
        <v>777</v>
      </c>
      <c r="B45" s="12" t="s">
        <v>778</v>
      </c>
      <c r="C45" s="12" t="s">
        <v>779</v>
      </c>
      <c r="D45" s="12" t="str">
        <f>"0,5613"</f>
        <v>0,5613</v>
      </c>
      <c r="E45" s="12" t="s">
        <v>19</v>
      </c>
      <c r="F45" s="12" t="s">
        <v>601</v>
      </c>
      <c r="G45" s="14" t="s">
        <v>270</v>
      </c>
      <c r="H45" s="14" t="s">
        <v>270</v>
      </c>
      <c r="I45" s="14" t="s">
        <v>270</v>
      </c>
      <c r="J45" s="14"/>
      <c r="K45" s="12" t="str">
        <f>"0,0"</f>
        <v>0,0</v>
      </c>
      <c r="L45" s="13" t="str">
        <f>"0,0000"</f>
        <v>0,0000</v>
      </c>
      <c r="M45" s="12" t="s">
        <v>41</v>
      </c>
    </row>
    <row r="46" spans="1:13">
      <c r="A46" s="15" t="s">
        <v>622</v>
      </c>
      <c r="B46" s="15" t="s">
        <v>623</v>
      </c>
      <c r="C46" s="15" t="s">
        <v>304</v>
      </c>
      <c r="D46" s="15" t="str">
        <f>"0,5633"</f>
        <v>0,5633</v>
      </c>
      <c r="E46" s="15" t="s">
        <v>19</v>
      </c>
      <c r="F46" s="15" t="s">
        <v>233</v>
      </c>
      <c r="G46" s="16" t="s">
        <v>189</v>
      </c>
      <c r="H46" s="17" t="s">
        <v>59</v>
      </c>
      <c r="I46" s="17" t="s">
        <v>59</v>
      </c>
      <c r="J46" s="17"/>
      <c r="K46" s="15" t="str">
        <f>"125,0"</f>
        <v>125,0</v>
      </c>
      <c r="L46" s="16" t="str">
        <f>"111,9559"</f>
        <v>111,9559</v>
      </c>
      <c r="M46" s="15" t="s">
        <v>41</v>
      </c>
    </row>
    <row r="48" spans="1:13" ht="15">
      <c r="A48" s="50" t="s">
        <v>146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3">
      <c r="A49" s="9" t="s">
        <v>781</v>
      </c>
      <c r="B49" s="9" t="s">
        <v>782</v>
      </c>
      <c r="C49" s="9" t="s">
        <v>783</v>
      </c>
      <c r="D49" s="9" t="str">
        <f>"0,5398"</f>
        <v>0,5398</v>
      </c>
      <c r="E49" s="9" t="s">
        <v>19</v>
      </c>
      <c r="F49" s="9" t="s">
        <v>784</v>
      </c>
      <c r="G49" s="10" t="s">
        <v>53</v>
      </c>
      <c r="H49" s="10" t="s">
        <v>785</v>
      </c>
      <c r="I49" s="11" t="s">
        <v>270</v>
      </c>
      <c r="J49" s="11"/>
      <c r="K49" s="9" t="str">
        <f>"167,5"</f>
        <v>167,5</v>
      </c>
      <c r="L49" s="10" t="str">
        <f>"90,4165"</f>
        <v>90,4165</v>
      </c>
      <c r="M49" s="9" t="s">
        <v>41</v>
      </c>
    </row>
    <row r="50" spans="1:13">
      <c r="A50" s="12" t="s">
        <v>787</v>
      </c>
      <c r="B50" s="12" t="s">
        <v>788</v>
      </c>
      <c r="C50" s="12" t="s">
        <v>789</v>
      </c>
      <c r="D50" s="12" t="str">
        <f>"0,5375"</f>
        <v>0,5375</v>
      </c>
      <c r="E50" s="12" t="s">
        <v>19</v>
      </c>
      <c r="F50" s="12" t="s">
        <v>35</v>
      </c>
      <c r="G50" s="13" t="s">
        <v>611</v>
      </c>
      <c r="H50" s="14" t="s">
        <v>76</v>
      </c>
      <c r="I50" s="13" t="s">
        <v>296</v>
      </c>
      <c r="J50" s="14"/>
      <c r="K50" s="12" t="str">
        <f>"162,5"</f>
        <v>162,5</v>
      </c>
      <c r="L50" s="13" t="str">
        <f>"87,3438"</f>
        <v>87,3438</v>
      </c>
      <c r="M50" s="12" t="s">
        <v>41</v>
      </c>
    </row>
    <row r="51" spans="1:13">
      <c r="A51" s="12" t="s">
        <v>791</v>
      </c>
      <c r="B51" s="12" t="s">
        <v>792</v>
      </c>
      <c r="C51" s="12" t="s">
        <v>793</v>
      </c>
      <c r="D51" s="12" t="str">
        <f>"0,5515"</f>
        <v>0,5515</v>
      </c>
      <c r="E51" s="12" t="s">
        <v>19</v>
      </c>
      <c r="F51" s="12" t="s">
        <v>595</v>
      </c>
      <c r="G51" s="13" t="s">
        <v>51</v>
      </c>
      <c r="H51" s="13" t="s">
        <v>547</v>
      </c>
      <c r="I51" s="13" t="s">
        <v>734</v>
      </c>
      <c r="J51" s="14"/>
      <c r="K51" s="12" t="str">
        <f>"147,5"</f>
        <v>147,5</v>
      </c>
      <c r="L51" s="13" t="str">
        <f>"81,3463"</f>
        <v>81,3463</v>
      </c>
      <c r="M51" s="12" t="s">
        <v>41</v>
      </c>
    </row>
    <row r="52" spans="1:13">
      <c r="A52" s="15" t="s">
        <v>795</v>
      </c>
      <c r="B52" s="15" t="s">
        <v>796</v>
      </c>
      <c r="C52" s="15" t="s">
        <v>797</v>
      </c>
      <c r="D52" s="15" t="str">
        <f>"0,5367"</f>
        <v>0,5367</v>
      </c>
      <c r="E52" s="15" t="s">
        <v>19</v>
      </c>
      <c r="F52" s="15" t="s">
        <v>35</v>
      </c>
      <c r="G52" s="16" t="s">
        <v>76</v>
      </c>
      <c r="H52" s="16" t="s">
        <v>296</v>
      </c>
      <c r="I52" s="17" t="s">
        <v>61</v>
      </c>
      <c r="J52" s="17"/>
      <c r="K52" s="15" t="str">
        <f>"162,5"</f>
        <v>162,5</v>
      </c>
      <c r="L52" s="16" t="str">
        <f>"87,4754"</f>
        <v>87,4754</v>
      </c>
      <c r="M52" s="15" t="s">
        <v>41</v>
      </c>
    </row>
    <row r="54" spans="1:13" ht="15">
      <c r="A54" s="50" t="s">
        <v>153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3">
      <c r="A55" s="6" t="s">
        <v>798</v>
      </c>
      <c r="B55" s="6" t="s">
        <v>799</v>
      </c>
      <c r="C55" s="6" t="s">
        <v>800</v>
      </c>
      <c r="D55" s="6" t="str">
        <f>"0,5249"</f>
        <v>0,5249</v>
      </c>
      <c r="E55" s="6" t="s">
        <v>19</v>
      </c>
      <c r="F55" s="6" t="s">
        <v>35</v>
      </c>
      <c r="G55" s="8" t="s">
        <v>296</v>
      </c>
      <c r="H55" s="8" t="s">
        <v>296</v>
      </c>
      <c r="I55" s="8" t="s">
        <v>296</v>
      </c>
      <c r="J55" s="8"/>
      <c r="K55" s="6" t="str">
        <f>"0,0"</f>
        <v>0,0</v>
      </c>
      <c r="L55" s="7" t="str">
        <f>"0,0000"</f>
        <v>0,0000</v>
      </c>
      <c r="M55" s="6" t="s">
        <v>41</v>
      </c>
    </row>
    <row r="57" spans="1:13" ht="15">
      <c r="A57" s="50" t="s">
        <v>322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</row>
    <row r="58" spans="1:13">
      <c r="A58" s="6" t="s">
        <v>802</v>
      </c>
      <c r="B58" s="6" t="s">
        <v>803</v>
      </c>
      <c r="C58" s="6" t="s">
        <v>804</v>
      </c>
      <c r="D58" s="6" t="str">
        <f>"0,5176"</f>
        <v>0,5176</v>
      </c>
      <c r="E58" s="6" t="s">
        <v>19</v>
      </c>
      <c r="F58" s="6" t="s">
        <v>805</v>
      </c>
      <c r="G58" s="7" t="s">
        <v>86</v>
      </c>
      <c r="H58" s="7" t="s">
        <v>580</v>
      </c>
      <c r="I58" s="8" t="s">
        <v>120</v>
      </c>
      <c r="J58" s="8"/>
      <c r="K58" s="6" t="str">
        <f>"207,5"</f>
        <v>207,5</v>
      </c>
      <c r="L58" s="7" t="str">
        <f>"107,4103"</f>
        <v>107,4103</v>
      </c>
      <c r="M58" s="6" t="s">
        <v>41</v>
      </c>
    </row>
    <row r="60" spans="1:13" ht="15">
      <c r="E60" s="18" t="s">
        <v>166</v>
      </c>
    </row>
    <row r="61" spans="1:13" ht="15">
      <c r="E61" s="18" t="s">
        <v>167</v>
      </c>
    </row>
    <row r="62" spans="1:13" ht="15">
      <c r="E62" s="18" t="s">
        <v>168</v>
      </c>
    </row>
    <row r="63" spans="1:13" ht="15">
      <c r="E63" s="18" t="s">
        <v>169</v>
      </c>
    </row>
    <row r="64" spans="1:13" ht="15">
      <c r="E64" s="18" t="s">
        <v>169</v>
      </c>
    </row>
    <row r="65" spans="1:5" ht="15">
      <c r="E65" s="18" t="s">
        <v>170</v>
      </c>
    </row>
    <row r="66" spans="1:5" ht="15">
      <c r="E66" s="18"/>
    </row>
    <row r="68" spans="1:5" ht="18">
      <c r="A68" s="19" t="s">
        <v>171</v>
      </c>
      <c r="B68" s="19"/>
    </row>
    <row r="69" spans="1:5" ht="15">
      <c r="A69" s="20" t="s">
        <v>172</v>
      </c>
      <c r="B69" s="20"/>
    </row>
    <row r="70" spans="1:5" ht="14.25">
      <c r="A70" s="22"/>
      <c r="B70" s="23" t="s">
        <v>806</v>
      </c>
    </row>
    <row r="71" spans="1:5" ht="15">
      <c r="A71" s="24" t="s">
        <v>174</v>
      </c>
      <c r="B71" s="24" t="s">
        <v>175</v>
      </c>
      <c r="C71" s="24" t="s">
        <v>176</v>
      </c>
      <c r="D71" s="24" t="s">
        <v>177</v>
      </c>
      <c r="E71" s="24" t="s">
        <v>178</v>
      </c>
    </row>
    <row r="72" spans="1:5">
      <c r="A72" s="21" t="s">
        <v>680</v>
      </c>
      <c r="B72" s="5" t="s">
        <v>337</v>
      </c>
      <c r="C72" s="5" t="s">
        <v>807</v>
      </c>
      <c r="D72" s="5" t="s">
        <v>25</v>
      </c>
      <c r="E72" s="25" t="s">
        <v>808</v>
      </c>
    </row>
    <row r="73" spans="1:5">
      <c r="A73" s="21" t="s">
        <v>691</v>
      </c>
      <c r="B73" s="5" t="s">
        <v>646</v>
      </c>
      <c r="C73" s="5" t="s">
        <v>180</v>
      </c>
      <c r="D73" s="5" t="s">
        <v>24</v>
      </c>
      <c r="E73" s="25" t="s">
        <v>809</v>
      </c>
    </row>
    <row r="75" spans="1:5" ht="14.25">
      <c r="A75" s="22"/>
      <c r="B75" s="23" t="s">
        <v>173</v>
      </c>
    </row>
    <row r="76" spans="1:5" ht="15">
      <c r="A76" s="24" t="s">
        <v>174</v>
      </c>
      <c r="B76" s="24" t="s">
        <v>175</v>
      </c>
      <c r="C76" s="24" t="s">
        <v>176</v>
      </c>
      <c r="D76" s="24" t="s">
        <v>177</v>
      </c>
      <c r="E76" s="24" t="s">
        <v>178</v>
      </c>
    </row>
    <row r="77" spans="1:5">
      <c r="A77" s="21" t="s">
        <v>695</v>
      </c>
      <c r="B77" s="5" t="s">
        <v>173</v>
      </c>
      <c r="C77" s="5" t="s">
        <v>180</v>
      </c>
      <c r="D77" s="5" t="s">
        <v>690</v>
      </c>
      <c r="E77" s="25" t="s">
        <v>810</v>
      </c>
    </row>
    <row r="78" spans="1:5">
      <c r="A78" s="21" t="s">
        <v>686</v>
      </c>
      <c r="B78" s="5" t="s">
        <v>173</v>
      </c>
      <c r="C78" s="5" t="s">
        <v>24</v>
      </c>
      <c r="D78" s="5" t="s">
        <v>26</v>
      </c>
      <c r="E78" s="25" t="s">
        <v>811</v>
      </c>
    </row>
    <row r="81" spans="1:5" ht="15">
      <c r="A81" s="20" t="s">
        <v>182</v>
      </c>
      <c r="B81" s="20"/>
    </row>
    <row r="82" spans="1:5" ht="14.25">
      <c r="A82" s="22"/>
      <c r="B82" s="23" t="s">
        <v>183</v>
      </c>
    </row>
    <row r="83" spans="1:5" ht="15">
      <c r="A83" s="24" t="s">
        <v>174</v>
      </c>
      <c r="B83" s="24" t="s">
        <v>175</v>
      </c>
      <c r="C83" s="24" t="s">
        <v>176</v>
      </c>
      <c r="D83" s="24" t="s">
        <v>177</v>
      </c>
      <c r="E83" s="24" t="s">
        <v>178</v>
      </c>
    </row>
    <row r="84" spans="1:5">
      <c r="A84" s="21" t="s">
        <v>743</v>
      </c>
      <c r="B84" s="5" t="s">
        <v>184</v>
      </c>
      <c r="C84" s="5" t="s">
        <v>21</v>
      </c>
      <c r="D84" s="5" t="s">
        <v>52</v>
      </c>
      <c r="E84" s="25" t="s">
        <v>812</v>
      </c>
    </row>
    <row r="85" spans="1:5">
      <c r="A85" s="21" t="s">
        <v>715</v>
      </c>
      <c r="B85" s="5" t="s">
        <v>646</v>
      </c>
      <c r="C85" s="5" t="s">
        <v>158</v>
      </c>
      <c r="D85" s="5" t="s">
        <v>40</v>
      </c>
      <c r="E85" s="25" t="s">
        <v>813</v>
      </c>
    </row>
    <row r="86" spans="1:5">
      <c r="A86" s="21" t="s">
        <v>704</v>
      </c>
      <c r="B86" s="5" t="s">
        <v>646</v>
      </c>
      <c r="C86" s="5" t="s">
        <v>180</v>
      </c>
      <c r="D86" s="5" t="s">
        <v>158</v>
      </c>
      <c r="E86" s="25" t="s">
        <v>814</v>
      </c>
    </row>
    <row r="88" spans="1:5" ht="14.25">
      <c r="A88" s="22"/>
      <c r="B88" s="23" t="s">
        <v>192</v>
      </c>
    </row>
    <row r="89" spans="1:5" ht="15">
      <c r="A89" s="24" t="s">
        <v>174</v>
      </c>
      <c r="B89" s="24" t="s">
        <v>175</v>
      </c>
      <c r="C89" s="24" t="s">
        <v>176</v>
      </c>
      <c r="D89" s="24" t="s">
        <v>177</v>
      </c>
      <c r="E89" s="24" t="s">
        <v>178</v>
      </c>
    </row>
    <row r="90" spans="1:5">
      <c r="A90" s="21" t="s">
        <v>721</v>
      </c>
      <c r="B90" s="5" t="s">
        <v>193</v>
      </c>
      <c r="C90" s="5" t="s">
        <v>158</v>
      </c>
      <c r="D90" s="5" t="s">
        <v>479</v>
      </c>
      <c r="E90" s="25" t="s">
        <v>815</v>
      </c>
    </row>
    <row r="91" spans="1:5">
      <c r="A91" s="21" t="s">
        <v>581</v>
      </c>
      <c r="B91" s="5" t="s">
        <v>193</v>
      </c>
      <c r="C91" s="5" t="s">
        <v>21</v>
      </c>
      <c r="D91" s="5" t="s">
        <v>547</v>
      </c>
      <c r="E91" s="25" t="s">
        <v>816</v>
      </c>
    </row>
    <row r="93" spans="1:5" ht="14.25">
      <c r="A93" s="22"/>
      <c r="B93" s="23" t="s">
        <v>173</v>
      </c>
    </row>
    <row r="94" spans="1:5" ht="15">
      <c r="A94" s="24" t="s">
        <v>174</v>
      </c>
      <c r="B94" s="24" t="s">
        <v>175</v>
      </c>
      <c r="C94" s="24" t="s">
        <v>176</v>
      </c>
      <c r="D94" s="24" t="s">
        <v>177</v>
      </c>
      <c r="E94" s="24" t="s">
        <v>178</v>
      </c>
    </row>
    <row r="95" spans="1:5">
      <c r="A95" s="21" t="s">
        <v>801</v>
      </c>
      <c r="B95" s="5" t="s">
        <v>173</v>
      </c>
      <c r="C95" s="5" t="s">
        <v>48</v>
      </c>
      <c r="D95" s="5" t="s">
        <v>580</v>
      </c>
      <c r="E95" s="25" t="s">
        <v>817</v>
      </c>
    </row>
    <row r="96" spans="1:5">
      <c r="A96" s="21" t="s">
        <v>708</v>
      </c>
      <c r="B96" s="5" t="s">
        <v>173</v>
      </c>
      <c r="C96" s="5" t="s">
        <v>180</v>
      </c>
      <c r="D96" s="5" t="s">
        <v>52</v>
      </c>
      <c r="E96" s="25" t="s">
        <v>818</v>
      </c>
    </row>
    <row r="97" spans="1:5">
      <c r="A97" s="21" t="s">
        <v>768</v>
      </c>
      <c r="B97" s="5" t="s">
        <v>173</v>
      </c>
      <c r="C97" s="5" t="s">
        <v>23</v>
      </c>
      <c r="D97" s="5" t="s">
        <v>257</v>
      </c>
      <c r="E97" s="25" t="s">
        <v>819</v>
      </c>
    </row>
    <row r="98" spans="1:5">
      <c r="A98" s="21" t="s">
        <v>711</v>
      </c>
      <c r="B98" s="5" t="s">
        <v>173</v>
      </c>
      <c r="C98" s="5" t="s">
        <v>180</v>
      </c>
      <c r="D98" s="5" t="s">
        <v>189</v>
      </c>
      <c r="E98" s="25" t="s">
        <v>820</v>
      </c>
    </row>
    <row r="99" spans="1:5">
      <c r="A99" s="21" t="s">
        <v>729</v>
      </c>
      <c r="B99" s="5" t="s">
        <v>173</v>
      </c>
      <c r="C99" s="5" t="s">
        <v>201</v>
      </c>
      <c r="D99" s="5" t="s">
        <v>734</v>
      </c>
      <c r="E99" s="25" t="s">
        <v>821</v>
      </c>
    </row>
    <row r="100" spans="1:5">
      <c r="A100" s="21" t="s">
        <v>748</v>
      </c>
      <c r="B100" s="5" t="s">
        <v>173</v>
      </c>
      <c r="C100" s="5" t="s">
        <v>21</v>
      </c>
      <c r="D100" s="5" t="s">
        <v>53</v>
      </c>
      <c r="E100" s="25" t="s">
        <v>822</v>
      </c>
    </row>
    <row r="101" spans="1:5">
      <c r="A101" s="21" t="s">
        <v>780</v>
      </c>
      <c r="B101" s="5" t="s">
        <v>173</v>
      </c>
      <c r="C101" s="5" t="s">
        <v>27</v>
      </c>
      <c r="D101" s="5" t="s">
        <v>785</v>
      </c>
      <c r="E101" s="25" t="s">
        <v>823</v>
      </c>
    </row>
    <row r="102" spans="1:5">
      <c r="A102" s="21" t="s">
        <v>786</v>
      </c>
      <c r="B102" s="5" t="s">
        <v>173</v>
      </c>
      <c r="C102" s="5" t="s">
        <v>27</v>
      </c>
      <c r="D102" s="5" t="s">
        <v>296</v>
      </c>
      <c r="E102" s="25" t="s">
        <v>824</v>
      </c>
    </row>
    <row r="103" spans="1:5">
      <c r="A103" s="21" t="s">
        <v>773</v>
      </c>
      <c r="B103" s="5" t="s">
        <v>173</v>
      </c>
      <c r="C103" s="5" t="s">
        <v>23</v>
      </c>
      <c r="D103" s="5" t="s">
        <v>53</v>
      </c>
      <c r="E103" s="25" t="s">
        <v>825</v>
      </c>
    </row>
    <row r="104" spans="1:5">
      <c r="A104" s="21" t="s">
        <v>752</v>
      </c>
      <c r="B104" s="5" t="s">
        <v>173</v>
      </c>
      <c r="C104" s="5" t="s">
        <v>21</v>
      </c>
      <c r="D104" s="5" t="s">
        <v>52</v>
      </c>
      <c r="E104" s="25" t="s">
        <v>826</v>
      </c>
    </row>
    <row r="105" spans="1:5">
      <c r="A105" s="21" t="s">
        <v>756</v>
      </c>
      <c r="B105" s="5" t="s">
        <v>173</v>
      </c>
      <c r="C105" s="5" t="s">
        <v>21</v>
      </c>
      <c r="D105" s="5" t="s">
        <v>547</v>
      </c>
      <c r="E105" s="25" t="s">
        <v>827</v>
      </c>
    </row>
    <row r="106" spans="1:5">
      <c r="A106" s="21" t="s">
        <v>735</v>
      </c>
      <c r="B106" s="5" t="s">
        <v>173</v>
      </c>
      <c r="C106" s="5" t="s">
        <v>201</v>
      </c>
      <c r="D106" s="5" t="s">
        <v>363</v>
      </c>
      <c r="E106" s="25" t="s">
        <v>828</v>
      </c>
    </row>
    <row r="107" spans="1:5">
      <c r="A107" s="21" t="s">
        <v>739</v>
      </c>
      <c r="B107" s="5" t="s">
        <v>173</v>
      </c>
      <c r="C107" s="5" t="s">
        <v>201</v>
      </c>
      <c r="D107" s="5" t="s">
        <v>59</v>
      </c>
      <c r="E107" s="25" t="s">
        <v>829</v>
      </c>
    </row>
    <row r="108" spans="1:5">
      <c r="A108" s="21" t="s">
        <v>700</v>
      </c>
      <c r="B108" s="5" t="s">
        <v>173</v>
      </c>
      <c r="C108" s="5" t="s">
        <v>24</v>
      </c>
      <c r="D108" s="5" t="s">
        <v>23</v>
      </c>
      <c r="E108" s="25" t="s">
        <v>830</v>
      </c>
    </row>
    <row r="109" spans="1:5">
      <c r="A109" s="21" t="s">
        <v>790</v>
      </c>
      <c r="B109" s="5" t="s">
        <v>173</v>
      </c>
      <c r="C109" s="5" t="s">
        <v>27</v>
      </c>
      <c r="D109" s="5" t="s">
        <v>734</v>
      </c>
      <c r="E109" s="25" t="s">
        <v>831</v>
      </c>
    </row>
    <row r="110" spans="1:5">
      <c r="A110" s="21" t="s">
        <v>760</v>
      </c>
      <c r="B110" s="5" t="s">
        <v>173</v>
      </c>
      <c r="C110" s="5" t="s">
        <v>21</v>
      </c>
      <c r="D110" s="5" t="s">
        <v>23</v>
      </c>
      <c r="E110" s="25" t="s">
        <v>832</v>
      </c>
    </row>
    <row r="112" spans="1:5" ht="14.25">
      <c r="A112" s="22"/>
      <c r="B112" s="23" t="s">
        <v>214</v>
      </c>
    </row>
    <row r="113" spans="1:5" ht="15">
      <c r="A113" s="24" t="s">
        <v>174</v>
      </c>
      <c r="B113" s="24" t="s">
        <v>175</v>
      </c>
      <c r="C113" s="24" t="s">
        <v>176</v>
      </c>
      <c r="D113" s="24" t="s">
        <v>177</v>
      </c>
      <c r="E113" s="24" t="s">
        <v>178</v>
      </c>
    </row>
    <row r="114" spans="1:5">
      <c r="A114" s="21" t="s">
        <v>725</v>
      </c>
      <c r="B114" s="5" t="s">
        <v>833</v>
      </c>
      <c r="C114" s="5" t="s">
        <v>158</v>
      </c>
      <c r="D114" s="5" t="s">
        <v>50</v>
      </c>
      <c r="E114" s="25" t="s">
        <v>834</v>
      </c>
    </row>
    <row r="115" spans="1:5">
      <c r="A115" s="21" t="s">
        <v>621</v>
      </c>
      <c r="B115" s="5" t="s">
        <v>401</v>
      </c>
      <c r="C115" s="5" t="s">
        <v>23</v>
      </c>
      <c r="D115" s="5" t="s">
        <v>189</v>
      </c>
      <c r="E115" s="25" t="s">
        <v>835</v>
      </c>
    </row>
    <row r="116" spans="1:5">
      <c r="A116" s="21" t="s">
        <v>764</v>
      </c>
      <c r="B116" s="5" t="s">
        <v>356</v>
      </c>
      <c r="C116" s="5" t="s">
        <v>21</v>
      </c>
      <c r="D116" s="5" t="s">
        <v>49</v>
      </c>
      <c r="E116" s="25" t="s">
        <v>836</v>
      </c>
    </row>
    <row r="117" spans="1:5">
      <c r="A117" s="21" t="s">
        <v>794</v>
      </c>
      <c r="B117" s="5" t="s">
        <v>356</v>
      </c>
      <c r="C117" s="5" t="s">
        <v>27</v>
      </c>
      <c r="D117" s="5" t="s">
        <v>296</v>
      </c>
      <c r="E117" s="25" t="s">
        <v>837</v>
      </c>
    </row>
  </sheetData>
  <mergeCells count="23">
    <mergeCell ref="A48:L48"/>
    <mergeCell ref="A54:L54"/>
    <mergeCell ref="A57:L57"/>
    <mergeCell ref="A23:L23"/>
    <mergeCell ref="A28:L28"/>
    <mergeCell ref="A33:L33"/>
    <mergeCell ref="A42:L42"/>
    <mergeCell ref="A8:L8"/>
    <mergeCell ref="A11:L11"/>
    <mergeCell ref="A15:L15"/>
    <mergeCell ref="A18:L18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honeticPr fontId="1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93"/>
  <sheetViews>
    <sheetView workbookViewId="0">
      <selection activeCell="A3" sqref="A3:A4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8.140625" style="5" bestFit="1" customWidth="1"/>
    <col min="7" max="8" width="5.85546875" style="4" bestFit="1" customWidth="1"/>
    <col min="9" max="9" width="6.8554687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29.7109375" style="5" bestFit="1" customWidth="1"/>
    <col min="22" max="16384" width="9.140625" style="4"/>
  </cols>
  <sheetData>
    <row r="1" spans="1:21" s="3" customFormat="1" ht="29.1" customHeight="1">
      <c r="A1" s="41" t="s">
        <v>531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0</v>
      </c>
      <c r="B3" s="49" t="s">
        <v>9</v>
      </c>
      <c r="C3" s="49" t="s">
        <v>11</v>
      </c>
      <c r="D3" s="37" t="s">
        <v>13</v>
      </c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39" t="s">
        <v>5</v>
      </c>
    </row>
    <row r="4" spans="1:21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38"/>
      <c r="T4" s="38"/>
      <c r="U4" s="40"/>
    </row>
    <row r="5" spans="1:21" ht="15">
      <c r="A5" s="52" t="s">
        <v>532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1">
      <c r="A6" s="6" t="s">
        <v>534</v>
      </c>
      <c r="B6" s="6" t="s">
        <v>535</v>
      </c>
      <c r="C6" s="6" t="s">
        <v>536</v>
      </c>
      <c r="D6" s="6" t="str">
        <f>"0,9708"</f>
        <v>0,9708</v>
      </c>
      <c r="E6" s="6" t="s">
        <v>290</v>
      </c>
      <c r="F6" s="6" t="s">
        <v>133</v>
      </c>
      <c r="G6" s="7" t="s">
        <v>39</v>
      </c>
      <c r="H6" s="7" t="s">
        <v>28</v>
      </c>
      <c r="I6" s="7" t="s">
        <v>189</v>
      </c>
      <c r="J6" s="8"/>
      <c r="K6" s="7" t="s">
        <v>24</v>
      </c>
      <c r="L6" s="7" t="s">
        <v>537</v>
      </c>
      <c r="M6" s="7" t="s">
        <v>180</v>
      </c>
      <c r="N6" s="8"/>
      <c r="O6" s="7" t="s">
        <v>28</v>
      </c>
      <c r="P6" s="7" t="s">
        <v>59</v>
      </c>
      <c r="Q6" s="7" t="s">
        <v>48</v>
      </c>
      <c r="R6" s="8"/>
      <c r="S6" s="6" t="str">
        <f>"332,5"</f>
        <v>332,5</v>
      </c>
      <c r="T6" s="7" t="str">
        <f>"322,8076"</f>
        <v>322,8076</v>
      </c>
      <c r="U6" s="6" t="s">
        <v>538</v>
      </c>
    </row>
    <row r="8" spans="1:21" ht="15">
      <c r="A8" s="50" t="s">
        <v>222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spans="1:21">
      <c r="A9" s="6" t="s">
        <v>540</v>
      </c>
      <c r="B9" s="6" t="s">
        <v>541</v>
      </c>
      <c r="C9" s="6" t="s">
        <v>542</v>
      </c>
      <c r="D9" s="6" t="str">
        <f>"0,9256"</f>
        <v>0,9256</v>
      </c>
      <c r="E9" s="6" t="s">
        <v>19</v>
      </c>
      <c r="F9" s="6" t="s">
        <v>151</v>
      </c>
      <c r="G9" s="7" t="s">
        <v>21</v>
      </c>
      <c r="H9" s="7" t="s">
        <v>36</v>
      </c>
      <c r="I9" s="8" t="s">
        <v>543</v>
      </c>
      <c r="J9" s="8"/>
      <c r="K9" s="8" t="s">
        <v>544</v>
      </c>
      <c r="L9" s="7" t="s">
        <v>545</v>
      </c>
      <c r="M9" s="8" t="s">
        <v>537</v>
      </c>
      <c r="N9" s="8"/>
      <c r="O9" s="7" t="s">
        <v>546</v>
      </c>
      <c r="P9" s="7" t="s">
        <v>51</v>
      </c>
      <c r="Q9" s="8" t="s">
        <v>547</v>
      </c>
      <c r="R9" s="8"/>
      <c r="S9" s="6" t="str">
        <f>"290,0"</f>
        <v>290,0</v>
      </c>
      <c r="T9" s="7" t="str">
        <f>"268,4240"</f>
        <v>268,4240</v>
      </c>
      <c r="U9" s="6" t="s">
        <v>41</v>
      </c>
    </row>
    <row r="11" spans="1:21" ht="15">
      <c r="A11" s="50" t="s">
        <v>30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1:21">
      <c r="A12" s="6" t="s">
        <v>549</v>
      </c>
      <c r="B12" s="6" t="s">
        <v>550</v>
      </c>
      <c r="C12" s="6" t="s">
        <v>551</v>
      </c>
      <c r="D12" s="6" t="str">
        <f>"0,7258"</f>
        <v>0,7258</v>
      </c>
      <c r="E12" s="6" t="s">
        <v>19</v>
      </c>
      <c r="F12" s="6" t="s">
        <v>127</v>
      </c>
      <c r="G12" s="8" t="s">
        <v>61</v>
      </c>
      <c r="H12" s="7" t="s">
        <v>143</v>
      </c>
      <c r="I12" s="7" t="s">
        <v>86</v>
      </c>
      <c r="J12" s="8"/>
      <c r="K12" s="7" t="s">
        <v>363</v>
      </c>
      <c r="L12" s="7" t="s">
        <v>48</v>
      </c>
      <c r="M12" s="7" t="s">
        <v>49</v>
      </c>
      <c r="N12" s="8"/>
      <c r="O12" s="7" t="s">
        <v>105</v>
      </c>
      <c r="P12" s="7" t="s">
        <v>120</v>
      </c>
      <c r="Q12" s="8" t="s">
        <v>75</v>
      </c>
      <c r="R12" s="8"/>
      <c r="S12" s="6" t="str">
        <f>"555,0"</f>
        <v>555,0</v>
      </c>
      <c r="T12" s="7" t="str">
        <f>"402,8190"</f>
        <v>402,8190</v>
      </c>
      <c r="U12" s="6" t="s">
        <v>41</v>
      </c>
    </row>
    <row r="14" spans="1:21" ht="15">
      <c r="A14" s="50" t="s">
        <v>80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1">
      <c r="A15" s="9" t="s">
        <v>552</v>
      </c>
      <c r="B15" s="9" t="s">
        <v>553</v>
      </c>
      <c r="C15" s="9" t="s">
        <v>554</v>
      </c>
      <c r="D15" s="9" t="str">
        <f>"0,6760"</f>
        <v>0,6760</v>
      </c>
      <c r="E15" s="9" t="s">
        <v>19</v>
      </c>
      <c r="F15" s="9" t="s">
        <v>35</v>
      </c>
      <c r="G15" s="11" t="s">
        <v>48</v>
      </c>
      <c r="H15" s="11" t="s">
        <v>52</v>
      </c>
      <c r="I15" s="11" t="s">
        <v>52</v>
      </c>
      <c r="J15" s="11"/>
      <c r="K15" s="11" t="s">
        <v>27</v>
      </c>
      <c r="L15" s="11"/>
      <c r="M15" s="11"/>
      <c r="N15" s="11"/>
      <c r="O15" s="11" t="s">
        <v>143</v>
      </c>
      <c r="P15" s="11"/>
      <c r="Q15" s="11"/>
      <c r="R15" s="11"/>
      <c r="S15" s="9" t="str">
        <f>"0,0"</f>
        <v>0,0</v>
      </c>
      <c r="T15" s="10" t="str">
        <f>"0,0000"</f>
        <v>0,0000</v>
      </c>
      <c r="U15" s="9" t="s">
        <v>555</v>
      </c>
    </row>
    <row r="16" spans="1:21">
      <c r="A16" s="12" t="s">
        <v>557</v>
      </c>
      <c r="B16" s="12" t="s">
        <v>558</v>
      </c>
      <c r="C16" s="12" t="s">
        <v>559</v>
      </c>
      <c r="D16" s="12" t="str">
        <f>"0,6716"</f>
        <v>0,6716</v>
      </c>
      <c r="E16" s="12" t="s">
        <v>71</v>
      </c>
      <c r="F16" s="12" t="s">
        <v>560</v>
      </c>
      <c r="G16" s="13" t="s">
        <v>49</v>
      </c>
      <c r="H16" s="13" t="s">
        <v>152</v>
      </c>
      <c r="I16" s="13" t="s">
        <v>143</v>
      </c>
      <c r="J16" s="14"/>
      <c r="K16" s="13" t="s">
        <v>21</v>
      </c>
      <c r="L16" s="13" t="s">
        <v>23</v>
      </c>
      <c r="M16" s="13" t="s">
        <v>50</v>
      </c>
      <c r="N16" s="14"/>
      <c r="O16" s="13" t="s">
        <v>86</v>
      </c>
      <c r="P16" s="13" t="s">
        <v>120</v>
      </c>
      <c r="Q16" s="13" t="s">
        <v>74</v>
      </c>
      <c r="R16" s="14"/>
      <c r="S16" s="12" t="str">
        <f>"505,0"</f>
        <v>505,0</v>
      </c>
      <c r="T16" s="13" t="str">
        <f>"339,1580"</f>
        <v>339,1580</v>
      </c>
      <c r="U16" s="12" t="s">
        <v>88</v>
      </c>
    </row>
    <row r="17" spans="1:21">
      <c r="A17" s="12" t="s">
        <v>562</v>
      </c>
      <c r="B17" s="12" t="s">
        <v>563</v>
      </c>
      <c r="C17" s="12" t="s">
        <v>564</v>
      </c>
      <c r="D17" s="12" t="str">
        <f>"0,6673"</f>
        <v>0,6673</v>
      </c>
      <c r="E17" s="12" t="s">
        <v>71</v>
      </c>
      <c r="F17" s="12" t="s">
        <v>117</v>
      </c>
      <c r="G17" s="13" t="s">
        <v>53</v>
      </c>
      <c r="H17" s="14" t="s">
        <v>61</v>
      </c>
      <c r="I17" s="14" t="s">
        <v>61</v>
      </c>
      <c r="J17" s="14"/>
      <c r="K17" s="13" t="s">
        <v>28</v>
      </c>
      <c r="L17" s="13" t="s">
        <v>59</v>
      </c>
      <c r="M17" s="14" t="s">
        <v>51</v>
      </c>
      <c r="N17" s="14"/>
      <c r="O17" s="13" t="s">
        <v>118</v>
      </c>
      <c r="P17" s="13" t="s">
        <v>105</v>
      </c>
      <c r="Q17" s="14" t="s">
        <v>87</v>
      </c>
      <c r="R17" s="14"/>
      <c r="S17" s="12" t="str">
        <f>"485,0"</f>
        <v>485,0</v>
      </c>
      <c r="T17" s="13" t="str">
        <f>"323,6405"</f>
        <v>323,6405</v>
      </c>
      <c r="U17" s="12" t="s">
        <v>565</v>
      </c>
    </row>
    <row r="18" spans="1:21">
      <c r="A18" s="15" t="s">
        <v>557</v>
      </c>
      <c r="B18" s="15" t="s">
        <v>566</v>
      </c>
      <c r="C18" s="15" t="s">
        <v>559</v>
      </c>
      <c r="D18" s="15" t="str">
        <f>"0,6716"</f>
        <v>0,6716</v>
      </c>
      <c r="E18" s="15" t="s">
        <v>71</v>
      </c>
      <c r="F18" s="15" t="s">
        <v>560</v>
      </c>
      <c r="G18" s="16" t="s">
        <v>49</v>
      </c>
      <c r="H18" s="16" t="s">
        <v>152</v>
      </c>
      <c r="I18" s="16" t="s">
        <v>143</v>
      </c>
      <c r="J18" s="17"/>
      <c r="K18" s="16" t="s">
        <v>21</v>
      </c>
      <c r="L18" s="16" t="s">
        <v>23</v>
      </c>
      <c r="M18" s="16" t="s">
        <v>50</v>
      </c>
      <c r="N18" s="17"/>
      <c r="O18" s="16" t="s">
        <v>86</v>
      </c>
      <c r="P18" s="16" t="s">
        <v>120</v>
      </c>
      <c r="Q18" s="16" t="s">
        <v>74</v>
      </c>
      <c r="R18" s="17"/>
      <c r="S18" s="15" t="str">
        <f>"505,0"</f>
        <v>505,0</v>
      </c>
      <c r="T18" s="16" t="str">
        <f>"557,9149"</f>
        <v>557,9149</v>
      </c>
      <c r="U18" s="15" t="s">
        <v>88</v>
      </c>
    </row>
    <row r="20" spans="1:21" ht="15">
      <c r="A20" s="50" t="s">
        <v>89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</row>
    <row r="21" spans="1:21">
      <c r="A21" s="9" t="s">
        <v>568</v>
      </c>
      <c r="B21" s="9" t="s">
        <v>569</v>
      </c>
      <c r="C21" s="9" t="s">
        <v>570</v>
      </c>
      <c r="D21" s="9" t="str">
        <f>"0,6370"</f>
        <v>0,6370</v>
      </c>
      <c r="E21" s="9" t="s">
        <v>19</v>
      </c>
      <c r="F21" s="9" t="s">
        <v>35</v>
      </c>
      <c r="G21" s="10" t="s">
        <v>571</v>
      </c>
      <c r="H21" s="10" t="s">
        <v>572</v>
      </c>
      <c r="I21" s="10" t="s">
        <v>22</v>
      </c>
      <c r="J21" s="11"/>
      <c r="K21" s="10" t="s">
        <v>38</v>
      </c>
      <c r="L21" s="10" t="s">
        <v>545</v>
      </c>
      <c r="M21" s="10" t="s">
        <v>537</v>
      </c>
      <c r="N21" s="11"/>
      <c r="O21" s="10" t="s">
        <v>23</v>
      </c>
      <c r="P21" s="10" t="s">
        <v>39</v>
      </c>
      <c r="Q21" s="10" t="s">
        <v>59</v>
      </c>
      <c r="R21" s="11"/>
      <c r="S21" s="9" t="str">
        <f>"287,5"</f>
        <v>287,5</v>
      </c>
      <c r="T21" s="10" t="str">
        <f>"225,2591"</f>
        <v>225,2591</v>
      </c>
      <c r="U21" s="9" t="s">
        <v>41</v>
      </c>
    </row>
    <row r="22" spans="1:21">
      <c r="A22" s="12" t="s">
        <v>574</v>
      </c>
      <c r="B22" s="12" t="s">
        <v>575</v>
      </c>
      <c r="C22" s="12" t="s">
        <v>115</v>
      </c>
      <c r="D22" s="12" t="str">
        <f>"0,6193"</f>
        <v>0,6193</v>
      </c>
      <c r="E22" s="12" t="s">
        <v>19</v>
      </c>
      <c r="F22" s="12" t="s">
        <v>58</v>
      </c>
      <c r="G22" s="13" t="s">
        <v>105</v>
      </c>
      <c r="H22" s="13" t="s">
        <v>120</v>
      </c>
      <c r="I22" s="13" t="s">
        <v>73</v>
      </c>
      <c r="J22" s="14"/>
      <c r="K22" s="13" t="s">
        <v>61</v>
      </c>
      <c r="L22" s="14" t="s">
        <v>247</v>
      </c>
      <c r="M22" s="14" t="s">
        <v>247</v>
      </c>
      <c r="N22" s="14"/>
      <c r="O22" s="13" t="s">
        <v>97</v>
      </c>
      <c r="P22" s="13" t="s">
        <v>98</v>
      </c>
      <c r="Q22" s="13" t="s">
        <v>95</v>
      </c>
      <c r="R22" s="14"/>
      <c r="S22" s="12" t="str">
        <f>"635,0"</f>
        <v>635,0</v>
      </c>
      <c r="T22" s="13" t="str">
        <f>"405,0532"</f>
        <v>405,0532</v>
      </c>
      <c r="U22" s="12" t="s">
        <v>41</v>
      </c>
    </row>
    <row r="23" spans="1:21">
      <c r="A23" s="15" t="s">
        <v>577</v>
      </c>
      <c r="B23" s="15" t="s">
        <v>578</v>
      </c>
      <c r="C23" s="15" t="s">
        <v>246</v>
      </c>
      <c r="D23" s="15" t="str">
        <f>"0,6318"</f>
        <v>0,6318</v>
      </c>
      <c r="E23" s="15" t="s">
        <v>19</v>
      </c>
      <c r="F23" s="15" t="s">
        <v>579</v>
      </c>
      <c r="G23" s="16" t="s">
        <v>152</v>
      </c>
      <c r="H23" s="17" t="s">
        <v>104</v>
      </c>
      <c r="I23" s="17" t="s">
        <v>104</v>
      </c>
      <c r="J23" s="17"/>
      <c r="K23" s="16" t="s">
        <v>27</v>
      </c>
      <c r="L23" s="17" t="s">
        <v>28</v>
      </c>
      <c r="M23" s="17" t="s">
        <v>28</v>
      </c>
      <c r="N23" s="17"/>
      <c r="O23" s="16" t="s">
        <v>104</v>
      </c>
      <c r="P23" s="16" t="s">
        <v>105</v>
      </c>
      <c r="Q23" s="17" t="s">
        <v>580</v>
      </c>
      <c r="R23" s="17"/>
      <c r="S23" s="15" t="str">
        <f>"480,0"</f>
        <v>480,0</v>
      </c>
      <c r="T23" s="16" t="str">
        <f>"303,2640"</f>
        <v>303,2640</v>
      </c>
      <c r="U23" s="15" t="s">
        <v>41</v>
      </c>
    </row>
    <row r="25" spans="1:21" ht="15">
      <c r="A25" s="50" t="s">
        <v>122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</row>
    <row r="26" spans="1:21">
      <c r="A26" s="9" t="s">
        <v>582</v>
      </c>
      <c r="B26" s="9" t="s">
        <v>583</v>
      </c>
      <c r="C26" s="9" t="s">
        <v>584</v>
      </c>
      <c r="D26" s="9" t="str">
        <f>"0,5885"</f>
        <v>0,5885</v>
      </c>
      <c r="E26" s="9" t="s">
        <v>19</v>
      </c>
      <c r="F26" s="9" t="s">
        <v>233</v>
      </c>
      <c r="G26" s="10" t="s">
        <v>61</v>
      </c>
      <c r="H26" s="10" t="s">
        <v>143</v>
      </c>
      <c r="I26" s="10" t="s">
        <v>585</v>
      </c>
      <c r="J26" s="11"/>
      <c r="K26" s="10" t="s">
        <v>59</v>
      </c>
      <c r="L26" s="10" t="s">
        <v>479</v>
      </c>
      <c r="M26" s="10" t="s">
        <v>547</v>
      </c>
      <c r="N26" s="11"/>
      <c r="O26" s="10" t="s">
        <v>86</v>
      </c>
      <c r="P26" s="10" t="s">
        <v>87</v>
      </c>
      <c r="Q26" s="10" t="s">
        <v>120</v>
      </c>
      <c r="R26" s="11"/>
      <c r="S26" s="9" t="str">
        <f>"542,5"</f>
        <v>542,5</v>
      </c>
      <c r="T26" s="10" t="str">
        <f>"328,8391"</f>
        <v>328,8391</v>
      </c>
      <c r="U26" s="9" t="s">
        <v>41</v>
      </c>
    </row>
    <row r="27" spans="1:21">
      <c r="A27" s="12" t="s">
        <v>587</v>
      </c>
      <c r="B27" s="12" t="s">
        <v>588</v>
      </c>
      <c r="C27" s="12" t="s">
        <v>589</v>
      </c>
      <c r="D27" s="12" t="str">
        <f>"0,5897"</f>
        <v>0,5897</v>
      </c>
      <c r="E27" s="12" t="s">
        <v>71</v>
      </c>
      <c r="F27" s="12" t="s">
        <v>488</v>
      </c>
      <c r="G27" s="13" t="s">
        <v>73</v>
      </c>
      <c r="H27" s="13" t="s">
        <v>74</v>
      </c>
      <c r="I27" s="13" t="s">
        <v>97</v>
      </c>
      <c r="J27" s="14"/>
      <c r="K27" s="13" t="s">
        <v>59</v>
      </c>
      <c r="L27" s="13" t="s">
        <v>51</v>
      </c>
      <c r="M27" s="14" t="s">
        <v>48</v>
      </c>
      <c r="N27" s="14"/>
      <c r="O27" s="13" t="s">
        <v>590</v>
      </c>
      <c r="P27" s="14" t="s">
        <v>386</v>
      </c>
      <c r="Q27" s="14"/>
      <c r="R27" s="14"/>
      <c r="S27" s="12" t="str">
        <f>"602,5"</f>
        <v>602,5</v>
      </c>
      <c r="T27" s="13" t="str">
        <f>"355,2942"</f>
        <v>355,2942</v>
      </c>
      <c r="U27" s="12" t="s">
        <v>41</v>
      </c>
    </row>
    <row r="28" spans="1:21">
      <c r="A28" s="15" t="s">
        <v>592</v>
      </c>
      <c r="B28" s="15" t="s">
        <v>593</v>
      </c>
      <c r="C28" s="15" t="s">
        <v>594</v>
      </c>
      <c r="D28" s="15" t="str">
        <f>"0,5991"</f>
        <v>0,5991</v>
      </c>
      <c r="E28" s="15" t="s">
        <v>19</v>
      </c>
      <c r="F28" s="15" t="s">
        <v>595</v>
      </c>
      <c r="G28" s="17" t="s">
        <v>143</v>
      </c>
      <c r="H28" s="16" t="s">
        <v>143</v>
      </c>
      <c r="I28" s="17" t="s">
        <v>118</v>
      </c>
      <c r="J28" s="17"/>
      <c r="K28" s="16" t="s">
        <v>59</v>
      </c>
      <c r="L28" s="16" t="s">
        <v>51</v>
      </c>
      <c r="M28" s="16" t="s">
        <v>479</v>
      </c>
      <c r="N28" s="17"/>
      <c r="O28" s="16" t="s">
        <v>120</v>
      </c>
      <c r="P28" s="16" t="s">
        <v>74</v>
      </c>
      <c r="Q28" s="16" t="s">
        <v>596</v>
      </c>
      <c r="R28" s="17"/>
      <c r="S28" s="15" t="str">
        <f>"545,0"</f>
        <v>545,0</v>
      </c>
      <c r="T28" s="16" t="str">
        <f>"326,5095"</f>
        <v>326,5095</v>
      </c>
      <c r="U28" s="15" t="s">
        <v>41</v>
      </c>
    </row>
    <row r="30" spans="1:21" ht="15">
      <c r="A30" s="50" t="s">
        <v>128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</row>
    <row r="31" spans="1:21">
      <c r="A31" s="9" t="s">
        <v>598</v>
      </c>
      <c r="B31" s="9" t="s">
        <v>599</v>
      </c>
      <c r="C31" s="9" t="s">
        <v>600</v>
      </c>
      <c r="D31" s="9" t="str">
        <f>"0,5553"</f>
        <v>0,5553</v>
      </c>
      <c r="E31" s="9" t="s">
        <v>19</v>
      </c>
      <c r="F31" s="9" t="s">
        <v>601</v>
      </c>
      <c r="G31" s="10" t="s">
        <v>59</v>
      </c>
      <c r="H31" s="10" t="s">
        <v>48</v>
      </c>
      <c r="I31" s="10" t="s">
        <v>49</v>
      </c>
      <c r="J31" s="11"/>
      <c r="K31" s="10" t="s">
        <v>60</v>
      </c>
      <c r="L31" s="10" t="s">
        <v>22</v>
      </c>
      <c r="M31" s="11" t="s">
        <v>23</v>
      </c>
      <c r="N31" s="11"/>
      <c r="O31" s="10" t="s">
        <v>28</v>
      </c>
      <c r="P31" s="10" t="s">
        <v>59</v>
      </c>
      <c r="Q31" s="11" t="s">
        <v>48</v>
      </c>
      <c r="R31" s="11"/>
      <c r="S31" s="9" t="str">
        <f>"375,0"</f>
        <v>375,0</v>
      </c>
      <c r="T31" s="10" t="str">
        <f>"245,7202"</f>
        <v>245,7202</v>
      </c>
      <c r="U31" s="9" t="s">
        <v>41</v>
      </c>
    </row>
    <row r="32" spans="1:21">
      <c r="A32" s="12" t="s">
        <v>603</v>
      </c>
      <c r="B32" s="12" t="s">
        <v>604</v>
      </c>
      <c r="C32" s="12" t="s">
        <v>605</v>
      </c>
      <c r="D32" s="12" t="str">
        <f>"0,5555"</f>
        <v>0,5555</v>
      </c>
      <c r="E32" s="12" t="s">
        <v>19</v>
      </c>
      <c r="F32" s="12" t="s">
        <v>133</v>
      </c>
      <c r="G32" s="13" t="s">
        <v>73</v>
      </c>
      <c r="H32" s="13" t="s">
        <v>74</v>
      </c>
      <c r="I32" s="13" t="s">
        <v>97</v>
      </c>
      <c r="J32" s="14"/>
      <c r="K32" s="14" t="s">
        <v>76</v>
      </c>
      <c r="L32" s="13" t="s">
        <v>152</v>
      </c>
      <c r="M32" s="14" t="s">
        <v>143</v>
      </c>
      <c r="N32" s="14"/>
      <c r="O32" s="13" t="s">
        <v>95</v>
      </c>
      <c r="P32" s="13" t="s">
        <v>96</v>
      </c>
      <c r="Q32" s="13" t="s">
        <v>77</v>
      </c>
      <c r="R32" s="14"/>
      <c r="S32" s="12" t="str">
        <f>"660,0"</f>
        <v>660,0</v>
      </c>
      <c r="T32" s="13" t="str">
        <f>"366,6300"</f>
        <v>366,6300</v>
      </c>
      <c r="U32" s="12" t="s">
        <v>606</v>
      </c>
    </row>
    <row r="33" spans="1:21">
      <c r="A33" s="12" t="s">
        <v>608</v>
      </c>
      <c r="B33" s="12" t="s">
        <v>609</v>
      </c>
      <c r="C33" s="12" t="s">
        <v>610</v>
      </c>
      <c r="D33" s="12" t="str">
        <f>"0,5639"</f>
        <v>0,5639</v>
      </c>
      <c r="E33" s="12" t="s">
        <v>19</v>
      </c>
      <c r="F33" s="12" t="s">
        <v>35</v>
      </c>
      <c r="G33" s="13" t="s">
        <v>143</v>
      </c>
      <c r="H33" s="13" t="s">
        <v>118</v>
      </c>
      <c r="I33" s="13" t="s">
        <v>144</v>
      </c>
      <c r="J33" s="14"/>
      <c r="K33" s="13" t="s">
        <v>49</v>
      </c>
      <c r="L33" s="13" t="s">
        <v>611</v>
      </c>
      <c r="M33" s="13" t="s">
        <v>296</v>
      </c>
      <c r="N33" s="14"/>
      <c r="O33" s="13" t="s">
        <v>74</v>
      </c>
      <c r="P33" s="13" t="s">
        <v>480</v>
      </c>
      <c r="Q33" s="13" t="s">
        <v>98</v>
      </c>
      <c r="R33" s="14"/>
      <c r="S33" s="12" t="str">
        <f>"602,5"</f>
        <v>602,5</v>
      </c>
      <c r="T33" s="13" t="str">
        <f>"339,7497"</f>
        <v>339,7497</v>
      </c>
      <c r="U33" s="12" t="s">
        <v>41</v>
      </c>
    </row>
    <row r="34" spans="1:21">
      <c r="A34" s="12" t="s">
        <v>613</v>
      </c>
      <c r="B34" s="12" t="s">
        <v>614</v>
      </c>
      <c r="C34" s="12" t="s">
        <v>289</v>
      </c>
      <c r="D34" s="12" t="str">
        <f>"0,5560"</f>
        <v>0,5560</v>
      </c>
      <c r="E34" s="12" t="s">
        <v>19</v>
      </c>
      <c r="F34" s="12" t="s">
        <v>615</v>
      </c>
      <c r="G34" s="13" t="s">
        <v>86</v>
      </c>
      <c r="H34" s="13" t="s">
        <v>105</v>
      </c>
      <c r="I34" s="14" t="s">
        <v>72</v>
      </c>
      <c r="J34" s="14"/>
      <c r="K34" s="13" t="s">
        <v>28</v>
      </c>
      <c r="L34" s="13" t="s">
        <v>189</v>
      </c>
      <c r="M34" s="13" t="s">
        <v>59</v>
      </c>
      <c r="N34" s="14"/>
      <c r="O34" s="13" t="s">
        <v>94</v>
      </c>
      <c r="P34" s="13" t="s">
        <v>77</v>
      </c>
      <c r="Q34" s="14" t="s">
        <v>616</v>
      </c>
      <c r="R34" s="14"/>
      <c r="S34" s="12" t="str">
        <f>"590,0"</f>
        <v>590,0</v>
      </c>
      <c r="T34" s="13" t="str">
        <f>"328,0400"</f>
        <v>328,0400</v>
      </c>
      <c r="U34" s="12" t="s">
        <v>41</v>
      </c>
    </row>
    <row r="35" spans="1:21">
      <c r="A35" s="12" t="s">
        <v>618</v>
      </c>
      <c r="B35" s="12" t="s">
        <v>619</v>
      </c>
      <c r="C35" s="12" t="s">
        <v>620</v>
      </c>
      <c r="D35" s="12" t="str">
        <f>"0,5761"</f>
        <v>0,5761</v>
      </c>
      <c r="E35" s="12" t="s">
        <v>19</v>
      </c>
      <c r="F35" s="12" t="s">
        <v>601</v>
      </c>
      <c r="G35" s="13" t="s">
        <v>104</v>
      </c>
      <c r="H35" s="13" t="s">
        <v>86</v>
      </c>
      <c r="I35" s="14" t="s">
        <v>105</v>
      </c>
      <c r="J35" s="14"/>
      <c r="K35" s="13" t="s">
        <v>59</v>
      </c>
      <c r="L35" s="14" t="s">
        <v>479</v>
      </c>
      <c r="M35" s="14" t="s">
        <v>479</v>
      </c>
      <c r="N35" s="14"/>
      <c r="O35" s="13" t="s">
        <v>104</v>
      </c>
      <c r="P35" s="13" t="s">
        <v>86</v>
      </c>
      <c r="Q35" s="14" t="s">
        <v>105</v>
      </c>
      <c r="R35" s="14"/>
      <c r="S35" s="12" t="str">
        <f>"510,0"</f>
        <v>510,0</v>
      </c>
      <c r="T35" s="13" t="str">
        <f>"293,8110"</f>
        <v>293,8110</v>
      </c>
      <c r="U35" s="12" t="s">
        <v>41</v>
      </c>
    </row>
    <row r="36" spans="1:21">
      <c r="A36" s="15" t="s">
        <v>622</v>
      </c>
      <c r="B36" s="15" t="s">
        <v>623</v>
      </c>
      <c r="C36" s="15" t="s">
        <v>304</v>
      </c>
      <c r="D36" s="15" t="str">
        <f>"0,5633"</f>
        <v>0,5633</v>
      </c>
      <c r="E36" s="15" t="s">
        <v>19</v>
      </c>
      <c r="F36" s="15" t="s">
        <v>233</v>
      </c>
      <c r="G36" s="16" t="s">
        <v>28</v>
      </c>
      <c r="H36" s="16" t="s">
        <v>48</v>
      </c>
      <c r="I36" s="17" t="s">
        <v>76</v>
      </c>
      <c r="J36" s="17"/>
      <c r="K36" s="16" t="s">
        <v>189</v>
      </c>
      <c r="L36" s="17" t="s">
        <v>59</v>
      </c>
      <c r="M36" s="17" t="s">
        <v>59</v>
      </c>
      <c r="N36" s="17"/>
      <c r="O36" s="16" t="s">
        <v>61</v>
      </c>
      <c r="P36" s="16" t="s">
        <v>247</v>
      </c>
      <c r="Q36" s="16" t="s">
        <v>104</v>
      </c>
      <c r="R36" s="17"/>
      <c r="S36" s="15" t="str">
        <f>"445,0"</f>
        <v>445,0</v>
      </c>
      <c r="T36" s="16" t="str">
        <f>"398,5629"</f>
        <v>398,5629</v>
      </c>
      <c r="U36" s="15" t="s">
        <v>41</v>
      </c>
    </row>
    <row r="38" spans="1:21" ht="15">
      <c r="A38" s="50" t="s">
        <v>146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</row>
    <row r="39" spans="1:21">
      <c r="A39" s="9" t="s">
        <v>625</v>
      </c>
      <c r="B39" s="9" t="s">
        <v>626</v>
      </c>
      <c r="C39" s="9" t="s">
        <v>627</v>
      </c>
      <c r="D39" s="9" t="str">
        <f>"0,5475"</f>
        <v>0,5475</v>
      </c>
      <c r="E39" s="9" t="s">
        <v>19</v>
      </c>
      <c r="F39" s="9" t="s">
        <v>20</v>
      </c>
      <c r="G39" s="10" t="s">
        <v>97</v>
      </c>
      <c r="H39" s="10" t="s">
        <v>480</v>
      </c>
      <c r="I39" s="10" t="s">
        <v>94</v>
      </c>
      <c r="J39" s="11"/>
      <c r="K39" s="10" t="s">
        <v>61</v>
      </c>
      <c r="L39" s="11" t="s">
        <v>152</v>
      </c>
      <c r="M39" s="11" t="s">
        <v>152</v>
      </c>
      <c r="N39" s="11"/>
      <c r="O39" s="10" t="s">
        <v>96</v>
      </c>
      <c r="P39" s="11" t="s">
        <v>77</v>
      </c>
      <c r="Q39" s="11" t="s">
        <v>77</v>
      </c>
      <c r="R39" s="11"/>
      <c r="S39" s="9" t="str">
        <f>"660,0"</f>
        <v>660,0</v>
      </c>
      <c r="T39" s="10" t="str">
        <f>"361,3500"</f>
        <v>361,3500</v>
      </c>
      <c r="U39" s="9" t="s">
        <v>41</v>
      </c>
    </row>
    <row r="40" spans="1:21">
      <c r="A40" s="15" t="s">
        <v>629</v>
      </c>
      <c r="B40" s="15" t="s">
        <v>630</v>
      </c>
      <c r="C40" s="15" t="s">
        <v>631</v>
      </c>
      <c r="D40" s="15" t="str">
        <f>"0,5380"</f>
        <v>0,5380</v>
      </c>
      <c r="E40" s="15" t="s">
        <v>19</v>
      </c>
      <c r="F40" s="15" t="s">
        <v>58</v>
      </c>
      <c r="G40" s="16" t="s">
        <v>76</v>
      </c>
      <c r="H40" s="16" t="s">
        <v>143</v>
      </c>
      <c r="I40" s="16" t="s">
        <v>118</v>
      </c>
      <c r="J40" s="17"/>
      <c r="K40" s="16" t="s">
        <v>48</v>
      </c>
      <c r="L40" s="16" t="s">
        <v>49</v>
      </c>
      <c r="M40" s="17" t="s">
        <v>76</v>
      </c>
      <c r="N40" s="17"/>
      <c r="O40" s="16" t="s">
        <v>86</v>
      </c>
      <c r="P40" s="16" t="s">
        <v>105</v>
      </c>
      <c r="Q40" s="16" t="s">
        <v>73</v>
      </c>
      <c r="R40" s="17"/>
      <c r="S40" s="15" t="str">
        <f>"555,0"</f>
        <v>555,0</v>
      </c>
      <c r="T40" s="16" t="str">
        <f>"307,8463"</f>
        <v>307,8463</v>
      </c>
      <c r="U40" s="15" t="s">
        <v>41</v>
      </c>
    </row>
    <row r="42" spans="1:21" ht="15">
      <c r="A42" s="50" t="s">
        <v>153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</row>
    <row r="43" spans="1:21">
      <c r="A43" s="9" t="s">
        <v>633</v>
      </c>
      <c r="B43" s="9" t="s">
        <v>634</v>
      </c>
      <c r="C43" s="9" t="s">
        <v>635</v>
      </c>
      <c r="D43" s="9" t="str">
        <f>"0,5280"</f>
        <v>0,5280</v>
      </c>
      <c r="E43" s="9" t="s">
        <v>19</v>
      </c>
      <c r="F43" s="9" t="s">
        <v>35</v>
      </c>
      <c r="G43" s="10" t="s">
        <v>27</v>
      </c>
      <c r="H43" s="10" t="s">
        <v>189</v>
      </c>
      <c r="I43" s="10" t="s">
        <v>51</v>
      </c>
      <c r="J43" s="11"/>
      <c r="K43" s="10" t="s">
        <v>24</v>
      </c>
      <c r="L43" s="10" t="s">
        <v>180</v>
      </c>
      <c r="M43" s="10" t="s">
        <v>158</v>
      </c>
      <c r="N43" s="11"/>
      <c r="O43" s="10" t="s">
        <v>53</v>
      </c>
      <c r="P43" s="10" t="s">
        <v>152</v>
      </c>
      <c r="Q43" s="10" t="s">
        <v>104</v>
      </c>
      <c r="R43" s="11"/>
      <c r="S43" s="9" t="str">
        <f>"390,0"</f>
        <v>390,0</v>
      </c>
      <c r="T43" s="10" t="str">
        <f>"232,6896"</f>
        <v>232,6896</v>
      </c>
      <c r="U43" s="9" t="s">
        <v>41</v>
      </c>
    </row>
    <row r="44" spans="1:21">
      <c r="A44" s="15" t="s">
        <v>637</v>
      </c>
      <c r="B44" s="15" t="s">
        <v>638</v>
      </c>
      <c r="C44" s="15" t="s">
        <v>639</v>
      </c>
      <c r="D44" s="15" t="str">
        <f>"0,5283"</f>
        <v>0,5283</v>
      </c>
      <c r="E44" s="15" t="s">
        <v>19</v>
      </c>
      <c r="F44" s="15" t="s">
        <v>58</v>
      </c>
      <c r="G44" s="16" t="s">
        <v>49</v>
      </c>
      <c r="H44" s="16" t="s">
        <v>152</v>
      </c>
      <c r="I44" s="17" t="s">
        <v>104</v>
      </c>
      <c r="J44" s="17"/>
      <c r="K44" s="16" t="s">
        <v>28</v>
      </c>
      <c r="L44" s="16" t="s">
        <v>59</v>
      </c>
      <c r="M44" s="16" t="s">
        <v>48</v>
      </c>
      <c r="N44" s="17"/>
      <c r="O44" s="16" t="s">
        <v>76</v>
      </c>
      <c r="P44" s="16" t="s">
        <v>104</v>
      </c>
      <c r="Q44" s="16" t="s">
        <v>86</v>
      </c>
      <c r="R44" s="17"/>
      <c r="S44" s="15" t="str">
        <f>"500,0"</f>
        <v>500,0</v>
      </c>
      <c r="T44" s="16" t="str">
        <f>"319,3573"</f>
        <v>319,3573</v>
      </c>
      <c r="U44" s="15" t="s">
        <v>41</v>
      </c>
    </row>
    <row r="46" spans="1:21" ht="15">
      <c r="E46" s="18" t="s">
        <v>166</v>
      </c>
    </row>
    <row r="47" spans="1:21" ht="15">
      <c r="E47" s="18" t="s">
        <v>167</v>
      </c>
    </row>
    <row r="48" spans="1:21" ht="15">
      <c r="E48" s="18" t="s">
        <v>168</v>
      </c>
    </row>
    <row r="49" spans="1:5" ht="15">
      <c r="E49" s="18" t="s">
        <v>169</v>
      </c>
    </row>
    <row r="50" spans="1:5" ht="15">
      <c r="E50" s="18" t="s">
        <v>169</v>
      </c>
    </row>
    <row r="51" spans="1:5" ht="15">
      <c r="E51" s="18" t="s">
        <v>170</v>
      </c>
    </row>
    <row r="52" spans="1:5" ht="15">
      <c r="E52" s="18"/>
    </row>
    <row r="54" spans="1:5" ht="18">
      <c r="A54" s="19" t="s">
        <v>171</v>
      </c>
      <c r="B54" s="19"/>
    </row>
    <row r="55" spans="1:5" ht="15">
      <c r="A55" s="20" t="s">
        <v>172</v>
      </c>
      <c r="B55" s="20"/>
    </row>
    <row r="56" spans="1:5" ht="14.25">
      <c r="A56" s="22"/>
      <c r="B56" s="23" t="s">
        <v>173</v>
      </c>
    </row>
    <row r="57" spans="1:5" ht="15">
      <c r="A57" s="24" t="s">
        <v>174</v>
      </c>
      <c r="B57" s="24" t="s">
        <v>175</v>
      </c>
      <c r="C57" s="24" t="s">
        <v>176</v>
      </c>
      <c r="D57" s="24" t="s">
        <v>177</v>
      </c>
      <c r="E57" s="24" t="s">
        <v>178</v>
      </c>
    </row>
    <row r="58" spans="1:5">
      <c r="A58" s="21" t="s">
        <v>533</v>
      </c>
      <c r="B58" s="5" t="s">
        <v>173</v>
      </c>
      <c r="C58" s="5" t="s">
        <v>640</v>
      </c>
      <c r="D58" s="5" t="s">
        <v>641</v>
      </c>
      <c r="E58" s="25" t="s">
        <v>642</v>
      </c>
    </row>
    <row r="59" spans="1:5">
      <c r="A59" s="21" t="s">
        <v>539</v>
      </c>
      <c r="B59" s="5" t="s">
        <v>173</v>
      </c>
      <c r="C59" s="5" t="s">
        <v>333</v>
      </c>
      <c r="D59" s="5" t="s">
        <v>165</v>
      </c>
      <c r="E59" s="25" t="s">
        <v>643</v>
      </c>
    </row>
    <row r="62" spans="1:5" ht="15">
      <c r="A62" s="20" t="s">
        <v>182</v>
      </c>
      <c r="B62" s="20"/>
    </row>
    <row r="63" spans="1:5" ht="14.25">
      <c r="A63" s="22"/>
      <c r="B63" s="23" t="s">
        <v>183</v>
      </c>
    </row>
    <row r="64" spans="1:5" ht="15">
      <c r="A64" s="24" t="s">
        <v>174</v>
      </c>
      <c r="B64" s="24" t="s">
        <v>175</v>
      </c>
      <c r="C64" s="24" t="s">
        <v>176</v>
      </c>
      <c r="D64" s="24" t="s">
        <v>177</v>
      </c>
      <c r="E64" s="24" t="s">
        <v>178</v>
      </c>
    </row>
    <row r="65" spans="1:5">
      <c r="A65" s="21" t="s">
        <v>597</v>
      </c>
      <c r="B65" s="5" t="s">
        <v>337</v>
      </c>
      <c r="C65" s="5" t="s">
        <v>23</v>
      </c>
      <c r="D65" s="5" t="s">
        <v>644</v>
      </c>
      <c r="E65" s="25" t="s">
        <v>645</v>
      </c>
    </row>
    <row r="66" spans="1:5">
      <c r="A66" s="21" t="s">
        <v>632</v>
      </c>
      <c r="B66" s="5" t="s">
        <v>646</v>
      </c>
      <c r="C66" s="5" t="s">
        <v>189</v>
      </c>
      <c r="D66" s="5" t="s">
        <v>647</v>
      </c>
      <c r="E66" s="25" t="s">
        <v>648</v>
      </c>
    </row>
    <row r="67" spans="1:5">
      <c r="A67" s="21" t="s">
        <v>567</v>
      </c>
      <c r="B67" s="5" t="s">
        <v>337</v>
      </c>
      <c r="C67" s="5" t="s">
        <v>201</v>
      </c>
      <c r="D67" s="5" t="s">
        <v>649</v>
      </c>
      <c r="E67" s="25" t="s">
        <v>650</v>
      </c>
    </row>
    <row r="69" spans="1:5" ht="14.25">
      <c r="A69" s="22"/>
      <c r="B69" s="23" t="s">
        <v>192</v>
      </c>
    </row>
    <row r="70" spans="1:5" ht="15">
      <c r="A70" s="24" t="s">
        <v>174</v>
      </c>
      <c r="B70" s="24" t="s">
        <v>175</v>
      </c>
      <c r="C70" s="24" t="s">
        <v>176</v>
      </c>
      <c r="D70" s="24" t="s">
        <v>177</v>
      </c>
      <c r="E70" s="24" t="s">
        <v>178</v>
      </c>
    </row>
    <row r="71" spans="1:5">
      <c r="A71" s="21" t="s">
        <v>573</v>
      </c>
      <c r="B71" s="5" t="s">
        <v>193</v>
      </c>
      <c r="C71" s="5" t="s">
        <v>201</v>
      </c>
      <c r="D71" s="5" t="s">
        <v>651</v>
      </c>
      <c r="E71" s="25" t="s">
        <v>652</v>
      </c>
    </row>
    <row r="72" spans="1:5">
      <c r="A72" s="21" t="s">
        <v>581</v>
      </c>
      <c r="B72" s="5" t="s">
        <v>193</v>
      </c>
      <c r="C72" s="5" t="s">
        <v>21</v>
      </c>
      <c r="D72" s="5" t="s">
        <v>653</v>
      </c>
      <c r="E72" s="25" t="s">
        <v>654</v>
      </c>
    </row>
    <row r="74" spans="1:5" ht="14.25">
      <c r="A74" s="22"/>
      <c r="B74" s="23" t="s">
        <v>173</v>
      </c>
    </row>
    <row r="75" spans="1:5" ht="15">
      <c r="A75" s="24" t="s">
        <v>174</v>
      </c>
      <c r="B75" s="24" t="s">
        <v>175</v>
      </c>
      <c r="C75" s="24" t="s">
        <v>176</v>
      </c>
      <c r="D75" s="24" t="s">
        <v>177</v>
      </c>
      <c r="E75" s="24" t="s">
        <v>178</v>
      </c>
    </row>
    <row r="76" spans="1:5">
      <c r="A76" s="21" t="s">
        <v>548</v>
      </c>
      <c r="B76" s="5" t="s">
        <v>173</v>
      </c>
      <c r="C76" s="5" t="s">
        <v>180</v>
      </c>
      <c r="D76" s="5" t="s">
        <v>655</v>
      </c>
      <c r="E76" s="25" t="s">
        <v>656</v>
      </c>
    </row>
    <row r="77" spans="1:5">
      <c r="A77" s="21" t="s">
        <v>602</v>
      </c>
      <c r="B77" s="5" t="s">
        <v>173</v>
      </c>
      <c r="C77" s="5" t="s">
        <v>23</v>
      </c>
      <c r="D77" s="5" t="s">
        <v>657</v>
      </c>
      <c r="E77" s="25" t="s">
        <v>658</v>
      </c>
    </row>
    <row r="78" spans="1:5">
      <c r="A78" s="21" t="s">
        <v>624</v>
      </c>
      <c r="B78" s="5" t="s">
        <v>173</v>
      </c>
      <c r="C78" s="5" t="s">
        <v>27</v>
      </c>
      <c r="D78" s="5" t="s">
        <v>657</v>
      </c>
      <c r="E78" s="25" t="s">
        <v>659</v>
      </c>
    </row>
    <row r="79" spans="1:5">
      <c r="A79" s="21" t="s">
        <v>586</v>
      </c>
      <c r="B79" s="5" t="s">
        <v>173</v>
      </c>
      <c r="C79" s="5" t="s">
        <v>21</v>
      </c>
      <c r="D79" s="5" t="s">
        <v>660</v>
      </c>
      <c r="E79" s="25" t="s">
        <v>661</v>
      </c>
    </row>
    <row r="80" spans="1:5">
      <c r="A80" s="21" t="s">
        <v>607</v>
      </c>
      <c r="B80" s="5" t="s">
        <v>173</v>
      </c>
      <c r="C80" s="5" t="s">
        <v>23</v>
      </c>
      <c r="D80" s="5" t="s">
        <v>660</v>
      </c>
      <c r="E80" s="25" t="s">
        <v>662</v>
      </c>
    </row>
    <row r="81" spans="1:5">
      <c r="A81" s="21" t="s">
        <v>556</v>
      </c>
      <c r="B81" s="5" t="s">
        <v>173</v>
      </c>
      <c r="C81" s="5" t="s">
        <v>158</v>
      </c>
      <c r="D81" s="5" t="s">
        <v>481</v>
      </c>
      <c r="E81" s="25" t="s">
        <v>663</v>
      </c>
    </row>
    <row r="82" spans="1:5">
      <c r="A82" s="21" t="s">
        <v>612</v>
      </c>
      <c r="B82" s="5" t="s">
        <v>173</v>
      </c>
      <c r="C82" s="5" t="s">
        <v>23</v>
      </c>
      <c r="D82" s="5" t="s">
        <v>664</v>
      </c>
      <c r="E82" s="25" t="s">
        <v>665</v>
      </c>
    </row>
    <row r="83" spans="1:5">
      <c r="A83" s="21" t="s">
        <v>591</v>
      </c>
      <c r="B83" s="5" t="s">
        <v>173</v>
      </c>
      <c r="C83" s="5" t="s">
        <v>21</v>
      </c>
      <c r="D83" s="5" t="s">
        <v>666</v>
      </c>
      <c r="E83" s="25" t="s">
        <v>667</v>
      </c>
    </row>
    <row r="84" spans="1:5">
      <c r="A84" s="21" t="s">
        <v>561</v>
      </c>
      <c r="B84" s="5" t="s">
        <v>173</v>
      </c>
      <c r="C84" s="5" t="s">
        <v>158</v>
      </c>
      <c r="D84" s="5" t="s">
        <v>668</v>
      </c>
      <c r="E84" s="25" t="s">
        <v>669</v>
      </c>
    </row>
    <row r="85" spans="1:5">
      <c r="A85" s="21" t="s">
        <v>617</v>
      </c>
      <c r="B85" s="5" t="s">
        <v>173</v>
      </c>
      <c r="C85" s="5" t="s">
        <v>23</v>
      </c>
      <c r="D85" s="5" t="s">
        <v>670</v>
      </c>
      <c r="E85" s="25" t="s">
        <v>671</v>
      </c>
    </row>
    <row r="87" spans="1:5" ht="14.25">
      <c r="A87" s="22"/>
      <c r="B87" s="23" t="s">
        <v>214</v>
      </c>
    </row>
    <row r="88" spans="1:5" ht="15">
      <c r="A88" s="24" t="s">
        <v>174</v>
      </c>
      <c r="B88" s="24" t="s">
        <v>175</v>
      </c>
      <c r="C88" s="24" t="s">
        <v>176</v>
      </c>
      <c r="D88" s="24" t="s">
        <v>177</v>
      </c>
      <c r="E88" s="24" t="s">
        <v>178</v>
      </c>
    </row>
    <row r="89" spans="1:5">
      <c r="A89" s="21" t="s">
        <v>556</v>
      </c>
      <c r="B89" s="5" t="s">
        <v>215</v>
      </c>
      <c r="C89" s="5" t="s">
        <v>158</v>
      </c>
      <c r="D89" s="5" t="s">
        <v>481</v>
      </c>
      <c r="E89" s="25" t="s">
        <v>672</v>
      </c>
    </row>
    <row r="90" spans="1:5">
      <c r="A90" s="21" t="s">
        <v>621</v>
      </c>
      <c r="B90" s="5" t="s">
        <v>401</v>
      </c>
      <c r="C90" s="5" t="s">
        <v>23</v>
      </c>
      <c r="D90" s="5" t="s">
        <v>212</v>
      </c>
      <c r="E90" s="25" t="s">
        <v>673</v>
      </c>
    </row>
    <row r="91" spans="1:5">
      <c r="A91" s="21" t="s">
        <v>636</v>
      </c>
      <c r="B91" s="5" t="s">
        <v>354</v>
      </c>
      <c r="C91" s="5" t="s">
        <v>189</v>
      </c>
      <c r="D91" s="5" t="s">
        <v>216</v>
      </c>
      <c r="E91" s="25" t="s">
        <v>674</v>
      </c>
    </row>
    <row r="92" spans="1:5">
      <c r="A92" s="21" t="s">
        <v>628</v>
      </c>
      <c r="B92" s="5" t="s">
        <v>356</v>
      </c>
      <c r="C92" s="5" t="s">
        <v>27</v>
      </c>
      <c r="D92" s="5" t="s">
        <v>655</v>
      </c>
      <c r="E92" s="25" t="s">
        <v>675</v>
      </c>
    </row>
    <row r="93" spans="1:5">
      <c r="A93" s="21" t="s">
        <v>576</v>
      </c>
      <c r="B93" s="5" t="s">
        <v>356</v>
      </c>
      <c r="C93" s="5" t="s">
        <v>201</v>
      </c>
      <c r="D93" s="5" t="s">
        <v>676</v>
      </c>
      <c r="E93" s="25" t="s">
        <v>677</v>
      </c>
    </row>
  </sheetData>
  <mergeCells count="22">
    <mergeCell ref="A25:T25"/>
    <mergeCell ref="A30:T30"/>
    <mergeCell ref="A38:T38"/>
    <mergeCell ref="A42:T42"/>
    <mergeCell ref="A8:T8"/>
    <mergeCell ref="A11:T11"/>
    <mergeCell ref="A14:T14"/>
    <mergeCell ref="A20:T20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</mergeCells>
  <phoneticPr fontId="10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1" t="s">
        <v>530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/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6" spans="1:13" ht="15">
      <c r="E6" s="18" t="s">
        <v>166</v>
      </c>
    </row>
    <row r="7" spans="1:13" ht="15">
      <c r="E7" s="18" t="s">
        <v>167</v>
      </c>
    </row>
    <row r="8" spans="1:13" ht="15">
      <c r="E8" s="18" t="s">
        <v>168</v>
      </c>
    </row>
    <row r="9" spans="1:13" ht="15">
      <c r="E9" s="18" t="s">
        <v>169</v>
      </c>
    </row>
    <row r="10" spans="1:13" ht="15">
      <c r="E10" s="18" t="s">
        <v>169</v>
      </c>
    </row>
    <row r="11" spans="1:13" ht="15">
      <c r="E11" s="18" t="s">
        <v>170</v>
      </c>
    </row>
    <row r="12" spans="1:13" ht="15">
      <c r="E12" s="18"/>
    </row>
    <row r="14" spans="1:13" ht="18">
      <c r="A14" s="19" t="s">
        <v>171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10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1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1" t="s">
        <v>526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 t="s">
        <v>13</v>
      </c>
      <c r="E3" s="37" t="s">
        <v>7</v>
      </c>
      <c r="F3" s="37" t="s">
        <v>10</v>
      </c>
      <c r="G3" s="37" t="s">
        <v>3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5" spans="1:13" ht="15">
      <c r="A5" s="52" t="s">
        <v>128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6" t="s">
        <v>527</v>
      </c>
      <c r="B6" s="6" t="s">
        <v>476</v>
      </c>
      <c r="C6" s="6" t="s">
        <v>528</v>
      </c>
      <c r="D6" s="6" t="str">
        <f>"0,5575"</f>
        <v>0,5575</v>
      </c>
      <c r="E6" s="6" t="s">
        <v>478</v>
      </c>
      <c r="F6" s="6" t="s">
        <v>233</v>
      </c>
      <c r="G6" s="7" t="s">
        <v>97</v>
      </c>
      <c r="H6" s="7" t="s">
        <v>95</v>
      </c>
      <c r="I6" s="8" t="s">
        <v>77</v>
      </c>
      <c r="J6" s="8"/>
      <c r="K6" s="6" t="str">
        <f>"250,0"</f>
        <v>250,0</v>
      </c>
      <c r="L6" s="7" t="str">
        <f>"159,4450"</f>
        <v>159,4450</v>
      </c>
      <c r="M6" s="6" t="s">
        <v>41</v>
      </c>
    </row>
    <row r="8" spans="1:13" ht="15">
      <c r="E8" s="18" t="s">
        <v>166</v>
      </c>
    </row>
    <row r="9" spans="1:13" ht="15">
      <c r="E9" s="18" t="s">
        <v>167</v>
      </c>
    </row>
    <row r="10" spans="1:13" ht="15">
      <c r="E10" s="18" t="s">
        <v>168</v>
      </c>
    </row>
    <row r="11" spans="1:13" ht="15">
      <c r="E11" s="18" t="s">
        <v>169</v>
      </c>
    </row>
    <row r="12" spans="1:13" ht="15">
      <c r="E12" s="18" t="s">
        <v>169</v>
      </c>
    </row>
    <row r="13" spans="1:13" ht="15">
      <c r="E13" s="18" t="s">
        <v>170</v>
      </c>
    </row>
    <row r="14" spans="1:13" ht="15">
      <c r="E14" s="18"/>
    </row>
    <row r="16" spans="1:13" ht="18">
      <c r="A16" s="19" t="s">
        <v>171</v>
      </c>
      <c r="B16" s="19"/>
    </row>
    <row r="17" spans="1:5" ht="15">
      <c r="A17" s="20" t="s">
        <v>182</v>
      </c>
      <c r="B17" s="20"/>
    </row>
    <row r="18" spans="1:5" ht="14.25">
      <c r="A18" s="22"/>
      <c r="B18" s="23" t="s">
        <v>214</v>
      </c>
    </row>
    <row r="19" spans="1:5" ht="15">
      <c r="A19" s="24" t="s">
        <v>174</v>
      </c>
      <c r="B19" s="24" t="s">
        <v>175</v>
      </c>
      <c r="C19" s="24" t="s">
        <v>176</v>
      </c>
      <c r="D19" s="24" t="s">
        <v>177</v>
      </c>
      <c r="E19" s="24" t="s">
        <v>178</v>
      </c>
    </row>
    <row r="20" spans="1:5">
      <c r="A20" s="21" t="s">
        <v>474</v>
      </c>
      <c r="B20" s="5" t="s">
        <v>218</v>
      </c>
      <c r="C20" s="5" t="s">
        <v>23</v>
      </c>
      <c r="D20" s="5" t="s">
        <v>95</v>
      </c>
      <c r="E20" s="25" t="s">
        <v>529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honeticPr fontId="10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6.5703125" style="5" bestFit="1" customWidth="1"/>
    <col min="4" max="4" width="9.28515625" style="5" bestFit="1" customWidth="1"/>
    <col min="5" max="5" width="22.7109375" style="5" bestFit="1" customWidth="1"/>
    <col min="6" max="6" width="16.7109375" style="5" bestFit="1" customWidth="1"/>
    <col min="7" max="7" width="5.5703125" style="4" bestFit="1" customWidth="1"/>
    <col min="8" max="9" width="2.140625" style="4" bestFit="1" customWidth="1"/>
    <col min="10" max="10" width="4.85546875" style="4" bestFit="1" customWidth="1"/>
    <col min="11" max="11" width="7.85546875" style="5" bestFit="1" customWidth="1"/>
    <col min="12" max="12" width="6.5703125" style="4" bestFit="1" customWidth="1"/>
    <col min="13" max="13" width="16.28515625" style="5" bestFit="1" customWidth="1"/>
    <col min="14" max="16384" width="9.140625" style="4"/>
  </cols>
  <sheetData>
    <row r="1" spans="1:13" s="3" customFormat="1" ht="29.1" customHeight="1">
      <c r="A1" s="41" t="s">
        <v>525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 t="s">
        <v>13</v>
      </c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5" spans="1:13" ht="15">
      <c r="A5" s="52" t="s">
        <v>153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6" t="s">
        <v>510</v>
      </c>
      <c r="B6" s="6" t="s">
        <v>511</v>
      </c>
      <c r="C6" s="6" t="s">
        <v>512</v>
      </c>
      <c r="D6" s="6" t="str">
        <f>"0,5213"</f>
        <v>0,5213</v>
      </c>
      <c r="E6" s="6" t="s">
        <v>71</v>
      </c>
      <c r="F6" s="6" t="s">
        <v>133</v>
      </c>
      <c r="G6" s="8" t="s">
        <v>426</v>
      </c>
      <c r="H6" s="8"/>
      <c r="I6" s="8"/>
      <c r="J6" s="8"/>
      <c r="K6" s="6" t="str">
        <f>"0,0"</f>
        <v>0,0</v>
      </c>
      <c r="L6" s="7" t="str">
        <f>"0,0000"</f>
        <v>0,0000</v>
      </c>
      <c r="M6" s="6" t="s">
        <v>514</v>
      </c>
    </row>
    <row r="8" spans="1:13" ht="15">
      <c r="E8" s="18" t="s">
        <v>166</v>
      </c>
    </row>
    <row r="9" spans="1:13" ht="15">
      <c r="E9" s="18" t="s">
        <v>167</v>
      </c>
    </row>
    <row r="10" spans="1:13" ht="15">
      <c r="E10" s="18" t="s">
        <v>168</v>
      </c>
    </row>
    <row r="11" spans="1:13" ht="15">
      <c r="E11" s="18" t="s">
        <v>169</v>
      </c>
    </row>
    <row r="12" spans="1:13" ht="15">
      <c r="E12" s="18" t="s">
        <v>169</v>
      </c>
    </row>
    <row r="13" spans="1:13" ht="15">
      <c r="E13" s="18" t="s">
        <v>170</v>
      </c>
    </row>
    <row r="14" spans="1:13" ht="15">
      <c r="E14" s="18"/>
    </row>
    <row r="16" spans="1:13" ht="18">
      <c r="A16" s="19" t="s">
        <v>171</v>
      </c>
      <c r="B16" s="19"/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honeticPr fontId="1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1" t="s">
        <v>1020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/>
      <c r="E3" s="37" t="s">
        <v>7</v>
      </c>
      <c r="F3" s="37" t="s">
        <v>10</v>
      </c>
      <c r="G3" s="37" t="s">
        <v>3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6" spans="1:13" ht="15">
      <c r="E6" s="18" t="s">
        <v>166</v>
      </c>
    </row>
    <row r="7" spans="1:13" ht="15">
      <c r="E7" s="18" t="s">
        <v>167</v>
      </c>
    </row>
    <row r="8" spans="1:13" ht="15">
      <c r="E8" s="18" t="s">
        <v>168</v>
      </c>
    </row>
    <row r="9" spans="1:13" ht="15">
      <c r="E9" s="18" t="s">
        <v>169</v>
      </c>
    </row>
    <row r="10" spans="1:13" ht="15">
      <c r="E10" s="18" t="s">
        <v>169</v>
      </c>
    </row>
    <row r="11" spans="1:13" ht="15">
      <c r="E11" s="18" t="s">
        <v>170</v>
      </c>
    </row>
    <row r="12" spans="1:13" ht="15">
      <c r="E12" s="18"/>
    </row>
    <row r="14" spans="1:13" ht="18">
      <c r="A14" s="19" t="s">
        <v>171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10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48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2.57031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6.28515625" style="5" bestFit="1" customWidth="1"/>
    <col min="14" max="16384" width="9.140625" style="4"/>
  </cols>
  <sheetData>
    <row r="1" spans="1:13" s="3" customFormat="1" ht="29.1" customHeight="1">
      <c r="A1" s="41" t="s">
        <v>483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 t="s">
        <v>13</v>
      </c>
      <c r="E3" s="37" t="s">
        <v>7</v>
      </c>
      <c r="F3" s="37" t="s">
        <v>10</v>
      </c>
      <c r="G3" s="37" t="s">
        <v>2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5" spans="1:13" ht="15">
      <c r="A5" s="52" t="s">
        <v>89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6" t="s">
        <v>485</v>
      </c>
      <c r="B6" s="6" t="s">
        <v>486</v>
      </c>
      <c r="C6" s="6" t="s">
        <v>487</v>
      </c>
      <c r="D6" s="6" t="str">
        <f>"0,6888"</f>
        <v>0,6888</v>
      </c>
      <c r="E6" s="6" t="s">
        <v>71</v>
      </c>
      <c r="F6" s="6" t="s">
        <v>488</v>
      </c>
      <c r="G6" s="7" t="s">
        <v>76</v>
      </c>
      <c r="H6" s="7" t="s">
        <v>152</v>
      </c>
      <c r="I6" s="7" t="s">
        <v>104</v>
      </c>
      <c r="J6" s="8"/>
      <c r="K6" s="6" t="str">
        <f>"180,0"</f>
        <v>180,0</v>
      </c>
      <c r="L6" s="7" t="str">
        <f>"123,9930"</f>
        <v>123,9930</v>
      </c>
      <c r="M6" s="6" t="s">
        <v>489</v>
      </c>
    </row>
    <row r="8" spans="1:13" ht="15">
      <c r="A8" s="50" t="s">
        <v>89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3">
      <c r="A9" s="9" t="s">
        <v>490</v>
      </c>
      <c r="B9" s="9" t="s">
        <v>491</v>
      </c>
      <c r="C9" s="9" t="s">
        <v>115</v>
      </c>
      <c r="D9" s="9" t="str">
        <f>"0,6193"</f>
        <v>0,6193</v>
      </c>
      <c r="E9" s="9" t="s">
        <v>71</v>
      </c>
      <c r="F9" s="9" t="s">
        <v>492</v>
      </c>
      <c r="G9" s="11" t="s">
        <v>165</v>
      </c>
      <c r="H9" s="11" t="s">
        <v>163</v>
      </c>
      <c r="I9" s="11" t="s">
        <v>135</v>
      </c>
      <c r="J9" s="11"/>
      <c r="K9" s="9" t="str">
        <f>"0,0"</f>
        <v>0,0</v>
      </c>
      <c r="L9" s="10" t="str">
        <f>"0,0000"</f>
        <v>0,0000</v>
      </c>
      <c r="M9" s="9" t="s">
        <v>88</v>
      </c>
    </row>
    <row r="10" spans="1:13">
      <c r="A10" s="15" t="s">
        <v>490</v>
      </c>
      <c r="B10" s="15" t="s">
        <v>493</v>
      </c>
      <c r="C10" s="15" t="s">
        <v>115</v>
      </c>
      <c r="D10" s="15" t="str">
        <f>"0,6193"</f>
        <v>0,6193</v>
      </c>
      <c r="E10" s="15" t="s">
        <v>71</v>
      </c>
      <c r="F10" s="15" t="s">
        <v>492</v>
      </c>
      <c r="G10" s="17" t="s">
        <v>165</v>
      </c>
      <c r="H10" s="17" t="s">
        <v>163</v>
      </c>
      <c r="I10" s="17" t="s">
        <v>135</v>
      </c>
      <c r="J10" s="17"/>
      <c r="K10" s="15" t="str">
        <f>"0,0"</f>
        <v>0,0</v>
      </c>
      <c r="L10" s="16" t="str">
        <f>"0,0000"</f>
        <v>0,0000</v>
      </c>
      <c r="M10" s="15" t="s">
        <v>88</v>
      </c>
    </row>
    <row r="12" spans="1:13" ht="15">
      <c r="A12" s="50" t="s">
        <v>122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3">
      <c r="A13" s="9" t="s">
        <v>494</v>
      </c>
      <c r="B13" s="9" t="s">
        <v>472</v>
      </c>
      <c r="C13" s="9" t="s">
        <v>473</v>
      </c>
      <c r="D13" s="9" t="str">
        <f>"0,5943"</f>
        <v>0,5943</v>
      </c>
      <c r="E13" s="9" t="s">
        <v>19</v>
      </c>
      <c r="F13" s="9" t="s">
        <v>35</v>
      </c>
      <c r="G13" s="10" t="s">
        <v>72</v>
      </c>
      <c r="H13" s="10" t="s">
        <v>495</v>
      </c>
      <c r="I13" s="10" t="s">
        <v>480</v>
      </c>
      <c r="J13" s="11"/>
      <c r="K13" s="9" t="str">
        <f>"235,0"</f>
        <v>235,0</v>
      </c>
      <c r="L13" s="10" t="str">
        <f>"139,6605"</f>
        <v>139,6605</v>
      </c>
      <c r="M13" s="9" t="s">
        <v>41</v>
      </c>
    </row>
    <row r="14" spans="1:13">
      <c r="A14" s="15" t="s">
        <v>497</v>
      </c>
      <c r="B14" s="15" t="s">
        <v>498</v>
      </c>
      <c r="C14" s="15" t="s">
        <v>410</v>
      </c>
      <c r="D14" s="15" t="str">
        <f>"0,5935"</f>
        <v>0,5935</v>
      </c>
      <c r="E14" s="15" t="s">
        <v>19</v>
      </c>
      <c r="F14" s="15" t="s">
        <v>499</v>
      </c>
      <c r="G14" s="16" t="s">
        <v>495</v>
      </c>
      <c r="H14" s="17" t="s">
        <v>94</v>
      </c>
      <c r="I14" s="17" t="s">
        <v>94</v>
      </c>
      <c r="J14" s="17"/>
      <c r="K14" s="15" t="str">
        <f>"222,5"</f>
        <v>222,5</v>
      </c>
      <c r="L14" s="16" t="str">
        <f>"132,0538"</f>
        <v>132,0538</v>
      </c>
      <c r="M14" s="15" t="s">
        <v>41</v>
      </c>
    </row>
    <row r="16" spans="1:13" ht="15">
      <c r="A16" s="50" t="s">
        <v>146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pans="1:13">
      <c r="A17" s="6" t="s">
        <v>501</v>
      </c>
      <c r="B17" s="6" t="s">
        <v>502</v>
      </c>
      <c r="C17" s="6" t="s">
        <v>503</v>
      </c>
      <c r="D17" s="6" t="str">
        <f>"0,5408"</f>
        <v>0,5408</v>
      </c>
      <c r="E17" s="6" t="s">
        <v>71</v>
      </c>
      <c r="F17" s="6" t="s">
        <v>227</v>
      </c>
      <c r="G17" s="8" t="s">
        <v>77</v>
      </c>
      <c r="H17" s="7" t="s">
        <v>77</v>
      </c>
      <c r="I17" s="7" t="s">
        <v>145</v>
      </c>
      <c r="J17" s="8"/>
      <c r="K17" s="6" t="str">
        <f>"270,0"</f>
        <v>270,0</v>
      </c>
      <c r="L17" s="7" t="str">
        <f>"146,0160"</f>
        <v>146,0160</v>
      </c>
      <c r="M17" s="6" t="s">
        <v>504</v>
      </c>
    </row>
    <row r="19" spans="1:13" ht="15">
      <c r="A19" s="50" t="s">
        <v>153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</row>
    <row r="20" spans="1:13">
      <c r="A20" s="9" t="s">
        <v>506</v>
      </c>
      <c r="B20" s="9" t="s">
        <v>507</v>
      </c>
      <c r="C20" s="9" t="s">
        <v>508</v>
      </c>
      <c r="D20" s="9" t="str">
        <f>"0,5224"</f>
        <v>0,5224</v>
      </c>
      <c r="E20" s="9" t="s">
        <v>71</v>
      </c>
      <c r="F20" s="9" t="s">
        <v>133</v>
      </c>
      <c r="G20" s="10" t="s">
        <v>509</v>
      </c>
      <c r="H20" s="11" t="s">
        <v>138</v>
      </c>
      <c r="I20" s="11" t="s">
        <v>138</v>
      </c>
      <c r="J20" s="11"/>
      <c r="K20" s="9" t="str">
        <f>"295,0"</f>
        <v>295,0</v>
      </c>
      <c r="L20" s="10" t="str">
        <f>"154,1080"</f>
        <v>154,1080</v>
      </c>
      <c r="M20" s="9" t="s">
        <v>88</v>
      </c>
    </row>
    <row r="21" spans="1:13">
      <c r="A21" s="15" t="s">
        <v>510</v>
      </c>
      <c r="B21" s="15" t="s">
        <v>511</v>
      </c>
      <c r="C21" s="15" t="s">
        <v>512</v>
      </c>
      <c r="D21" s="15" t="str">
        <f>"0,5213"</f>
        <v>0,5213</v>
      </c>
      <c r="E21" s="15" t="s">
        <v>71</v>
      </c>
      <c r="F21" s="15" t="s">
        <v>133</v>
      </c>
      <c r="G21" s="17" t="s">
        <v>509</v>
      </c>
      <c r="H21" s="17" t="s">
        <v>513</v>
      </c>
      <c r="I21" s="17"/>
      <c r="J21" s="17"/>
      <c r="K21" s="15" t="str">
        <f>"0,0"</f>
        <v>0,0</v>
      </c>
      <c r="L21" s="16" t="str">
        <f>"0,0000"</f>
        <v>0,0000</v>
      </c>
      <c r="M21" s="15" t="s">
        <v>514</v>
      </c>
    </row>
    <row r="23" spans="1:13" ht="15">
      <c r="A23" s="50" t="s">
        <v>322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3">
      <c r="A24" s="6" t="s">
        <v>516</v>
      </c>
      <c r="B24" s="6" t="s">
        <v>517</v>
      </c>
      <c r="C24" s="6" t="s">
        <v>518</v>
      </c>
      <c r="D24" s="6" t="str">
        <f>"0,5138"</f>
        <v>0,5138</v>
      </c>
      <c r="E24" s="6" t="s">
        <v>19</v>
      </c>
      <c r="F24" s="6" t="s">
        <v>35</v>
      </c>
      <c r="G24" s="7" t="s">
        <v>145</v>
      </c>
      <c r="H24" s="7" t="s">
        <v>137</v>
      </c>
      <c r="I24" s="7" t="s">
        <v>165</v>
      </c>
      <c r="J24" s="8"/>
      <c r="K24" s="6" t="str">
        <f>"290,0"</f>
        <v>290,0</v>
      </c>
      <c r="L24" s="7" t="str">
        <f>"149,0020"</f>
        <v>149,0020</v>
      </c>
      <c r="M24" s="6" t="s">
        <v>41</v>
      </c>
    </row>
    <row r="26" spans="1:13" ht="15">
      <c r="E26" s="18" t="s">
        <v>166</v>
      </c>
    </row>
    <row r="27" spans="1:13" ht="15">
      <c r="E27" s="18" t="s">
        <v>167</v>
      </c>
    </row>
    <row r="28" spans="1:13" ht="15">
      <c r="E28" s="18" t="s">
        <v>168</v>
      </c>
    </row>
    <row r="29" spans="1:13" ht="15">
      <c r="E29" s="18" t="s">
        <v>169</v>
      </c>
    </row>
    <row r="30" spans="1:13" ht="15">
      <c r="E30" s="18" t="s">
        <v>169</v>
      </c>
    </row>
    <row r="31" spans="1:13" ht="15">
      <c r="E31" s="18" t="s">
        <v>170</v>
      </c>
    </row>
    <row r="32" spans="1:13" ht="15">
      <c r="E32" s="18"/>
    </row>
    <row r="34" spans="1:5" ht="18">
      <c r="A34" s="19" t="s">
        <v>171</v>
      </c>
      <c r="B34" s="19"/>
    </row>
    <row r="35" spans="1:5" ht="15">
      <c r="A35" s="20" t="s">
        <v>172</v>
      </c>
      <c r="B35" s="20"/>
    </row>
    <row r="36" spans="1:5" ht="14.25">
      <c r="A36" s="22"/>
      <c r="B36" s="23" t="s">
        <v>173</v>
      </c>
    </row>
    <row r="37" spans="1:5" ht="15">
      <c r="A37" s="24" t="s">
        <v>174</v>
      </c>
      <c r="B37" s="24" t="s">
        <v>175</v>
      </c>
      <c r="C37" s="24" t="s">
        <v>176</v>
      </c>
      <c r="D37" s="24" t="s">
        <v>177</v>
      </c>
      <c r="E37" s="24" t="s">
        <v>178</v>
      </c>
    </row>
    <row r="38" spans="1:5">
      <c r="A38" s="21" t="s">
        <v>484</v>
      </c>
      <c r="B38" s="5" t="s">
        <v>173</v>
      </c>
      <c r="C38" s="5" t="s">
        <v>201</v>
      </c>
      <c r="D38" s="5" t="s">
        <v>104</v>
      </c>
      <c r="E38" s="25" t="s">
        <v>519</v>
      </c>
    </row>
    <row r="41" spans="1:5" ht="15">
      <c r="A41" s="20" t="s">
        <v>182</v>
      </c>
      <c r="B41" s="20"/>
    </row>
    <row r="42" spans="1:5" ht="14.25">
      <c r="A42" s="22"/>
      <c r="B42" s="23" t="s">
        <v>173</v>
      </c>
    </row>
    <row r="43" spans="1:5" ht="15">
      <c r="A43" s="24" t="s">
        <v>174</v>
      </c>
      <c r="B43" s="24" t="s">
        <v>175</v>
      </c>
      <c r="C43" s="24" t="s">
        <v>176</v>
      </c>
      <c r="D43" s="24" t="s">
        <v>177</v>
      </c>
      <c r="E43" s="24" t="s">
        <v>178</v>
      </c>
    </row>
    <row r="44" spans="1:5">
      <c r="A44" s="21" t="s">
        <v>505</v>
      </c>
      <c r="B44" s="5" t="s">
        <v>173</v>
      </c>
      <c r="C44" s="5" t="s">
        <v>189</v>
      </c>
      <c r="D44" s="5" t="s">
        <v>509</v>
      </c>
      <c r="E44" s="25" t="s">
        <v>520</v>
      </c>
    </row>
    <row r="45" spans="1:5">
      <c r="A45" s="21" t="s">
        <v>515</v>
      </c>
      <c r="B45" s="5" t="s">
        <v>173</v>
      </c>
      <c r="C45" s="5" t="s">
        <v>48</v>
      </c>
      <c r="D45" s="5" t="s">
        <v>165</v>
      </c>
      <c r="E45" s="25" t="s">
        <v>521</v>
      </c>
    </row>
    <row r="46" spans="1:5">
      <c r="A46" s="21" t="s">
        <v>500</v>
      </c>
      <c r="B46" s="5" t="s">
        <v>173</v>
      </c>
      <c r="C46" s="5" t="s">
        <v>27</v>
      </c>
      <c r="D46" s="5" t="s">
        <v>145</v>
      </c>
      <c r="E46" s="25" t="s">
        <v>522</v>
      </c>
    </row>
    <row r="47" spans="1:5">
      <c r="A47" s="21" t="s">
        <v>470</v>
      </c>
      <c r="B47" s="5" t="s">
        <v>173</v>
      </c>
      <c r="C47" s="5" t="s">
        <v>21</v>
      </c>
      <c r="D47" s="5" t="s">
        <v>480</v>
      </c>
      <c r="E47" s="25" t="s">
        <v>523</v>
      </c>
    </row>
    <row r="48" spans="1:5">
      <c r="A48" s="21" t="s">
        <v>496</v>
      </c>
      <c r="B48" s="5" t="s">
        <v>173</v>
      </c>
      <c r="C48" s="5" t="s">
        <v>21</v>
      </c>
      <c r="D48" s="5" t="s">
        <v>495</v>
      </c>
      <c r="E48" s="25" t="s">
        <v>524</v>
      </c>
    </row>
  </sheetData>
  <mergeCells count="17">
    <mergeCell ref="A23:L23"/>
    <mergeCell ref="A8:L8"/>
    <mergeCell ref="A12:L12"/>
    <mergeCell ref="A16:L16"/>
    <mergeCell ref="A19:L19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honeticPr fontId="10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U26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1" style="5" bestFit="1" customWidth="1"/>
    <col min="7" max="9" width="5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41" t="s">
        <v>465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0</v>
      </c>
      <c r="B3" s="49" t="s">
        <v>9</v>
      </c>
      <c r="C3" s="49" t="s">
        <v>11</v>
      </c>
      <c r="D3" s="37" t="s">
        <v>13</v>
      </c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39" t="s">
        <v>5</v>
      </c>
    </row>
    <row r="4" spans="1:21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38"/>
      <c r="T4" s="38"/>
      <c r="U4" s="40"/>
    </row>
    <row r="5" spans="1:21" ht="15">
      <c r="A5" s="52" t="s">
        <v>30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1">
      <c r="A6" s="6" t="s">
        <v>467</v>
      </c>
      <c r="B6" s="6" t="s">
        <v>468</v>
      </c>
      <c r="C6" s="6" t="s">
        <v>469</v>
      </c>
      <c r="D6" s="6" t="str">
        <f>"0,7367"</f>
        <v>0,7367</v>
      </c>
      <c r="E6" s="6" t="s">
        <v>19</v>
      </c>
      <c r="F6" s="6" t="s">
        <v>233</v>
      </c>
      <c r="G6" s="7" t="s">
        <v>76</v>
      </c>
      <c r="H6" s="8" t="s">
        <v>104</v>
      </c>
      <c r="I6" s="8" t="s">
        <v>104</v>
      </c>
      <c r="J6" s="8"/>
      <c r="K6" s="7" t="s">
        <v>48</v>
      </c>
      <c r="L6" s="7" t="s">
        <v>52</v>
      </c>
      <c r="M6" s="8" t="s">
        <v>49</v>
      </c>
      <c r="N6" s="8"/>
      <c r="O6" s="7" t="s">
        <v>105</v>
      </c>
      <c r="P6" s="8" t="s">
        <v>72</v>
      </c>
      <c r="Q6" s="8" t="s">
        <v>72</v>
      </c>
      <c r="R6" s="8"/>
      <c r="S6" s="6" t="str">
        <f>"505,0"</f>
        <v>505,0</v>
      </c>
      <c r="T6" s="7" t="str">
        <f>"375,7538"</f>
        <v>375,7538</v>
      </c>
      <c r="U6" s="6" t="s">
        <v>41</v>
      </c>
    </row>
    <row r="8" spans="1:21" ht="15">
      <c r="A8" s="50" t="s">
        <v>122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spans="1:21">
      <c r="A9" s="6" t="s">
        <v>471</v>
      </c>
      <c r="B9" s="6" t="s">
        <v>472</v>
      </c>
      <c r="C9" s="6" t="s">
        <v>473</v>
      </c>
      <c r="D9" s="6" t="str">
        <f>"0,5943"</f>
        <v>0,5943</v>
      </c>
      <c r="E9" s="6" t="s">
        <v>19</v>
      </c>
      <c r="F9" s="6" t="s">
        <v>35</v>
      </c>
      <c r="G9" s="7" t="s">
        <v>95</v>
      </c>
      <c r="H9" s="7" t="s">
        <v>77</v>
      </c>
      <c r="I9" s="7" t="s">
        <v>145</v>
      </c>
      <c r="J9" s="8"/>
      <c r="K9" s="8" t="s">
        <v>94</v>
      </c>
      <c r="L9" s="8" t="s">
        <v>94</v>
      </c>
      <c r="M9" s="8" t="s">
        <v>94</v>
      </c>
      <c r="N9" s="8"/>
      <c r="O9" s="8" t="s">
        <v>94</v>
      </c>
      <c r="P9" s="8"/>
      <c r="Q9" s="8"/>
      <c r="R9" s="8"/>
      <c r="S9" s="6" t="str">
        <f>"0,0"</f>
        <v>0,0</v>
      </c>
      <c r="T9" s="7" t="str">
        <f>"0,0000"</f>
        <v>0,0000</v>
      </c>
      <c r="U9" s="6" t="s">
        <v>41</v>
      </c>
    </row>
    <row r="11" spans="1:21" ht="15">
      <c r="A11" s="50" t="s">
        <v>128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1:21">
      <c r="A12" s="6" t="s">
        <v>475</v>
      </c>
      <c r="B12" s="6" t="s">
        <v>476</v>
      </c>
      <c r="C12" s="6" t="s">
        <v>477</v>
      </c>
      <c r="D12" s="6" t="str">
        <f>"0,5597"</f>
        <v>0,5597</v>
      </c>
      <c r="E12" s="6" t="s">
        <v>478</v>
      </c>
      <c r="F12" s="6" t="s">
        <v>233</v>
      </c>
      <c r="G12" s="8" t="s">
        <v>120</v>
      </c>
      <c r="H12" s="8" t="s">
        <v>120</v>
      </c>
      <c r="I12" s="8" t="s">
        <v>120</v>
      </c>
      <c r="J12" s="8"/>
      <c r="K12" s="8" t="s">
        <v>479</v>
      </c>
      <c r="L12" s="8"/>
      <c r="M12" s="8"/>
      <c r="N12" s="8"/>
      <c r="O12" s="8" t="s">
        <v>480</v>
      </c>
      <c r="P12" s="8"/>
      <c r="Q12" s="8"/>
      <c r="R12" s="8"/>
      <c r="S12" s="6" t="str">
        <f>"0,0"</f>
        <v>0,0</v>
      </c>
      <c r="T12" s="7" t="str">
        <f>"0,0000"</f>
        <v>0,0000</v>
      </c>
      <c r="U12" s="6" t="s">
        <v>41</v>
      </c>
    </row>
    <row r="14" spans="1:21" ht="15">
      <c r="E14" s="18" t="s">
        <v>166</v>
      </c>
    </row>
    <row r="15" spans="1:21" ht="15">
      <c r="E15" s="18" t="s">
        <v>167</v>
      </c>
    </row>
    <row r="16" spans="1:21" ht="15">
      <c r="E16" s="18" t="s">
        <v>168</v>
      </c>
    </row>
    <row r="17" spans="1:5" ht="15">
      <c r="E17" s="18" t="s">
        <v>169</v>
      </c>
    </row>
    <row r="18" spans="1:5" ht="15">
      <c r="E18" s="18" t="s">
        <v>169</v>
      </c>
    </row>
    <row r="19" spans="1:5" ht="15">
      <c r="E19" s="18" t="s">
        <v>170</v>
      </c>
    </row>
    <row r="20" spans="1:5" ht="15">
      <c r="E20" s="18"/>
    </row>
    <row r="22" spans="1:5" ht="18">
      <c r="A22" s="19" t="s">
        <v>171</v>
      </c>
      <c r="B22" s="19"/>
    </row>
    <row r="23" spans="1:5" ht="15">
      <c r="A23" s="20" t="s">
        <v>182</v>
      </c>
      <c r="B23" s="20"/>
    </row>
    <row r="24" spans="1:5" ht="14.25">
      <c r="A24" s="22"/>
      <c r="B24" s="23" t="s">
        <v>192</v>
      </c>
    </row>
    <row r="25" spans="1:5" ht="15">
      <c r="A25" s="24" t="s">
        <v>174</v>
      </c>
      <c r="B25" s="24" t="s">
        <v>175</v>
      </c>
      <c r="C25" s="24" t="s">
        <v>176</v>
      </c>
      <c r="D25" s="24" t="s">
        <v>177</v>
      </c>
      <c r="E25" s="24" t="s">
        <v>178</v>
      </c>
    </row>
    <row r="26" spans="1:5">
      <c r="A26" s="21" t="s">
        <v>466</v>
      </c>
      <c r="B26" s="5" t="s">
        <v>193</v>
      </c>
      <c r="C26" s="5" t="s">
        <v>180</v>
      </c>
      <c r="D26" s="5" t="s">
        <v>481</v>
      </c>
      <c r="E26" s="25" t="s">
        <v>482</v>
      </c>
    </row>
  </sheetData>
  <mergeCells count="16">
    <mergeCell ref="A8:T8"/>
    <mergeCell ref="A11:T11"/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honeticPr fontId="10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1" t="s">
        <v>464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/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6" spans="1:13" ht="15">
      <c r="E6" s="18" t="s">
        <v>166</v>
      </c>
    </row>
    <row r="7" spans="1:13" ht="15">
      <c r="E7" s="18" t="s">
        <v>167</v>
      </c>
    </row>
    <row r="8" spans="1:13" ht="15">
      <c r="E8" s="18" t="s">
        <v>168</v>
      </c>
    </row>
    <row r="9" spans="1:13" ht="15">
      <c r="E9" s="18" t="s">
        <v>169</v>
      </c>
    </row>
    <row r="10" spans="1:13" ht="15">
      <c r="E10" s="18" t="s">
        <v>169</v>
      </c>
    </row>
    <row r="11" spans="1:13" ht="15">
      <c r="E11" s="18" t="s">
        <v>170</v>
      </c>
    </row>
    <row r="12" spans="1:13" ht="15">
      <c r="E12" s="18"/>
    </row>
    <row r="14" spans="1:13" ht="18">
      <c r="A14" s="19" t="s">
        <v>171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10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1.5703125" style="5" bestFit="1" customWidth="1"/>
    <col min="14" max="16384" width="9.140625" style="4"/>
  </cols>
  <sheetData>
    <row r="1" spans="1:13" s="3" customFormat="1" ht="29.1" customHeight="1">
      <c r="A1" s="41" t="s">
        <v>450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 t="s">
        <v>13</v>
      </c>
      <c r="E3" s="37" t="s">
        <v>7</v>
      </c>
      <c r="F3" s="37" t="s">
        <v>10</v>
      </c>
      <c r="G3" s="37" t="s">
        <v>3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5" spans="1:13" ht="15">
      <c r="A5" s="52" t="s">
        <v>122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6" t="s">
        <v>452</v>
      </c>
      <c r="B6" s="6" t="s">
        <v>453</v>
      </c>
      <c r="C6" s="6" t="s">
        <v>263</v>
      </c>
      <c r="D6" s="6" t="str">
        <f>"0,5853"</f>
        <v>0,5853</v>
      </c>
      <c r="E6" s="6" t="s">
        <v>290</v>
      </c>
      <c r="F6" s="6" t="s">
        <v>35</v>
      </c>
      <c r="G6" s="8" t="s">
        <v>163</v>
      </c>
      <c r="H6" s="7" t="s">
        <v>454</v>
      </c>
      <c r="I6" s="8" t="s">
        <v>455</v>
      </c>
      <c r="J6" s="8"/>
      <c r="K6" s="6" t="str">
        <f>"320,0"</f>
        <v>320,0</v>
      </c>
      <c r="L6" s="7" t="str">
        <f>"187,2960"</f>
        <v>187,2960</v>
      </c>
      <c r="M6" s="6" t="s">
        <v>456</v>
      </c>
    </row>
    <row r="8" spans="1:13" ht="15">
      <c r="A8" s="50" t="s">
        <v>128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3">
      <c r="A9" s="6" t="s">
        <v>458</v>
      </c>
      <c r="B9" s="6" t="s">
        <v>459</v>
      </c>
      <c r="C9" s="6" t="s">
        <v>460</v>
      </c>
      <c r="D9" s="6" t="str">
        <f>"0,5619"</f>
        <v>0,5619</v>
      </c>
      <c r="E9" s="6" t="s">
        <v>411</v>
      </c>
      <c r="F9" s="6" t="s">
        <v>412</v>
      </c>
      <c r="G9" s="7" t="s">
        <v>95</v>
      </c>
      <c r="H9" s="8" t="s">
        <v>461</v>
      </c>
      <c r="I9" s="8" t="s">
        <v>163</v>
      </c>
      <c r="J9" s="8"/>
      <c r="K9" s="6" t="str">
        <f>"250,0"</f>
        <v>250,0</v>
      </c>
      <c r="L9" s="7" t="str">
        <f>"140,4750"</f>
        <v>140,4750</v>
      </c>
      <c r="M9" s="6" t="s">
        <v>413</v>
      </c>
    </row>
    <row r="11" spans="1:13" ht="15">
      <c r="E11" s="18" t="s">
        <v>166</v>
      </c>
    </row>
    <row r="12" spans="1:13" ht="15">
      <c r="E12" s="18" t="s">
        <v>167</v>
      </c>
    </row>
    <row r="13" spans="1:13" ht="15">
      <c r="E13" s="18" t="s">
        <v>168</v>
      </c>
    </row>
    <row r="14" spans="1:13" ht="15">
      <c r="E14" s="18" t="s">
        <v>169</v>
      </c>
    </row>
    <row r="15" spans="1:13" ht="15">
      <c r="E15" s="18" t="s">
        <v>169</v>
      </c>
    </row>
    <row r="16" spans="1:13" ht="15">
      <c r="E16" s="18" t="s">
        <v>170</v>
      </c>
    </row>
    <row r="17" spans="1:5" ht="15">
      <c r="E17" s="18"/>
    </row>
    <row r="19" spans="1:5" ht="18">
      <c r="A19" s="19" t="s">
        <v>171</v>
      </c>
      <c r="B19" s="19"/>
    </row>
    <row r="20" spans="1:5" ht="15">
      <c r="A20" s="20" t="s">
        <v>182</v>
      </c>
      <c r="B20" s="20"/>
    </row>
    <row r="21" spans="1:5" ht="14.25">
      <c r="A21" s="22"/>
      <c r="B21" s="23" t="s">
        <v>173</v>
      </c>
    </row>
    <row r="22" spans="1:5" ht="15">
      <c r="A22" s="24" t="s">
        <v>174</v>
      </c>
      <c r="B22" s="24" t="s">
        <v>175</v>
      </c>
      <c r="C22" s="24" t="s">
        <v>176</v>
      </c>
      <c r="D22" s="24" t="s">
        <v>177</v>
      </c>
      <c r="E22" s="24" t="s">
        <v>178</v>
      </c>
    </row>
    <row r="23" spans="1:5">
      <c r="A23" s="21" t="s">
        <v>451</v>
      </c>
      <c r="B23" s="5" t="s">
        <v>173</v>
      </c>
      <c r="C23" s="5" t="s">
        <v>21</v>
      </c>
      <c r="D23" s="5" t="s">
        <v>454</v>
      </c>
      <c r="E23" s="25" t="s">
        <v>462</v>
      </c>
    </row>
    <row r="24" spans="1:5">
      <c r="A24" s="21" t="s">
        <v>457</v>
      </c>
      <c r="B24" s="5" t="s">
        <v>173</v>
      </c>
      <c r="C24" s="5" t="s">
        <v>23</v>
      </c>
      <c r="D24" s="5" t="s">
        <v>95</v>
      </c>
      <c r="E24" s="25" t="s">
        <v>463</v>
      </c>
    </row>
  </sheetData>
  <mergeCells count="13"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A8:L8"/>
    <mergeCell ref="K3:K4"/>
    <mergeCell ref="L3:L4"/>
  </mergeCells>
  <phoneticPr fontId="10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16.71093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3.5703125" style="5" bestFit="1" customWidth="1"/>
    <col min="14" max="16384" width="9.140625" style="4"/>
  </cols>
  <sheetData>
    <row r="1" spans="1:13" s="3" customFormat="1" ht="29.1" customHeight="1">
      <c r="A1" s="41" t="s">
        <v>444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 t="s">
        <v>13</v>
      </c>
      <c r="E3" s="37" t="s">
        <v>7</v>
      </c>
      <c r="F3" s="37" t="s">
        <v>10</v>
      </c>
      <c r="G3" s="37" t="s">
        <v>3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5" spans="1:13" ht="15">
      <c r="A5" s="52" t="s">
        <v>128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6" t="s">
        <v>446</v>
      </c>
      <c r="B6" s="6" t="s">
        <v>447</v>
      </c>
      <c r="C6" s="6" t="s">
        <v>448</v>
      </c>
      <c r="D6" s="6" t="str">
        <f>"0,5648"</f>
        <v>0,5648</v>
      </c>
      <c r="E6" s="6" t="s">
        <v>71</v>
      </c>
      <c r="F6" s="6" t="s">
        <v>412</v>
      </c>
      <c r="G6" s="7" t="s">
        <v>165</v>
      </c>
      <c r="H6" s="7" t="s">
        <v>163</v>
      </c>
      <c r="I6" s="7" t="s">
        <v>138</v>
      </c>
      <c r="J6" s="8"/>
      <c r="K6" s="6" t="str">
        <f>"310,0"</f>
        <v>310,0</v>
      </c>
      <c r="L6" s="7" t="str">
        <f>"200,3007"</f>
        <v>200,3007</v>
      </c>
      <c r="M6" s="6" t="s">
        <v>421</v>
      </c>
    </row>
    <row r="8" spans="1:13" ht="15">
      <c r="E8" s="18" t="s">
        <v>166</v>
      </c>
    </row>
    <row r="9" spans="1:13" ht="15">
      <c r="E9" s="18" t="s">
        <v>167</v>
      </c>
    </row>
    <row r="10" spans="1:13" ht="15">
      <c r="E10" s="18" t="s">
        <v>168</v>
      </c>
    </row>
    <row r="11" spans="1:13" ht="15">
      <c r="E11" s="18" t="s">
        <v>169</v>
      </c>
    </row>
    <row r="12" spans="1:13" ht="15">
      <c r="E12" s="18" t="s">
        <v>169</v>
      </c>
    </row>
    <row r="13" spans="1:13" ht="15">
      <c r="E13" s="18" t="s">
        <v>170</v>
      </c>
    </row>
    <row r="14" spans="1:13" ht="15">
      <c r="E14" s="18"/>
    </row>
    <row r="16" spans="1:13" ht="18">
      <c r="A16" s="19" t="s">
        <v>171</v>
      </c>
      <c r="B16" s="19"/>
    </row>
    <row r="17" spans="1:5" ht="15">
      <c r="A17" s="20" t="s">
        <v>182</v>
      </c>
      <c r="B17" s="20"/>
    </row>
    <row r="18" spans="1:5" ht="14.25">
      <c r="A18" s="22"/>
      <c r="B18" s="23" t="s">
        <v>214</v>
      </c>
    </row>
    <row r="19" spans="1:5" ht="15">
      <c r="A19" s="24" t="s">
        <v>174</v>
      </c>
      <c r="B19" s="24" t="s">
        <v>175</v>
      </c>
      <c r="C19" s="24" t="s">
        <v>176</v>
      </c>
      <c r="D19" s="24" t="s">
        <v>177</v>
      </c>
      <c r="E19" s="24" t="s">
        <v>178</v>
      </c>
    </row>
    <row r="20" spans="1:5">
      <c r="A20" s="21" t="s">
        <v>445</v>
      </c>
      <c r="B20" s="5" t="s">
        <v>218</v>
      </c>
      <c r="C20" s="5" t="s">
        <v>23</v>
      </c>
      <c r="D20" s="5" t="s">
        <v>138</v>
      </c>
      <c r="E20" s="25" t="s">
        <v>449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honeticPr fontId="10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4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1" t="s">
        <v>437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 t="s">
        <v>13</v>
      </c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5" spans="1:13" ht="15">
      <c r="A5" s="52" t="s">
        <v>122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6" t="s">
        <v>439</v>
      </c>
      <c r="B6" s="6" t="s">
        <v>440</v>
      </c>
      <c r="C6" s="6" t="s">
        <v>441</v>
      </c>
      <c r="D6" s="6" t="str">
        <f>"0,6059"</f>
        <v>0,6059</v>
      </c>
      <c r="E6" s="6" t="s">
        <v>19</v>
      </c>
      <c r="F6" s="6" t="s">
        <v>151</v>
      </c>
      <c r="G6" s="7" t="s">
        <v>61</v>
      </c>
      <c r="H6" s="7" t="s">
        <v>143</v>
      </c>
      <c r="I6" s="7" t="s">
        <v>118</v>
      </c>
      <c r="J6" s="8"/>
      <c r="K6" s="6" t="str">
        <f>"185,0"</f>
        <v>185,0</v>
      </c>
      <c r="L6" s="7" t="str">
        <f>"128,2327"</f>
        <v>128,2327</v>
      </c>
      <c r="M6" s="6" t="s">
        <v>41</v>
      </c>
    </row>
    <row r="8" spans="1:13" ht="15">
      <c r="A8" s="50" t="s">
        <v>128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3">
      <c r="A9" s="6" t="s">
        <v>130</v>
      </c>
      <c r="B9" s="6" t="s">
        <v>131</v>
      </c>
      <c r="C9" s="6" t="s">
        <v>132</v>
      </c>
      <c r="D9" s="6" t="str">
        <f>"0,5540"</f>
        <v>0,5540</v>
      </c>
      <c r="E9" s="6" t="s">
        <v>71</v>
      </c>
      <c r="F9" s="6" t="s">
        <v>133</v>
      </c>
      <c r="G9" s="7" t="s">
        <v>134</v>
      </c>
      <c r="H9" s="7" t="s">
        <v>135</v>
      </c>
      <c r="I9" s="7" t="s">
        <v>136</v>
      </c>
      <c r="J9" s="8"/>
      <c r="K9" s="6" t="str">
        <f>"316,0"</f>
        <v>316,0</v>
      </c>
      <c r="L9" s="7" t="str">
        <f>"175,0640"</f>
        <v>175,0640</v>
      </c>
      <c r="M9" s="6" t="s">
        <v>41</v>
      </c>
    </row>
    <row r="11" spans="1:13" ht="15">
      <c r="A11" s="50" t="s">
        <v>153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1:13">
      <c r="A12" s="6" t="s">
        <v>160</v>
      </c>
      <c r="B12" s="6" t="s">
        <v>161</v>
      </c>
      <c r="C12" s="6" t="s">
        <v>162</v>
      </c>
      <c r="D12" s="6" t="str">
        <f>"0,5279"</f>
        <v>0,5279</v>
      </c>
      <c r="E12" s="6" t="s">
        <v>71</v>
      </c>
      <c r="F12" s="6" t="s">
        <v>117</v>
      </c>
      <c r="G12" s="7" t="s">
        <v>137</v>
      </c>
      <c r="H12" s="7" t="s">
        <v>163</v>
      </c>
      <c r="I12" s="8" t="s">
        <v>164</v>
      </c>
      <c r="J12" s="8"/>
      <c r="K12" s="6" t="str">
        <f>"300,0"</f>
        <v>300,0</v>
      </c>
      <c r="L12" s="7" t="str">
        <f>"158,3700"</f>
        <v>158,3700</v>
      </c>
      <c r="M12" s="6" t="s">
        <v>41</v>
      </c>
    </row>
    <row r="14" spans="1:13" ht="15">
      <c r="E14" s="18" t="s">
        <v>166</v>
      </c>
    </row>
    <row r="15" spans="1:13" ht="15">
      <c r="E15" s="18" t="s">
        <v>167</v>
      </c>
    </row>
    <row r="16" spans="1:13" ht="15">
      <c r="E16" s="18" t="s">
        <v>168</v>
      </c>
    </row>
    <row r="17" spans="1:5" ht="15">
      <c r="E17" s="18" t="s">
        <v>169</v>
      </c>
    </row>
    <row r="18" spans="1:5" ht="15">
      <c r="E18" s="18" t="s">
        <v>169</v>
      </c>
    </row>
    <row r="19" spans="1:5" ht="15">
      <c r="E19" s="18" t="s">
        <v>170</v>
      </c>
    </row>
    <row r="20" spans="1:5" ht="15">
      <c r="E20" s="18"/>
    </row>
    <row r="22" spans="1:5" ht="18">
      <c r="A22" s="19" t="s">
        <v>171</v>
      </c>
      <c r="B22" s="19"/>
    </row>
    <row r="23" spans="1:5" ht="15">
      <c r="A23" s="20" t="s">
        <v>182</v>
      </c>
      <c r="B23" s="20"/>
    </row>
    <row r="24" spans="1:5" ht="14.25">
      <c r="A24" s="22"/>
      <c r="B24" s="23" t="s">
        <v>173</v>
      </c>
    </row>
    <row r="25" spans="1:5" ht="15">
      <c r="A25" s="24" t="s">
        <v>174</v>
      </c>
      <c r="B25" s="24" t="s">
        <v>175</v>
      </c>
      <c r="C25" s="24" t="s">
        <v>176</v>
      </c>
      <c r="D25" s="24" t="s">
        <v>177</v>
      </c>
      <c r="E25" s="24" t="s">
        <v>178</v>
      </c>
    </row>
    <row r="26" spans="1:5">
      <c r="A26" s="21" t="s">
        <v>129</v>
      </c>
      <c r="B26" s="5" t="s">
        <v>173</v>
      </c>
      <c r="C26" s="5" t="s">
        <v>23</v>
      </c>
      <c r="D26" s="5" t="s">
        <v>136</v>
      </c>
      <c r="E26" s="25" t="s">
        <v>442</v>
      </c>
    </row>
    <row r="27" spans="1:5">
      <c r="A27" s="21" t="s">
        <v>159</v>
      </c>
      <c r="B27" s="5" t="s">
        <v>173</v>
      </c>
      <c r="C27" s="5" t="s">
        <v>189</v>
      </c>
      <c r="D27" s="5" t="s">
        <v>163</v>
      </c>
      <c r="E27" s="25" t="s">
        <v>394</v>
      </c>
    </row>
    <row r="29" spans="1:5" ht="14.25">
      <c r="A29" s="22"/>
      <c r="B29" s="23" t="s">
        <v>214</v>
      </c>
    </row>
    <row r="30" spans="1:5" ht="15">
      <c r="A30" s="24" t="s">
        <v>174</v>
      </c>
      <c r="B30" s="24" t="s">
        <v>175</v>
      </c>
      <c r="C30" s="24" t="s">
        <v>176</v>
      </c>
      <c r="D30" s="24" t="s">
        <v>177</v>
      </c>
      <c r="E30" s="24" t="s">
        <v>178</v>
      </c>
    </row>
    <row r="31" spans="1:5">
      <c r="A31" s="21" t="s">
        <v>438</v>
      </c>
      <c r="B31" s="5" t="s">
        <v>218</v>
      </c>
      <c r="C31" s="5" t="s">
        <v>21</v>
      </c>
      <c r="D31" s="5" t="s">
        <v>118</v>
      </c>
      <c r="E31" s="25" t="s">
        <v>443</v>
      </c>
    </row>
  </sheetData>
  <mergeCells count="14">
    <mergeCell ref="A8:L8"/>
    <mergeCell ref="A11:L11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honeticPr fontId="10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1" t="s">
        <v>436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/>
      <c r="E3" s="37" t="s">
        <v>7</v>
      </c>
      <c r="F3" s="37" t="s">
        <v>10</v>
      </c>
      <c r="G3" s="37" t="s">
        <v>2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6" spans="1:13" ht="15">
      <c r="E6" s="18" t="s">
        <v>166</v>
      </c>
    </row>
    <row r="7" spans="1:13" ht="15">
      <c r="E7" s="18" t="s">
        <v>167</v>
      </c>
    </row>
    <row r="8" spans="1:13" ht="15">
      <c r="E8" s="18" t="s">
        <v>168</v>
      </c>
    </row>
    <row r="9" spans="1:13" ht="15">
      <c r="E9" s="18" t="s">
        <v>169</v>
      </c>
    </row>
    <row r="10" spans="1:13" ht="15">
      <c r="E10" s="18" t="s">
        <v>169</v>
      </c>
    </row>
    <row r="11" spans="1:13" ht="15">
      <c r="E11" s="18" t="s">
        <v>170</v>
      </c>
    </row>
    <row r="12" spans="1:13" ht="15">
      <c r="E12" s="18"/>
    </row>
    <row r="14" spans="1:13" ht="18">
      <c r="A14" s="19" t="s">
        <v>171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10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16.7109375" style="5" bestFit="1" customWidth="1"/>
    <col min="7" max="9" width="5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16.7109375" style="5" bestFit="1" customWidth="1"/>
    <col min="22" max="16384" width="9.140625" style="4"/>
  </cols>
  <sheetData>
    <row r="1" spans="1:21" s="3" customFormat="1" ht="29.1" customHeight="1">
      <c r="A1" s="41" t="s">
        <v>406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0</v>
      </c>
      <c r="B3" s="49" t="s">
        <v>9</v>
      </c>
      <c r="C3" s="49" t="s">
        <v>11</v>
      </c>
      <c r="D3" s="37" t="s">
        <v>13</v>
      </c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39" t="s">
        <v>5</v>
      </c>
    </row>
    <row r="4" spans="1:21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38"/>
      <c r="T4" s="38"/>
      <c r="U4" s="40"/>
    </row>
    <row r="5" spans="1:21" ht="15">
      <c r="A5" s="52" t="s">
        <v>122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1">
      <c r="A6" s="6" t="s">
        <v>408</v>
      </c>
      <c r="B6" s="6" t="s">
        <v>409</v>
      </c>
      <c r="C6" s="6" t="s">
        <v>410</v>
      </c>
      <c r="D6" s="6" t="str">
        <f>"0,5935"</f>
        <v>0,5935</v>
      </c>
      <c r="E6" s="6" t="s">
        <v>411</v>
      </c>
      <c r="F6" s="6" t="s">
        <v>412</v>
      </c>
      <c r="G6" s="7" t="s">
        <v>94</v>
      </c>
      <c r="H6" s="7" t="s">
        <v>77</v>
      </c>
      <c r="I6" s="8" t="s">
        <v>137</v>
      </c>
      <c r="J6" s="8"/>
      <c r="K6" s="8" t="s">
        <v>76</v>
      </c>
      <c r="L6" s="7" t="s">
        <v>76</v>
      </c>
      <c r="M6" s="7" t="s">
        <v>152</v>
      </c>
      <c r="N6" s="8"/>
      <c r="O6" s="7" t="s">
        <v>95</v>
      </c>
      <c r="P6" s="8" t="s">
        <v>145</v>
      </c>
      <c r="Q6" s="8" t="s">
        <v>145</v>
      </c>
      <c r="R6" s="8"/>
      <c r="S6" s="6" t="str">
        <f>"680,0"</f>
        <v>680,0</v>
      </c>
      <c r="T6" s="7" t="str">
        <f>"403,5800"</f>
        <v>403,5800</v>
      </c>
      <c r="U6" s="6" t="s">
        <v>413</v>
      </c>
    </row>
    <row r="8" spans="1:21" ht="15">
      <c r="A8" s="50" t="s">
        <v>128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spans="1:21">
      <c r="A9" s="6" t="s">
        <v>415</v>
      </c>
      <c r="B9" s="6" t="s">
        <v>416</v>
      </c>
      <c r="C9" s="6" t="s">
        <v>417</v>
      </c>
      <c r="D9" s="6" t="str">
        <f>"0,5568"</f>
        <v>0,5568</v>
      </c>
      <c r="E9" s="6" t="s">
        <v>411</v>
      </c>
      <c r="F9" s="6" t="s">
        <v>412</v>
      </c>
      <c r="G9" s="7" t="s">
        <v>418</v>
      </c>
      <c r="H9" s="7" t="s">
        <v>419</v>
      </c>
      <c r="I9" s="8" t="s">
        <v>420</v>
      </c>
      <c r="J9" s="8"/>
      <c r="K9" s="7" t="s">
        <v>77</v>
      </c>
      <c r="L9" s="7" t="s">
        <v>137</v>
      </c>
      <c r="M9" s="8" t="s">
        <v>165</v>
      </c>
      <c r="N9" s="8"/>
      <c r="O9" s="7" t="s">
        <v>137</v>
      </c>
      <c r="P9" s="7" t="s">
        <v>163</v>
      </c>
      <c r="Q9" s="8" t="s">
        <v>164</v>
      </c>
      <c r="R9" s="8"/>
      <c r="S9" s="6" t="str">
        <f>"940,0"</f>
        <v>940,0</v>
      </c>
      <c r="T9" s="7" t="str">
        <f>"523,3920"</f>
        <v>523,3920</v>
      </c>
      <c r="U9" s="6" t="s">
        <v>421</v>
      </c>
    </row>
    <row r="11" spans="1:21" ht="15">
      <c r="A11" s="50" t="s">
        <v>322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1:21">
      <c r="A12" s="6" t="s">
        <v>423</v>
      </c>
      <c r="B12" s="6" t="s">
        <v>424</v>
      </c>
      <c r="C12" s="6" t="s">
        <v>425</v>
      </c>
      <c r="D12" s="6" t="str">
        <f>"0,5061"</f>
        <v>0,5061</v>
      </c>
      <c r="E12" s="6" t="s">
        <v>71</v>
      </c>
      <c r="F12" s="6" t="s">
        <v>227</v>
      </c>
      <c r="G12" s="7" t="s">
        <v>426</v>
      </c>
      <c r="H12" s="7" t="s">
        <v>427</v>
      </c>
      <c r="I12" s="8" t="s">
        <v>428</v>
      </c>
      <c r="J12" s="8"/>
      <c r="K12" s="7" t="s">
        <v>97</v>
      </c>
      <c r="L12" s="7" t="s">
        <v>95</v>
      </c>
      <c r="M12" s="8" t="s">
        <v>145</v>
      </c>
      <c r="N12" s="8"/>
      <c r="O12" s="8" t="s">
        <v>138</v>
      </c>
      <c r="P12" s="7" t="s">
        <v>138</v>
      </c>
      <c r="Q12" s="7" t="s">
        <v>418</v>
      </c>
      <c r="R12" s="8"/>
      <c r="S12" s="6" t="str">
        <f>"1020,0"</f>
        <v>1020,0</v>
      </c>
      <c r="T12" s="7" t="str">
        <f>"516,2628"</f>
        <v>516,2628</v>
      </c>
      <c r="U12" s="6" t="s">
        <v>429</v>
      </c>
    </row>
    <row r="14" spans="1:21" ht="15">
      <c r="E14" s="18" t="s">
        <v>166</v>
      </c>
    </row>
    <row r="15" spans="1:21" ht="15">
      <c r="E15" s="18" t="s">
        <v>167</v>
      </c>
    </row>
    <row r="16" spans="1:21" ht="15">
      <c r="E16" s="18" t="s">
        <v>168</v>
      </c>
    </row>
    <row r="17" spans="1:5" ht="15">
      <c r="E17" s="18" t="s">
        <v>169</v>
      </c>
    </row>
    <row r="18" spans="1:5" ht="15">
      <c r="E18" s="18" t="s">
        <v>169</v>
      </c>
    </row>
    <row r="19" spans="1:5" ht="15">
      <c r="E19" s="18" t="s">
        <v>170</v>
      </c>
    </row>
    <row r="20" spans="1:5" ht="15">
      <c r="E20" s="18"/>
    </row>
    <row r="22" spans="1:5" ht="18">
      <c r="A22" s="19" t="s">
        <v>171</v>
      </c>
      <c r="B22" s="19"/>
    </row>
    <row r="23" spans="1:5" ht="15">
      <c r="A23" s="20" t="s">
        <v>182</v>
      </c>
      <c r="B23" s="20"/>
    </row>
    <row r="24" spans="1:5" ht="14.25">
      <c r="A24" s="22"/>
      <c r="B24" s="23" t="s">
        <v>173</v>
      </c>
    </row>
    <row r="25" spans="1:5" ht="15">
      <c r="A25" s="24" t="s">
        <v>174</v>
      </c>
      <c r="B25" s="24" t="s">
        <v>175</v>
      </c>
      <c r="C25" s="24" t="s">
        <v>176</v>
      </c>
      <c r="D25" s="24" t="s">
        <v>177</v>
      </c>
      <c r="E25" s="24" t="s">
        <v>178</v>
      </c>
    </row>
    <row r="26" spans="1:5">
      <c r="A26" s="21" t="s">
        <v>414</v>
      </c>
      <c r="B26" s="5" t="s">
        <v>173</v>
      </c>
      <c r="C26" s="5" t="s">
        <v>23</v>
      </c>
      <c r="D26" s="5" t="s">
        <v>430</v>
      </c>
      <c r="E26" s="25" t="s">
        <v>431</v>
      </c>
    </row>
    <row r="27" spans="1:5">
      <c r="A27" s="21" t="s">
        <v>422</v>
      </c>
      <c r="B27" s="5" t="s">
        <v>173</v>
      </c>
      <c r="C27" s="5" t="s">
        <v>48</v>
      </c>
      <c r="D27" s="5" t="s">
        <v>432</v>
      </c>
      <c r="E27" s="25" t="s">
        <v>433</v>
      </c>
    </row>
    <row r="28" spans="1:5">
      <c r="A28" s="21" t="s">
        <v>407</v>
      </c>
      <c r="B28" s="5" t="s">
        <v>173</v>
      </c>
      <c r="C28" s="5" t="s">
        <v>21</v>
      </c>
      <c r="D28" s="5" t="s">
        <v>434</v>
      </c>
      <c r="E28" s="25" t="s">
        <v>435</v>
      </c>
    </row>
  </sheetData>
  <mergeCells count="16">
    <mergeCell ref="A8:T8"/>
    <mergeCell ref="A11:T11"/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honeticPr fontId="10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16.71093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5.7109375" style="5" bestFit="1" customWidth="1"/>
    <col min="14" max="16384" width="9.140625" style="4"/>
  </cols>
  <sheetData>
    <row r="1" spans="1:13" s="3" customFormat="1" ht="29.1" customHeight="1">
      <c r="A1" s="41" t="s">
        <v>404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 t="s">
        <v>13</v>
      </c>
      <c r="E3" s="37" t="s">
        <v>7</v>
      </c>
      <c r="F3" s="37" t="s">
        <v>10</v>
      </c>
      <c r="G3" s="37" t="s">
        <v>2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5" spans="1:13" ht="15">
      <c r="A5" s="52" t="s">
        <v>153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6" t="s">
        <v>388</v>
      </c>
      <c r="B6" s="6" t="s">
        <v>389</v>
      </c>
      <c r="C6" s="6" t="s">
        <v>390</v>
      </c>
      <c r="D6" s="6" t="str">
        <f>"0,5296"</f>
        <v>0,5296</v>
      </c>
      <c r="E6" s="6" t="s">
        <v>19</v>
      </c>
      <c r="F6" s="6" t="s">
        <v>391</v>
      </c>
      <c r="G6" s="7" t="s">
        <v>59</v>
      </c>
      <c r="H6" s="7" t="s">
        <v>48</v>
      </c>
      <c r="I6" s="8" t="s">
        <v>49</v>
      </c>
      <c r="J6" s="8"/>
      <c r="K6" s="6" t="str">
        <f>"140,0"</f>
        <v>140,0</v>
      </c>
      <c r="L6" s="7" t="str">
        <f>"106,0259"</f>
        <v>106,0259</v>
      </c>
      <c r="M6" s="6" t="s">
        <v>88</v>
      </c>
    </row>
    <row r="8" spans="1:13" ht="15">
      <c r="E8" s="18" t="s">
        <v>166</v>
      </c>
    </row>
    <row r="9" spans="1:13" ht="15">
      <c r="E9" s="18" t="s">
        <v>167</v>
      </c>
    </row>
    <row r="10" spans="1:13" ht="15">
      <c r="E10" s="18" t="s">
        <v>168</v>
      </c>
    </row>
    <row r="11" spans="1:13" ht="15">
      <c r="E11" s="18" t="s">
        <v>169</v>
      </c>
    </row>
    <row r="12" spans="1:13" ht="15">
      <c r="E12" s="18" t="s">
        <v>169</v>
      </c>
    </row>
    <row r="13" spans="1:13" ht="15">
      <c r="E13" s="18" t="s">
        <v>170</v>
      </c>
    </row>
    <row r="14" spans="1:13" ht="15">
      <c r="E14" s="18"/>
    </row>
    <row r="16" spans="1:13" ht="18">
      <c r="A16" s="19" t="s">
        <v>171</v>
      </c>
      <c r="B16" s="19"/>
    </row>
    <row r="17" spans="1:5" ht="15">
      <c r="A17" s="20" t="s">
        <v>182</v>
      </c>
      <c r="B17" s="20"/>
    </row>
    <row r="18" spans="1:5" ht="14.25">
      <c r="A18" s="22"/>
      <c r="B18" s="23" t="s">
        <v>214</v>
      </c>
    </row>
    <row r="19" spans="1:5" ht="15">
      <c r="A19" s="24" t="s">
        <v>174</v>
      </c>
      <c r="B19" s="24" t="s">
        <v>175</v>
      </c>
      <c r="C19" s="24" t="s">
        <v>176</v>
      </c>
      <c r="D19" s="24" t="s">
        <v>177</v>
      </c>
      <c r="E19" s="24" t="s">
        <v>178</v>
      </c>
    </row>
    <row r="20" spans="1:5">
      <c r="A20" s="21" t="s">
        <v>387</v>
      </c>
      <c r="B20" s="5" t="s">
        <v>401</v>
      </c>
      <c r="C20" s="5" t="s">
        <v>189</v>
      </c>
      <c r="D20" s="5" t="s">
        <v>48</v>
      </c>
      <c r="E20" s="25" t="s">
        <v>405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honeticPr fontId="10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3" width="2.140625" style="4" bestFit="1" customWidth="1"/>
    <col min="14" max="14" width="4.85546875" style="4" bestFit="1" customWidth="1"/>
    <col min="15" max="17" width="2.140625" style="4" bestFit="1" customWidth="1"/>
    <col min="18" max="18" width="4.85546875" style="4" bestFit="1" customWidth="1"/>
    <col min="19" max="19" width="7.85546875" style="5" bestFit="1" customWidth="1"/>
    <col min="20" max="20" width="6.42578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41" t="s">
        <v>403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0</v>
      </c>
      <c r="B3" s="49" t="s">
        <v>9</v>
      </c>
      <c r="C3" s="49" t="s">
        <v>11</v>
      </c>
      <c r="D3" s="37"/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39" t="s">
        <v>5</v>
      </c>
    </row>
    <row r="4" spans="1:21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38"/>
      <c r="T4" s="38"/>
      <c r="U4" s="40"/>
    </row>
    <row r="6" spans="1:21" ht="15">
      <c r="E6" s="18" t="s">
        <v>166</v>
      </c>
    </row>
    <row r="7" spans="1:21" ht="15">
      <c r="E7" s="18" t="s">
        <v>167</v>
      </c>
    </row>
    <row r="8" spans="1:21" ht="15">
      <c r="E8" s="18" t="s">
        <v>168</v>
      </c>
    </row>
    <row r="9" spans="1:21" ht="15">
      <c r="E9" s="18" t="s">
        <v>169</v>
      </c>
    </row>
    <row r="10" spans="1:21" ht="15">
      <c r="E10" s="18" t="s">
        <v>169</v>
      </c>
    </row>
    <row r="11" spans="1:21" ht="15">
      <c r="E11" s="18" t="s">
        <v>170</v>
      </c>
    </row>
    <row r="12" spans="1:21" ht="15">
      <c r="E12" s="18"/>
    </row>
    <row r="14" spans="1:21" ht="18">
      <c r="A14" s="19" t="s">
        <v>171</v>
      </c>
      <c r="B14" s="19"/>
    </row>
  </sheetData>
  <mergeCells count="13">
    <mergeCell ref="U3:U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</mergeCells>
  <phoneticPr fontId="1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1" t="s">
        <v>1019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/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6" spans="1:13" ht="15">
      <c r="E6" s="18" t="s">
        <v>166</v>
      </c>
    </row>
    <row r="7" spans="1:13" ht="15">
      <c r="E7" s="18" t="s">
        <v>167</v>
      </c>
    </row>
    <row r="8" spans="1:13" ht="15">
      <c r="E8" s="18" t="s">
        <v>168</v>
      </c>
    </row>
    <row r="9" spans="1:13" ht="15">
      <c r="E9" s="18" t="s">
        <v>169</v>
      </c>
    </row>
    <row r="10" spans="1:13" ht="15">
      <c r="E10" s="18" t="s">
        <v>169</v>
      </c>
    </row>
    <row r="11" spans="1:13" ht="15">
      <c r="E11" s="18" t="s">
        <v>170</v>
      </c>
    </row>
    <row r="12" spans="1:13" ht="15">
      <c r="E12" s="18"/>
    </row>
    <row r="14" spans="1:13" ht="18">
      <c r="A14" s="19" t="s">
        <v>171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10" type="noConversion"/>
  <pageMargins left="0.75" right="0.75" top="1" bottom="1" header="0.5" footer="0.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55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1.140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5.7109375" style="5" bestFit="1" customWidth="1"/>
    <col min="14" max="16384" width="9.140625" style="4"/>
  </cols>
  <sheetData>
    <row r="1" spans="1:13" s="3" customFormat="1" ht="29.1" customHeight="1">
      <c r="A1" s="41" t="s">
        <v>359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 t="s">
        <v>13</v>
      </c>
      <c r="E3" s="37" t="s">
        <v>7</v>
      </c>
      <c r="F3" s="37" t="s">
        <v>10</v>
      </c>
      <c r="G3" s="37" t="s">
        <v>3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5" spans="1:13" ht="15">
      <c r="A5" s="52" t="s">
        <v>14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6" t="s">
        <v>360</v>
      </c>
      <c r="B6" s="6" t="s">
        <v>361</v>
      </c>
      <c r="C6" s="6" t="s">
        <v>362</v>
      </c>
      <c r="D6" s="6" t="str">
        <f>"0,8820"</f>
        <v>0,8820</v>
      </c>
      <c r="E6" s="6" t="s">
        <v>19</v>
      </c>
      <c r="F6" s="6" t="s">
        <v>127</v>
      </c>
      <c r="G6" s="8" t="s">
        <v>189</v>
      </c>
      <c r="H6" s="8" t="s">
        <v>363</v>
      </c>
      <c r="I6" s="8" t="s">
        <v>363</v>
      </c>
      <c r="J6" s="8"/>
      <c r="K6" s="6" t="str">
        <f>"0,0"</f>
        <v>0,0</v>
      </c>
      <c r="L6" s="7" t="str">
        <f>"0,0000"</f>
        <v>0,0000</v>
      </c>
      <c r="M6" s="6" t="s">
        <v>41</v>
      </c>
    </row>
    <row r="8" spans="1:13" ht="15">
      <c r="A8" s="50" t="s">
        <v>30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3">
      <c r="A9" s="9" t="s">
        <v>365</v>
      </c>
      <c r="B9" s="9" t="s">
        <v>366</v>
      </c>
      <c r="C9" s="9" t="s">
        <v>367</v>
      </c>
      <c r="D9" s="9" t="str">
        <f>"0,7287"</f>
        <v>0,7287</v>
      </c>
      <c r="E9" s="9" t="s">
        <v>19</v>
      </c>
      <c r="F9" s="9" t="s">
        <v>276</v>
      </c>
      <c r="G9" s="10" t="s">
        <v>104</v>
      </c>
      <c r="H9" s="10" t="s">
        <v>86</v>
      </c>
      <c r="I9" s="11" t="s">
        <v>144</v>
      </c>
      <c r="J9" s="11"/>
      <c r="K9" s="9" t="str">
        <f>"190,0"</f>
        <v>190,0</v>
      </c>
      <c r="L9" s="10" t="str">
        <f>"141,2221"</f>
        <v>141,2221</v>
      </c>
      <c r="M9" s="9" t="s">
        <v>41</v>
      </c>
    </row>
    <row r="10" spans="1:13">
      <c r="A10" s="15" t="s">
        <v>68</v>
      </c>
      <c r="B10" s="15" t="s">
        <v>69</v>
      </c>
      <c r="C10" s="15" t="s">
        <v>70</v>
      </c>
      <c r="D10" s="15" t="str">
        <f>"0,7307"</f>
        <v>0,7307</v>
      </c>
      <c r="E10" s="15" t="s">
        <v>71</v>
      </c>
      <c r="F10" s="15" t="s">
        <v>35</v>
      </c>
      <c r="G10" s="16" t="s">
        <v>77</v>
      </c>
      <c r="H10" s="17" t="s">
        <v>78</v>
      </c>
      <c r="I10" s="17" t="s">
        <v>78</v>
      </c>
      <c r="J10" s="17"/>
      <c r="K10" s="15" t="str">
        <f>"260,0"</f>
        <v>260,0</v>
      </c>
      <c r="L10" s="16" t="str">
        <f>"189,9820"</f>
        <v>189,9820</v>
      </c>
      <c r="M10" s="15" t="s">
        <v>79</v>
      </c>
    </row>
    <row r="12" spans="1:13" ht="15">
      <c r="A12" s="50" t="s">
        <v>89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3">
      <c r="A13" s="9" t="s">
        <v>369</v>
      </c>
      <c r="B13" s="9" t="s">
        <v>370</v>
      </c>
      <c r="C13" s="9" t="s">
        <v>115</v>
      </c>
      <c r="D13" s="9" t="str">
        <f>"0,6193"</f>
        <v>0,6193</v>
      </c>
      <c r="E13" s="9" t="s">
        <v>19</v>
      </c>
      <c r="F13" s="9" t="s">
        <v>35</v>
      </c>
      <c r="G13" s="10" t="s">
        <v>97</v>
      </c>
      <c r="H13" s="10" t="s">
        <v>94</v>
      </c>
      <c r="I13" s="10" t="s">
        <v>95</v>
      </c>
      <c r="J13" s="11"/>
      <c r="K13" s="9" t="str">
        <f>"250,0"</f>
        <v>250,0</v>
      </c>
      <c r="L13" s="10" t="str">
        <f>"154,8250"</f>
        <v>154,8250</v>
      </c>
      <c r="M13" s="9" t="s">
        <v>41</v>
      </c>
    </row>
    <row r="14" spans="1:13">
      <c r="A14" s="15" t="s">
        <v>372</v>
      </c>
      <c r="B14" s="15" t="s">
        <v>373</v>
      </c>
      <c r="C14" s="15" t="s">
        <v>115</v>
      </c>
      <c r="D14" s="15" t="str">
        <f>"0,6193"</f>
        <v>0,6193</v>
      </c>
      <c r="E14" s="15" t="s">
        <v>374</v>
      </c>
      <c r="F14" s="15" t="s">
        <v>227</v>
      </c>
      <c r="G14" s="16" t="s">
        <v>86</v>
      </c>
      <c r="H14" s="17" t="s">
        <v>87</v>
      </c>
      <c r="I14" s="17" t="s">
        <v>73</v>
      </c>
      <c r="J14" s="17"/>
      <c r="K14" s="15" t="str">
        <f>"190,0"</f>
        <v>190,0</v>
      </c>
      <c r="L14" s="16" t="str">
        <f>"117,6670"</f>
        <v>117,6670</v>
      </c>
      <c r="M14" s="15" t="s">
        <v>88</v>
      </c>
    </row>
    <row r="16" spans="1:13" ht="15">
      <c r="A16" s="50" t="s">
        <v>122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pans="1:13">
      <c r="A17" s="9" t="s">
        <v>376</v>
      </c>
      <c r="B17" s="9" t="s">
        <v>377</v>
      </c>
      <c r="C17" s="9" t="s">
        <v>268</v>
      </c>
      <c r="D17" s="9" t="str">
        <f>"0,6069"</f>
        <v>0,6069</v>
      </c>
      <c r="E17" s="9" t="s">
        <v>19</v>
      </c>
      <c r="F17" s="9" t="s">
        <v>378</v>
      </c>
      <c r="G17" s="10" t="s">
        <v>94</v>
      </c>
      <c r="H17" s="10" t="s">
        <v>95</v>
      </c>
      <c r="I17" s="11" t="s">
        <v>96</v>
      </c>
      <c r="J17" s="11"/>
      <c r="K17" s="9" t="str">
        <f>"250,0"</f>
        <v>250,0</v>
      </c>
      <c r="L17" s="10" t="str">
        <f>"151,7250"</f>
        <v>151,7250</v>
      </c>
      <c r="M17" s="9" t="s">
        <v>41</v>
      </c>
    </row>
    <row r="18" spans="1:13">
      <c r="A18" s="12" t="s">
        <v>380</v>
      </c>
      <c r="B18" s="12" t="s">
        <v>381</v>
      </c>
      <c r="C18" s="12" t="s">
        <v>126</v>
      </c>
      <c r="D18" s="12" t="str">
        <f>"0,5865"</f>
        <v>0,5865</v>
      </c>
      <c r="E18" s="12" t="s">
        <v>19</v>
      </c>
      <c r="F18" s="12" t="s">
        <v>58</v>
      </c>
      <c r="G18" s="13" t="s">
        <v>97</v>
      </c>
      <c r="H18" s="13" t="s">
        <v>94</v>
      </c>
      <c r="I18" s="13" t="s">
        <v>95</v>
      </c>
      <c r="J18" s="14"/>
      <c r="K18" s="12" t="str">
        <f>"250,0"</f>
        <v>250,0</v>
      </c>
      <c r="L18" s="13" t="str">
        <f>"146,6250"</f>
        <v>146,6250</v>
      </c>
      <c r="M18" s="12" t="s">
        <v>41</v>
      </c>
    </row>
    <row r="19" spans="1:13">
      <c r="A19" s="15" t="s">
        <v>283</v>
      </c>
      <c r="B19" s="15" t="s">
        <v>284</v>
      </c>
      <c r="C19" s="15" t="s">
        <v>285</v>
      </c>
      <c r="D19" s="15" t="str">
        <f>"0,6036"</f>
        <v>0,6036</v>
      </c>
      <c r="E19" s="15" t="s">
        <v>19</v>
      </c>
      <c r="F19" s="15" t="s">
        <v>233</v>
      </c>
      <c r="G19" s="16" t="s">
        <v>105</v>
      </c>
      <c r="H19" s="16" t="s">
        <v>120</v>
      </c>
      <c r="I19" s="17"/>
      <c r="J19" s="17"/>
      <c r="K19" s="15" t="str">
        <f>"215,0"</f>
        <v>215,0</v>
      </c>
      <c r="L19" s="16" t="str">
        <f>"242,0285"</f>
        <v>242,0285</v>
      </c>
      <c r="M19" s="15" t="s">
        <v>41</v>
      </c>
    </row>
    <row r="21" spans="1:13" ht="15">
      <c r="A21" s="50" t="s">
        <v>146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</row>
    <row r="22" spans="1:13">
      <c r="A22" s="6" t="s">
        <v>383</v>
      </c>
      <c r="B22" s="6" t="s">
        <v>384</v>
      </c>
      <c r="C22" s="6" t="s">
        <v>385</v>
      </c>
      <c r="D22" s="6" t="str">
        <f>"0,5386"</f>
        <v>0,5386</v>
      </c>
      <c r="E22" s="6" t="s">
        <v>19</v>
      </c>
      <c r="F22" s="6" t="s">
        <v>103</v>
      </c>
      <c r="G22" s="7" t="s">
        <v>73</v>
      </c>
      <c r="H22" s="7" t="s">
        <v>94</v>
      </c>
      <c r="I22" s="7" t="s">
        <v>386</v>
      </c>
      <c r="J22" s="8"/>
      <c r="K22" s="6" t="str">
        <f>"247,5"</f>
        <v>247,5</v>
      </c>
      <c r="L22" s="7" t="str">
        <f>"133,3035"</f>
        <v>133,3035</v>
      </c>
      <c r="M22" s="6" t="s">
        <v>41</v>
      </c>
    </row>
    <row r="24" spans="1:13" ht="15">
      <c r="A24" s="50" t="s">
        <v>153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3">
      <c r="A25" s="9" t="s">
        <v>160</v>
      </c>
      <c r="B25" s="9" t="s">
        <v>161</v>
      </c>
      <c r="C25" s="9" t="s">
        <v>162</v>
      </c>
      <c r="D25" s="9" t="str">
        <f>"0,5279"</f>
        <v>0,5279</v>
      </c>
      <c r="E25" s="9" t="s">
        <v>71</v>
      </c>
      <c r="F25" s="9" t="s">
        <v>117</v>
      </c>
      <c r="G25" s="10" t="s">
        <v>137</v>
      </c>
      <c r="H25" s="10" t="s">
        <v>163</v>
      </c>
      <c r="I25" s="11" t="s">
        <v>164</v>
      </c>
      <c r="J25" s="11"/>
      <c r="K25" s="9" t="str">
        <f>"300,0"</f>
        <v>300,0</v>
      </c>
      <c r="L25" s="10" t="str">
        <f>"158,3700"</f>
        <v>158,3700</v>
      </c>
      <c r="M25" s="9" t="s">
        <v>41</v>
      </c>
    </row>
    <row r="26" spans="1:13">
      <c r="A26" s="15" t="s">
        <v>388</v>
      </c>
      <c r="B26" s="15" t="s">
        <v>389</v>
      </c>
      <c r="C26" s="15" t="s">
        <v>390</v>
      </c>
      <c r="D26" s="15" t="str">
        <f>"0,5296"</f>
        <v>0,5296</v>
      </c>
      <c r="E26" s="15" t="s">
        <v>19</v>
      </c>
      <c r="F26" s="15" t="s">
        <v>391</v>
      </c>
      <c r="G26" s="16" t="s">
        <v>105</v>
      </c>
      <c r="H26" s="16" t="s">
        <v>72</v>
      </c>
      <c r="I26" s="16" t="s">
        <v>73</v>
      </c>
      <c r="J26" s="17"/>
      <c r="K26" s="15" t="str">
        <f>"220,0"</f>
        <v>220,0</v>
      </c>
      <c r="L26" s="16" t="str">
        <f>"166,6122"</f>
        <v>166,6122</v>
      </c>
      <c r="M26" s="15" t="s">
        <v>88</v>
      </c>
    </row>
    <row r="28" spans="1:13" ht="15">
      <c r="E28" s="18" t="s">
        <v>166</v>
      </c>
    </row>
    <row r="29" spans="1:13" ht="15">
      <c r="E29" s="18" t="s">
        <v>167</v>
      </c>
    </row>
    <row r="30" spans="1:13" ht="15">
      <c r="E30" s="18" t="s">
        <v>168</v>
      </c>
    </row>
    <row r="31" spans="1:13" ht="15">
      <c r="E31" s="18" t="s">
        <v>169</v>
      </c>
    </row>
    <row r="32" spans="1:13" ht="15">
      <c r="E32" s="18" t="s">
        <v>169</v>
      </c>
    </row>
    <row r="33" spans="1:5" ht="15">
      <c r="E33" s="18" t="s">
        <v>170</v>
      </c>
    </row>
    <row r="34" spans="1:5" ht="15">
      <c r="E34" s="18"/>
    </row>
    <row r="36" spans="1:5" ht="18">
      <c r="A36" s="19" t="s">
        <v>171</v>
      </c>
      <c r="B36" s="19"/>
    </row>
    <row r="37" spans="1:5" ht="15">
      <c r="A37" s="20" t="s">
        <v>182</v>
      </c>
      <c r="B37" s="20"/>
    </row>
    <row r="38" spans="1:5" ht="14.25">
      <c r="A38" s="22"/>
      <c r="B38" s="23" t="s">
        <v>192</v>
      </c>
    </row>
    <row r="39" spans="1:5" ht="15">
      <c r="A39" s="24" t="s">
        <v>174</v>
      </c>
      <c r="B39" s="24" t="s">
        <v>175</v>
      </c>
      <c r="C39" s="24" t="s">
        <v>176</v>
      </c>
      <c r="D39" s="24" t="s">
        <v>177</v>
      </c>
      <c r="E39" s="24" t="s">
        <v>178</v>
      </c>
    </row>
    <row r="40" spans="1:5">
      <c r="A40" s="21" t="s">
        <v>364</v>
      </c>
      <c r="B40" s="5" t="s">
        <v>193</v>
      </c>
      <c r="C40" s="5" t="s">
        <v>180</v>
      </c>
      <c r="D40" s="5" t="s">
        <v>86</v>
      </c>
      <c r="E40" s="25" t="s">
        <v>392</v>
      </c>
    </row>
    <row r="42" spans="1:5" ht="14.25">
      <c r="A42" s="22"/>
      <c r="B42" s="23" t="s">
        <v>173</v>
      </c>
    </row>
    <row r="43" spans="1:5" ht="15">
      <c r="A43" s="24" t="s">
        <v>174</v>
      </c>
      <c r="B43" s="24" t="s">
        <v>175</v>
      </c>
      <c r="C43" s="24" t="s">
        <v>176</v>
      </c>
      <c r="D43" s="24" t="s">
        <v>177</v>
      </c>
      <c r="E43" s="24" t="s">
        <v>178</v>
      </c>
    </row>
    <row r="44" spans="1:5">
      <c r="A44" s="21" t="s">
        <v>67</v>
      </c>
      <c r="B44" s="5" t="s">
        <v>173</v>
      </c>
      <c r="C44" s="5" t="s">
        <v>180</v>
      </c>
      <c r="D44" s="5" t="s">
        <v>77</v>
      </c>
      <c r="E44" s="25" t="s">
        <v>393</v>
      </c>
    </row>
    <row r="45" spans="1:5">
      <c r="A45" s="21" t="s">
        <v>159</v>
      </c>
      <c r="B45" s="5" t="s">
        <v>173</v>
      </c>
      <c r="C45" s="5" t="s">
        <v>189</v>
      </c>
      <c r="D45" s="5" t="s">
        <v>163</v>
      </c>
      <c r="E45" s="25" t="s">
        <v>394</v>
      </c>
    </row>
    <row r="46" spans="1:5">
      <c r="A46" s="21" t="s">
        <v>368</v>
      </c>
      <c r="B46" s="5" t="s">
        <v>173</v>
      </c>
      <c r="C46" s="5" t="s">
        <v>201</v>
      </c>
      <c r="D46" s="5" t="s">
        <v>95</v>
      </c>
      <c r="E46" s="25" t="s">
        <v>395</v>
      </c>
    </row>
    <row r="47" spans="1:5">
      <c r="A47" s="21" t="s">
        <v>375</v>
      </c>
      <c r="B47" s="5" t="s">
        <v>173</v>
      </c>
      <c r="C47" s="5" t="s">
        <v>21</v>
      </c>
      <c r="D47" s="5" t="s">
        <v>95</v>
      </c>
      <c r="E47" s="25" t="s">
        <v>396</v>
      </c>
    </row>
    <row r="48" spans="1:5">
      <c r="A48" s="21" t="s">
        <v>379</v>
      </c>
      <c r="B48" s="5" t="s">
        <v>173</v>
      </c>
      <c r="C48" s="5" t="s">
        <v>21</v>
      </c>
      <c r="D48" s="5" t="s">
        <v>95</v>
      </c>
      <c r="E48" s="25" t="s">
        <v>397</v>
      </c>
    </row>
    <row r="49" spans="1:5">
      <c r="A49" s="21" t="s">
        <v>382</v>
      </c>
      <c r="B49" s="5" t="s">
        <v>173</v>
      </c>
      <c r="C49" s="5" t="s">
        <v>27</v>
      </c>
      <c r="D49" s="5" t="s">
        <v>386</v>
      </c>
      <c r="E49" s="25" t="s">
        <v>398</v>
      </c>
    </row>
    <row r="50" spans="1:5">
      <c r="A50" s="21" t="s">
        <v>371</v>
      </c>
      <c r="B50" s="5" t="s">
        <v>173</v>
      </c>
      <c r="C50" s="5" t="s">
        <v>201</v>
      </c>
      <c r="D50" s="5" t="s">
        <v>86</v>
      </c>
      <c r="E50" s="25" t="s">
        <v>399</v>
      </c>
    </row>
    <row r="52" spans="1:5" ht="14.25">
      <c r="A52" s="22"/>
      <c r="B52" s="23" t="s">
        <v>214</v>
      </c>
    </row>
    <row r="53" spans="1:5" ht="15">
      <c r="A53" s="24" t="s">
        <v>174</v>
      </c>
      <c r="B53" s="24" t="s">
        <v>175</v>
      </c>
      <c r="C53" s="24" t="s">
        <v>176</v>
      </c>
      <c r="D53" s="24" t="s">
        <v>177</v>
      </c>
      <c r="E53" s="24" t="s">
        <v>178</v>
      </c>
    </row>
    <row r="54" spans="1:5">
      <c r="A54" s="21" t="s">
        <v>282</v>
      </c>
      <c r="B54" s="5" t="s">
        <v>215</v>
      </c>
      <c r="C54" s="5" t="s">
        <v>21</v>
      </c>
      <c r="D54" s="5" t="s">
        <v>120</v>
      </c>
      <c r="E54" s="25" t="s">
        <v>400</v>
      </c>
    </row>
    <row r="55" spans="1:5">
      <c r="A55" s="21" t="s">
        <v>387</v>
      </c>
      <c r="B55" s="5" t="s">
        <v>401</v>
      </c>
      <c r="C55" s="5" t="s">
        <v>189</v>
      </c>
      <c r="D55" s="5" t="s">
        <v>73</v>
      </c>
      <c r="E55" s="25" t="s">
        <v>402</v>
      </c>
    </row>
  </sheetData>
  <mergeCells count="17">
    <mergeCell ref="A24:L24"/>
    <mergeCell ref="A8:L8"/>
    <mergeCell ref="A12:L12"/>
    <mergeCell ref="A16:L16"/>
    <mergeCell ref="A21:L21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honeticPr fontId="10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M91"/>
  <sheetViews>
    <sheetView workbookViewId="0">
      <selection activeCell="M43" sqref="A43:M43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8.71093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31" style="5" bestFit="1" customWidth="1"/>
    <col min="14" max="16384" width="9.140625" style="4"/>
  </cols>
  <sheetData>
    <row r="1" spans="1:13" s="3" customFormat="1" ht="29.1" customHeight="1">
      <c r="A1" s="41" t="s">
        <v>221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 t="s">
        <v>13</v>
      </c>
      <c r="E3" s="37" t="s">
        <v>7</v>
      </c>
      <c r="F3" s="37" t="s">
        <v>10</v>
      </c>
      <c r="G3" s="37" t="s">
        <v>2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5" spans="1:13" ht="15">
      <c r="A5" s="52" t="s">
        <v>222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6" t="s">
        <v>224</v>
      </c>
      <c r="B6" s="6" t="s">
        <v>225</v>
      </c>
      <c r="C6" s="6" t="s">
        <v>226</v>
      </c>
      <c r="D6" s="6" t="str">
        <f>"0,9160"</f>
        <v>0,9160</v>
      </c>
      <c r="E6" s="6" t="s">
        <v>71</v>
      </c>
      <c r="F6" s="6" t="s">
        <v>227</v>
      </c>
      <c r="G6" s="7" t="s">
        <v>22</v>
      </c>
      <c r="H6" s="7" t="s">
        <v>23</v>
      </c>
      <c r="I6" s="8" t="s">
        <v>50</v>
      </c>
      <c r="J6" s="8"/>
      <c r="K6" s="6" t="str">
        <f>"100,0"</f>
        <v>100,0</v>
      </c>
      <c r="L6" s="7" t="str">
        <f>"91,6000"</f>
        <v>91,6000</v>
      </c>
      <c r="M6" s="6" t="s">
        <v>228</v>
      </c>
    </row>
    <row r="8" spans="1:13" ht="15">
      <c r="A8" s="50" t="s">
        <v>14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3">
      <c r="A9" s="9" t="s">
        <v>230</v>
      </c>
      <c r="B9" s="9" t="s">
        <v>231</v>
      </c>
      <c r="C9" s="9" t="s">
        <v>232</v>
      </c>
      <c r="D9" s="9" t="str">
        <f>"0,8647"</f>
        <v>0,8647</v>
      </c>
      <c r="E9" s="9" t="s">
        <v>19</v>
      </c>
      <c r="F9" s="9" t="s">
        <v>233</v>
      </c>
      <c r="G9" s="10" t="s">
        <v>234</v>
      </c>
      <c r="H9" s="11" t="s">
        <v>235</v>
      </c>
      <c r="I9" s="10" t="s">
        <v>21</v>
      </c>
      <c r="J9" s="11"/>
      <c r="K9" s="9" t="str">
        <f>"90,0"</f>
        <v>90,0</v>
      </c>
      <c r="L9" s="10" t="str">
        <f>"77,8185"</f>
        <v>77,8185</v>
      </c>
      <c r="M9" s="9" t="s">
        <v>41</v>
      </c>
    </row>
    <row r="10" spans="1:13">
      <c r="A10" s="15" t="s">
        <v>236</v>
      </c>
      <c r="B10" s="15" t="s">
        <v>17</v>
      </c>
      <c r="C10" s="15" t="s">
        <v>18</v>
      </c>
      <c r="D10" s="15" t="str">
        <f>"0,8921"</f>
        <v>0,8921</v>
      </c>
      <c r="E10" s="15" t="s">
        <v>19</v>
      </c>
      <c r="F10" s="15" t="s">
        <v>20</v>
      </c>
      <c r="G10" s="16" t="s">
        <v>25</v>
      </c>
      <c r="H10" s="17" t="s">
        <v>26</v>
      </c>
      <c r="I10" s="17" t="s">
        <v>26</v>
      </c>
      <c r="J10" s="17"/>
      <c r="K10" s="15" t="str">
        <f>"65,0"</f>
        <v>65,0</v>
      </c>
      <c r="L10" s="16" t="str">
        <f>"57,9897"</f>
        <v>57,9897</v>
      </c>
      <c r="M10" s="15" t="s">
        <v>237</v>
      </c>
    </row>
    <row r="12" spans="1:13" ht="15">
      <c r="A12" s="50" t="s">
        <v>14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3">
      <c r="A13" s="6" t="s">
        <v>239</v>
      </c>
      <c r="B13" s="6" t="s">
        <v>240</v>
      </c>
      <c r="C13" s="6" t="s">
        <v>18</v>
      </c>
      <c r="D13" s="6" t="str">
        <f>"0,8500"</f>
        <v>0,8500</v>
      </c>
      <c r="E13" s="6" t="s">
        <v>19</v>
      </c>
      <c r="F13" s="6" t="s">
        <v>58</v>
      </c>
      <c r="G13" s="7" t="s">
        <v>241</v>
      </c>
      <c r="H13" s="8" t="s">
        <v>37</v>
      </c>
      <c r="I13" s="7" t="s">
        <v>242</v>
      </c>
      <c r="J13" s="8"/>
      <c r="K13" s="6" t="str">
        <f>"47,5"</f>
        <v>47,5</v>
      </c>
      <c r="L13" s="7" t="str">
        <f>"49,6613"</f>
        <v>49,6613</v>
      </c>
      <c r="M13" s="6" t="s">
        <v>41</v>
      </c>
    </row>
    <row r="15" spans="1:13" ht="15">
      <c r="A15" s="50" t="s">
        <v>89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3">
      <c r="A16" s="6" t="s">
        <v>244</v>
      </c>
      <c r="B16" s="6" t="s">
        <v>245</v>
      </c>
      <c r="C16" s="6" t="s">
        <v>246</v>
      </c>
      <c r="D16" s="6" t="str">
        <f>"0,6318"</f>
        <v>0,6318</v>
      </c>
      <c r="E16" s="6" t="s">
        <v>19</v>
      </c>
      <c r="F16" s="6" t="s">
        <v>35</v>
      </c>
      <c r="G16" s="7" t="s">
        <v>53</v>
      </c>
      <c r="H16" s="8" t="s">
        <v>247</v>
      </c>
      <c r="I16" s="8" t="s">
        <v>247</v>
      </c>
      <c r="J16" s="8"/>
      <c r="K16" s="6" t="str">
        <f>"155,0"</f>
        <v>155,0</v>
      </c>
      <c r="L16" s="7" t="str">
        <f>"97,9290"</f>
        <v>97,9290</v>
      </c>
      <c r="M16" s="6" t="s">
        <v>41</v>
      </c>
    </row>
    <row r="18" spans="1:13" ht="15">
      <c r="A18" s="50" t="s">
        <v>122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</row>
    <row r="19" spans="1:13">
      <c r="A19" s="9" t="s">
        <v>249</v>
      </c>
      <c r="B19" s="9" t="s">
        <v>250</v>
      </c>
      <c r="C19" s="9" t="s">
        <v>251</v>
      </c>
      <c r="D19" s="9" t="str">
        <f>"0,5930"</f>
        <v>0,5930</v>
      </c>
      <c r="E19" s="9" t="s">
        <v>19</v>
      </c>
      <c r="F19" s="9" t="s">
        <v>35</v>
      </c>
      <c r="G19" s="10" t="s">
        <v>105</v>
      </c>
      <c r="H19" s="11" t="s">
        <v>72</v>
      </c>
      <c r="I19" s="11" t="s">
        <v>72</v>
      </c>
      <c r="J19" s="11"/>
      <c r="K19" s="9" t="str">
        <f>"200,0"</f>
        <v>200,0</v>
      </c>
      <c r="L19" s="10" t="str">
        <f>"118,6000"</f>
        <v>118,6000</v>
      </c>
      <c r="M19" s="9" t="s">
        <v>41</v>
      </c>
    </row>
    <row r="20" spans="1:13">
      <c r="A20" s="12" t="s">
        <v>253</v>
      </c>
      <c r="B20" s="12" t="s">
        <v>254</v>
      </c>
      <c r="C20" s="12" t="s">
        <v>255</v>
      </c>
      <c r="D20" s="12" t="str">
        <f>"0,5952"</f>
        <v>0,5952</v>
      </c>
      <c r="E20" s="12" t="s">
        <v>71</v>
      </c>
      <c r="F20" s="12" t="s">
        <v>58</v>
      </c>
      <c r="G20" s="13" t="s">
        <v>256</v>
      </c>
      <c r="H20" s="13" t="s">
        <v>257</v>
      </c>
      <c r="I20" s="13" t="s">
        <v>258</v>
      </c>
      <c r="J20" s="14"/>
      <c r="K20" s="12" t="str">
        <f>"192,5"</f>
        <v>192,5</v>
      </c>
      <c r="L20" s="13" t="str">
        <f>"114,5760"</f>
        <v>114,5760</v>
      </c>
      <c r="M20" s="12" t="s">
        <v>259</v>
      </c>
    </row>
    <row r="21" spans="1:13">
      <c r="A21" s="12" t="s">
        <v>261</v>
      </c>
      <c r="B21" s="12" t="s">
        <v>262</v>
      </c>
      <c r="C21" s="12" t="s">
        <v>263</v>
      </c>
      <c r="D21" s="12" t="str">
        <f>"0,5853"</f>
        <v>0,5853</v>
      </c>
      <c r="E21" s="12" t="s">
        <v>19</v>
      </c>
      <c r="F21" s="12" t="s">
        <v>264</v>
      </c>
      <c r="G21" s="13" t="s">
        <v>118</v>
      </c>
      <c r="H21" s="13" t="s">
        <v>86</v>
      </c>
      <c r="I21" s="14" t="s">
        <v>258</v>
      </c>
      <c r="J21" s="14"/>
      <c r="K21" s="12" t="str">
        <f>"190,0"</f>
        <v>190,0</v>
      </c>
      <c r="L21" s="13" t="str">
        <f>"111,2070"</f>
        <v>111,2070</v>
      </c>
      <c r="M21" s="12" t="s">
        <v>41</v>
      </c>
    </row>
    <row r="22" spans="1:13">
      <c r="A22" s="12" t="s">
        <v>266</v>
      </c>
      <c r="B22" s="12" t="s">
        <v>267</v>
      </c>
      <c r="C22" s="12" t="s">
        <v>268</v>
      </c>
      <c r="D22" s="12" t="str">
        <f>"0,6069"</f>
        <v>0,6069</v>
      </c>
      <c r="E22" s="12" t="s">
        <v>71</v>
      </c>
      <c r="F22" s="12" t="s">
        <v>269</v>
      </c>
      <c r="G22" s="13" t="s">
        <v>247</v>
      </c>
      <c r="H22" s="13" t="s">
        <v>270</v>
      </c>
      <c r="I22" s="14" t="s">
        <v>104</v>
      </c>
      <c r="J22" s="14"/>
      <c r="K22" s="12" t="str">
        <f>"177,5"</f>
        <v>177,5</v>
      </c>
      <c r="L22" s="13" t="str">
        <f>"107,7247"</f>
        <v>107,7247</v>
      </c>
      <c r="M22" s="12" t="s">
        <v>88</v>
      </c>
    </row>
    <row r="23" spans="1:13">
      <c r="A23" s="12" t="s">
        <v>271</v>
      </c>
      <c r="B23" s="12" t="s">
        <v>272</v>
      </c>
      <c r="C23" s="12" t="s">
        <v>273</v>
      </c>
      <c r="D23" s="12" t="str">
        <f>"0,5889"</f>
        <v>0,5889</v>
      </c>
      <c r="E23" s="12" t="s">
        <v>19</v>
      </c>
      <c r="F23" s="12" t="s">
        <v>233</v>
      </c>
      <c r="G23" s="14" t="s">
        <v>104</v>
      </c>
      <c r="H23" s="14" t="s">
        <v>104</v>
      </c>
      <c r="I23" s="14" t="s">
        <v>104</v>
      </c>
      <c r="J23" s="14"/>
      <c r="K23" s="12" t="str">
        <f>"0,0"</f>
        <v>0,0</v>
      </c>
      <c r="L23" s="13" t="str">
        <f>"0,0000"</f>
        <v>0,0000</v>
      </c>
      <c r="M23" s="12" t="s">
        <v>41</v>
      </c>
    </row>
    <row r="24" spans="1:13">
      <c r="A24" s="12" t="s">
        <v>274</v>
      </c>
      <c r="B24" s="12" t="s">
        <v>275</v>
      </c>
      <c r="C24" s="12" t="s">
        <v>263</v>
      </c>
      <c r="D24" s="12" t="str">
        <f>"0,5853"</f>
        <v>0,5853</v>
      </c>
      <c r="E24" s="12" t="s">
        <v>19</v>
      </c>
      <c r="F24" s="12" t="s">
        <v>276</v>
      </c>
      <c r="G24" s="14" t="s">
        <v>152</v>
      </c>
      <c r="H24" s="14" t="s">
        <v>152</v>
      </c>
      <c r="I24" s="14" t="s">
        <v>152</v>
      </c>
      <c r="J24" s="14"/>
      <c r="K24" s="12" t="str">
        <f>"0,0"</f>
        <v>0,0</v>
      </c>
      <c r="L24" s="13" t="str">
        <f>"0,0000"</f>
        <v>0,0000</v>
      </c>
      <c r="M24" s="12" t="s">
        <v>41</v>
      </c>
    </row>
    <row r="25" spans="1:13">
      <c r="A25" s="12" t="s">
        <v>279</v>
      </c>
      <c r="B25" s="12" t="s">
        <v>280</v>
      </c>
      <c r="C25" s="12" t="s">
        <v>281</v>
      </c>
      <c r="D25" s="12" t="str">
        <f>"0,5881"</f>
        <v>0,5881</v>
      </c>
      <c r="E25" s="12" t="s">
        <v>19</v>
      </c>
      <c r="F25" s="12" t="s">
        <v>35</v>
      </c>
      <c r="G25" s="13" t="s">
        <v>59</v>
      </c>
      <c r="H25" s="14" t="s">
        <v>48</v>
      </c>
      <c r="I25" s="14" t="s">
        <v>49</v>
      </c>
      <c r="J25" s="14"/>
      <c r="K25" s="12" t="str">
        <f>"130,0"</f>
        <v>130,0</v>
      </c>
      <c r="L25" s="13" t="str">
        <f>"92,0494"</f>
        <v>92,0494</v>
      </c>
      <c r="M25" s="12" t="s">
        <v>41</v>
      </c>
    </row>
    <row r="26" spans="1:13">
      <c r="A26" s="15" t="s">
        <v>283</v>
      </c>
      <c r="B26" s="15" t="s">
        <v>284</v>
      </c>
      <c r="C26" s="15" t="s">
        <v>285</v>
      </c>
      <c r="D26" s="15" t="str">
        <f>"0,6036"</f>
        <v>0,6036</v>
      </c>
      <c r="E26" s="15" t="s">
        <v>19</v>
      </c>
      <c r="F26" s="15" t="s">
        <v>233</v>
      </c>
      <c r="G26" s="16" t="s">
        <v>52</v>
      </c>
      <c r="H26" s="16" t="s">
        <v>49</v>
      </c>
      <c r="I26" s="16" t="s">
        <v>53</v>
      </c>
      <c r="J26" s="17"/>
      <c r="K26" s="15" t="str">
        <f>"155,0"</f>
        <v>155,0</v>
      </c>
      <c r="L26" s="16" t="str">
        <f>"174,4857"</f>
        <v>174,4857</v>
      </c>
      <c r="M26" s="15" t="s">
        <v>41</v>
      </c>
    </row>
    <row r="28" spans="1:13" ht="15">
      <c r="A28" s="50" t="s">
        <v>128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13">
      <c r="A29" s="9" t="s">
        <v>287</v>
      </c>
      <c r="B29" s="9" t="s">
        <v>288</v>
      </c>
      <c r="C29" s="9" t="s">
        <v>289</v>
      </c>
      <c r="D29" s="9" t="str">
        <f>"0,5560"</f>
        <v>0,5560</v>
      </c>
      <c r="E29" s="9" t="s">
        <v>290</v>
      </c>
      <c r="F29" s="9" t="s">
        <v>291</v>
      </c>
      <c r="G29" s="10" t="s">
        <v>104</v>
      </c>
      <c r="H29" s="10" t="s">
        <v>86</v>
      </c>
      <c r="I29" s="11" t="s">
        <v>105</v>
      </c>
      <c r="J29" s="11"/>
      <c r="K29" s="9" t="str">
        <f>"190,0"</f>
        <v>190,0</v>
      </c>
      <c r="L29" s="10" t="str">
        <f>"105,6400"</f>
        <v>105,6400</v>
      </c>
      <c r="M29" s="9" t="s">
        <v>41</v>
      </c>
    </row>
    <row r="30" spans="1:13">
      <c r="A30" s="12" t="s">
        <v>293</v>
      </c>
      <c r="B30" s="12" t="s">
        <v>294</v>
      </c>
      <c r="C30" s="12" t="s">
        <v>295</v>
      </c>
      <c r="D30" s="12" t="str">
        <f>"0,5678"</f>
        <v>0,5678</v>
      </c>
      <c r="E30" s="12" t="s">
        <v>19</v>
      </c>
      <c r="F30" s="12" t="s">
        <v>58</v>
      </c>
      <c r="G30" s="13" t="s">
        <v>296</v>
      </c>
      <c r="H30" s="13" t="s">
        <v>152</v>
      </c>
      <c r="I30" s="14" t="s">
        <v>143</v>
      </c>
      <c r="J30" s="14"/>
      <c r="K30" s="12" t="str">
        <f>"170,0"</f>
        <v>170,0</v>
      </c>
      <c r="L30" s="13" t="str">
        <f>"96,5260"</f>
        <v>96,5260</v>
      </c>
      <c r="M30" s="12" t="s">
        <v>41</v>
      </c>
    </row>
    <row r="31" spans="1:13">
      <c r="A31" s="12" t="s">
        <v>298</v>
      </c>
      <c r="B31" s="12" t="s">
        <v>299</v>
      </c>
      <c r="C31" s="12" t="s">
        <v>300</v>
      </c>
      <c r="D31" s="12" t="str">
        <f>"0,5550"</f>
        <v>0,5550</v>
      </c>
      <c r="E31" s="12" t="s">
        <v>19</v>
      </c>
      <c r="F31" s="12" t="s">
        <v>58</v>
      </c>
      <c r="G31" s="14" t="s">
        <v>48</v>
      </c>
      <c r="H31" s="13" t="s">
        <v>48</v>
      </c>
      <c r="I31" s="13" t="s">
        <v>49</v>
      </c>
      <c r="J31" s="14"/>
      <c r="K31" s="12" t="str">
        <f>"150,0"</f>
        <v>150,0</v>
      </c>
      <c r="L31" s="13" t="str">
        <f>"83,9993"</f>
        <v>83,9993</v>
      </c>
      <c r="M31" s="12" t="s">
        <v>41</v>
      </c>
    </row>
    <row r="32" spans="1:13">
      <c r="A32" s="15" t="s">
        <v>302</v>
      </c>
      <c r="B32" s="15" t="s">
        <v>303</v>
      </c>
      <c r="C32" s="15" t="s">
        <v>304</v>
      </c>
      <c r="D32" s="15" t="str">
        <f>"0,5633"</f>
        <v>0,5633</v>
      </c>
      <c r="E32" s="15" t="s">
        <v>305</v>
      </c>
      <c r="F32" s="15" t="s">
        <v>151</v>
      </c>
      <c r="G32" s="16" t="s">
        <v>61</v>
      </c>
      <c r="H32" s="16" t="s">
        <v>247</v>
      </c>
      <c r="I32" s="16" t="s">
        <v>104</v>
      </c>
      <c r="J32" s="17"/>
      <c r="K32" s="15" t="str">
        <f>"180,0"</f>
        <v>180,0</v>
      </c>
      <c r="L32" s="16" t="str">
        <f>"108,3902"</f>
        <v>108,3902</v>
      </c>
      <c r="M32" s="15" t="s">
        <v>41</v>
      </c>
    </row>
    <row r="34" spans="1:13" ht="15">
      <c r="A34" s="50" t="s">
        <v>146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3">
      <c r="A35" s="9" t="s">
        <v>307</v>
      </c>
      <c r="B35" s="9" t="s">
        <v>308</v>
      </c>
      <c r="C35" s="9" t="s">
        <v>309</v>
      </c>
      <c r="D35" s="9" t="str">
        <f>"0,5437"</f>
        <v>0,5437</v>
      </c>
      <c r="E35" s="9" t="s">
        <v>19</v>
      </c>
      <c r="F35" s="9" t="s">
        <v>276</v>
      </c>
      <c r="G35" s="10" t="s">
        <v>72</v>
      </c>
      <c r="H35" s="10" t="s">
        <v>73</v>
      </c>
      <c r="I35" s="11" t="s">
        <v>97</v>
      </c>
      <c r="J35" s="11"/>
      <c r="K35" s="9" t="str">
        <f>"220,0"</f>
        <v>220,0</v>
      </c>
      <c r="L35" s="10" t="str">
        <f>"119,6140"</f>
        <v>119,6140</v>
      </c>
      <c r="M35" s="9" t="s">
        <v>41</v>
      </c>
    </row>
    <row r="36" spans="1:13">
      <c r="A36" s="12" t="s">
        <v>311</v>
      </c>
      <c r="B36" s="12" t="s">
        <v>312</v>
      </c>
      <c r="C36" s="12" t="s">
        <v>309</v>
      </c>
      <c r="D36" s="12" t="str">
        <f>"0,5437"</f>
        <v>0,5437</v>
      </c>
      <c r="E36" s="12" t="s">
        <v>19</v>
      </c>
      <c r="F36" s="12" t="s">
        <v>58</v>
      </c>
      <c r="G36" s="13" t="s">
        <v>143</v>
      </c>
      <c r="H36" s="13" t="s">
        <v>104</v>
      </c>
      <c r="I36" s="14" t="s">
        <v>118</v>
      </c>
      <c r="J36" s="14"/>
      <c r="K36" s="12" t="str">
        <f>"180,0"</f>
        <v>180,0</v>
      </c>
      <c r="L36" s="13" t="str">
        <f>"97,8660"</f>
        <v>97,8660</v>
      </c>
      <c r="M36" s="12" t="s">
        <v>41</v>
      </c>
    </row>
    <row r="37" spans="1:13">
      <c r="A37" s="15" t="s">
        <v>314</v>
      </c>
      <c r="B37" s="15" t="s">
        <v>315</v>
      </c>
      <c r="C37" s="15" t="s">
        <v>316</v>
      </c>
      <c r="D37" s="15" t="str">
        <f>"0,5504"</f>
        <v>0,5504</v>
      </c>
      <c r="E37" s="15" t="s">
        <v>19</v>
      </c>
      <c r="F37" s="15" t="s">
        <v>111</v>
      </c>
      <c r="G37" s="16" t="s">
        <v>76</v>
      </c>
      <c r="H37" s="16" t="s">
        <v>152</v>
      </c>
      <c r="I37" s="16" t="s">
        <v>143</v>
      </c>
      <c r="J37" s="17"/>
      <c r="K37" s="15" t="str">
        <f>"175,0"</f>
        <v>175,0</v>
      </c>
      <c r="L37" s="16" t="str">
        <f>"96,3200"</f>
        <v>96,3200</v>
      </c>
      <c r="M37" s="15" t="s">
        <v>41</v>
      </c>
    </row>
    <row r="39" spans="1:13" ht="15">
      <c r="A39" s="50" t="s">
        <v>153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3">
      <c r="A40" s="6" t="s">
        <v>318</v>
      </c>
      <c r="B40" s="6" t="s">
        <v>319</v>
      </c>
      <c r="C40" s="6" t="s">
        <v>320</v>
      </c>
      <c r="D40" s="6" t="str">
        <f>"0,5316"</f>
        <v>0,5316</v>
      </c>
      <c r="E40" s="6" t="s">
        <v>19</v>
      </c>
      <c r="F40" s="6" t="s">
        <v>58</v>
      </c>
      <c r="G40" s="7" t="s">
        <v>86</v>
      </c>
      <c r="H40" s="7" t="s">
        <v>105</v>
      </c>
      <c r="I40" s="7" t="s">
        <v>321</v>
      </c>
      <c r="J40" s="8"/>
      <c r="K40" s="6" t="str">
        <f>"202,5"</f>
        <v>202,5</v>
      </c>
      <c r="L40" s="7" t="str">
        <f>"107,6490"</f>
        <v>107,6490</v>
      </c>
      <c r="M40" s="6" t="s">
        <v>41</v>
      </c>
    </row>
    <row r="42" spans="1:13" ht="15">
      <c r="A42" s="50" t="s">
        <v>322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3">
      <c r="A43" s="6" t="s">
        <v>324</v>
      </c>
      <c r="B43" s="6" t="s">
        <v>325</v>
      </c>
      <c r="C43" s="6" t="s">
        <v>326</v>
      </c>
      <c r="D43" s="6" t="str">
        <f>"0,5092"</f>
        <v>0,5092</v>
      </c>
      <c r="E43" s="6" t="s">
        <v>19</v>
      </c>
      <c r="F43" s="6" t="s">
        <v>35</v>
      </c>
      <c r="G43" s="7" t="s">
        <v>52</v>
      </c>
      <c r="H43" s="7" t="s">
        <v>76</v>
      </c>
      <c r="I43" s="8" t="s">
        <v>152</v>
      </c>
      <c r="J43" s="8"/>
      <c r="K43" s="6" t="str">
        <f>"160,0"</f>
        <v>160,0</v>
      </c>
      <c r="L43" s="7" t="str">
        <f>"81,4784"</f>
        <v>81,4784</v>
      </c>
      <c r="M43" s="26" t="s">
        <v>79</v>
      </c>
    </row>
    <row r="45" spans="1:13" ht="15">
      <c r="A45" s="50" t="s">
        <v>327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3">
      <c r="A46" s="6" t="s">
        <v>329</v>
      </c>
      <c r="B46" s="6" t="s">
        <v>330</v>
      </c>
      <c r="C46" s="6" t="s">
        <v>331</v>
      </c>
      <c r="D46" s="6" t="str">
        <f>"0,5033"</f>
        <v>0,5033</v>
      </c>
      <c r="E46" s="6" t="s">
        <v>19</v>
      </c>
      <c r="F46" s="6" t="s">
        <v>332</v>
      </c>
      <c r="G46" s="7" t="s">
        <v>86</v>
      </c>
      <c r="H46" s="7" t="s">
        <v>105</v>
      </c>
      <c r="I46" s="7" t="s">
        <v>72</v>
      </c>
      <c r="J46" s="8"/>
      <c r="K46" s="6" t="str">
        <f>"210,0"</f>
        <v>210,0</v>
      </c>
      <c r="L46" s="7" t="str">
        <f>"105,6888"</f>
        <v>105,6888</v>
      </c>
      <c r="M46" s="6" t="s">
        <v>41</v>
      </c>
    </row>
    <row r="48" spans="1:13" ht="15">
      <c r="E48" s="18" t="s">
        <v>166</v>
      </c>
    </row>
    <row r="49" spans="1:5" ht="15">
      <c r="E49" s="18" t="s">
        <v>167</v>
      </c>
    </row>
    <row r="50" spans="1:5" ht="15">
      <c r="E50" s="18" t="s">
        <v>168</v>
      </c>
    </row>
    <row r="51" spans="1:5" ht="15">
      <c r="E51" s="18" t="s">
        <v>169</v>
      </c>
    </row>
    <row r="52" spans="1:5" ht="15">
      <c r="E52" s="18" t="s">
        <v>169</v>
      </c>
    </row>
    <row r="53" spans="1:5" ht="15">
      <c r="E53" s="18" t="s">
        <v>170</v>
      </c>
    </row>
    <row r="54" spans="1:5" ht="15">
      <c r="E54" s="18"/>
    </row>
    <row r="56" spans="1:5" ht="18">
      <c r="A56" s="19" t="s">
        <v>171</v>
      </c>
      <c r="B56" s="19"/>
    </row>
    <row r="57" spans="1:5" ht="15">
      <c r="A57" s="20" t="s">
        <v>172</v>
      </c>
      <c r="B57" s="20"/>
    </row>
    <row r="58" spans="1:5" ht="14.25">
      <c r="A58" s="22"/>
      <c r="B58" s="23" t="s">
        <v>173</v>
      </c>
    </row>
    <row r="59" spans="1:5" ht="15">
      <c r="A59" s="24" t="s">
        <v>174</v>
      </c>
      <c r="B59" s="24" t="s">
        <v>175</v>
      </c>
      <c r="C59" s="24" t="s">
        <v>176</v>
      </c>
      <c r="D59" s="24" t="s">
        <v>177</v>
      </c>
      <c r="E59" s="24" t="s">
        <v>178</v>
      </c>
    </row>
    <row r="60" spans="1:5">
      <c r="A60" s="21" t="s">
        <v>223</v>
      </c>
      <c r="B60" s="5" t="s">
        <v>173</v>
      </c>
      <c r="C60" s="5" t="s">
        <v>333</v>
      </c>
      <c r="D60" s="5" t="s">
        <v>23</v>
      </c>
      <c r="E60" s="25" t="s">
        <v>334</v>
      </c>
    </row>
    <row r="61" spans="1:5">
      <c r="A61" s="21" t="s">
        <v>229</v>
      </c>
      <c r="B61" s="5" t="s">
        <v>173</v>
      </c>
      <c r="C61" s="5" t="s">
        <v>24</v>
      </c>
      <c r="D61" s="5" t="s">
        <v>21</v>
      </c>
      <c r="E61" s="25" t="s">
        <v>335</v>
      </c>
    </row>
    <row r="62" spans="1:5">
      <c r="A62" s="21" t="s">
        <v>15</v>
      </c>
      <c r="B62" s="5" t="s">
        <v>173</v>
      </c>
      <c r="C62" s="5" t="s">
        <v>24</v>
      </c>
      <c r="D62" s="5" t="s">
        <v>25</v>
      </c>
      <c r="E62" s="25" t="s">
        <v>336</v>
      </c>
    </row>
    <row r="65" spans="1:5" ht="15">
      <c r="A65" s="20" t="s">
        <v>182</v>
      </c>
      <c r="B65" s="20"/>
    </row>
    <row r="66" spans="1:5" ht="14.25">
      <c r="A66" s="22"/>
      <c r="B66" s="23" t="s">
        <v>183</v>
      </c>
    </row>
    <row r="67" spans="1:5" ht="15">
      <c r="A67" s="24" t="s">
        <v>174</v>
      </c>
      <c r="B67" s="24" t="s">
        <v>175</v>
      </c>
      <c r="C67" s="24" t="s">
        <v>176</v>
      </c>
      <c r="D67" s="24" t="s">
        <v>177</v>
      </c>
      <c r="E67" s="24" t="s">
        <v>178</v>
      </c>
    </row>
    <row r="68" spans="1:5">
      <c r="A68" s="21" t="s">
        <v>238</v>
      </c>
      <c r="B68" s="5" t="s">
        <v>337</v>
      </c>
      <c r="C68" s="5" t="s">
        <v>24</v>
      </c>
      <c r="D68" s="5" t="s">
        <v>242</v>
      </c>
      <c r="E68" s="25" t="s">
        <v>338</v>
      </c>
    </row>
    <row r="70" spans="1:5" ht="14.25">
      <c r="A70" s="22"/>
      <c r="B70" s="23" t="s">
        <v>173</v>
      </c>
    </row>
    <row r="71" spans="1:5" ht="15">
      <c r="A71" s="24" t="s">
        <v>174</v>
      </c>
      <c r="B71" s="24" t="s">
        <v>175</v>
      </c>
      <c r="C71" s="24" t="s">
        <v>176</v>
      </c>
      <c r="D71" s="24" t="s">
        <v>177</v>
      </c>
      <c r="E71" s="24" t="s">
        <v>178</v>
      </c>
    </row>
    <row r="72" spans="1:5">
      <c r="A72" s="21" t="s">
        <v>306</v>
      </c>
      <c r="B72" s="5" t="s">
        <v>173</v>
      </c>
      <c r="C72" s="5" t="s">
        <v>27</v>
      </c>
      <c r="D72" s="5" t="s">
        <v>73</v>
      </c>
      <c r="E72" s="25" t="s">
        <v>339</v>
      </c>
    </row>
    <row r="73" spans="1:5">
      <c r="A73" s="21" t="s">
        <v>248</v>
      </c>
      <c r="B73" s="5" t="s">
        <v>173</v>
      </c>
      <c r="C73" s="5" t="s">
        <v>21</v>
      </c>
      <c r="D73" s="5" t="s">
        <v>105</v>
      </c>
      <c r="E73" s="25" t="s">
        <v>340</v>
      </c>
    </row>
    <row r="74" spans="1:5">
      <c r="A74" s="21" t="s">
        <v>252</v>
      </c>
      <c r="B74" s="5" t="s">
        <v>173</v>
      </c>
      <c r="C74" s="5" t="s">
        <v>21</v>
      </c>
      <c r="D74" s="5" t="s">
        <v>258</v>
      </c>
      <c r="E74" s="25" t="s">
        <v>341</v>
      </c>
    </row>
    <row r="75" spans="1:5">
      <c r="A75" s="21" t="s">
        <v>260</v>
      </c>
      <c r="B75" s="5" t="s">
        <v>173</v>
      </c>
      <c r="C75" s="5" t="s">
        <v>21</v>
      </c>
      <c r="D75" s="5" t="s">
        <v>86</v>
      </c>
      <c r="E75" s="25" t="s">
        <v>342</v>
      </c>
    </row>
    <row r="76" spans="1:5">
      <c r="A76" s="21" t="s">
        <v>265</v>
      </c>
      <c r="B76" s="5" t="s">
        <v>173</v>
      </c>
      <c r="C76" s="5" t="s">
        <v>21</v>
      </c>
      <c r="D76" s="5" t="s">
        <v>270</v>
      </c>
      <c r="E76" s="25" t="s">
        <v>343</v>
      </c>
    </row>
    <row r="77" spans="1:5">
      <c r="A77" s="21" t="s">
        <v>317</v>
      </c>
      <c r="B77" s="5" t="s">
        <v>173</v>
      </c>
      <c r="C77" s="5" t="s">
        <v>189</v>
      </c>
      <c r="D77" s="5" t="s">
        <v>321</v>
      </c>
      <c r="E77" s="25" t="s">
        <v>344</v>
      </c>
    </row>
    <row r="78" spans="1:5">
      <c r="A78" s="21" t="s">
        <v>328</v>
      </c>
      <c r="B78" s="5" t="s">
        <v>173</v>
      </c>
      <c r="C78" s="5" t="s">
        <v>277</v>
      </c>
      <c r="D78" s="5" t="s">
        <v>72</v>
      </c>
      <c r="E78" s="25" t="s">
        <v>345</v>
      </c>
    </row>
    <row r="79" spans="1:5">
      <c r="A79" s="21" t="s">
        <v>286</v>
      </c>
      <c r="B79" s="5" t="s">
        <v>173</v>
      </c>
      <c r="C79" s="5" t="s">
        <v>23</v>
      </c>
      <c r="D79" s="5" t="s">
        <v>86</v>
      </c>
      <c r="E79" s="25" t="s">
        <v>346</v>
      </c>
    </row>
    <row r="80" spans="1:5">
      <c r="A80" s="21" t="s">
        <v>243</v>
      </c>
      <c r="B80" s="5" t="s">
        <v>173</v>
      </c>
      <c r="C80" s="5" t="s">
        <v>201</v>
      </c>
      <c r="D80" s="5" t="s">
        <v>53</v>
      </c>
      <c r="E80" s="25" t="s">
        <v>347</v>
      </c>
    </row>
    <row r="81" spans="1:5">
      <c r="A81" s="21" t="s">
        <v>310</v>
      </c>
      <c r="B81" s="5" t="s">
        <v>173</v>
      </c>
      <c r="C81" s="5" t="s">
        <v>27</v>
      </c>
      <c r="D81" s="5" t="s">
        <v>104</v>
      </c>
      <c r="E81" s="25" t="s">
        <v>348</v>
      </c>
    </row>
    <row r="82" spans="1:5">
      <c r="A82" s="21" t="s">
        <v>292</v>
      </c>
      <c r="B82" s="5" t="s">
        <v>173</v>
      </c>
      <c r="C82" s="5" t="s">
        <v>23</v>
      </c>
      <c r="D82" s="5" t="s">
        <v>152</v>
      </c>
      <c r="E82" s="25" t="s">
        <v>349</v>
      </c>
    </row>
    <row r="83" spans="1:5">
      <c r="A83" s="21" t="s">
        <v>313</v>
      </c>
      <c r="B83" s="5" t="s">
        <v>173</v>
      </c>
      <c r="C83" s="5" t="s">
        <v>27</v>
      </c>
      <c r="D83" s="5" t="s">
        <v>143</v>
      </c>
      <c r="E83" s="25" t="s">
        <v>350</v>
      </c>
    </row>
    <row r="84" spans="1:5">
      <c r="A84" s="21" t="s">
        <v>323</v>
      </c>
      <c r="B84" s="5" t="s">
        <v>173</v>
      </c>
      <c r="C84" s="5" t="s">
        <v>48</v>
      </c>
      <c r="D84" s="5" t="s">
        <v>76</v>
      </c>
      <c r="E84" s="25" t="s">
        <v>351</v>
      </c>
    </row>
    <row r="86" spans="1:5" ht="14.25">
      <c r="A86" s="22"/>
      <c r="B86" s="23" t="s">
        <v>214</v>
      </c>
    </row>
    <row r="87" spans="1:5" ht="15">
      <c r="A87" s="24" t="s">
        <v>174</v>
      </c>
      <c r="B87" s="24" t="s">
        <v>175</v>
      </c>
      <c r="C87" s="24" t="s">
        <v>176</v>
      </c>
      <c r="D87" s="24" t="s">
        <v>177</v>
      </c>
      <c r="E87" s="24" t="s">
        <v>178</v>
      </c>
    </row>
    <row r="88" spans="1:5">
      <c r="A88" s="21" t="s">
        <v>282</v>
      </c>
      <c r="B88" s="5" t="s">
        <v>215</v>
      </c>
      <c r="C88" s="5" t="s">
        <v>21</v>
      </c>
      <c r="D88" s="5" t="s">
        <v>53</v>
      </c>
      <c r="E88" s="25" t="s">
        <v>352</v>
      </c>
    </row>
    <row r="89" spans="1:5">
      <c r="A89" s="21" t="s">
        <v>301</v>
      </c>
      <c r="B89" s="5" t="s">
        <v>218</v>
      </c>
      <c r="C89" s="5" t="s">
        <v>23</v>
      </c>
      <c r="D89" s="5" t="s">
        <v>104</v>
      </c>
      <c r="E89" s="25" t="s">
        <v>353</v>
      </c>
    </row>
    <row r="90" spans="1:5">
      <c r="A90" s="21" t="s">
        <v>278</v>
      </c>
      <c r="B90" s="5" t="s">
        <v>354</v>
      </c>
      <c r="C90" s="5" t="s">
        <v>21</v>
      </c>
      <c r="D90" s="5" t="s">
        <v>59</v>
      </c>
      <c r="E90" s="25" t="s">
        <v>355</v>
      </c>
    </row>
    <row r="91" spans="1:5">
      <c r="A91" s="21" t="s">
        <v>297</v>
      </c>
      <c r="B91" s="5" t="s">
        <v>356</v>
      </c>
      <c r="C91" s="5" t="s">
        <v>23</v>
      </c>
      <c r="D91" s="5" t="s">
        <v>49</v>
      </c>
      <c r="E91" s="25" t="s">
        <v>357</v>
      </c>
    </row>
  </sheetData>
  <mergeCells count="21">
    <mergeCell ref="A8:L8"/>
    <mergeCell ref="A12:L12"/>
    <mergeCell ref="A15:L15"/>
    <mergeCell ref="A18:L18"/>
    <mergeCell ref="A45:L45"/>
    <mergeCell ref="A28:L28"/>
    <mergeCell ref="A34:L34"/>
    <mergeCell ref="A39:L39"/>
    <mergeCell ref="A42:L42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honeticPr fontId="10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U82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4" style="5" bestFit="1" customWidth="1"/>
    <col min="7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28.140625" style="5" bestFit="1" customWidth="1"/>
    <col min="22" max="16384" width="9.140625" style="4"/>
  </cols>
  <sheetData>
    <row r="1" spans="1:21" s="3" customFormat="1" ht="29.1" customHeight="1">
      <c r="A1" s="41" t="s">
        <v>12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0</v>
      </c>
      <c r="B3" s="49" t="s">
        <v>9</v>
      </c>
      <c r="C3" s="49" t="s">
        <v>11</v>
      </c>
      <c r="D3" s="37" t="s">
        <v>13</v>
      </c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39" t="s">
        <v>5</v>
      </c>
    </row>
    <row r="4" spans="1:21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38"/>
      <c r="T4" s="38"/>
      <c r="U4" s="40"/>
    </row>
    <row r="5" spans="1:21" ht="15">
      <c r="A5" s="52" t="s">
        <v>14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1">
      <c r="A6" s="6" t="s">
        <v>16</v>
      </c>
      <c r="B6" s="6" t="s">
        <v>17</v>
      </c>
      <c r="C6" s="6" t="s">
        <v>18</v>
      </c>
      <c r="D6" s="6" t="str">
        <f>"0,8921"</f>
        <v>0,8921</v>
      </c>
      <c r="E6" s="6" t="s">
        <v>19</v>
      </c>
      <c r="F6" s="6" t="s">
        <v>20</v>
      </c>
      <c r="G6" s="7" t="s">
        <v>21</v>
      </c>
      <c r="H6" s="7" t="s">
        <v>22</v>
      </c>
      <c r="I6" s="8" t="s">
        <v>23</v>
      </c>
      <c r="J6" s="8"/>
      <c r="K6" s="7" t="s">
        <v>24</v>
      </c>
      <c r="L6" s="7" t="s">
        <v>25</v>
      </c>
      <c r="M6" s="8" t="s">
        <v>26</v>
      </c>
      <c r="N6" s="8"/>
      <c r="O6" s="7" t="s">
        <v>23</v>
      </c>
      <c r="P6" s="7" t="s">
        <v>27</v>
      </c>
      <c r="Q6" s="7" t="s">
        <v>28</v>
      </c>
      <c r="R6" s="8"/>
      <c r="S6" s="6" t="str">
        <f>"280,0"</f>
        <v>280,0</v>
      </c>
      <c r="T6" s="7" t="str">
        <f>"249,8020"</f>
        <v>249,8020</v>
      </c>
      <c r="U6" s="6" t="s">
        <v>29</v>
      </c>
    </row>
    <row r="8" spans="1:21" ht="15">
      <c r="A8" s="50" t="s">
        <v>30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spans="1:21">
      <c r="A9" s="6" t="s">
        <v>32</v>
      </c>
      <c r="B9" s="6" t="s">
        <v>33</v>
      </c>
      <c r="C9" s="6" t="s">
        <v>34</v>
      </c>
      <c r="D9" s="6" t="str">
        <f>"0,7964"</f>
        <v>0,7964</v>
      </c>
      <c r="E9" s="6" t="s">
        <v>19</v>
      </c>
      <c r="F9" s="6" t="s">
        <v>35</v>
      </c>
      <c r="G9" s="8" t="s">
        <v>21</v>
      </c>
      <c r="H9" s="7" t="s">
        <v>21</v>
      </c>
      <c r="I9" s="7" t="s">
        <v>36</v>
      </c>
      <c r="J9" s="8"/>
      <c r="K9" s="7" t="s">
        <v>37</v>
      </c>
      <c r="L9" s="8" t="s">
        <v>38</v>
      </c>
      <c r="M9" s="7" t="s">
        <v>38</v>
      </c>
      <c r="N9" s="8"/>
      <c r="O9" s="7" t="s">
        <v>27</v>
      </c>
      <c r="P9" s="7" t="s">
        <v>39</v>
      </c>
      <c r="Q9" s="7" t="s">
        <v>40</v>
      </c>
      <c r="R9" s="8"/>
      <c r="S9" s="6" t="str">
        <f>"270,0"</f>
        <v>270,0</v>
      </c>
      <c r="T9" s="7" t="str">
        <f>"215,0280"</f>
        <v>215,0280</v>
      </c>
      <c r="U9" s="6" t="s">
        <v>41</v>
      </c>
    </row>
    <row r="11" spans="1:21" ht="15">
      <c r="A11" s="50" t="s">
        <v>30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1:21">
      <c r="A12" s="9" t="s">
        <v>43</v>
      </c>
      <c r="B12" s="9" t="s">
        <v>44</v>
      </c>
      <c r="C12" s="9" t="s">
        <v>45</v>
      </c>
      <c r="D12" s="9" t="str">
        <f>"0,7377"</f>
        <v>0,7377</v>
      </c>
      <c r="E12" s="9" t="s">
        <v>46</v>
      </c>
      <c r="F12" s="9" t="s">
        <v>47</v>
      </c>
      <c r="G12" s="10" t="s">
        <v>28</v>
      </c>
      <c r="H12" s="10" t="s">
        <v>48</v>
      </c>
      <c r="I12" s="11" t="s">
        <v>49</v>
      </c>
      <c r="J12" s="11"/>
      <c r="K12" s="10" t="s">
        <v>23</v>
      </c>
      <c r="L12" s="10" t="s">
        <v>50</v>
      </c>
      <c r="M12" s="10" t="s">
        <v>27</v>
      </c>
      <c r="N12" s="11"/>
      <c r="O12" s="10" t="s">
        <v>51</v>
      </c>
      <c r="P12" s="10" t="s">
        <v>52</v>
      </c>
      <c r="Q12" s="10" t="s">
        <v>53</v>
      </c>
      <c r="R12" s="11"/>
      <c r="S12" s="9" t="str">
        <f>"405,0"</f>
        <v>405,0</v>
      </c>
      <c r="T12" s="10" t="str">
        <f>"310,7192"</f>
        <v>310,7192</v>
      </c>
      <c r="U12" s="9" t="s">
        <v>41</v>
      </c>
    </row>
    <row r="13" spans="1:21">
      <c r="A13" s="12" t="s">
        <v>55</v>
      </c>
      <c r="B13" s="12" t="s">
        <v>56</v>
      </c>
      <c r="C13" s="12" t="s">
        <v>57</v>
      </c>
      <c r="D13" s="12" t="str">
        <f>"0,7636"</f>
        <v>0,7636</v>
      </c>
      <c r="E13" s="12" t="s">
        <v>19</v>
      </c>
      <c r="F13" s="12" t="s">
        <v>58</v>
      </c>
      <c r="G13" s="13" t="s">
        <v>28</v>
      </c>
      <c r="H13" s="13" t="s">
        <v>59</v>
      </c>
      <c r="I13" s="13" t="s">
        <v>51</v>
      </c>
      <c r="J13" s="14"/>
      <c r="K13" s="14" t="s">
        <v>60</v>
      </c>
      <c r="L13" s="13" t="s">
        <v>60</v>
      </c>
      <c r="M13" s="13" t="s">
        <v>22</v>
      </c>
      <c r="N13" s="14"/>
      <c r="O13" s="13" t="s">
        <v>48</v>
      </c>
      <c r="P13" s="13" t="s">
        <v>49</v>
      </c>
      <c r="Q13" s="13" t="s">
        <v>61</v>
      </c>
      <c r="R13" s="14"/>
      <c r="S13" s="12" t="str">
        <f>"395,0"</f>
        <v>395,0</v>
      </c>
      <c r="T13" s="13" t="str">
        <f>"313,6869"</f>
        <v>313,6869</v>
      </c>
      <c r="U13" s="12" t="s">
        <v>41</v>
      </c>
    </row>
    <row r="14" spans="1:21">
      <c r="A14" s="12" t="s">
        <v>63</v>
      </c>
      <c r="B14" s="12" t="s">
        <v>64</v>
      </c>
      <c r="C14" s="12" t="s">
        <v>65</v>
      </c>
      <c r="D14" s="12" t="str">
        <f>"0,7317"</f>
        <v>0,7317</v>
      </c>
      <c r="E14" s="12" t="s">
        <v>19</v>
      </c>
      <c r="F14" s="12" t="s">
        <v>58</v>
      </c>
      <c r="G14" s="13" t="s">
        <v>59</v>
      </c>
      <c r="H14" s="13" t="s">
        <v>48</v>
      </c>
      <c r="I14" s="14" t="s">
        <v>49</v>
      </c>
      <c r="J14" s="14"/>
      <c r="K14" s="13" t="s">
        <v>22</v>
      </c>
      <c r="L14" s="13" t="s">
        <v>23</v>
      </c>
      <c r="M14" s="14" t="s">
        <v>27</v>
      </c>
      <c r="N14" s="14"/>
      <c r="O14" s="13" t="s">
        <v>52</v>
      </c>
      <c r="P14" s="13" t="s">
        <v>53</v>
      </c>
      <c r="Q14" s="13" t="s">
        <v>61</v>
      </c>
      <c r="R14" s="14"/>
      <c r="S14" s="12" t="str">
        <f>"405,0"</f>
        <v>405,0</v>
      </c>
      <c r="T14" s="13" t="str">
        <f>"302,2653"</f>
        <v>302,2653</v>
      </c>
      <c r="U14" s="12" t="s">
        <v>66</v>
      </c>
    </row>
    <row r="15" spans="1:21">
      <c r="A15" s="15" t="s">
        <v>68</v>
      </c>
      <c r="B15" s="15" t="s">
        <v>69</v>
      </c>
      <c r="C15" s="15" t="s">
        <v>70</v>
      </c>
      <c r="D15" s="15" t="str">
        <f>"0,7307"</f>
        <v>0,7307</v>
      </c>
      <c r="E15" s="15" t="s">
        <v>71</v>
      </c>
      <c r="F15" s="15" t="s">
        <v>35</v>
      </c>
      <c r="G15" s="16" t="s">
        <v>72</v>
      </c>
      <c r="H15" s="16" t="s">
        <v>73</v>
      </c>
      <c r="I15" s="16" t="s">
        <v>74</v>
      </c>
      <c r="J15" s="16" t="s">
        <v>75</v>
      </c>
      <c r="K15" s="16" t="s">
        <v>76</v>
      </c>
      <c r="L15" s="17" t="s">
        <v>61</v>
      </c>
      <c r="M15" s="17" t="s">
        <v>61</v>
      </c>
      <c r="N15" s="17"/>
      <c r="O15" s="16" t="s">
        <v>77</v>
      </c>
      <c r="P15" s="17" t="s">
        <v>78</v>
      </c>
      <c r="Q15" s="17" t="s">
        <v>78</v>
      </c>
      <c r="R15" s="17"/>
      <c r="S15" s="15" t="str">
        <f>"645,0"</f>
        <v>645,0</v>
      </c>
      <c r="T15" s="16" t="str">
        <f>"471,3015"</f>
        <v>471,3015</v>
      </c>
      <c r="U15" s="15" t="s">
        <v>79</v>
      </c>
    </row>
    <row r="17" spans="1:21" ht="15">
      <c r="A17" s="50" t="s">
        <v>80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</row>
    <row r="18" spans="1:21">
      <c r="A18" s="6" t="s">
        <v>82</v>
      </c>
      <c r="B18" s="6" t="s">
        <v>83</v>
      </c>
      <c r="C18" s="6" t="s">
        <v>84</v>
      </c>
      <c r="D18" s="6" t="str">
        <f>"0,6931"</f>
        <v>0,6931</v>
      </c>
      <c r="E18" s="6" t="s">
        <v>19</v>
      </c>
      <c r="F18" s="6" t="s">
        <v>58</v>
      </c>
      <c r="G18" s="7" t="s">
        <v>59</v>
      </c>
      <c r="H18" s="7" t="s">
        <v>48</v>
      </c>
      <c r="I18" s="7" t="s">
        <v>52</v>
      </c>
      <c r="J18" s="8"/>
      <c r="K18" s="7" t="s">
        <v>50</v>
      </c>
      <c r="L18" s="7" t="s">
        <v>27</v>
      </c>
      <c r="M18" s="8" t="s">
        <v>85</v>
      </c>
      <c r="N18" s="8"/>
      <c r="O18" s="7" t="s">
        <v>86</v>
      </c>
      <c r="P18" s="8" t="s">
        <v>87</v>
      </c>
      <c r="Q18" s="8" t="s">
        <v>87</v>
      </c>
      <c r="R18" s="8"/>
      <c r="S18" s="6" t="str">
        <f>"445,0"</f>
        <v>445,0</v>
      </c>
      <c r="T18" s="7" t="str">
        <f>"308,4295"</f>
        <v>308,4295</v>
      </c>
      <c r="U18" s="6" t="s">
        <v>88</v>
      </c>
    </row>
    <row r="20" spans="1:21" ht="15">
      <c r="A20" s="50" t="s">
        <v>89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</row>
    <row r="21" spans="1:21">
      <c r="A21" s="9" t="s">
        <v>91</v>
      </c>
      <c r="B21" s="9" t="s">
        <v>92</v>
      </c>
      <c r="C21" s="9" t="s">
        <v>93</v>
      </c>
      <c r="D21" s="9" t="str">
        <f>"0,6203"</f>
        <v>0,6203</v>
      </c>
      <c r="E21" s="9" t="s">
        <v>19</v>
      </c>
      <c r="F21" s="9" t="s">
        <v>58</v>
      </c>
      <c r="G21" s="10" t="s">
        <v>94</v>
      </c>
      <c r="H21" s="10" t="s">
        <v>95</v>
      </c>
      <c r="I21" s="10" t="s">
        <v>96</v>
      </c>
      <c r="J21" s="11"/>
      <c r="K21" s="10" t="s">
        <v>59</v>
      </c>
      <c r="L21" s="10" t="s">
        <v>51</v>
      </c>
      <c r="M21" s="11" t="s">
        <v>48</v>
      </c>
      <c r="N21" s="11"/>
      <c r="O21" s="10" t="s">
        <v>97</v>
      </c>
      <c r="P21" s="10" t="s">
        <v>98</v>
      </c>
      <c r="Q21" s="10" t="s">
        <v>95</v>
      </c>
      <c r="R21" s="11"/>
      <c r="S21" s="9" t="str">
        <f>"640,0"</f>
        <v>640,0</v>
      </c>
      <c r="T21" s="10" t="str">
        <f>"396,9920"</f>
        <v>396,9920</v>
      </c>
      <c r="U21" s="9" t="s">
        <v>41</v>
      </c>
    </row>
    <row r="22" spans="1:21">
      <c r="A22" s="12" t="s">
        <v>100</v>
      </c>
      <c r="B22" s="12" t="s">
        <v>101</v>
      </c>
      <c r="C22" s="12" t="s">
        <v>102</v>
      </c>
      <c r="D22" s="12" t="str">
        <f>"0,6273"</f>
        <v>0,6273</v>
      </c>
      <c r="E22" s="12" t="s">
        <v>19</v>
      </c>
      <c r="F22" s="12" t="s">
        <v>103</v>
      </c>
      <c r="G22" s="13" t="s">
        <v>76</v>
      </c>
      <c r="H22" s="13" t="s">
        <v>104</v>
      </c>
      <c r="I22" s="13" t="s">
        <v>86</v>
      </c>
      <c r="J22" s="14"/>
      <c r="K22" s="14" t="s">
        <v>51</v>
      </c>
      <c r="L22" s="13" t="s">
        <v>52</v>
      </c>
      <c r="M22" s="14" t="s">
        <v>49</v>
      </c>
      <c r="N22" s="14"/>
      <c r="O22" s="13" t="s">
        <v>105</v>
      </c>
      <c r="P22" s="13" t="s">
        <v>106</v>
      </c>
      <c r="Q22" s="14" t="s">
        <v>97</v>
      </c>
      <c r="R22" s="14"/>
      <c r="S22" s="12" t="str">
        <f>"552,5"</f>
        <v>552,5</v>
      </c>
      <c r="T22" s="13" t="str">
        <f>"346,5833"</f>
        <v>346,5833</v>
      </c>
      <c r="U22" s="12" t="s">
        <v>41</v>
      </c>
    </row>
    <row r="23" spans="1:21">
      <c r="A23" s="12" t="s">
        <v>108</v>
      </c>
      <c r="B23" s="12" t="s">
        <v>109</v>
      </c>
      <c r="C23" s="12" t="s">
        <v>110</v>
      </c>
      <c r="D23" s="12" t="str">
        <f>"0,6246"</f>
        <v>0,6246</v>
      </c>
      <c r="E23" s="12" t="s">
        <v>19</v>
      </c>
      <c r="F23" s="12" t="s">
        <v>111</v>
      </c>
      <c r="G23" s="13" t="s">
        <v>105</v>
      </c>
      <c r="H23" s="14" t="s">
        <v>73</v>
      </c>
      <c r="I23" s="14" t="s">
        <v>73</v>
      </c>
      <c r="J23" s="14"/>
      <c r="K23" s="13" t="s">
        <v>49</v>
      </c>
      <c r="L23" s="14" t="s">
        <v>61</v>
      </c>
      <c r="M23" s="14" t="s">
        <v>61</v>
      </c>
      <c r="N23" s="14"/>
      <c r="O23" s="13" t="s">
        <v>105</v>
      </c>
      <c r="P23" s="14" t="s">
        <v>73</v>
      </c>
      <c r="Q23" s="14" t="s">
        <v>73</v>
      </c>
      <c r="R23" s="14"/>
      <c r="S23" s="12" t="str">
        <f>"550,0"</f>
        <v>550,0</v>
      </c>
      <c r="T23" s="13" t="str">
        <f>"343,5300"</f>
        <v>343,5300</v>
      </c>
      <c r="U23" s="12" t="s">
        <v>41</v>
      </c>
    </row>
    <row r="24" spans="1:21">
      <c r="A24" s="15" t="s">
        <v>113</v>
      </c>
      <c r="B24" s="15" t="s">
        <v>114</v>
      </c>
      <c r="C24" s="15" t="s">
        <v>115</v>
      </c>
      <c r="D24" s="15" t="str">
        <f>"0,6193"</f>
        <v>0,6193</v>
      </c>
      <c r="E24" s="15" t="s">
        <v>116</v>
      </c>
      <c r="F24" s="15" t="s">
        <v>117</v>
      </c>
      <c r="G24" s="16" t="s">
        <v>104</v>
      </c>
      <c r="H24" s="16" t="s">
        <v>118</v>
      </c>
      <c r="I24" s="17"/>
      <c r="J24" s="17"/>
      <c r="K24" s="16" t="s">
        <v>119</v>
      </c>
      <c r="L24" s="16" t="s">
        <v>23</v>
      </c>
      <c r="M24" s="17"/>
      <c r="N24" s="17"/>
      <c r="O24" s="16" t="s">
        <v>105</v>
      </c>
      <c r="P24" s="17" t="s">
        <v>72</v>
      </c>
      <c r="Q24" s="16" t="s">
        <v>120</v>
      </c>
      <c r="R24" s="17"/>
      <c r="S24" s="15" t="str">
        <f>"500,0"</f>
        <v>500,0</v>
      </c>
      <c r="T24" s="16" t="str">
        <f>"526,4050"</f>
        <v>526,4050</v>
      </c>
      <c r="U24" s="15" t="s">
        <v>121</v>
      </c>
    </row>
    <row r="26" spans="1:21" ht="15">
      <c r="A26" s="50" t="s">
        <v>122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</row>
    <row r="27" spans="1:21">
      <c r="A27" s="6" t="s">
        <v>124</v>
      </c>
      <c r="B27" s="6" t="s">
        <v>125</v>
      </c>
      <c r="C27" s="6" t="s">
        <v>126</v>
      </c>
      <c r="D27" s="6" t="str">
        <f>"0,5865"</f>
        <v>0,5865</v>
      </c>
      <c r="E27" s="6" t="s">
        <v>19</v>
      </c>
      <c r="F27" s="6" t="s">
        <v>127</v>
      </c>
      <c r="G27" s="7" t="s">
        <v>86</v>
      </c>
      <c r="H27" s="7" t="s">
        <v>105</v>
      </c>
      <c r="I27" s="8" t="s">
        <v>120</v>
      </c>
      <c r="J27" s="8"/>
      <c r="K27" s="7" t="s">
        <v>51</v>
      </c>
      <c r="L27" s="8" t="s">
        <v>49</v>
      </c>
      <c r="M27" s="8" t="s">
        <v>49</v>
      </c>
      <c r="N27" s="8"/>
      <c r="O27" s="7" t="s">
        <v>97</v>
      </c>
      <c r="P27" s="7" t="s">
        <v>95</v>
      </c>
      <c r="Q27" s="7" t="s">
        <v>77</v>
      </c>
      <c r="R27" s="8"/>
      <c r="S27" s="6" t="str">
        <f>"595,0"</f>
        <v>595,0</v>
      </c>
      <c r="T27" s="7" t="str">
        <f>"348,9675"</f>
        <v>348,9675</v>
      </c>
      <c r="U27" s="6" t="s">
        <v>41</v>
      </c>
    </row>
    <row r="29" spans="1:21" ht="15">
      <c r="A29" s="50" t="s">
        <v>128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21">
      <c r="A30" s="9" t="s">
        <v>130</v>
      </c>
      <c r="B30" s="9" t="s">
        <v>131</v>
      </c>
      <c r="C30" s="9" t="s">
        <v>132</v>
      </c>
      <c r="D30" s="9" t="str">
        <f>"0,5540"</f>
        <v>0,5540</v>
      </c>
      <c r="E30" s="9" t="s">
        <v>71</v>
      </c>
      <c r="F30" s="9" t="s">
        <v>133</v>
      </c>
      <c r="G30" s="10" t="s">
        <v>134</v>
      </c>
      <c r="H30" s="10" t="s">
        <v>135</v>
      </c>
      <c r="I30" s="10" t="s">
        <v>136</v>
      </c>
      <c r="J30" s="11"/>
      <c r="K30" s="10" t="s">
        <v>105</v>
      </c>
      <c r="L30" s="10" t="s">
        <v>73</v>
      </c>
      <c r="M30" s="11" t="s">
        <v>97</v>
      </c>
      <c r="N30" s="11"/>
      <c r="O30" s="10" t="s">
        <v>137</v>
      </c>
      <c r="P30" s="10" t="s">
        <v>135</v>
      </c>
      <c r="Q30" s="11" t="s">
        <v>138</v>
      </c>
      <c r="R30" s="11"/>
      <c r="S30" s="9" t="str">
        <f>"841,0"</f>
        <v>841,0</v>
      </c>
      <c r="T30" s="10" t="str">
        <f>"465,9140"</f>
        <v>465,9140</v>
      </c>
      <c r="U30" s="9" t="s">
        <v>41</v>
      </c>
    </row>
    <row r="31" spans="1:21">
      <c r="A31" s="15" t="s">
        <v>140</v>
      </c>
      <c r="B31" s="15" t="s">
        <v>141</v>
      </c>
      <c r="C31" s="15" t="s">
        <v>142</v>
      </c>
      <c r="D31" s="15" t="str">
        <f>"0,5591"</f>
        <v>0,5591</v>
      </c>
      <c r="E31" s="15" t="s">
        <v>19</v>
      </c>
      <c r="F31" s="15" t="s">
        <v>111</v>
      </c>
      <c r="G31" s="16" t="s">
        <v>72</v>
      </c>
      <c r="H31" s="16" t="s">
        <v>97</v>
      </c>
      <c r="I31" s="16" t="s">
        <v>94</v>
      </c>
      <c r="J31" s="17"/>
      <c r="K31" s="16" t="s">
        <v>143</v>
      </c>
      <c r="L31" s="16" t="s">
        <v>118</v>
      </c>
      <c r="M31" s="17" t="s">
        <v>144</v>
      </c>
      <c r="N31" s="17"/>
      <c r="O31" s="16" t="s">
        <v>73</v>
      </c>
      <c r="P31" s="16" t="s">
        <v>95</v>
      </c>
      <c r="Q31" s="17" t="s">
        <v>145</v>
      </c>
      <c r="R31" s="17"/>
      <c r="S31" s="15" t="str">
        <f>"675,0"</f>
        <v>675,0</v>
      </c>
      <c r="T31" s="16" t="str">
        <f>"377,3925"</f>
        <v>377,3925</v>
      </c>
      <c r="U31" s="15" t="s">
        <v>41</v>
      </c>
    </row>
    <row r="33" spans="1:21" ht="15">
      <c r="A33" s="50" t="s">
        <v>146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</row>
    <row r="34" spans="1:21">
      <c r="A34" s="6" t="s">
        <v>148</v>
      </c>
      <c r="B34" s="6" t="s">
        <v>149</v>
      </c>
      <c r="C34" s="6" t="s">
        <v>150</v>
      </c>
      <c r="D34" s="6" t="str">
        <f>"0,5407"</f>
        <v>0,5407</v>
      </c>
      <c r="E34" s="6" t="s">
        <v>19</v>
      </c>
      <c r="F34" s="6" t="s">
        <v>151</v>
      </c>
      <c r="G34" s="7" t="s">
        <v>59</v>
      </c>
      <c r="H34" s="7" t="s">
        <v>49</v>
      </c>
      <c r="I34" s="7" t="s">
        <v>152</v>
      </c>
      <c r="J34" s="8"/>
      <c r="K34" s="7" t="s">
        <v>27</v>
      </c>
      <c r="L34" s="7" t="s">
        <v>28</v>
      </c>
      <c r="M34" s="8" t="s">
        <v>59</v>
      </c>
      <c r="N34" s="8"/>
      <c r="O34" s="7" t="s">
        <v>53</v>
      </c>
      <c r="P34" s="7" t="s">
        <v>104</v>
      </c>
      <c r="Q34" s="7" t="s">
        <v>105</v>
      </c>
      <c r="R34" s="8"/>
      <c r="S34" s="6" t="str">
        <f>"490,0"</f>
        <v>490,0</v>
      </c>
      <c r="T34" s="7" t="str">
        <f>"303,0948"</f>
        <v>303,0948</v>
      </c>
      <c r="U34" s="6" t="s">
        <v>41</v>
      </c>
    </row>
    <row r="36" spans="1:21" ht="15">
      <c r="A36" s="50" t="s">
        <v>153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</row>
    <row r="37" spans="1:21">
      <c r="A37" s="9" t="s">
        <v>155</v>
      </c>
      <c r="B37" s="9" t="s">
        <v>156</v>
      </c>
      <c r="C37" s="9" t="s">
        <v>157</v>
      </c>
      <c r="D37" s="9" t="str">
        <f>"0,5321"</f>
        <v>0,5321</v>
      </c>
      <c r="E37" s="9" t="s">
        <v>19</v>
      </c>
      <c r="F37" s="9" t="s">
        <v>58</v>
      </c>
      <c r="G37" s="10" t="s">
        <v>27</v>
      </c>
      <c r="H37" s="10" t="s">
        <v>28</v>
      </c>
      <c r="I37" s="10" t="s">
        <v>59</v>
      </c>
      <c r="J37" s="11"/>
      <c r="K37" s="10" t="s">
        <v>25</v>
      </c>
      <c r="L37" s="10" t="s">
        <v>26</v>
      </c>
      <c r="M37" s="10" t="s">
        <v>158</v>
      </c>
      <c r="N37" s="11"/>
      <c r="O37" s="11" t="s">
        <v>48</v>
      </c>
      <c r="P37" s="10" t="s">
        <v>48</v>
      </c>
      <c r="Q37" s="10" t="s">
        <v>49</v>
      </c>
      <c r="R37" s="11"/>
      <c r="S37" s="9" t="str">
        <f>"355,0"</f>
        <v>355,0</v>
      </c>
      <c r="T37" s="10" t="str">
        <f>"196,4513"</f>
        <v>196,4513</v>
      </c>
      <c r="U37" s="9" t="s">
        <v>41</v>
      </c>
    </row>
    <row r="38" spans="1:21">
      <c r="A38" s="15" t="s">
        <v>160</v>
      </c>
      <c r="B38" s="15" t="s">
        <v>161</v>
      </c>
      <c r="C38" s="15" t="s">
        <v>162</v>
      </c>
      <c r="D38" s="15" t="str">
        <f>"0,5279"</f>
        <v>0,5279</v>
      </c>
      <c r="E38" s="15" t="s">
        <v>71</v>
      </c>
      <c r="F38" s="15" t="s">
        <v>117</v>
      </c>
      <c r="G38" s="16" t="s">
        <v>137</v>
      </c>
      <c r="H38" s="16" t="s">
        <v>163</v>
      </c>
      <c r="I38" s="17" t="s">
        <v>164</v>
      </c>
      <c r="J38" s="17"/>
      <c r="K38" s="16" t="s">
        <v>76</v>
      </c>
      <c r="L38" s="17" t="s">
        <v>104</v>
      </c>
      <c r="M38" s="17"/>
      <c r="N38" s="17"/>
      <c r="O38" s="16" t="s">
        <v>165</v>
      </c>
      <c r="P38" s="16" t="s">
        <v>163</v>
      </c>
      <c r="Q38" s="17" t="s">
        <v>138</v>
      </c>
      <c r="R38" s="17"/>
      <c r="S38" s="15" t="str">
        <f>"760,0"</f>
        <v>760,0</v>
      </c>
      <c r="T38" s="16" t="str">
        <f>"401,2040"</f>
        <v>401,2040</v>
      </c>
      <c r="U38" s="15" t="s">
        <v>41</v>
      </c>
    </row>
    <row r="40" spans="1:21" ht="15">
      <c r="E40" s="18" t="s">
        <v>166</v>
      </c>
    </row>
    <row r="41" spans="1:21" ht="15">
      <c r="E41" s="18" t="s">
        <v>167</v>
      </c>
    </row>
    <row r="42" spans="1:21" ht="15">
      <c r="E42" s="18" t="s">
        <v>168</v>
      </c>
    </row>
    <row r="43" spans="1:21" ht="15">
      <c r="E43" s="18" t="s">
        <v>169</v>
      </c>
    </row>
    <row r="44" spans="1:21" ht="15">
      <c r="E44" s="18" t="s">
        <v>169</v>
      </c>
    </row>
    <row r="45" spans="1:21" ht="15">
      <c r="E45" s="18" t="s">
        <v>170</v>
      </c>
    </row>
    <row r="46" spans="1:21" ht="15">
      <c r="E46" s="18"/>
    </row>
    <row r="48" spans="1:21" ht="18">
      <c r="A48" s="19" t="s">
        <v>171</v>
      </c>
      <c r="B48" s="19"/>
    </row>
    <row r="49" spans="1:5" ht="15">
      <c r="A49" s="20" t="s">
        <v>172</v>
      </c>
      <c r="B49" s="20"/>
    </row>
    <row r="50" spans="1:5" ht="14.25">
      <c r="A50" s="22"/>
      <c r="B50" s="23" t="s">
        <v>173</v>
      </c>
    </row>
    <row r="51" spans="1:5" ht="15">
      <c r="A51" s="24" t="s">
        <v>174</v>
      </c>
      <c r="B51" s="24" t="s">
        <v>175</v>
      </c>
      <c r="C51" s="24" t="s">
        <v>176</v>
      </c>
      <c r="D51" s="24" t="s">
        <v>177</v>
      </c>
      <c r="E51" s="24" t="s">
        <v>178</v>
      </c>
    </row>
    <row r="52" spans="1:5">
      <c r="A52" s="21" t="s">
        <v>15</v>
      </c>
      <c r="B52" s="5" t="s">
        <v>173</v>
      </c>
      <c r="C52" s="5" t="s">
        <v>24</v>
      </c>
      <c r="D52" s="5" t="s">
        <v>137</v>
      </c>
      <c r="E52" s="25" t="s">
        <v>179</v>
      </c>
    </row>
    <row r="53" spans="1:5">
      <c r="A53" s="21" t="s">
        <v>31</v>
      </c>
      <c r="B53" s="5" t="s">
        <v>173</v>
      </c>
      <c r="C53" s="5" t="s">
        <v>180</v>
      </c>
      <c r="D53" s="5" t="s">
        <v>145</v>
      </c>
      <c r="E53" s="25" t="s">
        <v>181</v>
      </c>
    </row>
    <row r="56" spans="1:5" ht="15">
      <c r="A56" s="20" t="s">
        <v>182</v>
      </c>
      <c r="B56" s="20"/>
    </row>
    <row r="57" spans="1:5" ht="14.25">
      <c r="A57" s="22"/>
      <c r="B57" s="23" t="s">
        <v>183</v>
      </c>
    </row>
    <row r="58" spans="1:5" ht="15">
      <c r="A58" s="24" t="s">
        <v>174</v>
      </c>
      <c r="B58" s="24" t="s">
        <v>175</v>
      </c>
      <c r="C58" s="24" t="s">
        <v>176</v>
      </c>
      <c r="D58" s="24" t="s">
        <v>177</v>
      </c>
      <c r="E58" s="24" t="s">
        <v>178</v>
      </c>
    </row>
    <row r="59" spans="1:5">
      <c r="A59" s="21" t="s">
        <v>54</v>
      </c>
      <c r="B59" s="5" t="s">
        <v>184</v>
      </c>
      <c r="C59" s="5" t="s">
        <v>180</v>
      </c>
      <c r="D59" s="5" t="s">
        <v>185</v>
      </c>
      <c r="E59" s="25" t="s">
        <v>186</v>
      </c>
    </row>
    <row r="60" spans="1:5">
      <c r="A60" s="21" t="s">
        <v>42</v>
      </c>
      <c r="B60" s="5" t="s">
        <v>184</v>
      </c>
      <c r="C60" s="5" t="s">
        <v>180</v>
      </c>
      <c r="D60" s="5" t="s">
        <v>187</v>
      </c>
      <c r="E60" s="25" t="s">
        <v>188</v>
      </c>
    </row>
    <row r="61" spans="1:5">
      <c r="A61" s="21" t="s">
        <v>154</v>
      </c>
      <c r="B61" s="5" t="s">
        <v>184</v>
      </c>
      <c r="C61" s="5" t="s">
        <v>189</v>
      </c>
      <c r="D61" s="5" t="s">
        <v>190</v>
      </c>
      <c r="E61" s="25" t="s">
        <v>191</v>
      </c>
    </row>
    <row r="63" spans="1:5" ht="14.25">
      <c r="A63" s="22"/>
      <c r="B63" s="23" t="s">
        <v>192</v>
      </c>
    </row>
    <row r="64" spans="1:5" ht="15">
      <c r="A64" s="24" t="s">
        <v>174</v>
      </c>
      <c r="B64" s="24" t="s">
        <v>175</v>
      </c>
      <c r="C64" s="24" t="s">
        <v>176</v>
      </c>
      <c r="D64" s="24" t="s">
        <v>177</v>
      </c>
      <c r="E64" s="24" t="s">
        <v>178</v>
      </c>
    </row>
    <row r="65" spans="1:5">
      <c r="A65" s="21" t="s">
        <v>62</v>
      </c>
      <c r="B65" s="5" t="s">
        <v>193</v>
      </c>
      <c r="C65" s="5" t="s">
        <v>180</v>
      </c>
      <c r="D65" s="5" t="s">
        <v>187</v>
      </c>
      <c r="E65" s="25" t="s">
        <v>194</v>
      </c>
    </row>
    <row r="67" spans="1:5" ht="14.25">
      <c r="A67" s="22"/>
      <c r="B67" s="23" t="s">
        <v>173</v>
      </c>
    </row>
    <row r="68" spans="1:5" ht="15">
      <c r="A68" s="24" t="s">
        <v>174</v>
      </c>
      <c r="B68" s="24" t="s">
        <v>175</v>
      </c>
      <c r="C68" s="24" t="s">
        <v>176</v>
      </c>
      <c r="D68" s="24" t="s">
        <v>177</v>
      </c>
      <c r="E68" s="24" t="s">
        <v>178</v>
      </c>
    </row>
    <row r="69" spans="1:5">
      <c r="A69" s="21" t="s">
        <v>67</v>
      </c>
      <c r="B69" s="5" t="s">
        <v>173</v>
      </c>
      <c r="C69" s="5" t="s">
        <v>180</v>
      </c>
      <c r="D69" s="5" t="s">
        <v>195</v>
      </c>
      <c r="E69" s="25" t="s">
        <v>196</v>
      </c>
    </row>
    <row r="70" spans="1:5">
      <c r="A70" s="21" t="s">
        <v>129</v>
      </c>
      <c r="B70" s="5" t="s">
        <v>173</v>
      </c>
      <c r="C70" s="5" t="s">
        <v>23</v>
      </c>
      <c r="D70" s="5" t="s">
        <v>197</v>
      </c>
      <c r="E70" s="25" t="s">
        <v>198</v>
      </c>
    </row>
    <row r="71" spans="1:5">
      <c r="A71" s="21" t="s">
        <v>159</v>
      </c>
      <c r="B71" s="5" t="s">
        <v>173</v>
      </c>
      <c r="C71" s="5" t="s">
        <v>189</v>
      </c>
      <c r="D71" s="5" t="s">
        <v>199</v>
      </c>
      <c r="E71" s="25" t="s">
        <v>200</v>
      </c>
    </row>
    <row r="72" spans="1:5">
      <c r="A72" s="21" t="s">
        <v>90</v>
      </c>
      <c r="B72" s="5" t="s">
        <v>173</v>
      </c>
      <c r="C72" s="5" t="s">
        <v>201</v>
      </c>
      <c r="D72" s="5" t="s">
        <v>202</v>
      </c>
      <c r="E72" s="25" t="s">
        <v>203</v>
      </c>
    </row>
    <row r="73" spans="1:5">
      <c r="A73" s="21" t="s">
        <v>139</v>
      </c>
      <c r="B73" s="5" t="s">
        <v>173</v>
      </c>
      <c r="C73" s="5" t="s">
        <v>23</v>
      </c>
      <c r="D73" s="5" t="s">
        <v>204</v>
      </c>
      <c r="E73" s="25" t="s">
        <v>205</v>
      </c>
    </row>
    <row r="74" spans="1:5">
      <c r="A74" s="21" t="s">
        <v>123</v>
      </c>
      <c r="B74" s="5" t="s">
        <v>173</v>
      </c>
      <c r="C74" s="5" t="s">
        <v>21</v>
      </c>
      <c r="D74" s="5" t="s">
        <v>206</v>
      </c>
      <c r="E74" s="25" t="s">
        <v>207</v>
      </c>
    </row>
    <row r="75" spans="1:5">
      <c r="A75" s="21" t="s">
        <v>99</v>
      </c>
      <c r="B75" s="5" t="s">
        <v>173</v>
      </c>
      <c r="C75" s="5" t="s">
        <v>201</v>
      </c>
      <c r="D75" s="5" t="s">
        <v>208</v>
      </c>
      <c r="E75" s="25" t="s">
        <v>209</v>
      </c>
    </row>
    <row r="76" spans="1:5">
      <c r="A76" s="21" t="s">
        <v>107</v>
      </c>
      <c r="B76" s="5" t="s">
        <v>173</v>
      </c>
      <c r="C76" s="5" t="s">
        <v>201</v>
      </c>
      <c r="D76" s="5" t="s">
        <v>210</v>
      </c>
      <c r="E76" s="25" t="s">
        <v>211</v>
      </c>
    </row>
    <row r="77" spans="1:5">
      <c r="A77" s="21" t="s">
        <v>81</v>
      </c>
      <c r="B77" s="5" t="s">
        <v>173</v>
      </c>
      <c r="C77" s="5" t="s">
        <v>158</v>
      </c>
      <c r="D77" s="5" t="s">
        <v>212</v>
      </c>
      <c r="E77" s="25" t="s">
        <v>213</v>
      </c>
    </row>
    <row r="79" spans="1:5" ht="14.25">
      <c r="A79" s="22"/>
      <c r="B79" s="23" t="s">
        <v>214</v>
      </c>
    </row>
    <row r="80" spans="1:5" ht="15">
      <c r="A80" s="24" t="s">
        <v>174</v>
      </c>
      <c r="B80" s="24" t="s">
        <v>175</v>
      </c>
      <c r="C80" s="24" t="s">
        <v>176</v>
      </c>
      <c r="D80" s="24" t="s">
        <v>177</v>
      </c>
      <c r="E80" s="24" t="s">
        <v>178</v>
      </c>
    </row>
    <row r="81" spans="1:5">
      <c r="A81" s="21" t="s">
        <v>112</v>
      </c>
      <c r="B81" s="5" t="s">
        <v>215</v>
      </c>
      <c r="C81" s="5" t="s">
        <v>201</v>
      </c>
      <c r="D81" s="5" t="s">
        <v>216</v>
      </c>
      <c r="E81" s="25" t="s">
        <v>217</v>
      </c>
    </row>
    <row r="82" spans="1:5">
      <c r="A82" s="21" t="s">
        <v>147</v>
      </c>
      <c r="B82" s="5" t="s">
        <v>218</v>
      </c>
      <c r="C82" s="5" t="s">
        <v>27</v>
      </c>
      <c r="D82" s="5" t="s">
        <v>219</v>
      </c>
      <c r="E82" s="25" t="s">
        <v>220</v>
      </c>
    </row>
  </sheetData>
  <mergeCells count="22">
    <mergeCell ref="A26:T26"/>
    <mergeCell ref="A29:T29"/>
    <mergeCell ref="A33:T33"/>
    <mergeCell ref="A36:T36"/>
    <mergeCell ref="A8:T8"/>
    <mergeCell ref="A11:T11"/>
    <mergeCell ref="A17:T17"/>
    <mergeCell ref="A20:T20"/>
    <mergeCell ref="A5:T5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  <mergeCell ref="D3:D4"/>
    <mergeCell ref="S3:S4"/>
    <mergeCell ref="T3:T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C10" sqref="C10"/>
    </sheetView>
  </sheetViews>
  <sheetFormatPr defaultRowHeight="12.75"/>
  <cols>
    <col min="1" max="6" width="9.140625" style="5"/>
    <col min="7" max="7" width="9.140625" style="4"/>
    <col min="8" max="8" width="9.140625" style="29"/>
    <col min="9" max="9" width="9.140625" style="5"/>
    <col min="10" max="10" width="9.140625" style="4"/>
    <col min="11" max="11" width="9.140625" style="5"/>
    <col min="12" max="16384" width="9.140625" style="4"/>
  </cols>
  <sheetData>
    <row r="1" spans="1:11" s="3" customFormat="1">
      <c r="A1" s="41" t="s">
        <v>1063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3" customFormat="1" ht="13.5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1" customFormat="1" ht="15">
      <c r="A3" s="47" t="s">
        <v>0</v>
      </c>
      <c r="B3" s="49" t="s">
        <v>9</v>
      </c>
      <c r="C3" s="49" t="s">
        <v>11</v>
      </c>
      <c r="D3" s="37"/>
      <c r="E3" s="37" t="s">
        <v>7</v>
      </c>
      <c r="F3" s="37" t="s">
        <v>10</v>
      </c>
      <c r="G3" s="37" t="s">
        <v>1023</v>
      </c>
      <c r="H3" s="37"/>
      <c r="I3" s="37" t="s">
        <v>1024</v>
      </c>
      <c r="J3" s="37" t="s">
        <v>6</v>
      </c>
      <c r="K3" s="39" t="s">
        <v>5</v>
      </c>
    </row>
    <row r="4" spans="1:11" s="1" customFormat="1" ht="15.75" thickBot="1">
      <c r="A4" s="48"/>
      <c r="B4" s="38"/>
      <c r="C4" s="38"/>
      <c r="D4" s="38"/>
      <c r="E4" s="38"/>
      <c r="F4" s="38"/>
      <c r="G4" s="27" t="s">
        <v>1025</v>
      </c>
      <c r="H4" s="28" t="s">
        <v>1026</v>
      </c>
      <c r="I4" s="38"/>
      <c r="J4" s="38"/>
      <c r="K4" s="40"/>
    </row>
    <row r="6" spans="1:11" ht="15">
      <c r="E6" s="18" t="s">
        <v>166</v>
      </c>
    </row>
    <row r="7" spans="1:11" ht="15">
      <c r="E7" s="18" t="s">
        <v>167</v>
      </c>
    </row>
    <row r="8" spans="1:11" ht="15">
      <c r="E8" s="18" t="s">
        <v>168</v>
      </c>
    </row>
    <row r="9" spans="1:11" ht="15">
      <c r="E9" s="18" t="s">
        <v>169</v>
      </c>
    </row>
    <row r="10" spans="1:11" ht="15">
      <c r="E10" s="18" t="s">
        <v>169</v>
      </c>
    </row>
    <row r="11" spans="1:11" ht="15">
      <c r="E11" s="18" t="s">
        <v>170</v>
      </c>
    </row>
    <row r="12" spans="1:11" ht="15">
      <c r="E12" s="18"/>
    </row>
    <row r="14" spans="1:11" ht="18">
      <c r="A14" s="19" t="s">
        <v>171</v>
      </c>
      <c r="B14" s="19"/>
    </row>
  </sheetData>
  <mergeCells count="11">
    <mergeCell ref="K3:K4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C10" sqref="C10"/>
    </sheetView>
  </sheetViews>
  <sheetFormatPr defaultRowHeight="12.75"/>
  <cols>
    <col min="1" max="6" width="9.140625" style="5"/>
    <col min="7" max="7" width="9.140625" style="4"/>
    <col min="8" max="8" width="9.140625" style="29"/>
    <col min="9" max="9" width="9.140625" style="5"/>
    <col min="10" max="10" width="9.140625" style="4"/>
    <col min="11" max="11" width="9.140625" style="5"/>
    <col min="12" max="16384" width="9.140625" style="4"/>
  </cols>
  <sheetData>
    <row r="1" spans="1:11" s="3" customFormat="1">
      <c r="A1" s="41" t="s">
        <v>1064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3" customFormat="1" ht="13.5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1" customFormat="1" ht="15">
      <c r="A3" s="47" t="s">
        <v>0</v>
      </c>
      <c r="B3" s="49" t="s">
        <v>9</v>
      </c>
      <c r="C3" s="49" t="s">
        <v>11</v>
      </c>
      <c r="D3" s="37" t="s">
        <v>1028</v>
      </c>
      <c r="E3" s="37" t="s">
        <v>7</v>
      </c>
      <c r="F3" s="37" t="s">
        <v>10</v>
      </c>
      <c r="G3" s="37" t="s">
        <v>1023</v>
      </c>
      <c r="H3" s="37"/>
      <c r="I3" s="37" t="s">
        <v>1024</v>
      </c>
      <c r="J3" s="37" t="s">
        <v>6</v>
      </c>
      <c r="K3" s="39" t="s">
        <v>5</v>
      </c>
    </row>
    <row r="4" spans="1:11" s="1" customFormat="1" ht="15.75" thickBot="1">
      <c r="A4" s="48"/>
      <c r="B4" s="38"/>
      <c r="C4" s="38"/>
      <c r="D4" s="38"/>
      <c r="E4" s="38"/>
      <c r="F4" s="38"/>
      <c r="G4" s="27" t="s">
        <v>1025</v>
      </c>
      <c r="H4" s="28" t="s">
        <v>1026</v>
      </c>
      <c r="I4" s="38"/>
      <c r="J4" s="38"/>
      <c r="K4" s="40"/>
    </row>
    <row r="5" spans="1:11" ht="15">
      <c r="A5" s="52" t="s">
        <v>122</v>
      </c>
      <c r="B5" s="53"/>
      <c r="C5" s="53"/>
      <c r="D5" s="53"/>
      <c r="E5" s="53"/>
      <c r="F5" s="53"/>
      <c r="G5" s="53"/>
      <c r="H5" s="53"/>
      <c r="I5" s="53"/>
      <c r="J5" s="53"/>
    </row>
    <row r="6" spans="1:11">
      <c r="A6" s="9" t="s">
        <v>1065</v>
      </c>
      <c r="B6" s="9" t="s">
        <v>1066</v>
      </c>
      <c r="C6" s="9" t="s">
        <v>1067</v>
      </c>
      <c r="D6" s="9" t="str">
        <f>"0,7647"</f>
        <v>0,7647</v>
      </c>
      <c r="E6" s="9" t="s">
        <v>19</v>
      </c>
      <c r="F6" s="9" t="s">
        <v>233</v>
      </c>
      <c r="G6" s="10" t="s">
        <v>60</v>
      </c>
      <c r="H6" s="30" t="s">
        <v>1068</v>
      </c>
      <c r="I6" s="9" t="str">
        <f>"3315,0"</f>
        <v>3315,0</v>
      </c>
      <c r="J6" s="10" t="str">
        <f>"2534,9805"</f>
        <v>2534,9805</v>
      </c>
      <c r="K6" s="9" t="s">
        <v>41</v>
      </c>
    </row>
    <row r="7" spans="1:11">
      <c r="A7" s="12" t="s">
        <v>1069</v>
      </c>
      <c r="B7" s="12" t="s">
        <v>1070</v>
      </c>
      <c r="C7" s="12" t="s">
        <v>1071</v>
      </c>
      <c r="D7" s="12" t="str">
        <f>"0,7435"</f>
        <v>0,7435</v>
      </c>
      <c r="E7" s="12" t="s">
        <v>19</v>
      </c>
      <c r="F7" s="12" t="s">
        <v>1072</v>
      </c>
      <c r="G7" s="13" t="s">
        <v>235</v>
      </c>
      <c r="H7" s="54" t="s">
        <v>1073</v>
      </c>
      <c r="I7" s="12" t="str">
        <f>"4987,5"</f>
        <v>4987,5</v>
      </c>
      <c r="J7" s="13" t="str">
        <f>"3708,2062"</f>
        <v>3708,2062</v>
      </c>
      <c r="K7" s="12" t="s">
        <v>41</v>
      </c>
    </row>
    <row r="8" spans="1:11">
      <c r="A8" s="15" t="s">
        <v>1074</v>
      </c>
      <c r="B8" s="15" t="s">
        <v>1075</v>
      </c>
      <c r="C8" s="15" t="s">
        <v>1076</v>
      </c>
      <c r="D8" s="15" t="str">
        <f>"0,7469"</f>
        <v>0,7469</v>
      </c>
      <c r="E8" s="15" t="s">
        <v>19</v>
      </c>
      <c r="F8" s="15" t="s">
        <v>1077</v>
      </c>
      <c r="G8" s="16" t="s">
        <v>235</v>
      </c>
      <c r="H8" s="31" t="s">
        <v>1078</v>
      </c>
      <c r="I8" s="15" t="str">
        <f>"3587,5"</f>
        <v>3587,5</v>
      </c>
      <c r="J8" s="16" t="str">
        <f>"2679,5038"</f>
        <v>2679,5038</v>
      </c>
      <c r="K8" s="15" t="s">
        <v>41</v>
      </c>
    </row>
    <row r="10" spans="1:11" ht="15">
      <c r="E10" s="18" t="s">
        <v>166</v>
      </c>
    </row>
    <row r="11" spans="1:11" ht="15">
      <c r="E11" s="18" t="s">
        <v>167</v>
      </c>
    </row>
    <row r="12" spans="1:11" ht="15">
      <c r="E12" s="18" t="s">
        <v>168</v>
      </c>
    </row>
    <row r="13" spans="1:11" ht="15">
      <c r="E13" s="18" t="s">
        <v>169</v>
      </c>
    </row>
    <row r="14" spans="1:11" ht="15">
      <c r="E14" s="18" t="s">
        <v>169</v>
      </c>
    </row>
    <row r="15" spans="1:11" ht="15">
      <c r="E15" s="18" t="s">
        <v>170</v>
      </c>
    </row>
    <row r="16" spans="1:11" ht="15">
      <c r="E16" s="18"/>
    </row>
    <row r="18" spans="1:5" ht="18">
      <c r="A18" s="19" t="s">
        <v>171</v>
      </c>
      <c r="B18" s="19"/>
    </row>
    <row r="19" spans="1:5" ht="15">
      <c r="A19" s="20" t="s">
        <v>182</v>
      </c>
      <c r="B19" s="20"/>
    </row>
    <row r="20" spans="1:5" ht="14.25">
      <c r="A20" s="22"/>
      <c r="B20" s="23" t="s">
        <v>192</v>
      </c>
    </row>
    <row r="21" spans="1:5" ht="15">
      <c r="A21" s="24" t="s">
        <v>174</v>
      </c>
      <c r="B21" s="24" t="s">
        <v>175</v>
      </c>
      <c r="C21" s="24" t="s">
        <v>176</v>
      </c>
      <c r="D21" s="24" t="s">
        <v>177</v>
      </c>
      <c r="E21" s="24" t="s">
        <v>1046</v>
      </c>
    </row>
    <row r="22" spans="1:5">
      <c r="A22" s="21" t="s">
        <v>1079</v>
      </c>
      <c r="B22" s="5" t="s">
        <v>193</v>
      </c>
      <c r="C22" s="5" t="s">
        <v>21</v>
      </c>
      <c r="D22" s="5" t="s">
        <v>1080</v>
      </c>
      <c r="E22" s="25" t="s">
        <v>1081</v>
      </c>
    </row>
    <row r="24" spans="1:5" ht="14.25">
      <c r="A24" s="22"/>
      <c r="B24" s="23" t="s">
        <v>173</v>
      </c>
    </row>
    <row r="25" spans="1:5" ht="15">
      <c r="A25" s="24" t="s">
        <v>174</v>
      </c>
      <c r="B25" s="24" t="s">
        <v>175</v>
      </c>
      <c r="C25" s="24" t="s">
        <v>176</v>
      </c>
      <c r="D25" s="24" t="s">
        <v>177</v>
      </c>
      <c r="E25" s="24" t="s">
        <v>1046</v>
      </c>
    </row>
    <row r="26" spans="1:5">
      <c r="A26" s="21" t="s">
        <v>1082</v>
      </c>
      <c r="B26" s="5" t="s">
        <v>173</v>
      </c>
      <c r="C26" s="5" t="s">
        <v>21</v>
      </c>
      <c r="D26" s="5" t="s">
        <v>1083</v>
      </c>
      <c r="E26" s="25" t="s">
        <v>1084</v>
      </c>
    </row>
    <row r="27" spans="1:5">
      <c r="A27" s="21" t="s">
        <v>1085</v>
      </c>
      <c r="B27" s="5" t="s">
        <v>173</v>
      </c>
      <c r="C27" s="5" t="s">
        <v>21</v>
      </c>
      <c r="D27" s="5" t="s">
        <v>1086</v>
      </c>
      <c r="E27" s="25" t="s">
        <v>1087</v>
      </c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C7" sqref="C7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7" width="2.140625" style="4" bestFit="1" customWidth="1"/>
    <col min="8" max="8" width="2.140625" style="29" bestFit="1" customWidth="1"/>
    <col min="9" max="9" width="7.85546875" style="5" bestFit="1" customWidth="1"/>
    <col min="10" max="10" width="6.42578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41" t="s">
        <v>1022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1" customFormat="1" ht="12.75" customHeight="1">
      <c r="A3" s="47" t="s">
        <v>0</v>
      </c>
      <c r="B3" s="49" t="s">
        <v>9</v>
      </c>
      <c r="C3" s="49" t="s">
        <v>11</v>
      </c>
      <c r="D3" s="37"/>
      <c r="E3" s="37" t="s">
        <v>7</v>
      </c>
      <c r="F3" s="37" t="s">
        <v>10</v>
      </c>
      <c r="G3" s="37" t="s">
        <v>1023</v>
      </c>
      <c r="H3" s="37"/>
      <c r="I3" s="37" t="s">
        <v>1024</v>
      </c>
      <c r="J3" s="37" t="s">
        <v>6</v>
      </c>
      <c r="K3" s="39" t="s">
        <v>5</v>
      </c>
    </row>
    <row r="4" spans="1:11" s="1" customFormat="1" ht="21" customHeight="1" thickBot="1">
      <c r="A4" s="48"/>
      <c r="B4" s="38"/>
      <c r="C4" s="38"/>
      <c r="D4" s="38"/>
      <c r="E4" s="38"/>
      <c r="F4" s="38"/>
      <c r="G4" s="2" t="s">
        <v>1025</v>
      </c>
      <c r="H4" s="28" t="s">
        <v>1026</v>
      </c>
      <c r="I4" s="38"/>
      <c r="J4" s="38"/>
      <c r="K4" s="40"/>
    </row>
    <row r="6" spans="1:11" ht="15">
      <c r="E6" s="18" t="s">
        <v>166</v>
      </c>
    </row>
    <row r="7" spans="1:11" ht="15">
      <c r="E7" s="18" t="s">
        <v>167</v>
      </c>
    </row>
    <row r="8" spans="1:11" ht="15">
      <c r="E8" s="18" t="s">
        <v>168</v>
      </c>
    </row>
    <row r="9" spans="1:11" ht="15">
      <c r="E9" s="18" t="s">
        <v>169</v>
      </c>
    </row>
    <row r="10" spans="1:11" ht="15">
      <c r="E10" s="18" t="s">
        <v>169</v>
      </c>
    </row>
    <row r="11" spans="1:11" ht="15">
      <c r="E11" s="18" t="s">
        <v>170</v>
      </c>
    </row>
    <row r="12" spans="1:11" ht="15">
      <c r="E12" s="18"/>
    </row>
    <row r="14" spans="1:11" ht="18">
      <c r="A14" s="19" t="s">
        <v>171</v>
      </c>
      <c r="B14" s="19"/>
    </row>
  </sheetData>
  <mergeCells count="11">
    <mergeCell ref="K3:K4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F18" sqref="F18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10.7109375" style="5" bestFit="1" customWidth="1"/>
    <col min="5" max="5" width="22.7109375" style="5" bestFit="1" customWidth="1"/>
    <col min="6" max="6" width="32.5703125" style="5" bestFit="1" customWidth="1"/>
    <col min="7" max="7" width="5.5703125" style="4" bestFit="1" customWidth="1"/>
    <col min="8" max="8" width="4.5703125" style="29" bestFit="1" customWidth="1"/>
    <col min="9" max="9" width="7.85546875" style="5" bestFit="1" customWidth="1"/>
    <col min="10" max="10" width="9.5703125" style="4" bestFit="1" customWidth="1"/>
    <col min="11" max="11" width="14" style="5" bestFit="1" customWidth="1"/>
    <col min="12" max="16384" width="9.140625" style="4"/>
  </cols>
  <sheetData>
    <row r="1" spans="1:11" s="3" customFormat="1" ht="29.1" customHeight="1">
      <c r="A1" s="41" t="s">
        <v>1027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1" customFormat="1" ht="12.75" customHeight="1">
      <c r="A3" s="47" t="s">
        <v>0</v>
      </c>
      <c r="B3" s="49" t="s">
        <v>9</v>
      </c>
      <c r="C3" s="49" t="s">
        <v>11</v>
      </c>
      <c r="D3" s="37" t="s">
        <v>1028</v>
      </c>
      <c r="E3" s="37" t="s">
        <v>7</v>
      </c>
      <c r="F3" s="37" t="s">
        <v>10</v>
      </c>
      <c r="G3" s="37" t="s">
        <v>1023</v>
      </c>
      <c r="H3" s="37"/>
      <c r="I3" s="37" t="s">
        <v>1024</v>
      </c>
      <c r="J3" s="37" t="s">
        <v>6</v>
      </c>
      <c r="K3" s="39" t="s">
        <v>5</v>
      </c>
    </row>
    <row r="4" spans="1:11" s="1" customFormat="1" ht="21" customHeight="1" thickBot="1">
      <c r="A4" s="48"/>
      <c r="B4" s="38"/>
      <c r="C4" s="38"/>
      <c r="D4" s="38"/>
      <c r="E4" s="38"/>
      <c r="F4" s="38"/>
      <c r="G4" s="2" t="s">
        <v>1025</v>
      </c>
      <c r="H4" s="28" t="s">
        <v>1026</v>
      </c>
      <c r="I4" s="38"/>
      <c r="J4" s="38"/>
      <c r="K4" s="40"/>
    </row>
    <row r="5" spans="1:11" ht="15">
      <c r="A5" s="52" t="s">
        <v>89</v>
      </c>
      <c r="B5" s="53"/>
      <c r="C5" s="53"/>
      <c r="D5" s="53"/>
      <c r="E5" s="53"/>
      <c r="F5" s="53"/>
      <c r="G5" s="53"/>
      <c r="H5" s="53"/>
      <c r="I5" s="53"/>
      <c r="J5" s="53"/>
    </row>
    <row r="6" spans="1:11">
      <c r="A6" s="9" t="s">
        <v>1029</v>
      </c>
      <c r="B6" s="9" t="s">
        <v>1030</v>
      </c>
      <c r="C6" s="9" t="s">
        <v>487</v>
      </c>
      <c r="D6" s="9" t="str">
        <f>"0,7800"</f>
        <v>0,7800</v>
      </c>
      <c r="E6" s="9" t="s">
        <v>71</v>
      </c>
      <c r="F6" s="9" t="s">
        <v>1031</v>
      </c>
      <c r="G6" s="10" t="s">
        <v>234</v>
      </c>
      <c r="H6" s="30" t="s">
        <v>1032</v>
      </c>
      <c r="I6" s="9" t="str">
        <f>"2560,0"</f>
        <v>2560,0</v>
      </c>
      <c r="J6" s="10" t="str">
        <f>"1996,7999"</f>
        <v>1996,7999</v>
      </c>
      <c r="K6" s="9" t="s">
        <v>1033</v>
      </c>
    </row>
    <row r="7" spans="1:11">
      <c r="A7" s="15" t="s">
        <v>1034</v>
      </c>
      <c r="B7" s="15" t="s">
        <v>1035</v>
      </c>
      <c r="C7" s="15" t="s">
        <v>115</v>
      </c>
      <c r="D7" s="15" t="str">
        <f>"0,7564"</f>
        <v>0,7564</v>
      </c>
      <c r="E7" s="15" t="s">
        <v>19</v>
      </c>
      <c r="F7" s="15" t="s">
        <v>784</v>
      </c>
      <c r="G7" s="16" t="s">
        <v>201</v>
      </c>
      <c r="H7" s="31" t="s">
        <v>1036</v>
      </c>
      <c r="I7" s="15" t="str">
        <f>"1237,5"</f>
        <v>1237,5</v>
      </c>
      <c r="J7" s="16" t="str">
        <f>"936,0450"</f>
        <v>936,0450</v>
      </c>
      <c r="K7" s="15" t="s">
        <v>41</v>
      </c>
    </row>
    <row r="9" spans="1:11" ht="15">
      <c r="A9" s="50" t="s">
        <v>128</v>
      </c>
      <c r="B9" s="51"/>
      <c r="C9" s="51"/>
      <c r="D9" s="51"/>
      <c r="E9" s="51"/>
      <c r="F9" s="51"/>
      <c r="G9" s="51"/>
      <c r="H9" s="51"/>
      <c r="I9" s="51"/>
      <c r="J9" s="51"/>
    </row>
    <row r="10" spans="1:11">
      <c r="A10" s="6" t="s">
        <v>1037</v>
      </c>
      <c r="B10" s="6" t="s">
        <v>1038</v>
      </c>
      <c r="C10" s="6" t="s">
        <v>1039</v>
      </c>
      <c r="D10" s="6" t="str">
        <f>"0,6705"</f>
        <v>0,6705</v>
      </c>
      <c r="E10" s="6" t="s">
        <v>19</v>
      </c>
      <c r="F10" s="6" t="s">
        <v>35</v>
      </c>
      <c r="G10" s="7" t="s">
        <v>23</v>
      </c>
      <c r="H10" s="32" t="s">
        <v>1040</v>
      </c>
      <c r="I10" s="6" t="str">
        <f>"2200,0"</f>
        <v>2200,0</v>
      </c>
      <c r="J10" s="7" t="str">
        <f>"1475,1000"</f>
        <v>1475,1000</v>
      </c>
      <c r="K10" s="6" t="s">
        <v>41</v>
      </c>
    </row>
    <row r="12" spans="1:11" ht="15">
      <c r="A12" s="50" t="s">
        <v>146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1">
      <c r="A13" s="6" t="s">
        <v>1041</v>
      </c>
      <c r="B13" s="6" t="s">
        <v>1042</v>
      </c>
      <c r="C13" s="6" t="s">
        <v>309</v>
      </c>
      <c r="D13" s="6" t="str">
        <f>"0,6710"</f>
        <v>0,6710</v>
      </c>
      <c r="E13" s="6" t="s">
        <v>71</v>
      </c>
      <c r="F13" s="6" t="s">
        <v>499</v>
      </c>
      <c r="G13" s="7" t="s">
        <v>50</v>
      </c>
      <c r="H13" s="32" t="s">
        <v>1043</v>
      </c>
      <c r="I13" s="6" t="str">
        <f>"3150,0"</f>
        <v>3150,0</v>
      </c>
      <c r="J13" s="7" t="str">
        <f>"2113,6500"</f>
        <v>2113,6500</v>
      </c>
      <c r="K13" s="6" t="s">
        <v>413</v>
      </c>
    </row>
    <row r="15" spans="1:11" ht="15">
      <c r="A15" s="50" t="s">
        <v>322</v>
      </c>
      <c r="B15" s="51"/>
      <c r="C15" s="51"/>
      <c r="D15" s="51"/>
      <c r="E15" s="51"/>
      <c r="F15" s="51"/>
      <c r="G15" s="51"/>
      <c r="H15" s="51"/>
      <c r="I15" s="51"/>
      <c r="J15" s="51"/>
    </row>
    <row r="16" spans="1:11">
      <c r="A16" s="6" t="s">
        <v>1044</v>
      </c>
      <c r="B16" s="6" t="s">
        <v>737</v>
      </c>
      <c r="C16" s="6" t="s">
        <v>1045</v>
      </c>
      <c r="D16" s="6" t="str">
        <f>"0,6344"</f>
        <v>0,6344</v>
      </c>
      <c r="E16" s="6" t="s">
        <v>19</v>
      </c>
      <c r="F16" s="6" t="s">
        <v>35</v>
      </c>
      <c r="G16" s="8" t="s">
        <v>546</v>
      </c>
      <c r="H16" s="33"/>
      <c r="I16" s="6" t="str">
        <f>"0,0"</f>
        <v>0,0</v>
      </c>
      <c r="J16" s="7" t="str">
        <f>"0,0000"</f>
        <v>0,0000</v>
      </c>
      <c r="K16" s="6" t="s">
        <v>41</v>
      </c>
    </row>
    <row r="18" spans="1:5" ht="15">
      <c r="E18" s="18" t="s">
        <v>166</v>
      </c>
    </row>
    <row r="19" spans="1:5" ht="15">
      <c r="E19" s="18" t="s">
        <v>167</v>
      </c>
    </row>
    <row r="20" spans="1:5" ht="15">
      <c r="E20" s="18" t="s">
        <v>168</v>
      </c>
    </row>
    <row r="21" spans="1:5" ht="15">
      <c r="E21" s="18" t="s">
        <v>169</v>
      </c>
    </row>
    <row r="22" spans="1:5" ht="15">
      <c r="E22" s="18" t="s">
        <v>169</v>
      </c>
    </row>
    <row r="23" spans="1:5" ht="15">
      <c r="E23" s="18" t="s">
        <v>170</v>
      </c>
    </row>
    <row r="24" spans="1:5" ht="15">
      <c r="E24" s="18"/>
    </row>
    <row r="26" spans="1:5" ht="18">
      <c r="A26" s="19" t="s">
        <v>171</v>
      </c>
      <c r="B26" s="19"/>
    </row>
    <row r="27" spans="1:5" ht="15">
      <c r="A27" s="20" t="s">
        <v>182</v>
      </c>
      <c r="B27" s="20"/>
    </row>
    <row r="28" spans="1:5" ht="14.25">
      <c r="A28" s="22"/>
      <c r="B28" s="23" t="s">
        <v>173</v>
      </c>
    </row>
    <row r="29" spans="1:5" ht="15">
      <c r="A29" s="24" t="s">
        <v>174</v>
      </c>
      <c r="B29" s="24" t="s">
        <v>175</v>
      </c>
      <c r="C29" s="24" t="s">
        <v>176</v>
      </c>
      <c r="D29" s="24" t="s">
        <v>177</v>
      </c>
      <c r="E29" s="24" t="s">
        <v>1046</v>
      </c>
    </row>
    <row r="30" spans="1:5">
      <c r="A30" s="21" t="s">
        <v>1047</v>
      </c>
      <c r="B30" s="5" t="s">
        <v>173</v>
      </c>
      <c r="C30" s="5" t="s">
        <v>27</v>
      </c>
      <c r="D30" s="5" t="s">
        <v>1048</v>
      </c>
      <c r="E30" s="25" t="s">
        <v>1049</v>
      </c>
    </row>
    <row r="31" spans="1:5">
      <c r="A31" s="21" t="s">
        <v>1050</v>
      </c>
      <c r="B31" s="5" t="s">
        <v>173</v>
      </c>
      <c r="C31" s="5" t="s">
        <v>201</v>
      </c>
      <c r="D31" s="5" t="s">
        <v>1051</v>
      </c>
      <c r="E31" s="25" t="s">
        <v>1052</v>
      </c>
    </row>
    <row r="32" spans="1:5">
      <c r="A32" s="21" t="s">
        <v>1053</v>
      </c>
      <c r="B32" s="5" t="s">
        <v>173</v>
      </c>
      <c r="C32" s="5" t="s">
        <v>201</v>
      </c>
      <c r="D32" s="5" t="s">
        <v>1054</v>
      </c>
      <c r="E32" s="25" t="s">
        <v>1055</v>
      </c>
    </row>
    <row r="34" spans="1:5" ht="14.25">
      <c r="A34" s="22"/>
      <c r="B34" s="23" t="s">
        <v>214</v>
      </c>
    </row>
    <row r="35" spans="1:5" ht="15">
      <c r="A35" s="24" t="s">
        <v>174</v>
      </c>
      <c r="B35" s="24" t="s">
        <v>175</v>
      </c>
      <c r="C35" s="24" t="s">
        <v>176</v>
      </c>
      <c r="D35" s="24" t="s">
        <v>177</v>
      </c>
      <c r="E35" s="24" t="s">
        <v>1046</v>
      </c>
    </row>
    <row r="36" spans="1:5">
      <c r="A36" s="21" t="s">
        <v>1056</v>
      </c>
      <c r="B36" s="5" t="s">
        <v>354</v>
      </c>
      <c r="C36" s="5" t="s">
        <v>23</v>
      </c>
      <c r="D36" s="5" t="s">
        <v>1057</v>
      </c>
      <c r="E36" s="25" t="s">
        <v>1058</v>
      </c>
    </row>
  </sheetData>
  <mergeCells count="15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J5"/>
    <mergeCell ref="A9:J9"/>
    <mergeCell ref="A12:J12"/>
    <mergeCell ref="A15:J1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sqref="A1:IV65536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7" width="2.140625" style="4" bestFit="1" customWidth="1"/>
    <col min="8" max="8" width="2.140625" style="29" bestFit="1" customWidth="1"/>
    <col min="9" max="9" width="7.85546875" style="5" bestFit="1" customWidth="1"/>
    <col min="10" max="10" width="6.42578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41" t="s">
        <v>1059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1" customFormat="1" ht="12.75" customHeight="1">
      <c r="A3" s="47" t="s">
        <v>0</v>
      </c>
      <c r="B3" s="49" t="s">
        <v>9</v>
      </c>
      <c r="C3" s="49" t="s">
        <v>11</v>
      </c>
      <c r="D3" s="37"/>
      <c r="E3" s="37" t="s">
        <v>7</v>
      </c>
      <c r="F3" s="37" t="s">
        <v>10</v>
      </c>
      <c r="G3" s="37" t="s">
        <v>1023</v>
      </c>
      <c r="H3" s="37"/>
      <c r="I3" s="37" t="s">
        <v>1024</v>
      </c>
      <c r="J3" s="37" t="s">
        <v>6</v>
      </c>
      <c r="K3" s="39" t="s">
        <v>5</v>
      </c>
    </row>
    <row r="4" spans="1:11" s="1" customFormat="1" ht="21" customHeight="1" thickBot="1">
      <c r="A4" s="48"/>
      <c r="B4" s="38"/>
      <c r="C4" s="38"/>
      <c r="D4" s="38"/>
      <c r="E4" s="38"/>
      <c r="F4" s="38"/>
      <c r="G4" s="2" t="s">
        <v>1025</v>
      </c>
      <c r="H4" s="28" t="s">
        <v>1026</v>
      </c>
      <c r="I4" s="38"/>
      <c r="J4" s="38"/>
      <c r="K4" s="40"/>
    </row>
    <row r="6" spans="1:11" ht="15">
      <c r="E6" s="18" t="s">
        <v>166</v>
      </c>
    </row>
    <row r="7" spans="1:11" ht="15">
      <c r="E7" s="18" t="s">
        <v>167</v>
      </c>
    </row>
    <row r="8" spans="1:11" ht="15">
      <c r="E8" s="18" t="s">
        <v>168</v>
      </c>
    </row>
    <row r="9" spans="1:11" ht="15">
      <c r="E9" s="18" t="s">
        <v>169</v>
      </c>
    </row>
    <row r="10" spans="1:11" ht="15">
      <c r="E10" s="18" t="s">
        <v>169</v>
      </c>
    </row>
    <row r="11" spans="1:11" ht="15">
      <c r="E11" s="18" t="s">
        <v>170</v>
      </c>
    </row>
    <row r="12" spans="1:11" ht="15">
      <c r="E12" s="18"/>
    </row>
    <row r="14" spans="1:11" ht="18">
      <c r="A14" s="19" t="s">
        <v>171</v>
      </c>
      <c r="B14" s="19"/>
    </row>
  </sheetData>
  <mergeCells count="11">
    <mergeCell ref="K3:K4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20"/>
  <sheetViews>
    <sheetView workbookViewId="0">
      <selection sqref="A1:IV65536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10.7109375" style="5" bestFit="1" customWidth="1"/>
    <col min="5" max="5" width="22.7109375" style="5" bestFit="1" customWidth="1"/>
    <col min="6" max="6" width="29.7109375" style="5" bestFit="1" customWidth="1"/>
    <col min="7" max="7" width="5.5703125" style="4" bestFit="1" customWidth="1"/>
    <col min="8" max="8" width="5.5703125" style="29" bestFit="1" customWidth="1"/>
    <col min="9" max="9" width="7.85546875" style="5" bestFit="1" customWidth="1"/>
    <col min="10" max="10" width="10.5703125" style="4" bestFit="1" customWidth="1"/>
    <col min="11" max="11" width="8.85546875" style="5" bestFit="1" customWidth="1"/>
    <col min="12" max="16384" width="9.140625" style="4"/>
  </cols>
  <sheetData>
    <row r="1" spans="1:14" s="3" customFormat="1" ht="29.1" customHeight="1">
      <c r="A1" s="41" t="s">
        <v>1060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4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4" s="1" customFormat="1" ht="12.75" customHeight="1">
      <c r="A3" s="47" t="s">
        <v>0</v>
      </c>
      <c r="B3" s="49" t="s">
        <v>9</v>
      </c>
      <c r="C3" s="49" t="s">
        <v>11</v>
      </c>
      <c r="D3" s="37" t="s">
        <v>13</v>
      </c>
      <c r="E3" s="37" t="s">
        <v>7</v>
      </c>
      <c r="F3" s="37" t="s">
        <v>10</v>
      </c>
      <c r="G3" s="37" t="s">
        <v>2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4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5" spans="1:14" ht="15">
      <c r="A5" s="52" t="s">
        <v>322</v>
      </c>
      <c r="B5" s="53"/>
      <c r="C5" s="53"/>
      <c r="D5" s="53"/>
      <c r="E5" s="53"/>
      <c r="F5" s="53"/>
      <c r="G5" s="53"/>
      <c r="H5" s="53"/>
      <c r="I5" s="53"/>
      <c r="J5" s="53"/>
    </row>
    <row r="6" spans="1:14">
      <c r="A6" s="6" t="s">
        <v>324</v>
      </c>
      <c r="B6" s="6" t="s">
        <v>325</v>
      </c>
      <c r="C6" s="6" t="s">
        <v>326</v>
      </c>
      <c r="D6" s="6" t="str">
        <f>"0,5092"</f>
        <v>0,5092</v>
      </c>
      <c r="E6" s="6" t="s">
        <v>19</v>
      </c>
      <c r="F6" s="6" t="s">
        <v>35</v>
      </c>
      <c r="G6" s="34" t="s">
        <v>28</v>
      </c>
      <c r="H6" s="34" t="s">
        <v>48</v>
      </c>
      <c r="I6" s="34" t="s">
        <v>53</v>
      </c>
      <c r="J6" s="8"/>
      <c r="K6" s="35" t="s">
        <v>1061</v>
      </c>
      <c r="L6" s="26" t="s">
        <v>351</v>
      </c>
      <c r="M6" s="34" t="s">
        <v>79</v>
      </c>
      <c r="N6" s="26"/>
    </row>
    <row r="7" spans="1:14">
      <c r="A7" s="6"/>
      <c r="B7" s="6"/>
      <c r="C7" s="6"/>
      <c r="D7" s="6"/>
      <c r="E7" s="6"/>
      <c r="F7" s="6"/>
      <c r="G7" s="7"/>
      <c r="H7" s="7"/>
      <c r="I7" s="8"/>
      <c r="J7" s="8"/>
      <c r="K7" s="6"/>
      <c r="L7" s="7"/>
      <c r="M7" s="26"/>
    </row>
    <row r="8" spans="1:14" ht="15">
      <c r="E8" s="18" t="s">
        <v>166</v>
      </c>
    </row>
    <row r="9" spans="1:14" ht="15">
      <c r="E9" s="18" t="s">
        <v>167</v>
      </c>
    </row>
    <row r="10" spans="1:14" ht="15">
      <c r="E10" s="18" t="s">
        <v>168</v>
      </c>
    </row>
    <row r="11" spans="1:14" ht="15">
      <c r="E11" s="18" t="s">
        <v>169</v>
      </c>
    </row>
    <row r="12" spans="1:14" ht="15">
      <c r="E12" s="18" t="s">
        <v>169</v>
      </c>
    </row>
    <row r="13" spans="1:14" ht="15">
      <c r="E13" s="18" t="s">
        <v>170</v>
      </c>
    </row>
    <row r="14" spans="1:14" ht="15">
      <c r="E14" s="18"/>
    </row>
    <row r="16" spans="1:14" ht="18">
      <c r="A16" s="19" t="s">
        <v>171</v>
      </c>
      <c r="B16" s="19"/>
    </row>
    <row r="17" spans="1:5" ht="15">
      <c r="A17" s="20" t="s">
        <v>182</v>
      </c>
      <c r="B17" s="20"/>
    </row>
    <row r="18" spans="1:5" ht="14.25">
      <c r="A18" s="22"/>
      <c r="B18" s="23" t="s">
        <v>173</v>
      </c>
    </row>
    <row r="19" spans="1:5" ht="15">
      <c r="A19" s="24" t="s">
        <v>174</v>
      </c>
      <c r="B19" s="24" t="s">
        <v>175</v>
      </c>
      <c r="C19" s="24" t="s">
        <v>176</v>
      </c>
      <c r="D19" s="24" t="s">
        <v>177</v>
      </c>
      <c r="E19" s="24" t="s">
        <v>178</v>
      </c>
    </row>
    <row r="20" spans="1:5">
      <c r="A20" s="21" t="s">
        <v>323</v>
      </c>
      <c r="B20" s="5" t="s">
        <v>173</v>
      </c>
      <c r="C20" s="5" t="s">
        <v>48</v>
      </c>
      <c r="D20" s="36" t="s">
        <v>1061</v>
      </c>
      <c r="E20" s="25" t="s">
        <v>1062</v>
      </c>
    </row>
  </sheetData>
  <mergeCells count="12">
    <mergeCell ref="L3:L4"/>
    <mergeCell ref="M3:M4"/>
    <mergeCell ref="A5:J5"/>
    <mergeCell ref="A1:K2"/>
    <mergeCell ref="A3:A4"/>
    <mergeCell ref="B3:B4"/>
    <mergeCell ref="C3:C4"/>
    <mergeCell ref="D3:D4"/>
    <mergeCell ref="E3:E4"/>
    <mergeCell ref="F3:F4"/>
    <mergeCell ref="G3:J3"/>
    <mergeCell ref="K3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1" t="s">
        <v>1002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 t="s">
        <v>13</v>
      </c>
      <c r="E3" s="37" t="s">
        <v>7</v>
      </c>
      <c r="F3" s="37" t="s">
        <v>10</v>
      </c>
      <c r="G3" s="37" t="s">
        <v>2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5" spans="1:13" ht="15">
      <c r="A5" s="52" t="s">
        <v>122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9" t="s">
        <v>1004</v>
      </c>
      <c r="B6" s="9" t="s">
        <v>1005</v>
      </c>
      <c r="C6" s="9" t="s">
        <v>1006</v>
      </c>
      <c r="D6" s="9" t="str">
        <f>"0,5861"</f>
        <v>0,5861</v>
      </c>
      <c r="E6" s="9" t="s">
        <v>19</v>
      </c>
      <c r="F6" s="9" t="s">
        <v>111</v>
      </c>
      <c r="G6" s="10" t="s">
        <v>152</v>
      </c>
      <c r="H6" s="11" t="s">
        <v>86</v>
      </c>
      <c r="I6" s="10" t="s">
        <v>86</v>
      </c>
      <c r="J6" s="11"/>
      <c r="K6" s="9" t="str">
        <f>"190,0"</f>
        <v>190,0</v>
      </c>
      <c r="L6" s="10" t="str">
        <f>"111,3590"</f>
        <v>111,3590</v>
      </c>
      <c r="M6" s="9" t="s">
        <v>41</v>
      </c>
    </row>
    <row r="7" spans="1:13">
      <c r="A7" s="15" t="s">
        <v>1004</v>
      </c>
      <c r="B7" s="15" t="s">
        <v>1007</v>
      </c>
      <c r="C7" s="15" t="s">
        <v>1006</v>
      </c>
      <c r="D7" s="15" t="str">
        <f>"0,5861"</f>
        <v>0,5861</v>
      </c>
      <c r="E7" s="15" t="s">
        <v>19</v>
      </c>
      <c r="F7" s="15" t="s">
        <v>111</v>
      </c>
      <c r="G7" s="16" t="s">
        <v>152</v>
      </c>
      <c r="H7" s="17" t="s">
        <v>86</v>
      </c>
      <c r="I7" s="16" t="s">
        <v>86</v>
      </c>
      <c r="J7" s="17"/>
      <c r="K7" s="15" t="str">
        <f>"190,0"</f>
        <v>190,0</v>
      </c>
      <c r="L7" s="16" t="str">
        <f>"111,6931"</f>
        <v>111,6931</v>
      </c>
      <c r="M7" s="15" t="s">
        <v>41</v>
      </c>
    </row>
    <row r="9" spans="1:13" ht="15">
      <c r="A9" s="50" t="s">
        <v>146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</row>
    <row r="10" spans="1:13">
      <c r="A10" s="6" t="s">
        <v>795</v>
      </c>
      <c r="B10" s="6" t="s">
        <v>796</v>
      </c>
      <c r="C10" s="6" t="s">
        <v>797</v>
      </c>
      <c r="D10" s="6" t="str">
        <f>"0,5367"</f>
        <v>0,5367</v>
      </c>
      <c r="E10" s="6" t="s">
        <v>19</v>
      </c>
      <c r="F10" s="6" t="s">
        <v>35</v>
      </c>
      <c r="G10" s="8" t="s">
        <v>86</v>
      </c>
      <c r="H10" s="7" t="s">
        <v>86</v>
      </c>
      <c r="I10" s="7" t="s">
        <v>105</v>
      </c>
      <c r="J10" s="8"/>
      <c r="K10" s="6" t="str">
        <f>"200,0"</f>
        <v>200,0</v>
      </c>
      <c r="L10" s="7" t="str">
        <f>"107,6620"</f>
        <v>107,6620</v>
      </c>
      <c r="M10" s="6" t="s">
        <v>41</v>
      </c>
    </row>
    <row r="12" spans="1:13" ht="15">
      <c r="A12" s="50" t="s">
        <v>327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3">
      <c r="A13" s="9" t="s">
        <v>1009</v>
      </c>
      <c r="B13" s="9" t="s">
        <v>1010</v>
      </c>
      <c r="C13" s="9" t="s">
        <v>1011</v>
      </c>
      <c r="D13" s="9" t="str">
        <f>"0,4881"</f>
        <v>0,4881</v>
      </c>
      <c r="E13" s="9" t="s">
        <v>19</v>
      </c>
      <c r="F13" s="9" t="s">
        <v>35</v>
      </c>
      <c r="G13" s="10" t="s">
        <v>95</v>
      </c>
      <c r="H13" s="11" t="s">
        <v>145</v>
      </c>
      <c r="I13" s="11" t="s">
        <v>1012</v>
      </c>
      <c r="J13" s="11"/>
      <c r="K13" s="9" t="str">
        <f>"250,0"</f>
        <v>250,0</v>
      </c>
      <c r="L13" s="10" t="str">
        <f>"131,7870"</f>
        <v>131,7870</v>
      </c>
      <c r="M13" s="9" t="s">
        <v>41</v>
      </c>
    </row>
    <row r="14" spans="1:13">
      <c r="A14" s="15" t="s">
        <v>1009</v>
      </c>
      <c r="B14" s="15" t="s">
        <v>1013</v>
      </c>
      <c r="C14" s="15" t="s">
        <v>1011</v>
      </c>
      <c r="D14" s="15" t="str">
        <f>"0,4881"</f>
        <v>0,4881</v>
      </c>
      <c r="E14" s="15" t="s">
        <v>19</v>
      </c>
      <c r="F14" s="15" t="s">
        <v>35</v>
      </c>
      <c r="G14" s="16" t="s">
        <v>95</v>
      </c>
      <c r="H14" s="17" t="s">
        <v>145</v>
      </c>
      <c r="I14" s="17" t="s">
        <v>1012</v>
      </c>
      <c r="J14" s="17"/>
      <c r="K14" s="15" t="str">
        <f>"250,0"</f>
        <v>250,0</v>
      </c>
      <c r="L14" s="16" t="str">
        <f>"122,0250"</f>
        <v>122,0250</v>
      </c>
      <c r="M14" s="15" t="s">
        <v>41</v>
      </c>
    </row>
    <row r="16" spans="1:13" ht="15">
      <c r="E16" s="18" t="s">
        <v>166</v>
      </c>
    </row>
    <row r="17" spans="1:5" ht="15">
      <c r="E17" s="18" t="s">
        <v>167</v>
      </c>
    </row>
    <row r="18" spans="1:5" ht="15">
      <c r="E18" s="18" t="s">
        <v>168</v>
      </c>
    </row>
    <row r="19" spans="1:5" ht="15">
      <c r="E19" s="18" t="s">
        <v>169</v>
      </c>
    </row>
    <row r="20" spans="1:5" ht="15">
      <c r="E20" s="18" t="s">
        <v>169</v>
      </c>
    </row>
    <row r="21" spans="1:5" ht="15">
      <c r="E21" s="18" t="s">
        <v>170</v>
      </c>
    </row>
    <row r="22" spans="1:5" ht="15">
      <c r="E22" s="18"/>
    </row>
    <row r="24" spans="1:5" ht="18">
      <c r="A24" s="19" t="s">
        <v>171</v>
      </c>
      <c r="B24" s="19"/>
    </row>
    <row r="25" spans="1:5" ht="15">
      <c r="A25" s="20" t="s">
        <v>182</v>
      </c>
      <c r="B25" s="20"/>
    </row>
    <row r="26" spans="1:5" ht="14.25">
      <c r="A26" s="22"/>
      <c r="B26" s="23" t="s">
        <v>183</v>
      </c>
    </row>
    <row r="27" spans="1:5" ht="15">
      <c r="A27" s="24" t="s">
        <v>174</v>
      </c>
      <c r="B27" s="24" t="s">
        <v>175</v>
      </c>
      <c r="C27" s="24" t="s">
        <v>176</v>
      </c>
      <c r="D27" s="24" t="s">
        <v>177</v>
      </c>
      <c r="E27" s="24" t="s">
        <v>178</v>
      </c>
    </row>
    <row r="28" spans="1:5">
      <c r="A28" s="21" t="s">
        <v>1008</v>
      </c>
      <c r="B28" s="5" t="s">
        <v>646</v>
      </c>
      <c r="C28" s="5" t="s">
        <v>277</v>
      </c>
      <c r="D28" s="5" t="s">
        <v>95</v>
      </c>
      <c r="E28" s="25" t="s">
        <v>1014</v>
      </c>
    </row>
    <row r="30" spans="1:5" ht="14.25">
      <c r="A30" s="22"/>
      <c r="B30" s="23" t="s">
        <v>173</v>
      </c>
    </row>
    <row r="31" spans="1:5" ht="15">
      <c r="A31" s="24" t="s">
        <v>174</v>
      </c>
      <c r="B31" s="24" t="s">
        <v>175</v>
      </c>
      <c r="C31" s="24" t="s">
        <v>176</v>
      </c>
      <c r="D31" s="24" t="s">
        <v>177</v>
      </c>
      <c r="E31" s="24" t="s">
        <v>178</v>
      </c>
    </row>
    <row r="32" spans="1:5">
      <c r="A32" s="21" t="s">
        <v>1008</v>
      </c>
      <c r="B32" s="5" t="s">
        <v>173</v>
      </c>
      <c r="C32" s="5" t="s">
        <v>277</v>
      </c>
      <c r="D32" s="5" t="s">
        <v>95</v>
      </c>
      <c r="E32" s="25" t="s">
        <v>1015</v>
      </c>
    </row>
    <row r="33" spans="1:5">
      <c r="A33" s="21" t="s">
        <v>1003</v>
      </c>
      <c r="B33" s="5" t="s">
        <v>173</v>
      </c>
      <c r="C33" s="5" t="s">
        <v>21</v>
      </c>
      <c r="D33" s="5" t="s">
        <v>86</v>
      </c>
      <c r="E33" s="25" t="s">
        <v>1016</v>
      </c>
    </row>
    <row r="35" spans="1:5" ht="14.25">
      <c r="A35" s="22"/>
      <c r="B35" s="23" t="s">
        <v>214</v>
      </c>
    </row>
    <row r="36" spans="1:5" ht="15">
      <c r="A36" s="24" t="s">
        <v>174</v>
      </c>
      <c r="B36" s="24" t="s">
        <v>175</v>
      </c>
      <c r="C36" s="24" t="s">
        <v>176</v>
      </c>
      <c r="D36" s="24" t="s">
        <v>177</v>
      </c>
      <c r="E36" s="24" t="s">
        <v>178</v>
      </c>
    </row>
    <row r="37" spans="1:5">
      <c r="A37" s="21" t="s">
        <v>1003</v>
      </c>
      <c r="B37" s="5" t="s">
        <v>356</v>
      </c>
      <c r="C37" s="5" t="s">
        <v>21</v>
      </c>
      <c r="D37" s="5" t="s">
        <v>86</v>
      </c>
      <c r="E37" s="25" t="s">
        <v>1017</v>
      </c>
    </row>
    <row r="38" spans="1:5">
      <c r="A38" s="21" t="s">
        <v>794</v>
      </c>
      <c r="B38" s="5" t="s">
        <v>356</v>
      </c>
      <c r="C38" s="5" t="s">
        <v>27</v>
      </c>
      <c r="D38" s="5" t="s">
        <v>105</v>
      </c>
      <c r="E38" s="25" t="s">
        <v>1018</v>
      </c>
    </row>
  </sheetData>
  <mergeCells count="14">
    <mergeCell ref="A9:L9"/>
    <mergeCell ref="A12:L12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honeticPr fontId="1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0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42578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16.7109375" style="5" bestFit="1" customWidth="1"/>
    <col min="7" max="9" width="5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41" t="s">
        <v>995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0</v>
      </c>
      <c r="B3" s="49" t="s">
        <v>9</v>
      </c>
      <c r="C3" s="49" t="s">
        <v>11</v>
      </c>
      <c r="D3" s="37" t="s">
        <v>13</v>
      </c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39" t="s">
        <v>5</v>
      </c>
    </row>
    <row r="4" spans="1:21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38"/>
      <c r="T4" s="38"/>
      <c r="U4" s="40"/>
    </row>
    <row r="5" spans="1:21" ht="15">
      <c r="A5" s="52" t="s">
        <v>322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1">
      <c r="A6" s="6" t="s">
        <v>997</v>
      </c>
      <c r="B6" s="6" t="s">
        <v>998</v>
      </c>
      <c r="C6" s="6" t="s">
        <v>999</v>
      </c>
      <c r="D6" s="6" t="str">
        <f>"0,5131"</f>
        <v>0,5131</v>
      </c>
      <c r="E6" s="6" t="s">
        <v>19</v>
      </c>
      <c r="F6" s="6" t="s">
        <v>58</v>
      </c>
      <c r="G6" s="7" t="s">
        <v>87</v>
      </c>
      <c r="H6" s="7" t="s">
        <v>73</v>
      </c>
      <c r="I6" s="8" t="s">
        <v>97</v>
      </c>
      <c r="J6" s="8"/>
      <c r="K6" s="7" t="s">
        <v>53</v>
      </c>
      <c r="L6" s="7" t="s">
        <v>61</v>
      </c>
      <c r="M6" s="8" t="s">
        <v>104</v>
      </c>
      <c r="N6" s="8"/>
      <c r="O6" s="7" t="s">
        <v>120</v>
      </c>
      <c r="P6" s="7" t="s">
        <v>97</v>
      </c>
      <c r="Q6" s="8" t="s">
        <v>94</v>
      </c>
      <c r="R6" s="8"/>
      <c r="S6" s="6" t="str">
        <f>"615,0"</f>
        <v>615,0</v>
      </c>
      <c r="T6" s="7" t="str">
        <f>"321,8551"</f>
        <v>321,8551</v>
      </c>
      <c r="U6" s="6" t="s">
        <v>41</v>
      </c>
    </row>
    <row r="8" spans="1:21" ht="15">
      <c r="E8" s="18" t="s">
        <v>166</v>
      </c>
    </row>
    <row r="9" spans="1:21" ht="15">
      <c r="E9" s="18" t="s">
        <v>167</v>
      </c>
    </row>
    <row r="10" spans="1:21" ht="15">
      <c r="E10" s="18" t="s">
        <v>168</v>
      </c>
    </row>
    <row r="11" spans="1:21" ht="15">
      <c r="E11" s="18" t="s">
        <v>169</v>
      </c>
    </row>
    <row r="12" spans="1:21" ht="15">
      <c r="E12" s="18" t="s">
        <v>169</v>
      </c>
    </row>
    <row r="13" spans="1:21" ht="15">
      <c r="E13" s="18" t="s">
        <v>170</v>
      </c>
    </row>
    <row r="14" spans="1:21" ht="15">
      <c r="E14" s="18"/>
    </row>
    <row r="16" spans="1:21" ht="18">
      <c r="A16" s="19" t="s">
        <v>171</v>
      </c>
      <c r="B16" s="19"/>
    </row>
    <row r="17" spans="1:5" ht="15">
      <c r="A17" s="20" t="s">
        <v>182</v>
      </c>
      <c r="B17" s="20"/>
    </row>
    <row r="18" spans="1:5" ht="14.25">
      <c r="A18" s="22"/>
      <c r="B18" s="23" t="s">
        <v>192</v>
      </c>
    </row>
    <row r="19" spans="1:5" ht="15">
      <c r="A19" s="24" t="s">
        <v>174</v>
      </c>
      <c r="B19" s="24" t="s">
        <v>175</v>
      </c>
      <c r="C19" s="24" t="s">
        <v>176</v>
      </c>
      <c r="D19" s="24" t="s">
        <v>177</v>
      </c>
      <c r="E19" s="24" t="s">
        <v>178</v>
      </c>
    </row>
    <row r="20" spans="1:5">
      <c r="A20" s="21" t="s">
        <v>996</v>
      </c>
      <c r="B20" s="5" t="s">
        <v>193</v>
      </c>
      <c r="C20" s="5" t="s">
        <v>48</v>
      </c>
      <c r="D20" s="5" t="s">
        <v>1000</v>
      </c>
      <c r="E20" s="25" t="s">
        <v>1001</v>
      </c>
    </row>
  </sheetData>
  <mergeCells count="14"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</mergeCells>
  <phoneticPr fontId="1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1" t="s">
        <v>994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/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6" spans="1:13" ht="15">
      <c r="E6" s="18" t="s">
        <v>166</v>
      </c>
    </row>
    <row r="7" spans="1:13" ht="15">
      <c r="E7" s="18" t="s">
        <v>167</v>
      </c>
    </row>
    <row r="8" spans="1:13" ht="15">
      <c r="E8" s="18" t="s">
        <v>168</v>
      </c>
    </row>
    <row r="9" spans="1:13" ht="15">
      <c r="E9" s="18" t="s">
        <v>169</v>
      </c>
    </row>
    <row r="10" spans="1:13" ht="15">
      <c r="E10" s="18" t="s">
        <v>169</v>
      </c>
    </row>
    <row r="11" spans="1:13" ht="15">
      <c r="E11" s="18" t="s">
        <v>170</v>
      </c>
    </row>
    <row r="12" spans="1:13" ht="15">
      <c r="E12" s="18"/>
    </row>
    <row r="14" spans="1:13" ht="18">
      <c r="A14" s="19" t="s">
        <v>171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1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1" t="s">
        <v>993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/>
      <c r="E3" s="37" t="s">
        <v>7</v>
      </c>
      <c r="F3" s="37" t="s">
        <v>10</v>
      </c>
      <c r="G3" s="37" t="s">
        <v>3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6" spans="1:13" ht="15">
      <c r="E6" s="18" t="s">
        <v>166</v>
      </c>
    </row>
    <row r="7" spans="1:13" ht="15">
      <c r="E7" s="18" t="s">
        <v>167</v>
      </c>
    </row>
    <row r="8" spans="1:13" ht="15">
      <c r="E8" s="18" t="s">
        <v>168</v>
      </c>
    </row>
    <row r="9" spans="1:13" ht="15">
      <c r="E9" s="18" t="s">
        <v>169</v>
      </c>
    </row>
    <row r="10" spans="1:13" ht="15">
      <c r="E10" s="18" t="s">
        <v>169</v>
      </c>
    </row>
    <row r="11" spans="1:13" ht="15">
      <c r="E11" s="18" t="s">
        <v>170</v>
      </c>
    </row>
    <row r="12" spans="1:13" ht="15">
      <c r="E12" s="18"/>
    </row>
    <row r="14" spans="1:13" ht="18">
      <c r="A14" s="19" t="s">
        <v>171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1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1" t="s">
        <v>992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/>
      <c r="E3" s="37" t="s">
        <v>7</v>
      </c>
      <c r="F3" s="37" t="s">
        <v>10</v>
      </c>
      <c r="G3" s="37" t="s">
        <v>3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6" spans="1:13" ht="15">
      <c r="E6" s="18" t="s">
        <v>166</v>
      </c>
    </row>
    <row r="7" spans="1:13" ht="15">
      <c r="E7" s="18" t="s">
        <v>167</v>
      </c>
    </row>
    <row r="8" spans="1:13" ht="15">
      <c r="E8" s="18" t="s">
        <v>168</v>
      </c>
    </row>
    <row r="9" spans="1:13" ht="15">
      <c r="E9" s="18" t="s">
        <v>169</v>
      </c>
    </row>
    <row r="10" spans="1:13" ht="15">
      <c r="E10" s="18" t="s">
        <v>169</v>
      </c>
    </row>
    <row r="11" spans="1:13" ht="15">
      <c r="E11" s="18" t="s">
        <v>170</v>
      </c>
    </row>
    <row r="12" spans="1:13" ht="15">
      <c r="E12" s="18"/>
    </row>
    <row r="14" spans="1:13" ht="18">
      <c r="A14" s="19" t="s">
        <v>171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1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1" t="s">
        <v>984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9</v>
      </c>
      <c r="C3" s="49" t="s">
        <v>11</v>
      </c>
      <c r="D3" s="37" t="s">
        <v>13</v>
      </c>
      <c r="E3" s="37" t="s">
        <v>7</v>
      </c>
      <c r="F3" s="37" t="s">
        <v>10</v>
      </c>
      <c r="G3" s="37" t="s">
        <v>1</v>
      </c>
      <c r="H3" s="37"/>
      <c r="I3" s="37"/>
      <c r="J3" s="37"/>
      <c r="K3" s="37" t="s">
        <v>358</v>
      </c>
      <c r="L3" s="37" t="s">
        <v>6</v>
      </c>
      <c r="M3" s="39" t="s">
        <v>5</v>
      </c>
    </row>
    <row r="4" spans="1:13" s="1" customFormat="1" ht="21" customHeight="1" thickBot="1">
      <c r="A4" s="48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8</v>
      </c>
      <c r="K4" s="38"/>
      <c r="L4" s="38"/>
      <c r="M4" s="40"/>
    </row>
    <row r="5" spans="1:13" ht="15">
      <c r="A5" s="52" t="s">
        <v>80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6" t="s">
        <v>860</v>
      </c>
      <c r="B6" s="6" t="s">
        <v>861</v>
      </c>
      <c r="C6" s="6" t="s">
        <v>862</v>
      </c>
      <c r="D6" s="6" t="str">
        <f>"0,7326"</f>
        <v>0,7326</v>
      </c>
      <c r="E6" s="6" t="s">
        <v>19</v>
      </c>
      <c r="F6" s="6" t="s">
        <v>35</v>
      </c>
      <c r="G6" s="8" t="s">
        <v>479</v>
      </c>
      <c r="H6" s="7" t="s">
        <v>479</v>
      </c>
      <c r="I6" s="7" t="s">
        <v>48</v>
      </c>
      <c r="J6" s="8"/>
      <c r="K6" s="6" t="str">
        <f>"140,0"</f>
        <v>140,0</v>
      </c>
      <c r="L6" s="7" t="str">
        <f>"102,5570"</f>
        <v>102,5570</v>
      </c>
      <c r="M6" s="6" t="s">
        <v>41</v>
      </c>
    </row>
    <row r="8" spans="1:13" ht="15">
      <c r="A8" s="50" t="s">
        <v>89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3">
      <c r="A9" s="9" t="s">
        <v>986</v>
      </c>
      <c r="B9" s="9" t="s">
        <v>987</v>
      </c>
      <c r="C9" s="9" t="s">
        <v>988</v>
      </c>
      <c r="D9" s="9" t="str">
        <f>"0,6388"</f>
        <v>0,6388</v>
      </c>
      <c r="E9" s="9" t="s">
        <v>19</v>
      </c>
      <c r="F9" s="9" t="s">
        <v>35</v>
      </c>
      <c r="G9" s="10" t="s">
        <v>105</v>
      </c>
      <c r="H9" s="11" t="s">
        <v>580</v>
      </c>
      <c r="I9" s="11" t="s">
        <v>580</v>
      </c>
      <c r="J9" s="11"/>
      <c r="K9" s="9" t="str">
        <f>"200,0"</f>
        <v>200,0</v>
      </c>
      <c r="L9" s="10" t="str">
        <f>"132,8704"</f>
        <v>132,8704</v>
      </c>
      <c r="M9" s="9" t="s">
        <v>41</v>
      </c>
    </row>
    <row r="10" spans="1:13">
      <c r="A10" s="15" t="s">
        <v>577</v>
      </c>
      <c r="B10" s="15" t="s">
        <v>578</v>
      </c>
      <c r="C10" s="15" t="s">
        <v>246</v>
      </c>
      <c r="D10" s="15" t="str">
        <f>"0,6318"</f>
        <v>0,6318</v>
      </c>
      <c r="E10" s="15" t="s">
        <v>19</v>
      </c>
      <c r="F10" s="15" t="s">
        <v>579</v>
      </c>
      <c r="G10" s="16" t="s">
        <v>152</v>
      </c>
      <c r="H10" s="17" t="s">
        <v>104</v>
      </c>
      <c r="I10" s="17" t="s">
        <v>104</v>
      </c>
      <c r="J10" s="17"/>
      <c r="K10" s="15" t="str">
        <f>"170,0"</f>
        <v>170,0</v>
      </c>
      <c r="L10" s="16" t="str">
        <f>"107,4060"</f>
        <v>107,4060</v>
      </c>
      <c r="M10" s="15" t="s">
        <v>41</v>
      </c>
    </row>
    <row r="12" spans="1:13" ht="15">
      <c r="E12" s="18" t="s">
        <v>166</v>
      </c>
    </row>
    <row r="13" spans="1:13" ht="15">
      <c r="E13" s="18" t="s">
        <v>167</v>
      </c>
    </row>
    <row r="14" spans="1:13" ht="15">
      <c r="E14" s="18" t="s">
        <v>168</v>
      </c>
    </row>
    <row r="15" spans="1:13" ht="15">
      <c r="E15" s="18" t="s">
        <v>169</v>
      </c>
    </row>
    <row r="16" spans="1:13" ht="15">
      <c r="E16" s="18" t="s">
        <v>169</v>
      </c>
    </row>
    <row r="17" spans="1:5" ht="15">
      <c r="E17" s="18" t="s">
        <v>170</v>
      </c>
    </row>
    <row r="18" spans="1:5" ht="15">
      <c r="E18" s="18"/>
    </row>
    <row r="20" spans="1:5" ht="18">
      <c r="A20" s="19" t="s">
        <v>171</v>
      </c>
      <c r="B20" s="19"/>
    </row>
    <row r="21" spans="1:5" ht="15">
      <c r="A21" s="20" t="s">
        <v>172</v>
      </c>
      <c r="B21" s="20"/>
    </row>
    <row r="22" spans="1:5" ht="14.25">
      <c r="A22" s="22"/>
      <c r="B22" s="23" t="s">
        <v>173</v>
      </c>
    </row>
    <row r="23" spans="1:5" ht="15">
      <c r="A23" s="24" t="s">
        <v>174</v>
      </c>
      <c r="B23" s="24" t="s">
        <v>175</v>
      </c>
      <c r="C23" s="24" t="s">
        <v>176</v>
      </c>
      <c r="D23" s="24" t="s">
        <v>177</v>
      </c>
      <c r="E23" s="24" t="s">
        <v>178</v>
      </c>
    </row>
    <row r="24" spans="1:5">
      <c r="A24" s="21" t="s">
        <v>859</v>
      </c>
      <c r="B24" s="5" t="s">
        <v>173</v>
      </c>
      <c r="C24" s="5" t="s">
        <v>158</v>
      </c>
      <c r="D24" s="5" t="s">
        <v>48</v>
      </c>
      <c r="E24" s="25" t="s">
        <v>989</v>
      </c>
    </row>
    <row r="27" spans="1:5" ht="15">
      <c r="A27" s="20" t="s">
        <v>182</v>
      </c>
      <c r="B27" s="20"/>
    </row>
    <row r="28" spans="1:5" ht="14.25">
      <c r="A28" s="22"/>
      <c r="B28" s="23" t="s">
        <v>183</v>
      </c>
    </row>
    <row r="29" spans="1:5" ht="15">
      <c r="A29" s="24" t="s">
        <v>174</v>
      </c>
      <c r="B29" s="24" t="s">
        <v>175</v>
      </c>
      <c r="C29" s="24" t="s">
        <v>176</v>
      </c>
      <c r="D29" s="24" t="s">
        <v>177</v>
      </c>
      <c r="E29" s="24" t="s">
        <v>178</v>
      </c>
    </row>
    <row r="30" spans="1:5">
      <c r="A30" s="21" t="s">
        <v>985</v>
      </c>
      <c r="B30" s="5" t="s">
        <v>184</v>
      </c>
      <c r="C30" s="5" t="s">
        <v>201</v>
      </c>
      <c r="D30" s="5" t="s">
        <v>105</v>
      </c>
      <c r="E30" s="25" t="s">
        <v>990</v>
      </c>
    </row>
    <row r="32" spans="1:5" ht="14.25">
      <c r="A32" s="22"/>
      <c r="B32" s="23" t="s">
        <v>214</v>
      </c>
    </row>
    <row r="33" spans="1:5" ht="15">
      <c r="A33" s="24" t="s">
        <v>174</v>
      </c>
      <c r="B33" s="24" t="s">
        <v>175</v>
      </c>
      <c r="C33" s="24" t="s">
        <v>176</v>
      </c>
      <c r="D33" s="24" t="s">
        <v>177</v>
      </c>
      <c r="E33" s="24" t="s">
        <v>178</v>
      </c>
    </row>
    <row r="34" spans="1:5">
      <c r="A34" s="21" t="s">
        <v>576</v>
      </c>
      <c r="B34" s="5" t="s">
        <v>356</v>
      </c>
      <c r="C34" s="5" t="s">
        <v>201</v>
      </c>
      <c r="D34" s="5" t="s">
        <v>152</v>
      </c>
      <c r="E34" s="25" t="s">
        <v>991</v>
      </c>
    </row>
  </sheetData>
  <mergeCells count="13"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A8:L8"/>
    <mergeCell ref="K3:K4"/>
    <mergeCell ref="L3:L4"/>
  </mergeCells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38</vt:i4>
      </vt:variant>
    </vt:vector>
  </HeadingPairs>
  <TitlesOfParts>
    <vt:vector size="38" baseType="lpstr">
      <vt:lpstr>Люб. присед софт экип.</vt:lpstr>
      <vt:lpstr>Люб. тяга софт экип.</vt:lpstr>
      <vt:lpstr>Люб. присед мн.слой</vt:lpstr>
      <vt:lpstr>Люб. жим софт экип.</vt:lpstr>
      <vt:lpstr>Люб. ПЛ. софт экип.</vt:lpstr>
      <vt:lpstr>Люб. присед 1.слой</vt:lpstr>
      <vt:lpstr>Люб. тяга мн.слой</vt:lpstr>
      <vt:lpstr>Люб. тяга 1.слой</vt:lpstr>
      <vt:lpstr>Люб. присед б.э.</vt:lpstr>
      <vt:lpstr>Люб. жим мн.слой</vt:lpstr>
      <vt:lpstr>Люб. ПЛ. мн.слой</vt:lpstr>
      <vt:lpstr>Люб. жим 1.слой</vt:lpstr>
      <vt:lpstr>Люб. ПЛ. 1.слой</vt:lpstr>
      <vt:lpstr>Люб. тяга б.э.</vt:lpstr>
      <vt:lpstr>Люб. жим б.э.</vt:lpstr>
      <vt:lpstr>Люб. ПЛ. б.э.</vt:lpstr>
      <vt:lpstr>ПРО присед софт экип.</vt:lpstr>
      <vt:lpstr>ПРО тяга софт экип.</vt:lpstr>
      <vt:lpstr>ПРО присед мн.слой</vt:lpstr>
      <vt:lpstr>ПРО жим софт экип.</vt:lpstr>
      <vt:lpstr>ПРО ПЛ. софт экип.</vt:lpstr>
      <vt:lpstr>ПРО присед 1.слой</vt:lpstr>
      <vt:lpstr>ПРО тяга мн.слой</vt:lpstr>
      <vt:lpstr>ПРО тяга 1.слой</vt:lpstr>
      <vt:lpstr>ПРО присед б.э.</vt:lpstr>
      <vt:lpstr>ПРО жим мн.слой</vt:lpstr>
      <vt:lpstr>ПРО ПЛ. мн.слой</vt:lpstr>
      <vt:lpstr>ПРО жим 1.слой</vt:lpstr>
      <vt:lpstr>ПРО ПЛ. 1.слой</vt:lpstr>
      <vt:lpstr>ПРО тяга б.э.</vt:lpstr>
      <vt:lpstr>ПРО жим б.э.</vt:lpstr>
      <vt:lpstr>ПРО ПЛ. б.э.</vt:lpstr>
      <vt:lpstr>ПРО Нж 1_2 вес</vt:lpstr>
      <vt:lpstr>ПРО Нж 1 вес</vt:lpstr>
      <vt:lpstr>Люб. НЖ 1_2 вес</vt:lpstr>
      <vt:lpstr>Люб. НЖ 1 вес</vt:lpstr>
      <vt:lpstr>Люб. Военный жим</vt:lpstr>
      <vt:lpstr>Проф. Военный жим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Андрей</cp:lastModifiedBy>
  <cp:lastPrinted>2015-07-16T19:10:53Z</cp:lastPrinted>
  <dcterms:created xsi:type="dcterms:W3CDTF">2002-06-16T13:36:44Z</dcterms:created>
  <dcterms:modified xsi:type="dcterms:W3CDTF">2017-07-19T18:33:34Z</dcterms:modified>
</cp:coreProperties>
</file>