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5" windowWidth="11340" windowHeight="9690" firstSheet="32" activeTab="37"/>
  </bookViews>
  <sheets>
    <sheet name="Люб. присед софт экип." sheetId="36" r:id="rId1"/>
    <sheet name="Люб. тяга софт экип." sheetId="35" r:id="rId2"/>
    <sheet name="Люб. присед мн.слой" sheetId="34" r:id="rId3"/>
    <sheet name="Люб. жим софт экип." sheetId="33" r:id="rId4"/>
    <sheet name="Люб. ПЛ. софт экип." sheetId="32" r:id="rId5"/>
    <sheet name="Люб. присед 1.слой" sheetId="31" r:id="rId6"/>
    <sheet name="Люб. тяга мн.слой" sheetId="30" r:id="rId7"/>
    <sheet name="Люб. тяга 1.слой" sheetId="29" r:id="rId8"/>
    <sheet name="Люб. присед б.э." sheetId="28" r:id="rId9"/>
    <sheet name="Люб. жим мн.слой" sheetId="27" r:id="rId10"/>
    <sheet name="Люб. ПЛ. мн.слой" sheetId="26" r:id="rId11"/>
    <sheet name="Люб. жим 1.слой" sheetId="25" r:id="rId12"/>
    <sheet name="Люб. ПЛ. 1.слой" sheetId="24" r:id="rId13"/>
    <sheet name="Люб. тяга б.э." sheetId="23" r:id="rId14"/>
    <sheet name="Люб. жим б.э." sheetId="22" r:id="rId15"/>
    <sheet name="Люб. ПЛ. б.э." sheetId="21" r:id="rId16"/>
    <sheet name="ПРО присед софт экип." sheetId="20" r:id="rId17"/>
    <sheet name="ПРО тяга софт экип." sheetId="19" r:id="rId18"/>
    <sheet name="ПРО присед мн.слой" sheetId="18" r:id="rId19"/>
    <sheet name="ПРО жим софт экип." sheetId="17" r:id="rId20"/>
    <sheet name="ПРО ПЛ. софт экип." sheetId="16" r:id="rId21"/>
    <sheet name="ПРО присед 1.слой" sheetId="15" r:id="rId22"/>
    <sheet name="ПРО тяга мн.слой" sheetId="14" r:id="rId23"/>
    <sheet name="ПРО тяга 1.слой" sheetId="13" r:id="rId24"/>
    <sheet name="ПРО присед б.э." sheetId="12" r:id="rId25"/>
    <sheet name="ПРО жим мн.слой" sheetId="11" r:id="rId26"/>
    <sheet name="ПРО ПЛ. мн.слой" sheetId="10" r:id="rId27"/>
    <sheet name="ПРО жим 1.слой" sheetId="9" r:id="rId28"/>
    <sheet name="ПРО ПЛ. 1.слой" sheetId="8" r:id="rId29"/>
    <sheet name="ПРО тяга б.э." sheetId="7" r:id="rId30"/>
    <sheet name="ПРО жим б.э." sheetId="6" r:id="rId31"/>
    <sheet name="ПРО ПЛ. б.э." sheetId="5" r:id="rId32"/>
    <sheet name="ПРО нж 1_2 вес" sheetId="38" r:id="rId33"/>
    <sheet name="ПРО нж 1 вес" sheetId="39" r:id="rId34"/>
    <sheet name="Люб. нж 1_2 вес" sheetId="40" r:id="rId35"/>
    <sheet name="Люб. нж 1 вес" sheetId="41" r:id="rId36"/>
    <sheet name="Люб. военный жим" sheetId="42" r:id="rId37"/>
    <sheet name="ПРО военный жим" sheetId="43" r:id="rId38"/>
  </sheets>
  <definedNames>
    <definedName name="_xlnm._FilterDatabase" localSheetId="31" hidden="1">'ПРО ПЛ. б.э.'!$A$1:$S$3</definedName>
  </definedNames>
  <calcPr calcId="124519" refMode="R1C1"/>
</workbook>
</file>

<file path=xl/calcChain.xml><?xml version="1.0" encoding="utf-8"?>
<calcChain xmlns="http://schemas.openxmlformats.org/spreadsheetml/2006/main">
  <c r="D9" i="43"/>
  <c r="D6"/>
  <c r="J24" i="41"/>
  <c r="I24"/>
  <c r="D24"/>
  <c r="J21"/>
  <c r="I21"/>
  <c r="D21"/>
  <c r="J18"/>
  <c r="I18"/>
  <c r="D18"/>
  <c r="J17"/>
  <c r="I17"/>
  <c r="D17"/>
  <c r="J14"/>
  <c r="I14"/>
  <c r="D14"/>
  <c r="J13"/>
  <c r="I13"/>
  <c r="D13"/>
  <c r="J12"/>
  <c r="I12"/>
  <c r="D12"/>
  <c r="J9"/>
  <c r="I9"/>
  <c r="D9"/>
  <c r="J6"/>
  <c r="I6"/>
  <c r="D6"/>
  <c r="J7" i="40"/>
  <c r="I7"/>
  <c r="D7"/>
  <c r="J6"/>
  <c r="I6"/>
  <c r="D6"/>
  <c r="J6" i="39"/>
  <c r="I6"/>
  <c r="D6"/>
  <c r="L29" i="33"/>
  <c r="K29"/>
  <c r="D29"/>
  <c r="L28"/>
  <c r="K28"/>
  <c r="D28"/>
  <c r="L25"/>
  <c r="K25"/>
  <c r="D25"/>
  <c r="L24"/>
  <c r="K24"/>
  <c r="D24"/>
  <c r="L23"/>
  <c r="K23"/>
  <c r="D23"/>
  <c r="L20"/>
  <c r="K20"/>
  <c r="D20"/>
  <c r="L19"/>
  <c r="K19"/>
  <c r="D19"/>
  <c r="L18"/>
  <c r="K18"/>
  <c r="D18"/>
  <c r="L15"/>
  <c r="K15"/>
  <c r="D15"/>
  <c r="L14"/>
  <c r="K14"/>
  <c r="D14"/>
  <c r="L11"/>
  <c r="K11"/>
  <c r="D11"/>
  <c r="L8"/>
  <c r="K8"/>
  <c r="D8"/>
  <c r="L7"/>
  <c r="K7"/>
  <c r="D7"/>
  <c r="L6"/>
  <c r="K6"/>
  <c r="D6"/>
  <c r="L6" i="28"/>
  <c r="K6"/>
  <c r="D6"/>
  <c r="L6" i="25"/>
  <c r="K6"/>
  <c r="D6"/>
  <c r="T6" i="24"/>
  <c r="S6"/>
  <c r="D6"/>
  <c r="L77" i="23"/>
  <c r="K77"/>
  <c r="D77"/>
  <c r="L76"/>
  <c r="K76"/>
  <c r="D76"/>
  <c r="L73"/>
  <c r="K73"/>
  <c r="D73"/>
  <c r="L72"/>
  <c r="K72"/>
  <c r="D72"/>
  <c r="L69"/>
  <c r="K69"/>
  <c r="D69"/>
  <c r="L68"/>
  <c r="K68"/>
  <c r="D68"/>
  <c r="L67"/>
  <c r="K67"/>
  <c r="D67"/>
  <c r="L64"/>
  <c r="K64"/>
  <c r="D64"/>
  <c r="L63"/>
  <c r="K63"/>
  <c r="D63"/>
  <c r="L62"/>
  <c r="K62"/>
  <c r="D62"/>
  <c r="L61"/>
  <c r="K61"/>
  <c r="D61"/>
  <c r="L60"/>
  <c r="K60"/>
  <c r="D60"/>
  <c r="L57"/>
  <c r="K57"/>
  <c r="D57"/>
  <c r="L56"/>
  <c r="K56"/>
  <c r="D56"/>
  <c r="L55"/>
  <c r="K55"/>
  <c r="D55"/>
  <c r="L54"/>
  <c r="K54"/>
  <c r="D54"/>
  <c r="L53"/>
  <c r="K53"/>
  <c r="D53"/>
  <c r="L52"/>
  <c r="K52"/>
  <c r="D52"/>
  <c r="L49"/>
  <c r="K49"/>
  <c r="D49"/>
  <c r="L48"/>
  <c r="K48"/>
  <c r="D48"/>
  <c r="L47"/>
  <c r="K47"/>
  <c r="D47"/>
  <c r="L46"/>
  <c r="K46"/>
  <c r="D46"/>
  <c r="L45"/>
  <c r="K45"/>
  <c r="D45"/>
  <c r="L42"/>
  <c r="K42"/>
  <c r="D42"/>
  <c r="L41"/>
  <c r="K41"/>
  <c r="D41"/>
  <c r="L40"/>
  <c r="K40"/>
  <c r="D40"/>
  <c r="L37"/>
  <c r="K37"/>
  <c r="D37"/>
  <c r="L36"/>
  <c r="K36"/>
  <c r="D36"/>
  <c r="L33"/>
  <c r="K33"/>
  <c r="D33"/>
  <c r="L30"/>
  <c r="K30"/>
  <c r="D30"/>
  <c r="L27"/>
  <c r="K27"/>
  <c r="D27"/>
  <c r="L26"/>
  <c r="K26"/>
  <c r="D26"/>
  <c r="L25"/>
  <c r="K25"/>
  <c r="D25"/>
  <c r="L24"/>
  <c r="K24"/>
  <c r="D24"/>
  <c r="L23"/>
  <c r="K23"/>
  <c r="D23"/>
  <c r="L20"/>
  <c r="K20"/>
  <c r="D20"/>
  <c r="L19"/>
  <c r="K19"/>
  <c r="D19"/>
  <c r="L18"/>
  <c r="K18"/>
  <c r="D18"/>
  <c r="L17"/>
  <c r="K17"/>
  <c r="D17"/>
  <c r="L14"/>
  <c r="K14"/>
  <c r="D14"/>
  <c r="L11"/>
  <c r="K11"/>
  <c r="D11"/>
  <c r="L10"/>
  <c r="K10"/>
  <c r="D10"/>
  <c r="L9"/>
  <c r="K9"/>
  <c r="D9"/>
  <c r="L6"/>
  <c r="K6"/>
  <c r="D6"/>
  <c r="L75" i="22"/>
  <c r="K75"/>
  <c r="D75"/>
  <c r="L72"/>
  <c r="K72"/>
  <c r="D72"/>
  <c r="L69"/>
  <c r="K69"/>
  <c r="D69"/>
  <c r="L68"/>
  <c r="K68"/>
  <c r="D68"/>
  <c r="L65"/>
  <c r="K65"/>
  <c r="D65"/>
  <c r="L64"/>
  <c r="K64"/>
  <c r="D64"/>
  <c r="L63"/>
  <c r="K63"/>
  <c r="D63"/>
  <c r="L62"/>
  <c r="K62"/>
  <c r="D62"/>
  <c r="L59"/>
  <c r="K59"/>
  <c r="D59"/>
  <c r="L58"/>
  <c r="K58"/>
  <c r="D58"/>
  <c r="L57"/>
  <c r="K57"/>
  <c r="D57"/>
  <c r="L56"/>
  <c r="K56"/>
  <c r="D56"/>
  <c r="L55"/>
  <c r="K55"/>
  <c r="D55"/>
  <c r="L54"/>
  <c r="K54"/>
  <c r="D54"/>
  <c r="L51"/>
  <c r="K51"/>
  <c r="D51"/>
  <c r="L50"/>
  <c r="K50"/>
  <c r="D50"/>
  <c r="L49"/>
  <c r="K49"/>
  <c r="D49"/>
  <c r="L48"/>
  <c r="K48"/>
  <c r="D48"/>
  <c r="L47"/>
  <c r="K47"/>
  <c r="D47"/>
  <c r="L44"/>
  <c r="K44"/>
  <c r="D44"/>
  <c r="L43"/>
  <c r="K43"/>
  <c r="D43"/>
  <c r="L42"/>
  <c r="K42"/>
  <c r="D42"/>
  <c r="L41"/>
  <c r="K41"/>
  <c r="D41"/>
  <c r="L40"/>
  <c r="K40"/>
  <c r="D40"/>
  <c r="L39"/>
  <c r="K39"/>
  <c r="D39"/>
  <c r="L36"/>
  <c r="K36"/>
  <c r="D36"/>
  <c r="L35"/>
  <c r="K35"/>
  <c r="D35"/>
  <c r="L34"/>
  <c r="K34"/>
  <c r="D34"/>
  <c r="L33"/>
  <c r="K33"/>
  <c r="D33"/>
  <c r="L32"/>
  <c r="K32"/>
  <c r="D32"/>
  <c r="L31"/>
  <c r="K31"/>
  <c r="D31"/>
  <c r="L30"/>
  <c r="K30"/>
  <c r="D30"/>
  <c r="L29"/>
  <c r="K29"/>
  <c r="D29"/>
  <c r="L26"/>
  <c r="K26"/>
  <c r="D26"/>
  <c r="L25"/>
  <c r="K25"/>
  <c r="D25"/>
  <c r="L22"/>
  <c r="K22"/>
  <c r="D22"/>
  <c r="L19"/>
  <c r="K19"/>
  <c r="D19"/>
  <c r="L16"/>
  <c r="K16"/>
  <c r="D16"/>
  <c r="L13"/>
  <c r="K13"/>
  <c r="D13"/>
  <c r="L10"/>
  <c r="K10"/>
  <c r="D10"/>
  <c r="L9"/>
  <c r="K9"/>
  <c r="D9"/>
  <c r="L6"/>
  <c r="K6"/>
  <c r="D6"/>
  <c r="T32" i="21"/>
  <c r="S32"/>
  <c r="D32"/>
  <c r="T29"/>
  <c r="S29"/>
  <c r="D29"/>
  <c r="T28"/>
  <c r="S28"/>
  <c r="D28"/>
  <c r="T27"/>
  <c r="S27"/>
  <c r="D27"/>
  <c r="T24"/>
  <c r="S24"/>
  <c r="D24"/>
  <c r="T23"/>
  <c r="S23"/>
  <c r="D23"/>
  <c r="T20"/>
  <c r="S20"/>
  <c r="D20"/>
  <c r="T17"/>
  <c r="S17"/>
  <c r="D17"/>
  <c r="T14"/>
  <c r="S14"/>
  <c r="D14"/>
  <c r="T13"/>
  <c r="S13"/>
  <c r="D13"/>
  <c r="T12"/>
  <c r="S12"/>
  <c r="D12"/>
  <c r="T9"/>
  <c r="S9"/>
  <c r="D9"/>
  <c r="T6"/>
  <c r="S6"/>
  <c r="D6"/>
  <c r="L6" i="18"/>
  <c r="K6"/>
  <c r="D6"/>
  <c r="L19" i="17"/>
  <c r="K19"/>
  <c r="D19"/>
  <c r="L18"/>
  <c r="K18"/>
  <c r="D18"/>
  <c r="L15"/>
  <c r="K15"/>
  <c r="D15"/>
  <c r="L12"/>
  <c r="K12"/>
  <c r="D12"/>
  <c r="L9"/>
  <c r="K9"/>
  <c r="D9"/>
  <c r="L6"/>
  <c r="K6"/>
  <c r="D6"/>
  <c r="T15" i="16"/>
  <c r="S15"/>
  <c r="D15"/>
  <c r="T12"/>
  <c r="S12"/>
  <c r="D12"/>
  <c r="T9"/>
  <c r="S9"/>
  <c r="D9"/>
  <c r="T6"/>
  <c r="S6"/>
  <c r="D6"/>
  <c r="L6" i="14"/>
  <c r="K6"/>
  <c r="D6"/>
  <c r="L6" i="13"/>
  <c r="K6"/>
  <c r="D6"/>
  <c r="L10" i="9"/>
  <c r="K10"/>
  <c r="D10"/>
  <c r="L7"/>
  <c r="K7"/>
  <c r="D7"/>
  <c r="L6"/>
  <c r="K6"/>
  <c r="D6"/>
  <c r="L18" i="7"/>
  <c r="K18"/>
  <c r="D18"/>
  <c r="L15"/>
  <c r="K15"/>
  <c r="D15"/>
  <c r="L12"/>
  <c r="K12"/>
  <c r="D12"/>
  <c r="L9"/>
  <c r="K9"/>
  <c r="D9"/>
  <c r="L6"/>
  <c r="K6"/>
  <c r="D6"/>
  <c r="L19" i="6"/>
  <c r="K19"/>
  <c r="D19"/>
  <c r="L16"/>
  <c r="K16"/>
  <c r="D16"/>
  <c r="L13"/>
  <c r="K13"/>
  <c r="D13"/>
  <c r="L12"/>
  <c r="K12"/>
  <c r="D12"/>
  <c r="L9"/>
  <c r="K9"/>
  <c r="D9"/>
  <c r="L6"/>
  <c r="K6"/>
  <c r="D6"/>
  <c r="T9" i="5"/>
  <c r="S9"/>
  <c r="D9"/>
  <c r="T6"/>
  <c r="S6"/>
  <c r="D6"/>
</calcChain>
</file>

<file path=xl/sharedStrings.xml><?xml version="1.0" encoding="utf-8"?>
<sst xmlns="http://schemas.openxmlformats.org/spreadsheetml/2006/main" count="3429" uniqueCount="996">
  <si>
    <t>ФИО</t>
  </si>
  <si>
    <t>Присед</t>
  </si>
  <si>
    <t>Жим</t>
  </si>
  <si>
    <t>Тяга</t>
  </si>
  <si>
    <t>Сумма</t>
  </si>
  <si>
    <t>Тренер</t>
  </si>
  <si>
    <t>Очки</t>
  </si>
  <si>
    <t>Команда</t>
  </si>
  <si>
    <t>Рек</t>
  </si>
  <si>
    <t>Возр груп
Год. р./Возраст</t>
  </si>
  <si>
    <t>Город/область</t>
  </si>
  <si>
    <t>Соб.
Вес</t>
  </si>
  <si>
    <t>29-30 июля 2017 года. Чемпионат Европы по пауэрлифтингу и отдельным движениям
ПРО пауэрлифтинг без экипировки
Краснодар/Краснодарский край 28 - 30 июля 2017 г.</t>
  </si>
  <si>
    <t>Shv/Mel</t>
  </si>
  <si>
    <t>ВЕСОВАЯ КАТЕГОРИЯ   82.5</t>
  </si>
  <si>
    <t>Тлевцежев Каплан</t>
  </si>
  <si>
    <t>1. Тлевцежев Каплан</t>
  </si>
  <si>
    <t>Мастера 60 - 64 (13.02.1956)/61</t>
  </si>
  <si>
    <t>82,10</t>
  </si>
  <si>
    <t xml:space="preserve">Нарт </t>
  </si>
  <si>
    <t xml:space="preserve">Майкоп </t>
  </si>
  <si>
    <t>170,0</t>
  </si>
  <si>
    <t>180,0</t>
  </si>
  <si>
    <t>187,5</t>
  </si>
  <si>
    <t>95,0</t>
  </si>
  <si>
    <t>97,5</t>
  </si>
  <si>
    <t>190,0</t>
  </si>
  <si>
    <t>215,0</t>
  </si>
  <si>
    <t xml:space="preserve">Тлевцежев Каплан Хамедович </t>
  </si>
  <si>
    <t>ВЕСОВАЯ КАТЕГОРИЯ   110</t>
  </si>
  <si>
    <t>-. Якупов Марат</t>
  </si>
  <si>
    <t>Мастера 40 - 44 (06.05.1977)/40</t>
  </si>
  <si>
    <t>108,00</t>
  </si>
  <si>
    <t xml:space="preserve">Лично </t>
  </si>
  <si>
    <t xml:space="preserve">Краснодар/Краснодарский край </t>
  </si>
  <si>
    <t>230,0</t>
  </si>
  <si>
    <t>250,0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</si>
  <si>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</si>
  <si>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</si>
  <si>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</si>
  <si>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</si>
  <si>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</si>
  <si>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</si>
  <si>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</si>
  <si>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</si>
  <si>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</si>
  <si>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</si>
  <si>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</si>
  <si>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</si>
  <si>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</si>
  <si>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</si>
  <si>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Мастера 60 - 64 </t>
  </si>
  <si>
    <t>82,5</t>
  </si>
  <si>
    <t>497,5</t>
  </si>
  <si>
    <t>525,5490</t>
  </si>
  <si>
    <t>29-30 июля 2017 года. Чемпионат Европы по пауэрлифтингу и отдельным движениям
ПРО жим лежа без экипировки
Краснодар/Краснодарский край 28 - 30 июля 2017 г.</t>
  </si>
  <si>
    <t>ВЕСОВАЯ КАТЕГОРИЯ   56</t>
  </si>
  <si>
    <t>Богдан Анжела</t>
  </si>
  <si>
    <t>1. Богдан Анжела</t>
  </si>
  <si>
    <t>Открытая (06.08.1987)/29</t>
  </si>
  <si>
    <t>54,90</t>
  </si>
  <si>
    <t xml:space="preserve">Крымск/Краснодарский край </t>
  </si>
  <si>
    <t>52,5w</t>
  </si>
  <si>
    <t>55,0</t>
  </si>
  <si>
    <t>57,5</t>
  </si>
  <si>
    <t>ВЕСОВАЯ КАТЕГОРИЯ   75</t>
  </si>
  <si>
    <t>Канцеров Тимур</t>
  </si>
  <si>
    <t>1. Канцеров Тимур</t>
  </si>
  <si>
    <t>Юниоры 20 - 23 (13.01.1997)/20</t>
  </si>
  <si>
    <t>74,60</t>
  </si>
  <si>
    <t xml:space="preserve">Казань/Татарстан </t>
  </si>
  <si>
    <t>160,0</t>
  </si>
  <si>
    <t>182,5</t>
  </si>
  <si>
    <t>ВЕСОВАЯ КАТЕГОРИЯ   90</t>
  </si>
  <si>
    <t>Мамедов Фуад</t>
  </si>
  <si>
    <t>1. Мамедов Фуад</t>
  </si>
  <si>
    <t>Открытая (02.01.1987)/30</t>
  </si>
  <si>
    <t>86,80</t>
  </si>
  <si>
    <t xml:space="preserve">Сочи/Краснодарский край </t>
  </si>
  <si>
    <t>155,0</t>
  </si>
  <si>
    <t>165,0</t>
  </si>
  <si>
    <t>Фесун Александр</t>
  </si>
  <si>
    <t>1. Фесун Александр</t>
  </si>
  <si>
    <t>Мастера 50 - 54 (09.03.1966)/51</t>
  </si>
  <si>
    <t>87,90</t>
  </si>
  <si>
    <t>135,0</t>
  </si>
  <si>
    <t>145,0</t>
  </si>
  <si>
    <t>150,0</t>
  </si>
  <si>
    <t>Захаров Владимир</t>
  </si>
  <si>
    <t>1. Захаров Владимир</t>
  </si>
  <si>
    <t>Мастера 60 - 64 (07.07.1955)/62</t>
  </si>
  <si>
    <t>103,80</t>
  </si>
  <si>
    <t xml:space="preserve">Новороссийск/Краснодарский край </t>
  </si>
  <si>
    <t>0,0</t>
  </si>
  <si>
    <t>185,0</t>
  </si>
  <si>
    <t>ВЕСОВАЯ КАТЕГОРИЯ   125</t>
  </si>
  <si>
    <t>Митрофанов Александр</t>
  </si>
  <si>
    <t>1. Митрофанов Александр</t>
  </si>
  <si>
    <t>Открытая (29.12.1985)/31</t>
  </si>
  <si>
    <t>112,10</t>
  </si>
  <si>
    <t xml:space="preserve">Russia </t>
  </si>
  <si>
    <t>200,0</t>
  </si>
  <si>
    <t xml:space="preserve">Сизов А. В. </t>
  </si>
  <si>
    <t xml:space="preserve">Женщины </t>
  </si>
  <si>
    <t xml:space="preserve">Открытая </t>
  </si>
  <si>
    <t>56,0</t>
  </si>
  <si>
    <t>50,9850</t>
  </si>
  <si>
    <t xml:space="preserve">Юниоры </t>
  </si>
  <si>
    <t xml:space="preserve">Юниоры 20 - 23 </t>
  </si>
  <si>
    <t>75,0</t>
  </si>
  <si>
    <t>116,8442</t>
  </si>
  <si>
    <t>125,0</t>
  </si>
  <si>
    <t>106,8200</t>
  </si>
  <si>
    <t>90,0</t>
  </si>
  <si>
    <t>95,7760</t>
  </si>
  <si>
    <t>110,0</t>
  </si>
  <si>
    <t>182,0304</t>
  </si>
  <si>
    <t xml:space="preserve">Мастера 50 - 54 </t>
  </si>
  <si>
    <t>103,6831</t>
  </si>
  <si>
    <t>Результат</t>
  </si>
  <si>
    <t>29-30 июля 2017 года. Чемпионат Европы по пауэрлифтингу и отдельным движениям
ПРО становая тяга без экипировки
Краснодар/Краснодарский край 28 - 30 июля 2017 г.</t>
  </si>
  <si>
    <t>ВЕСОВАЯ КАТЕГОРИЯ   60</t>
  </si>
  <si>
    <t>-. Лысенко Камилла</t>
  </si>
  <si>
    <t>Юниорки 20 - 23 (05.08.1994)/22</t>
  </si>
  <si>
    <t>60,00</t>
  </si>
  <si>
    <t xml:space="preserve">Майкоп/Адыгея </t>
  </si>
  <si>
    <t>140,0</t>
  </si>
  <si>
    <t>Мусиенко Залина</t>
  </si>
  <si>
    <t>1. Мусиенко Залина</t>
  </si>
  <si>
    <t>Открытая (07.11.1984)/32</t>
  </si>
  <si>
    <t>72,90</t>
  </si>
  <si>
    <t>ВЕСОВАЯ КАТЕГОРИЯ   67.5</t>
  </si>
  <si>
    <t>Ежов Виктор</t>
  </si>
  <si>
    <t>1. Ежов Виктор</t>
  </si>
  <si>
    <t>Юноши 16 - 17 (01.12.1999)/17</t>
  </si>
  <si>
    <t>65,70</t>
  </si>
  <si>
    <t xml:space="preserve">Горячий Ключ/Краснодарский край </t>
  </si>
  <si>
    <t>162,5</t>
  </si>
  <si>
    <t>240,0</t>
  </si>
  <si>
    <t>Таловасов Анатолий</t>
  </si>
  <si>
    <t>1. Таловасов Анатолий</t>
  </si>
  <si>
    <t>Мастера 55 - 59 (01.12.1960)/56</t>
  </si>
  <si>
    <t>118,40</t>
  </si>
  <si>
    <t xml:space="preserve">П. тульский </t>
  </si>
  <si>
    <t>225,0</t>
  </si>
  <si>
    <t xml:space="preserve">Самостоятельно </t>
  </si>
  <si>
    <t>117,8960</t>
  </si>
  <si>
    <t xml:space="preserve">Юноши </t>
  </si>
  <si>
    <t xml:space="preserve">Юноши 16 - 17 </t>
  </si>
  <si>
    <t>67,5</t>
  </si>
  <si>
    <t>124,5289</t>
  </si>
  <si>
    <t>143,6640</t>
  </si>
  <si>
    <t xml:space="preserve">Мастера 55 - 59 </t>
  </si>
  <si>
    <t>170,0127</t>
  </si>
  <si>
    <t>29-30 июля 2017 года. Чемпионат Европы по пауэрлифтингу и отдельным движениям
ПРО пауэрлифтинг в однослойной экипировке
Краснодар/Краснодарский край 28 - 30 июля 2017 г.</t>
  </si>
  <si>
    <t>29-30 июля 2017 года. Чемпионат Европы по пауэрлифтингу и отдельным движениям
ПРО жим лежа в однослойной экипировке
Краснодар/Краснодарский край 28 - 30 июля 2017 г.</t>
  </si>
  <si>
    <t>Погосян Степан</t>
  </si>
  <si>
    <t>1. Погосян Степан</t>
  </si>
  <si>
    <t>Открытая (18.04.1985)/32</t>
  </si>
  <si>
    <t>86,60</t>
  </si>
  <si>
    <t xml:space="preserve">Olympia </t>
  </si>
  <si>
    <t xml:space="preserve">Туапсе </t>
  </si>
  <si>
    <t>245,0</t>
  </si>
  <si>
    <t xml:space="preserve">Хачатурян Армен Робертович </t>
  </si>
  <si>
    <t>Элканишвили Георгий</t>
  </si>
  <si>
    <t>2. Элканишвили Георгий</t>
  </si>
  <si>
    <t>Открытая (01.11.1988)/28</t>
  </si>
  <si>
    <t>89,70</t>
  </si>
  <si>
    <t xml:space="preserve">Минеральные Воды/Ставропольский край </t>
  </si>
  <si>
    <t>195,0</t>
  </si>
  <si>
    <t>143,8800</t>
  </si>
  <si>
    <t>114,3675</t>
  </si>
  <si>
    <t>109,5637</t>
  </si>
  <si>
    <t>29-30 июля 2017 года. Чемпионат Европы по пауэрлифтингу и отдельным движениям
ПРО пауэрлифтинг в многослойной экипировке
Краснодар/Краснодарский край 28 - 30 июля 2017 г.</t>
  </si>
  <si>
    <t>29-30 июля 2017 года. Чемпионат Европы по пауэрлифтингу и отдельным движениям
ПРО жим лежа в многослойной экипировке
Краснодар/Краснодарский край 28 - 30 июля 2017 г.</t>
  </si>
  <si>
    <t>29-30 июля 2017 года. Чемпионат Европы по пауэрлифтингу и отдельным движениям
ПРО присед без экипировки
Краснодар/Краснодарский край 28 - 30 июля 2017 г.</t>
  </si>
  <si>
    <t>29-30 июля 2017 года. Чемпионат Европы по пауэрлифтингу и отдельным движениям
ПРО становая тяга в однослойной экипировке
Краснодар/Краснодарский край 28 - 30 июля 2017 г.</t>
  </si>
  <si>
    <t>ВЕСОВАЯ КАТЕГОРИЯ   100</t>
  </si>
  <si>
    <t>Сизов Андрей</t>
  </si>
  <si>
    <t>1. Сизов Андрей</t>
  </si>
  <si>
    <t>Открытая (29.01.1968)/49</t>
  </si>
  <si>
    <t>95,00</t>
  </si>
  <si>
    <t xml:space="preserve">Горячий ключ </t>
  </si>
  <si>
    <t>300,0</t>
  </si>
  <si>
    <t>315,0</t>
  </si>
  <si>
    <t>325,0</t>
  </si>
  <si>
    <t xml:space="preserve">Сизов андрей </t>
  </si>
  <si>
    <t>100,0</t>
  </si>
  <si>
    <t>178,8570</t>
  </si>
  <si>
    <t>29-30 июля 2017 года. Чемпионат Европы по пауэрлифтингу и отдельным движениям
ПРО становая тяга в многослойной экипировке
Краснодар/Краснодарский край 28 - 30 июля 2017 г.</t>
  </si>
  <si>
    <t>Винников Владимир</t>
  </si>
  <si>
    <t>1. Винников Владимир</t>
  </si>
  <si>
    <t>Открытая (28.08.1986)/30</t>
  </si>
  <si>
    <t>95,80</t>
  </si>
  <si>
    <t xml:space="preserve">Чемпион </t>
  </si>
  <si>
    <t>270,0</t>
  </si>
  <si>
    <t>290,0</t>
  </si>
  <si>
    <t>152,6580</t>
  </si>
  <si>
    <t>29-30 июля 2017 года. Чемпионат Европы по пауэрлифтингу и отдельным движениям
ПРО присед в однослойной экипировке
Краснодар/Краснодарский край 28 - 30 июля 2017 г.</t>
  </si>
  <si>
    <t>29-30 июля 2017 года. Чемпионат Европы по пауэрлифтингу и отдельным движениям
ПРО пауэрлифтинг в софт экипировке
Краснодар/Краснодарский край 28 - 30 июля 2017 г.</t>
  </si>
  <si>
    <t>Злыденная Татьяная</t>
  </si>
  <si>
    <t>1. Злыденная Татьяная</t>
  </si>
  <si>
    <t>Открытая (28.01.1987)/30</t>
  </si>
  <si>
    <t>66,20</t>
  </si>
  <si>
    <t xml:space="preserve">Санкт-Петербург </t>
  </si>
  <si>
    <t>65,0</t>
  </si>
  <si>
    <t>Радионов Евгений</t>
  </si>
  <si>
    <t>1. Радионов Евгений</t>
  </si>
  <si>
    <t>Открытая (10.05.1983)/34</t>
  </si>
  <si>
    <t>89,00</t>
  </si>
  <si>
    <t>260,0</t>
  </si>
  <si>
    <t>275,0</t>
  </si>
  <si>
    <t>255,0</t>
  </si>
  <si>
    <t>Трубичкин Ярослав</t>
  </si>
  <si>
    <t>1. Трубичкин Ярослав</t>
  </si>
  <si>
    <t>Открытая (16.06.1987)/30</t>
  </si>
  <si>
    <t>100,00</t>
  </si>
  <si>
    <t xml:space="preserve">Ялта/Крым </t>
  </si>
  <si>
    <t>310,0</t>
  </si>
  <si>
    <t>335,0</t>
  </si>
  <si>
    <t>350,0</t>
  </si>
  <si>
    <t>280,0</t>
  </si>
  <si>
    <t>305,0</t>
  </si>
  <si>
    <t>ВЕСОВАЯ КАТЕГОРИЯ   140</t>
  </si>
  <si>
    <t>Швецов Станислав</t>
  </si>
  <si>
    <t>1. Швецов Станислав</t>
  </si>
  <si>
    <t>Открытая (08.02.1988)/29</t>
  </si>
  <si>
    <t>128,00</t>
  </si>
  <si>
    <t xml:space="preserve">Волжский/Волгоградская область </t>
  </si>
  <si>
    <t>380,0</t>
  </si>
  <si>
    <t>400,0</t>
  </si>
  <si>
    <t>320,0</t>
  </si>
  <si>
    <t>340,0</t>
  </si>
  <si>
    <t>360,0</t>
  </si>
  <si>
    <t xml:space="preserve">самостоятельно </t>
  </si>
  <si>
    <t>367,5</t>
  </si>
  <si>
    <t>291,1702</t>
  </si>
  <si>
    <t>1100,0</t>
  </si>
  <si>
    <t>569,1400</t>
  </si>
  <si>
    <t>780,0</t>
  </si>
  <si>
    <t>459,6540</t>
  </si>
  <si>
    <t>825,0</t>
  </si>
  <si>
    <t>457,0500</t>
  </si>
  <si>
    <t>29-30 июля 2017 года. Чемпионат Европы по пауэрлифтингу и отдельным движениям
ПРО жим лежа в софт экипировке
Краснодар/Краснодарский край 28 - 30 июля 2017 г.</t>
  </si>
  <si>
    <t>Холявка Евгений</t>
  </si>
  <si>
    <t>1. Холявка Евгений</t>
  </si>
  <si>
    <t>Открытая (25.04.1988)/29</t>
  </si>
  <si>
    <t>89,20</t>
  </si>
  <si>
    <t>Крылов Артем</t>
  </si>
  <si>
    <t>1. Крылов Артем</t>
  </si>
  <si>
    <t>Открытая (03.09.1990)/26</t>
  </si>
  <si>
    <t>94,00</t>
  </si>
  <si>
    <t xml:space="preserve">Light Fit </t>
  </si>
  <si>
    <t xml:space="preserve">Чернов. Е </t>
  </si>
  <si>
    <t>Лихман Андрей</t>
  </si>
  <si>
    <t>1. Лихман Андрей</t>
  </si>
  <si>
    <t>Открытая (01.05.1977)/40</t>
  </si>
  <si>
    <t>108,80</t>
  </si>
  <si>
    <t xml:space="preserve">Крымск </t>
  </si>
  <si>
    <t xml:space="preserve">Лихман </t>
  </si>
  <si>
    <t>Микао Михаил</t>
  </si>
  <si>
    <t>1. Микао Михаил</t>
  </si>
  <si>
    <t>Открытая (29.07.1985)/32</t>
  </si>
  <si>
    <t>124,90</t>
  </si>
  <si>
    <t xml:space="preserve">Краснодар </t>
  </si>
  <si>
    <t xml:space="preserve">Чугунов Евгений </t>
  </si>
  <si>
    <t>Баллод Александр</t>
  </si>
  <si>
    <t>1. Баллод Александр</t>
  </si>
  <si>
    <t>Открытая (17.08.1979)/37</t>
  </si>
  <si>
    <t>137,40</t>
  </si>
  <si>
    <t>330,0</t>
  </si>
  <si>
    <t xml:space="preserve">Козырев О. </t>
  </si>
  <si>
    <t>Сметанин Эдуард</t>
  </si>
  <si>
    <t>1. Сметанин Эдуард</t>
  </si>
  <si>
    <t>Мастера 45 - 49 (15.10.1969)/47</t>
  </si>
  <si>
    <t>131,00</t>
  </si>
  <si>
    <t>205,0</t>
  </si>
  <si>
    <t xml:space="preserve">Баллод александр </t>
  </si>
  <si>
    <t>162,0352</t>
  </si>
  <si>
    <t>161,4000</t>
  </si>
  <si>
    <t>154,1700</t>
  </si>
  <si>
    <t>151,1190</t>
  </si>
  <si>
    <t>141,2400</t>
  </si>
  <si>
    <t xml:space="preserve">Мастера 45 - 49 </t>
  </si>
  <si>
    <t>115,0193</t>
  </si>
  <si>
    <t>29-30 июля 2017 года. Чемпионат Европы по пауэрлифтингу и отдельным движениям
ПРО присед в многослойной экипировке
Краснодар/Краснодарский край 28 - 30 июля 2017 г.</t>
  </si>
  <si>
    <t>Митрофанов Павел</t>
  </si>
  <si>
    <t>1. Митрофанов Павел</t>
  </si>
  <si>
    <t>Открытая (12.08.1983)/33</t>
  </si>
  <si>
    <t>99,90</t>
  </si>
  <si>
    <t>194,0050</t>
  </si>
  <si>
    <t>29-30 июля 2017 года. Чемпионат Европы по пауэрлифтингу и отдельным движениям
ПРО становая тяга в софт экипировке
Краснодар/Краснодарский край 28 - 30 июля 2017 г.</t>
  </si>
  <si>
    <t>29-30 июля 2017 года. Чемпионат Европы по пауэрлифтингу и отдельным движениям
ПРО присед в софт экипировке
Краснодар/Краснодарский край 28 - 30 июля 2017 г.</t>
  </si>
  <si>
    <t>29-30 июля 2017 года. Чемпионат Европы по пауэрлифтингу и отдельным движениям
Любители пауэрлифтинг без экипировки
Краснодар/Краснодарский край 28 - 30 июля 2017 г.</t>
  </si>
  <si>
    <t>ВЕСОВАЯ КАТЕГОРИЯ   48</t>
  </si>
  <si>
    <t>Шабукаева Лаура</t>
  </si>
  <si>
    <t>1. Шабукаева Лаура</t>
  </si>
  <si>
    <t>Юниорки 20 - 23 (05.08.1995)/21</t>
  </si>
  <si>
    <t>47,00</t>
  </si>
  <si>
    <t>70,0</t>
  </si>
  <si>
    <t>30,0</t>
  </si>
  <si>
    <t>35,0</t>
  </si>
  <si>
    <t>60,0</t>
  </si>
  <si>
    <t>Муратова Екатерина</t>
  </si>
  <si>
    <t>1. Муратова Екатерина</t>
  </si>
  <si>
    <t>Девушки 18 - 19 (10.01.1999)/18</t>
  </si>
  <si>
    <t>55,30</t>
  </si>
  <si>
    <t>80,0</t>
  </si>
  <si>
    <t>40,0</t>
  </si>
  <si>
    <t>45,0</t>
  </si>
  <si>
    <t>47,5</t>
  </si>
  <si>
    <t>87,5</t>
  </si>
  <si>
    <t>Твердохлебова Полина</t>
  </si>
  <si>
    <t>1. Твердохлебова Полина</t>
  </si>
  <si>
    <t>Девушки 16 - 17 (18.12.1999)/17</t>
  </si>
  <si>
    <t>59,00</t>
  </si>
  <si>
    <t xml:space="preserve">Донецк/донецк </t>
  </si>
  <si>
    <t>62,5</t>
  </si>
  <si>
    <t>27,5</t>
  </si>
  <si>
    <t>32,5</t>
  </si>
  <si>
    <t>Акимова Анна</t>
  </si>
  <si>
    <t>1. Акимова Анна</t>
  </si>
  <si>
    <t>Открытая (07.09.1992)/24</t>
  </si>
  <si>
    <t>77,5</t>
  </si>
  <si>
    <t>85,0</t>
  </si>
  <si>
    <t>50,0</t>
  </si>
  <si>
    <t>105,0</t>
  </si>
  <si>
    <t>115,0</t>
  </si>
  <si>
    <t>Терещенко Елена</t>
  </si>
  <si>
    <t>2. Терещенко Елена</t>
  </si>
  <si>
    <t>Открытая (09.05.1988)/29</t>
  </si>
  <si>
    <t>120,0</t>
  </si>
  <si>
    <t>Ушакова Ольга</t>
  </si>
  <si>
    <t>1. Ушакова Ольга</t>
  </si>
  <si>
    <t>Мастера 40 - 44 (22.03.1974)/43</t>
  </si>
  <si>
    <t>65,20</t>
  </si>
  <si>
    <t xml:space="preserve">Москва </t>
  </si>
  <si>
    <t>42,5</t>
  </si>
  <si>
    <t>Архипов Артем</t>
  </si>
  <si>
    <t>1. Архипов Артем</t>
  </si>
  <si>
    <t>Открытая (26.08.1983)/33</t>
  </si>
  <si>
    <t>80,80</t>
  </si>
  <si>
    <t xml:space="preserve">Белореченск/Краснодарский край </t>
  </si>
  <si>
    <t>210,0</t>
  </si>
  <si>
    <t>217,5</t>
  </si>
  <si>
    <t>Бойцевский Дмитрий</t>
  </si>
  <si>
    <t>1. Бойцевский Дмитрий</t>
  </si>
  <si>
    <t>Юноши 14 - 15 (16.06.2003)/14</t>
  </si>
  <si>
    <t>83,90</t>
  </si>
  <si>
    <t>130,0</t>
  </si>
  <si>
    <t>Тубаев Имран</t>
  </si>
  <si>
    <t>1. Тубаев Имран</t>
  </si>
  <si>
    <t>Юниоры 20 - 23 (03.12.1994)/22</t>
  </si>
  <si>
    <t xml:space="preserve">кбр </t>
  </si>
  <si>
    <t xml:space="preserve">Нальчик/Кабардино-Балкария </t>
  </si>
  <si>
    <t>132,5</t>
  </si>
  <si>
    <t>Зейналов Орхан</t>
  </si>
  <si>
    <t>1. Зейналов Орхан</t>
  </si>
  <si>
    <t>Открытая (09.12.1987)/29</t>
  </si>
  <si>
    <t>96,70</t>
  </si>
  <si>
    <t>220,0</t>
  </si>
  <si>
    <t>235,0</t>
  </si>
  <si>
    <t>Антоненко Валерий</t>
  </si>
  <si>
    <t>2. Антоненко Валерий</t>
  </si>
  <si>
    <t>Открытая (06.01.1987)/30</t>
  </si>
  <si>
    <t>99,40</t>
  </si>
  <si>
    <t>Бойцевский Александр</t>
  </si>
  <si>
    <t>3. Бойцевский Александр</t>
  </si>
  <si>
    <t>Открытая (30.05.1987)/30</t>
  </si>
  <si>
    <t>96,20</t>
  </si>
  <si>
    <t>Фатыхов Артем</t>
  </si>
  <si>
    <t>1. Фатыхов Артем</t>
  </si>
  <si>
    <t>Юноши 16 - 17 (07.04.2001)/16</t>
  </si>
  <si>
    <t>120,30</t>
  </si>
  <si>
    <t xml:space="preserve">Девушки </t>
  </si>
  <si>
    <t xml:space="preserve">Юноши 18 - 19 </t>
  </si>
  <si>
    <t>210,0099</t>
  </si>
  <si>
    <t>177,5</t>
  </si>
  <si>
    <t>167,3829</t>
  </si>
  <si>
    <t xml:space="preserve">Юниорки </t>
  </si>
  <si>
    <t>48,0</t>
  </si>
  <si>
    <t>182,4341</t>
  </si>
  <si>
    <t>223,8340</t>
  </si>
  <si>
    <t>219,5295</t>
  </si>
  <si>
    <t xml:space="preserve">Мастера 40 - 44 </t>
  </si>
  <si>
    <t>171,5798</t>
  </si>
  <si>
    <t xml:space="preserve">Юноши 14 - 15 </t>
  </si>
  <si>
    <t>248,4920</t>
  </si>
  <si>
    <t>375,0</t>
  </si>
  <si>
    <t>223,1891</t>
  </si>
  <si>
    <t>218,7334</t>
  </si>
  <si>
    <t>655,0</t>
  </si>
  <si>
    <t>368,5685</t>
  </si>
  <si>
    <t>615,0</t>
  </si>
  <si>
    <t>341,6325</t>
  </si>
  <si>
    <t>605,0</t>
  </si>
  <si>
    <t>341,3410</t>
  </si>
  <si>
    <t>515,0</t>
  </si>
  <si>
    <t>323,6260</t>
  </si>
  <si>
    <t>29-30 июля 2017 года. Чемпионат Европы по пауэрлифтингу и отдельным движениям
Любители жим лежа без экипировки
Краснодар/Краснодарский край 28 - 30 июля 2017 г.</t>
  </si>
  <si>
    <t>Тимощенко Ирина</t>
  </si>
  <si>
    <t>1. Тимощенко Ирина</t>
  </si>
  <si>
    <t>Открытая (17.12.1991)/25</t>
  </si>
  <si>
    <t>46,50</t>
  </si>
  <si>
    <t xml:space="preserve">Тульский </t>
  </si>
  <si>
    <t xml:space="preserve">Никулкин Р.Н. </t>
  </si>
  <si>
    <t>ВЕСОВАЯ КАТЕГОРИЯ   52</t>
  </si>
  <si>
    <t>Рыбальченко Ирина</t>
  </si>
  <si>
    <t>1. Рыбальченко Ирина</t>
  </si>
  <si>
    <t>Открытая (21.07.1979)/38</t>
  </si>
  <si>
    <t>51,10</t>
  </si>
  <si>
    <t xml:space="preserve">Анапа/Краснодарский край </t>
  </si>
  <si>
    <t>Маренкова Татьяна</t>
  </si>
  <si>
    <t>2. Маренкова Татьяна</t>
  </si>
  <si>
    <t>Открытая (16.02.1979)/38</t>
  </si>
  <si>
    <t>48,80</t>
  </si>
  <si>
    <t>52,5</t>
  </si>
  <si>
    <t>-. Скляр Наталья</t>
  </si>
  <si>
    <t>Мастера 50 - 54 (28.01.1967)/50</t>
  </si>
  <si>
    <t>53,20</t>
  </si>
  <si>
    <t>37,5</t>
  </si>
  <si>
    <t>Краева Наталия</t>
  </si>
  <si>
    <t>1. Краева Наталия</t>
  </si>
  <si>
    <t>Открытая (02.02.1977)/40</t>
  </si>
  <si>
    <t>57,50</t>
  </si>
  <si>
    <t>ВЕСОВАЯ КАТЕГОРИЯ   90+</t>
  </si>
  <si>
    <t>Кочесокова Кристина</t>
  </si>
  <si>
    <t>1. Кочесокова Кристина</t>
  </si>
  <si>
    <t>Открытая (18.11.1992)/24</t>
  </si>
  <si>
    <t>100,50</t>
  </si>
  <si>
    <t>92,5</t>
  </si>
  <si>
    <t xml:space="preserve">Токарева </t>
  </si>
  <si>
    <t>Крапивка Иван</t>
  </si>
  <si>
    <t>1. Крапивка Иван</t>
  </si>
  <si>
    <t>Юноши 14 - 15 (24.01.2004)/13</t>
  </si>
  <si>
    <t>Шитько Богдан</t>
  </si>
  <si>
    <t>1. Шитько Богдан</t>
  </si>
  <si>
    <t>Юноши 16 - 17 (17.12.2000)/16</t>
  </si>
  <si>
    <t>66,80</t>
  </si>
  <si>
    <t xml:space="preserve">пгт Тульский[4]/Адыгея </t>
  </si>
  <si>
    <t>Шогенов Азамат</t>
  </si>
  <si>
    <t>1. Шогенов Азамат</t>
  </si>
  <si>
    <t>Юниоры 20 - 23 (24.10.1996)/20</t>
  </si>
  <si>
    <t>67,50</t>
  </si>
  <si>
    <t xml:space="preserve">Легион </t>
  </si>
  <si>
    <t xml:space="preserve">Губжев Б.Р. </t>
  </si>
  <si>
    <t>Гусаков Виталий</t>
  </si>
  <si>
    <t>1. Гусаков Виталий</t>
  </si>
  <si>
    <t>Юноши 16 - 17 (14.11.1999)/17</t>
  </si>
  <si>
    <t>74,40</t>
  </si>
  <si>
    <t xml:space="preserve">Солнышко </t>
  </si>
  <si>
    <t xml:space="preserve">Темрюк/Краснодарский край </t>
  </si>
  <si>
    <t>Гапон Антон</t>
  </si>
  <si>
    <t>1. Гапон Антон</t>
  </si>
  <si>
    <t>Юниоры 20 - 23 (19.01.1996)/21</t>
  </si>
  <si>
    <t>73,80</t>
  </si>
  <si>
    <t>112,5</t>
  </si>
  <si>
    <t xml:space="preserve">авраменко </t>
  </si>
  <si>
    <t>Нагорный Андрей</t>
  </si>
  <si>
    <t>1. Нагорный Андрей</t>
  </si>
  <si>
    <t>Открытая (07.01.1990)/27</t>
  </si>
  <si>
    <t>73,50</t>
  </si>
  <si>
    <t xml:space="preserve">Ейск/Краснодарский край </t>
  </si>
  <si>
    <t>122,5</t>
  </si>
  <si>
    <t>127,5</t>
  </si>
  <si>
    <t>Попов Константин</t>
  </si>
  <si>
    <t>2. Попов Константин</t>
  </si>
  <si>
    <t>Открытая (11.01.1991)/26</t>
  </si>
  <si>
    <t xml:space="preserve">Геленджик/Краснодарский край </t>
  </si>
  <si>
    <t>-. Душенко Денис</t>
  </si>
  <si>
    <t>Открытая (24.04.1986)/31</t>
  </si>
  <si>
    <t>72,60</t>
  </si>
  <si>
    <t>-. Максимов Андрей</t>
  </si>
  <si>
    <t>Открытая (12.12.1992)/24</t>
  </si>
  <si>
    <t>73,90</t>
  </si>
  <si>
    <t>Космынин Владимир</t>
  </si>
  <si>
    <t>1. Космынин Владимир</t>
  </si>
  <si>
    <t>Мастера 55 - 59 (12.06.1960)/57</t>
  </si>
  <si>
    <t>71,30</t>
  </si>
  <si>
    <t xml:space="preserve">Кропоткин </t>
  </si>
  <si>
    <t>Дворкин Леонид</t>
  </si>
  <si>
    <t>1. Дворкин Леонид</t>
  </si>
  <si>
    <t>Мастера 75 - 79 (23.01.1941)/76</t>
  </si>
  <si>
    <t>72,80</t>
  </si>
  <si>
    <t>102,5</t>
  </si>
  <si>
    <t>106,0</t>
  </si>
  <si>
    <t>Медянников Даниил</t>
  </si>
  <si>
    <t>1. Медянников Даниил</t>
  </si>
  <si>
    <t>Юноши 16 - 17 (02.02.2001)/16</t>
  </si>
  <si>
    <t>78,40</t>
  </si>
  <si>
    <t xml:space="preserve">Кореновск/Краснодарский край </t>
  </si>
  <si>
    <t>107,5</t>
  </si>
  <si>
    <t>Бязров Алан</t>
  </si>
  <si>
    <t>1. Бязров Алан</t>
  </si>
  <si>
    <t>Открытая (08.07.1986)/31</t>
  </si>
  <si>
    <t>82,40</t>
  </si>
  <si>
    <t xml:space="preserve">Владикавказ/Северная Осетия - Алания </t>
  </si>
  <si>
    <t>Мунаев Николай</t>
  </si>
  <si>
    <t>2. Мунаев Николай</t>
  </si>
  <si>
    <t>Открытая (30.10.1986)/30</t>
  </si>
  <si>
    <t>81,00</t>
  </si>
  <si>
    <t>147,5</t>
  </si>
  <si>
    <t>157,5</t>
  </si>
  <si>
    <t>Ткаченко Александр</t>
  </si>
  <si>
    <t>3. Ткаченко Александр</t>
  </si>
  <si>
    <t>Открытая (22.08.1989)/27</t>
  </si>
  <si>
    <t>82,00</t>
  </si>
  <si>
    <t>137,5</t>
  </si>
  <si>
    <t>Ботарев Алексей</t>
  </si>
  <si>
    <t>4. Ботарев Алексей</t>
  </si>
  <si>
    <t>Открытая (19.11.1991)/25</t>
  </si>
  <si>
    <t>79,90</t>
  </si>
  <si>
    <t>Орехов Иван</t>
  </si>
  <si>
    <t>5. Орехов Иван</t>
  </si>
  <si>
    <t>Открытая (11.07.1987)/30</t>
  </si>
  <si>
    <t>81,90</t>
  </si>
  <si>
    <t xml:space="preserve">Новый Уренгой/Ямало-Ненецкий авт. окр. </t>
  </si>
  <si>
    <t>Ахмадов Заур</t>
  </si>
  <si>
    <t>1. Ахмадов Заур</t>
  </si>
  <si>
    <t>Юноши 18 - 19 (03.08.1997)/19</t>
  </si>
  <si>
    <t>90,00</t>
  </si>
  <si>
    <t xml:space="preserve">Грозный/Чечня </t>
  </si>
  <si>
    <t>Литвин Аркадий</t>
  </si>
  <si>
    <t>1. Литвин Аркадий</t>
  </si>
  <si>
    <t>Открытая (08.06.1985)/32</t>
  </si>
  <si>
    <t>88,10</t>
  </si>
  <si>
    <t>Шукшин Павел</t>
  </si>
  <si>
    <t>2. Шукшин Павел</t>
  </si>
  <si>
    <t>Открытая (03.08.1980)/36</t>
  </si>
  <si>
    <t>89,30</t>
  </si>
  <si>
    <t>Бургелов Александр</t>
  </si>
  <si>
    <t>3. Бургелов Александр</t>
  </si>
  <si>
    <t>Открытая (12.03.1975)/42</t>
  </si>
  <si>
    <t>88,50</t>
  </si>
  <si>
    <t xml:space="preserve">Новочеркасск/Ростовская область </t>
  </si>
  <si>
    <t>1. Бургелов Александр</t>
  </si>
  <si>
    <t>Мастера 40 - 44 (12.03.1975)/42</t>
  </si>
  <si>
    <t>Чабанный Денис</t>
  </si>
  <si>
    <t>1. Чабанный Денис</t>
  </si>
  <si>
    <t>Юноши 16 - 17 (16.08.2000)/16</t>
  </si>
  <si>
    <t xml:space="preserve">Михайловск/Ставропольский край </t>
  </si>
  <si>
    <t>117,5</t>
  </si>
  <si>
    <t>Николаев Артем</t>
  </si>
  <si>
    <t>1. Николаев Артем</t>
  </si>
  <si>
    <t>Юноши 18 - 19 (07.01.1999)/18</t>
  </si>
  <si>
    <t>142,5</t>
  </si>
  <si>
    <t>Житник Павел</t>
  </si>
  <si>
    <t>1. Житник Павел</t>
  </si>
  <si>
    <t>Открытая (17.05.1992)/25</t>
  </si>
  <si>
    <t>98,70</t>
  </si>
  <si>
    <t xml:space="preserve">Туапсе/Краснодарский край </t>
  </si>
  <si>
    <t>172,5</t>
  </si>
  <si>
    <t>Гавриленко Роман</t>
  </si>
  <si>
    <t>2. Гавриленко Роман</t>
  </si>
  <si>
    <t>Открытая (24.06.1993)/24</t>
  </si>
  <si>
    <t>95,90</t>
  </si>
  <si>
    <t xml:space="preserve">Батайск/Ростовская область </t>
  </si>
  <si>
    <t>167,5</t>
  </si>
  <si>
    <t>Дух Михаил</t>
  </si>
  <si>
    <t>3. Дух Михаил</t>
  </si>
  <si>
    <t>Открытая (15.01.1987)/30</t>
  </si>
  <si>
    <t>92,20</t>
  </si>
  <si>
    <t>Власов Максим</t>
  </si>
  <si>
    <t>4. Власов Максим</t>
  </si>
  <si>
    <t>Открытая (13.10.1983)/33</t>
  </si>
  <si>
    <t>99,70</t>
  </si>
  <si>
    <t>Алиев Тельман</t>
  </si>
  <si>
    <t>1. Алиев Тельман</t>
  </si>
  <si>
    <t>Открытая (04.07.1981)/36</t>
  </si>
  <si>
    <t>109,40</t>
  </si>
  <si>
    <t xml:space="preserve">Горячий Ключ </t>
  </si>
  <si>
    <t xml:space="preserve">Кесаев Э.М. </t>
  </si>
  <si>
    <t>Михиенко Сергей</t>
  </si>
  <si>
    <t>2. Михиенко Сергей</t>
  </si>
  <si>
    <t>Открытая (15.02.1983)/34</t>
  </si>
  <si>
    <t>107,00</t>
  </si>
  <si>
    <t>3. Крапивка Иван</t>
  </si>
  <si>
    <t>Открытая (13.10.1977)/39</t>
  </si>
  <si>
    <t>108,30</t>
  </si>
  <si>
    <t>Олифир Андрей</t>
  </si>
  <si>
    <t>1. Олифир Андрей</t>
  </si>
  <si>
    <t>Мастера 40 - 44 (15.06.1975)/42</t>
  </si>
  <si>
    <t>108,70</t>
  </si>
  <si>
    <t>-. Джашеев Руслан</t>
  </si>
  <si>
    <t>Открытая (17.04.1986)/31</t>
  </si>
  <si>
    <t>125,00</t>
  </si>
  <si>
    <t xml:space="preserve">станица Зеленчукская/Карачаево-Черкесия </t>
  </si>
  <si>
    <t>175,0</t>
  </si>
  <si>
    <t>Хохлов Олег</t>
  </si>
  <si>
    <t>1. Хохлов Олег</t>
  </si>
  <si>
    <t>Мастера 45 - 49 (24.03.1971)/46</t>
  </si>
  <si>
    <t>123,50</t>
  </si>
  <si>
    <t>Соколов Александр</t>
  </si>
  <si>
    <t>1. Соколов Александр</t>
  </si>
  <si>
    <t>Открытая (10.09.1979)/37</t>
  </si>
  <si>
    <t>135,00</t>
  </si>
  <si>
    <t>ВЕСОВАЯ КАТЕГОРИЯ   140+</t>
  </si>
  <si>
    <t>Зверев Денис</t>
  </si>
  <si>
    <t>1. Зверев Денис</t>
  </si>
  <si>
    <t>Открытая (26.09.1987)/29</t>
  </si>
  <si>
    <t>174,00</t>
  </si>
  <si>
    <t xml:space="preserve">кинг фит </t>
  </si>
  <si>
    <t>66,9112</t>
  </si>
  <si>
    <t>52,0</t>
  </si>
  <si>
    <t>58,9950</t>
  </si>
  <si>
    <t>Димова Надежда</t>
  </si>
  <si>
    <t>56,6735</t>
  </si>
  <si>
    <t>53,5894</t>
  </si>
  <si>
    <t>50,7662</t>
  </si>
  <si>
    <t>47,7517</t>
  </si>
  <si>
    <t>93,8855</t>
  </si>
  <si>
    <t>79,2774</t>
  </si>
  <si>
    <t>79,1326</t>
  </si>
  <si>
    <t>78,2525</t>
  </si>
  <si>
    <t>78,0355</t>
  </si>
  <si>
    <t>68,3060</t>
  </si>
  <si>
    <t>50,7695</t>
  </si>
  <si>
    <t>77,2267</t>
  </si>
  <si>
    <t>71,0195</t>
  </si>
  <si>
    <t>111,9800</t>
  </si>
  <si>
    <t>105,3660</t>
  </si>
  <si>
    <t>102,0680</t>
  </si>
  <si>
    <t>100,3680</t>
  </si>
  <si>
    <t>94,8800</t>
  </si>
  <si>
    <t>94,7410</t>
  </si>
  <si>
    <t>94,6543</t>
  </si>
  <si>
    <t>92,6258</t>
  </si>
  <si>
    <t>90,5337</t>
  </si>
  <si>
    <t>90,2155</t>
  </si>
  <si>
    <t>89,4660</t>
  </si>
  <si>
    <t>89,4640</t>
  </si>
  <si>
    <t>85,9392</t>
  </si>
  <si>
    <t>85,5225</t>
  </si>
  <si>
    <t>85,5113</t>
  </si>
  <si>
    <t>82,7960</t>
  </si>
  <si>
    <t>79,3560</t>
  </si>
  <si>
    <t>77,6720</t>
  </si>
  <si>
    <t>76,9005</t>
  </si>
  <si>
    <t xml:space="preserve">Мастера 75 - 79 </t>
  </si>
  <si>
    <t>145,3616</t>
  </si>
  <si>
    <t>138,3215</t>
  </si>
  <si>
    <t>90,8690</t>
  </si>
  <si>
    <t>86,8709</t>
  </si>
  <si>
    <t>83,5412</t>
  </si>
  <si>
    <t>29-30 июля 2017 года. Чемпионат Европы по пауэрлифтингу и отдельным движениям
Любители становая тяга без экипировки
Краснодар/Краснодарский край 28 - 30 июля 2017 г.</t>
  </si>
  <si>
    <t>ВЕСОВАЯ КАТЕГОРИЯ   44</t>
  </si>
  <si>
    <t>Коновалова Софья</t>
  </si>
  <si>
    <t>1. Коновалова Софья</t>
  </si>
  <si>
    <t>Девушки 14 - 15 (07.07.2003)/14</t>
  </si>
  <si>
    <t>41,80</t>
  </si>
  <si>
    <t xml:space="preserve">Усть-Лабинск/Краснодарский край </t>
  </si>
  <si>
    <t>Прохорова Анжелика</t>
  </si>
  <si>
    <t>1. Прохорова Анжелика</t>
  </si>
  <si>
    <t>Девушки 18 - 19 (08.12.1997)/19</t>
  </si>
  <si>
    <t>46,40</t>
  </si>
  <si>
    <t>Самохвалова Юлия</t>
  </si>
  <si>
    <t>1. Самохвалова Юлия</t>
  </si>
  <si>
    <t>Открытая (01.09.1987)/29</t>
  </si>
  <si>
    <t>47,40</t>
  </si>
  <si>
    <t>Олейникова Анастасия</t>
  </si>
  <si>
    <t>1. Олейникова Анастасия</t>
  </si>
  <si>
    <t>Девушки 14 - 15 (05.01.2003)/14</t>
  </si>
  <si>
    <t>54,60</t>
  </si>
  <si>
    <t>Скляр Кристина</t>
  </si>
  <si>
    <t>1. Скляр Кристина</t>
  </si>
  <si>
    <t>Открытая (25.05.1988)/29</t>
  </si>
  <si>
    <t>56,80</t>
  </si>
  <si>
    <t>2. Акимова Анна</t>
  </si>
  <si>
    <t>Леганова Оксана</t>
  </si>
  <si>
    <t>3. Леганова Оксана</t>
  </si>
  <si>
    <t>Открытая (30.01.1993)/24</t>
  </si>
  <si>
    <t>57,70</t>
  </si>
  <si>
    <t>Торосян Валентина</t>
  </si>
  <si>
    <t>1. Торосян Валентина</t>
  </si>
  <si>
    <t>Юниорки 20 - 23 (27.09.1997)/19</t>
  </si>
  <si>
    <t>66,30</t>
  </si>
  <si>
    <t>Смехнова Людмила</t>
  </si>
  <si>
    <t>1. Смехнова Людмила</t>
  </si>
  <si>
    <t>Открытая (30.07.1981)/35</t>
  </si>
  <si>
    <t>Картавская Евгения</t>
  </si>
  <si>
    <t>2. Картавская Евгения</t>
  </si>
  <si>
    <t>Открытая (05.05.1983)/34</t>
  </si>
  <si>
    <t>67,20</t>
  </si>
  <si>
    <t xml:space="preserve">Ставрополь/Ставропольский край </t>
  </si>
  <si>
    <t>Ковтун Елизавета</t>
  </si>
  <si>
    <t>3. Ковтун Елизавета</t>
  </si>
  <si>
    <t>Открытая (23.01.1989)/28</t>
  </si>
  <si>
    <t>64,70</t>
  </si>
  <si>
    <t>Согбатян Карина</t>
  </si>
  <si>
    <t>4. Согбатян Карина</t>
  </si>
  <si>
    <t>Открытая (06.10.1991)/25</t>
  </si>
  <si>
    <t>Бузуева Анна</t>
  </si>
  <si>
    <t>1. Бузуева Анна</t>
  </si>
  <si>
    <t>Открытая (03.10.1995)/21</t>
  </si>
  <si>
    <t>75,00</t>
  </si>
  <si>
    <t>Исмаилов Мурат</t>
  </si>
  <si>
    <t>1. Исмаилов Мурат</t>
  </si>
  <si>
    <t>Юноши 16 - 17 (17.01.2000)/17</t>
  </si>
  <si>
    <t>59,50</t>
  </si>
  <si>
    <t>196,0</t>
  </si>
  <si>
    <t>Бориев Амир</t>
  </si>
  <si>
    <t>1. Бориев Амир</t>
  </si>
  <si>
    <t>Открытая (04.07.1992)/25</t>
  </si>
  <si>
    <t>59,30</t>
  </si>
  <si>
    <t>202,5</t>
  </si>
  <si>
    <t>Схвитаридзе Тамерлан</t>
  </si>
  <si>
    <t>1. Схвитаридзе Тамерлан</t>
  </si>
  <si>
    <t>Юноши 14 - 15 (07.10.2001)/15</t>
  </si>
  <si>
    <t>65,80</t>
  </si>
  <si>
    <t>192,5</t>
  </si>
  <si>
    <t xml:space="preserve">Губжев Бетал Ратмирович </t>
  </si>
  <si>
    <t>Ачмизов Руслан</t>
  </si>
  <si>
    <t>1. Ачмизов Руслан</t>
  </si>
  <si>
    <t>Открытая (11.11.1986)/30</t>
  </si>
  <si>
    <t xml:space="preserve">Житник </t>
  </si>
  <si>
    <t>Шаврин Борис</t>
  </si>
  <si>
    <t>1. Шаврин Борис</t>
  </si>
  <si>
    <t>Мастера 65 - 69 (12.03.1951)/66</t>
  </si>
  <si>
    <t>67,00</t>
  </si>
  <si>
    <t>Хекало Алексей</t>
  </si>
  <si>
    <t>1. Хекало Алексей</t>
  </si>
  <si>
    <t>Юноши 16 - 17 (28.08.2000)/16</t>
  </si>
  <si>
    <t>72,50</t>
  </si>
  <si>
    <t>Закаунов Беслан</t>
  </si>
  <si>
    <t>1. Закаунов Беслан</t>
  </si>
  <si>
    <t>Юноши 18 - 19 (28.10.1997)/19</t>
  </si>
  <si>
    <t>73,20</t>
  </si>
  <si>
    <t>Шамурзаев Адам</t>
  </si>
  <si>
    <t>1. Шамурзаев Адам</t>
  </si>
  <si>
    <t>Юниоры 20 - 23 (17.08.1994)/22</t>
  </si>
  <si>
    <t>74,00</t>
  </si>
  <si>
    <t xml:space="preserve">Тубаев </t>
  </si>
  <si>
    <t>2. Гапон Антон</t>
  </si>
  <si>
    <t>1. Попов Константин</t>
  </si>
  <si>
    <t>Акопян Артур</t>
  </si>
  <si>
    <t>1. Акопян Артур</t>
  </si>
  <si>
    <t>Юниоры 20 - 23 (14.12.1993)/23</t>
  </si>
  <si>
    <t>81,20</t>
  </si>
  <si>
    <t>Цыганков Алексей</t>
  </si>
  <si>
    <t>1. Цыганков Алексей</t>
  </si>
  <si>
    <t>Открытая (19.11.1987)/29</t>
  </si>
  <si>
    <t>80,90</t>
  </si>
  <si>
    <t>225,5</t>
  </si>
  <si>
    <t>Козлов Александр</t>
  </si>
  <si>
    <t>2. Козлов Александр</t>
  </si>
  <si>
    <t>Открытая (01.07.1983)/34</t>
  </si>
  <si>
    <t>80,30</t>
  </si>
  <si>
    <t xml:space="preserve">Славянск-на-Кубани/Краснодарский край </t>
  </si>
  <si>
    <t>222,5</t>
  </si>
  <si>
    <t>3. Архипов Артем</t>
  </si>
  <si>
    <t>Ченакал Сергей</t>
  </si>
  <si>
    <t>4. Ченакал Сергей</t>
  </si>
  <si>
    <t>Открытая (02.08.1984)/32</t>
  </si>
  <si>
    <t xml:space="preserve">Ростов-на-Дону/Ростовская область </t>
  </si>
  <si>
    <t>257,5</t>
  </si>
  <si>
    <t>265,0</t>
  </si>
  <si>
    <t>Мирзоев Элсевар</t>
  </si>
  <si>
    <t>2. Мирзоев Элсевар</t>
  </si>
  <si>
    <t>Юниоры 20 - 23 (27.11.1994)/22</t>
  </si>
  <si>
    <t>89,50</t>
  </si>
  <si>
    <t>Крят Игорь</t>
  </si>
  <si>
    <t>1. Крят Игорь</t>
  </si>
  <si>
    <t>Открытая (31.05.1988)/29</t>
  </si>
  <si>
    <t>84,00</t>
  </si>
  <si>
    <t xml:space="preserve">Тимашёвск/Краснодарский край </t>
  </si>
  <si>
    <t>Мацегоров Евгений</t>
  </si>
  <si>
    <t>2. Мацегоров Евгений</t>
  </si>
  <si>
    <t>Открытая (06.05.1986)/31</t>
  </si>
  <si>
    <t>89,80</t>
  </si>
  <si>
    <t>Богатов Владислав</t>
  </si>
  <si>
    <t>3. Богатов Владислав</t>
  </si>
  <si>
    <t>Открытая (03.05.1985)/32</t>
  </si>
  <si>
    <t>87,10</t>
  </si>
  <si>
    <t>Бербеков Хусен</t>
  </si>
  <si>
    <t>1. Бербеков Хусен</t>
  </si>
  <si>
    <t>Юниоры 20 - 23 (18.03.1995)/22</t>
  </si>
  <si>
    <t>99,10</t>
  </si>
  <si>
    <t>Шеховцов Артем</t>
  </si>
  <si>
    <t>1. Шеховцов Артем</t>
  </si>
  <si>
    <t>Открытая (25.01.1985)/32</t>
  </si>
  <si>
    <t>98,10</t>
  </si>
  <si>
    <t>Пастухов Георгий</t>
  </si>
  <si>
    <t>2. Пастухов Георгий</t>
  </si>
  <si>
    <t>Открытая (05.01.1979)/38</t>
  </si>
  <si>
    <t>93,40</t>
  </si>
  <si>
    <t>Мидов Замир</t>
  </si>
  <si>
    <t>1. Мидов Замир</t>
  </si>
  <si>
    <t>Открытая (26.11.1987)/29</t>
  </si>
  <si>
    <t>242,5</t>
  </si>
  <si>
    <t>2. Крапивка Иван</t>
  </si>
  <si>
    <t>Новосельцев Олег</t>
  </si>
  <si>
    <t>1. Новосельцев Олег</t>
  </si>
  <si>
    <t>Открытая (10.05.1985)/32</t>
  </si>
  <si>
    <t>120,00</t>
  </si>
  <si>
    <t>295,0</t>
  </si>
  <si>
    <t>Духно Дмитрий</t>
  </si>
  <si>
    <t>2. Духно Дмитрий</t>
  </si>
  <si>
    <t>Открытая (14.01.1980)/37</t>
  </si>
  <si>
    <t>114,00</t>
  </si>
  <si>
    <t>82,3128</t>
  </si>
  <si>
    <t>44,0</t>
  </si>
  <si>
    <t>80,7450</t>
  </si>
  <si>
    <t>74,4400</t>
  </si>
  <si>
    <t>71,9813</t>
  </si>
  <si>
    <t>102,8040</t>
  </si>
  <si>
    <t>73,5840</t>
  </si>
  <si>
    <t>112,5750</t>
  </si>
  <si>
    <t>108,2400</t>
  </si>
  <si>
    <t>107,5375</t>
  </si>
  <si>
    <t>106,9338</t>
  </si>
  <si>
    <t>101,7998</t>
  </si>
  <si>
    <t>100,0143</t>
  </si>
  <si>
    <t>100,0012</t>
  </si>
  <si>
    <t>93,8040</t>
  </si>
  <si>
    <t>88,8030</t>
  </si>
  <si>
    <t>78,5700</t>
  </si>
  <si>
    <t>159,1890</t>
  </si>
  <si>
    <t>143,4825</t>
  </si>
  <si>
    <t>143,0083</t>
  </si>
  <si>
    <t>129,7320</t>
  </si>
  <si>
    <t>105,9960</t>
  </si>
  <si>
    <t>158,5495</t>
  </si>
  <si>
    <t>137,6780</t>
  </si>
  <si>
    <t>132,1425</t>
  </si>
  <si>
    <t>130,7305</t>
  </si>
  <si>
    <t>125,2400</t>
  </si>
  <si>
    <t>122,8225</t>
  </si>
  <si>
    <t>160,4460</t>
  </si>
  <si>
    <t>155,4650</t>
  </si>
  <si>
    <t>152,2945</t>
  </si>
  <si>
    <t>150,9030</t>
  </si>
  <si>
    <t>143,7495</t>
  </si>
  <si>
    <t>141,5915</t>
  </si>
  <si>
    <t>140,4420</t>
  </si>
  <si>
    <t>137,7335</t>
  </si>
  <si>
    <t>134,3925</t>
  </si>
  <si>
    <t>134,0640</t>
  </si>
  <si>
    <t>130,4893</t>
  </si>
  <si>
    <t>128,7247</t>
  </si>
  <si>
    <t>126,2400</t>
  </si>
  <si>
    <t>126,0600</t>
  </si>
  <si>
    <t>117,1060</t>
  </si>
  <si>
    <t>113,1060</t>
  </si>
  <si>
    <t xml:space="preserve">Мастера 65 - 69 </t>
  </si>
  <si>
    <t>237,5140</t>
  </si>
  <si>
    <t>29-30 июля 2017 года. Чемпионат Европы по пауэрлифтингу и отдельным движениям
Любители пауэрлифтинг в однослойной экипировке
Краснодар/Краснодарский край 28 - 30 июля 2017 г.</t>
  </si>
  <si>
    <t>Полфунтиков Александр</t>
  </si>
  <si>
    <t>1. Полфунтиков Александр</t>
  </si>
  <si>
    <t>Открытая (06.12.1982)/34</t>
  </si>
  <si>
    <t>760,0</t>
  </si>
  <si>
    <t>446,9560</t>
  </si>
  <si>
    <t>29-30 июля 2017 года. Чемпионат Европы по пауэрлифтингу и отдельным движениям
Любители жим лежа в однослойной экипировке
Краснодар/Краснодарский край 28 - 30 июля 2017 г.</t>
  </si>
  <si>
    <t>Оглы Александр</t>
  </si>
  <si>
    <t>1. Оглы Александр</t>
  </si>
  <si>
    <t>Открытая (31.03.1986)/31</t>
  </si>
  <si>
    <t>71,90</t>
  </si>
  <si>
    <t xml:space="preserve">Кропоткин/Краснодарский край </t>
  </si>
  <si>
    <t xml:space="preserve">Космынин В. П. </t>
  </si>
  <si>
    <t>108,2655</t>
  </si>
  <si>
    <t>29-30 июля 2017 года. Чемпионат Европы по пауэрлифтингу и отдельным движениям
Любители пауэрлифтинг в многослойной экипировке
Краснодар/Краснодарский край 28 - 30 июля 2017 г.</t>
  </si>
  <si>
    <t>29-30 июля 2017 года. Чемпионат Европы по пауэрлифтингу и отдельным движениям
Любители жим лежа в многослойной экипировке
Краснодар/Краснодарский край 28 - 30 июля 2017 г.</t>
  </si>
  <si>
    <t>29-30 июля 2017 года. Чемпионат Европы по пауэрлифтингу и отдельным движениям
Любители присед без экипировки
Краснодар/Краснодарский край 28 - 30 июля 2017 г.</t>
  </si>
  <si>
    <t>Пешкова Кристина</t>
  </si>
  <si>
    <t>1. Пешкова Кристина</t>
  </si>
  <si>
    <t>Юниорки 20 - 23 (11.07.1995)/22</t>
  </si>
  <si>
    <t>54,30</t>
  </si>
  <si>
    <t>72,5</t>
  </si>
  <si>
    <t>68,5020</t>
  </si>
  <si>
    <t>29-30 июля 2017 года. Чемпионат Европы по пауэрлифтингу и отдельным движениям
Любители становая тяга в однослойной экипировке
Краснодар/Краснодарский край 28 - 30 июля 2017 г.</t>
  </si>
  <si>
    <t>29-30 июля 2017 года. Чемпионат Европы по пауэрлифтингу и отдельным движениям
Любители становая тяга в многослойной экипировке
Краснодар/Краснодарский край 28 - 30 июля 2017 г.</t>
  </si>
  <si>
    <t>29-30 июля 2017 года. Чемпионат Европы по пауэрлифтингу и отдельным движениям
Любители присед в однослойной экипировке
Краснодар/Краснодарский край 28 - 30 июля 2017 г.</t>
  </si>
  <si>
    <t>29-30 июля 2017 года. Чемпионат Европы по пауэрлифтингу и отдельным движениям
Любители пауэрлифтинг в софт экипировке
Краснодар/Краснодарский край 28 - 30 июля 2017 г.</t>
  </si>
  <si>
    <t>29-30 июля 2017 года. Чемпионат Европы по пауэрлифтингу и отдельным движениям
Любители жим лежа в софт экипировке
Краснодар/Краснодарский край 28 - 30 июля 2017 г.</t>
  </si>
  <si>
    <t>Родичкина Валентина</t>
  </si>
  <si>
    <t>1. Родичкина Валентина</t>
  </si>
  <si>
    <t>Открытая (23.08.1986)/30</t>
  </si>
  <si>
    <t>Ильяшенко Екатерина</t>
  </si>
  <si>
    <t>2. Ильяшенко Екатерина</t>
  </si>
  <si>
    <t>Открытая (26.03.1989)/28</t>
  </si>
  <si>
    <t>Айнетдинова Кристина</t>
  </si>
  <si>
    <t>3. Айнетдинова Кристина</t>
  </si>
  <si>
    <t>Открытая (11.10.1986)/30</t>
  </si>
  <si>
    <t>58,70</t>
  </si>
  <si>
    <t xml:space="preserve">Олимпия </t>
  </si>
  <si>
    <t xml:space="preserve">Тураева Анна </t>
  </si>
  <si>
    <t>Хатламаджиев Мкртич</t>
  </si>
  <si>
    <t>1. Хатламаджиев Мкртич</t>
  </si>
  <si>
    <t>Открытая (12.02.1982)/35</t>
  </si>
  <si>
    <t>74,70</t>
  </si>
  <si>
    <t>1. Ткаченко Александр</t>
  </si>
  <si>
    <t>Москалев Дмитрий</t>
  </si>
  <si>
    <t>2. Москалев Дмитрий</t>
  </si>
  <si>
    <t>Открытая (11.02.1978)/39</t>
  </si>
  <si>
    <t>Щеколкин Антон</t>
  </si>
  <si>
    <t>1. Щеколкин Антон</t>
  </si>
  <si>
    <t>Юниоры 20 - 23 (26.05.1995)/22</t>
  </si>
  <si>
    <t>94,50</t>
  </si>
  <si>
    <t>1. Бойцевский Александр</t>
  </si>
  <si>
    <t>232,5</t>
  </si>
  <si>
    <t>2. Щеколкин Антон</t>
  </si>
  <si>
    <t>Открытая (26.05.1995)/22</t>
  </si>
  <si>
    <t>-. Осипов Карлен</t>
  </si>
  <si>
    <t>Открытая (26.08.1972)/44</t>
  </si>
  <si>
    <t>107,20</t>
  </si>
  <si>
    <t xml:space="preserve">Ростов-на-дону </t>
  </si>
  <si>
    <t xml:space="preserve">Осипов карлен петрович </t>
  </si>
  <si>
    <t>Мастера 40 - 44 (26.08.1972)/44</t>
  </si>
  <si>
    <t>Нечушкин Артем</t>
  </si>
  <si>
    <t>1. Нечушкин Артем</t>
  </si>
  <si>
    <t>Юноши 18 - 19 (09.07.1999)/18</t>
  </si>
  <si>
    <t>158,00</t>
  </si>
  <si>
    <t>282,5</t>
  </si>
  <si>
    <t>Открытая (09.07.1999)/18</t>
  </si>
  <si>
    <t>71,0242</t>
  </si>
  <si>
    <t>65,0250</t>
  </si>
  <si>
    <t>56,9985</t>
  </si>
  <si>
    <t>145,3231</t>
  </si>
  <si>
    <t>116,4565</t>
  </si>
  <si>
    <t>137,0973</t>
  </si>
  <si>
    <t>131,1765</t>
  </si>
  <si>
    <t>125,9348</t>
  </si>
  <si>
    <t>115,3035</t>
  </si>
  <si>
    <t>114,9590</t>
  </si>
  <si>
    <t>108,3225</t>
  </si>
  <si>
    <t>114,0180</t>
  </si>
  <si>
    <t>29-30 июля 2017 года. Чемпионат Европы по пауэрлифтингу и отдельным движениям
Любители присед в многослойной экипировке
Краснодар/Краснодарский край 28 - 30 июля 2017 г.</t>
  </si>
  <si>
    <t>29-30 июля 2017 года. Чемпионат Европы по пауэрлифтингу и отдельным движениям
Любители становая тяга в софт экипировке
Краснодар/Краснодарский край 28 - 30 июля 2017 г.</t>
  </si>
  <si>
    <t>29-30 июля 2017 года. Чемпионат Европы по пауэрлифтингу и отдельным движениям
Любители присед в софт экипировке
Краснодар/Краснодарский край 28 - 30 июля 2017 г.</t>
  </si>
  <si>
    <t>29-30 июля 2017 года. ЧЕ по НЖ
Профессионалы народный жим (1/2 вес)
Краснодар/Краснодарский край 28 - 30 июля 2017 г.</t>
  </si>
  <si>
    <t>29-30 июля 2017 года. ЧЕ по НЖ
Профессионалы народный жим (1 вес)
Краснодар/Краснодарский край 28 - 30 июля 2017 г.</t>
  </si>
  <si>
    <t>НАП Н.Ж.</t>
  </si>
  <si>
    <t>Жим мн. повт.</t>
  </si>
  <si>
    <t>Тоннаж</t>
  </si>
  <si>
    <t>Вес</t>
  </si>
  <si>
    <t>Повторы</t>
  </si>
  <si>
    <t>1. Жураковский Андрей</t>
  </si>
  <si>
    <t>Мастера 40 - 44 (05.06.1977)/40</t>
  </si>
  <si>
    <t>22,0</t>
  </si>
  <si>
    <t xml:space="preserve">НАП Н.Ж. </t>
  </si>
  <si>
    <t>Жураковский Андрей</t>
  </si>
  <si>
    <t>2090,0</t>
  </si>
  <si>
    <t>1463,6270</t>
  </si>
  <si>
    <t>29-30 июля 2017 года. ЧЕ по НЖ
Любители народный жим (1/2 вес)
Краснодар/Краснодарский край 28 - 30 июля 2017 г.</t>
  </si>
  <si>
    <t>29,0</t>
  </si>
  <si>
    <t>1. Скляр Наталья</t>
  </si>
  <si>
    <t>26,0</t>
  </si>
  <si>
    <t>797,5</t>
  </si>
  <si>
    <t>753,9565</t>
  </si>
  <si>
    <t>Скляр Наталья</t>
  </si>
  <si>
    <t>715,0</t>
  </si>
  <si>
    <t>689,9035</t>
  </si>
  <si>
    <t>29-30 июля 2017 года. ЧЕ по НЖ
Любители народный жим (1 вес)
Краснодар/Краснодарский край 28 - 30 июля 2017 г.</t>
  </si>
  <si>
    <t>28,0</t>
  </si>
  <si>
    <t>13,0</t>
  </si>
  <si>
    <t>1. Мунаев Николай</t>
  </si>
  <si>
    <t>33,0</t>
  </si>
  <si>
    <t>2. Бязров Алан</t>
  </si>
  <si>
    <t>3. Орехов Иван</t>
  </si>
  <si>
    <t>20,0</t>
  </si>
  <si>
    <t>1. Шукшин Павел</t>
  </si>
  <si>
    <t>2. Литвин Аркадий</t>
  </si>
  <si>
    <t>23,0</t>
  </si>
  <si>
    <t>1. Скляр Олег</t>
  </si>
  <si>
    <t>Мастера 50 - 54 (21.06.1966)/51</t>
  </si>
  <si>
    <t>110,30</t>
  </si>
  <si>
    <t>17,0</t>
  </si>
  <si>
    <t>3300,0</t>
  </si>
  <si>
    <t>2125,2000</t>
  </si>
  <si>
    <t>2722,5</t>
  </si>
  <si>
    <t>2097,4140</t>
  </si>
  <si>
    <t>2310,0</t>
  </si>
  <si>
    <t>1749,3630</t>
  </si>
  <si>
    <t>2340,0</t>
  </si>
  <si>
    <t>1683,1619</t>
  </si>
  <si>
    <t>1890,0</t>
  </si>
  <si>
    <t>1608,5791</t>
  </si>
  <si>
    <t>2070,0</t>
  </si>
  <si>
    <t>1509,2370</t>
  </si>
  <si>
    <t>1650,0</t>
  </si>
  <si>
    <t>1257,1350</t>
  </si>
  <si>
    <t>Скляр Олег</t>
  </si>
  <si>
    <t>1912,5</t>
  </si>
  <si>
    <t>1352,5200</t>
  </si>
  <si>
    <t>975,0</t>
  </si>
  <si>
    <t>790,5300</t>
  </si>
  <si>
    <t>29-30 июля 2017 года. ЧЕ по НЖ
Любители военный жим
Краснодар/Краснодарский край 28 - 30 июля 2017 г.</t>
  </si>
  <si>
    <t>29-30 июля 2017 года. ЧЕ по НЖ
Профессионалы военный жим
Краснодар/Краснодарский край 28 - 30 июля 2017 г.</t>
  </si>
  <si>
    <t>1</t>
  </si>
  <si>
    <t>3</t>
  </si>
  <si>
    <t>1. Элканишвили Георгий</t>
  </si>
  <si>
    <t xml:space="preserve">93.8400 </t>
  </si>
  <si>
    <t>1. Кошкин Виктор</t>
  </si>
  <si>
    <t>Открытая (26.02.1979)/38</t>
  </si>
  <si>
    <t>112,70</t>
  </si>
  <si>
    <t>90.6950</t>
  </si>
  <si>
    <t>Кошкин Виктор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</si>
</sst>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z val="24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9" fillId="0" borderId="17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 indent="1"/>
    </xf>
    <xf numFmtId="49" fontId="15" fillId="0" borderId="0" xfId="0" applyNumberFormat="1" applyFont="1" applyFill="1" applyBorder="1" applyAlignment="1">
      <alignment horizontal="left"/>
    </xf>
    <xf numFmtId="49" fontId="11" fillId="0" borderId="2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/>
    </xf>
    <xf numFmtId="49" fontId="11" fillId="0" borderId="22" xfId="0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1" fontId="11" fillId="0" borderId="23" xfId="0" applyNumberFormat="1" applyFont="1" applyFill="1" applyBorder="1" applyAlignment="1">
      <alignment horizontal="center" vertical="center"/>
    </xf>
    <xf numFmtId="49" fontId="14" fillId="0" borderId="24" xfId="0" applyNumberFormat="1" applyFont="1" applyFill="1" applyBorder="1" applyAlignment="1">
      <alignment horizontal="center"/>
    </xf>
    <xf numFmtId="49" fontId="0" fillId="0" borderId="21" xfId="0" applyNumberFormat="1" applyFont="1" applyFill="1" applyBorder="1" applyAlignment="1">
      <alignment horizontal="left"/>
    </xf>
    <xf numFmtId="49" fontId="0" fillId="0" borderId="21" xfId="0" applyNumberFormat="1" applyFont="1" applyFill="1" applyBorder="1" applyAlignment="1">
      <alignment horizontal="center"/>
    </xf>
    <xf numFmtId="1" fontId="0" fillId="0" borderId="21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49" fontId="0" fillId="0" borderId="25" xfId="0" applyNumberFormat="1" applyFont="1" applyFill="1" applyBorder="1" applyAlignment="1">
      <alignment horizontal="left"/>
    </xf>
    <xf numFmtId="49" fontId="0" fillId="0" borderId="25" xfId="0" applyNumberFormat="1" applyFont="1" applyFill="1" applyBorder="1" applyAlignment="1">
      <alignment horizontal="center"/>
    </xf>
    <xf numFmtId="1" fontId="0" fillId="0" borderId="25" xfId="0" applyNumberFormat="1" applyFont="1" applyFill="1" applyBorder="1" applyAlignment="1">
      <alignment horizontal="center"/>
    </xf>
    <xf numFmtId="49" fontId="0" fillId="0" borderId="26" xfId="0" applyNumberFormat="1" applyFont="1" applyFill="1" applyBorder="1" applyAlignment="1">
      <alignment horizontal="left"/>
    </xf>
    <xf numFmtId="49" fontId="0" fillId="0" borderId="26" xfId="0" applyNumberFormat="1" applyFont="1" applyFill="1" applyBorder="1" applyAlignment="1">
      <alignment horizontal="center"/>
    </xf>
    <xf numFmtId="1" fontId="0" fillId="0" borderId="26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49" fontId="0" fillId="0" borderId="27" xfId="0" applyNumberFormat="1" applyFont="1" applyFill="1" applyBorder="1" applyAlignment="1">
      <alignment horizontal="left"/>
    </xf>
    <xf numFmtId="49" fontId="0" fillId="0" borderId="27" xfId="0" applyNumberFormat="1" applyFont="1" applyFill="1" applyBorder="1" applyAlignment="1">
      <alignment horizontal="center"/>
    </xf>
    <xf numFmtId="1" fontId="0" fillId="0" borderId="27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M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927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860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38" t="s">
        <v>859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26" t="s">
        <v>5</v>
      </c>
    </row>
    <row r="4" spans="1:21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6"/>
      <c r="T4" s="36"/>
      <c r="U4" s="27"/>
    </row>
    <row r="6" spans="1:21" ht="15">
      <c r="E6" s="9" t="s">
        <v>38</v>
      </c>
    </row>
    <row r="7" spans="1:21" ht="15">
      <c r="E7" s="9" t="s">
        <v>39</v>
      </c>
    </row>
    <row r="8" spans="1:21" ht="15">
      <c r="E8" s="9" t="s">
        <v>40</v>
      </c>
    </row>
    <row r="9" spans="1:21" ht="15">
      <c r="E9" s="9" t="s">
        <v>41</v>
      </c>
    </row>
    <row r="10" spans="1:21" ht="15">
      <c r="E10" s="9" t="s">
        <v>41</v>
      </c>
    </row>
    <row r="11" spans="1:21" ht="15">
      <c r="E11" s="9" t="s">
        <v>42</v>
      </c>
    </row>
    <row r="12" spans="1:21" ht="15">
      <c r="E12" s="9"/>
    </row>
    <row r="14" spans="1:21" ht="18">
      <c r="A14" s="10" t="s">
        <v>43</v>
      </c>
      <c r="B14" s="10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" style="5" bestFit="1" customWidth="1"/>
    <col min="7" max="8" width="5.5703125" style="4" bestFit="1" customWidth="1"/>
    <col min="9" max="9" width="2.1406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28515625" style="5" bestFit="1" customWidth="1"/>
    <col min="14" max="16384" width="9.140625" style="4"/>
  </cols>
  <sheetData>
    <row r="1" spans="1:13" s="3" customFormat="1" ht="29.1" customHeight="1">
      <c r="A1" s="38" t="s">
        <v>851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65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6" t="s">
        <v>853</v>
      </c>
      <c r="B6" s="6" t="s">
        <v>854</v>
      </c>
      <c r="C6" s="6" t="s">
        <v>855</v>
      </c>
      <c r="D6" s="6" t="str">
        <f>"0,6874"</f>
        <v>0,6874</v>
      </c>
      <c r="E6" s="6" t="s">
        <v>33</v>
      </c>
      <c r="F6" s="6" t="s">
        <v>856</v>
      </c>
      <c r="G6" s="7" t="s">
        <v>502</v>
      </c>
      <c r="H6" s="8" t="s">
        <v>71</v>
      </c>
      <c r="I6" s="8"/>
      <c r="J6" s="8"/>
      <c r="K6" s="6" t="str">
        <f>"157,5"</f>
        <v>157,5</v>
      </c>
      <c r="L6" s="7" t="str">
        <f>"108,2655"</f>
        <v>108,2655</v>
      </c>
      <c r="M6" s="6" t="s">
        <v>857</v>
      </c>
    </row>
    <row r="8" spans="1:13" ht="15">
      <c r="E8" s="9" t="s">
        <v>38</v>
      </c>
    </row>
    <row r="9" spans="1:13" ht="15">
      <c r="E9" s="9" t="s">
        <v>39</v>
      </c>
    </row>
    <row r="10" spans="1:13" ht="15">
      <c r="E10" s="9" t="s">
        <v>40</v>
      </c>
    </row>
    <row r="11" spans="1:13" ht="15">
      <c r="E11" s="9" t="s">
        <v>41</v>
      </c>
    </row>
    <row r="12" spans="1:13" ht="15">
      <c r="E12" s="9" t="s">
        <v>41</v>
      </c>
    </row>
    <row r="13" spans="1:13" ht="15">
      <c r="E13" s="9" t="s">
        <v>42</v>
      </c>
    </row>
    <row r="14" spans="1:13" ht="15">
      <c r="E14" s="9"/>
    </row>
    <row r="16" spans="1:13" ht="18">
      <c r="A16" s="10" t="s">
        <v>43</v>
      </c>
      <c r="B16" s="10"/>
    </row>
    <row r="17" spans="1:5" ht="15">
      <c r="A17" s="11" t="s">
        <v>44</v>
      </c>
      <c r="B17" s="11"/>
    </row>
    <row r="18" spans="1:5" ht="14.25">
      <c r="A18" s="13"/>
      <c r="B18" s="14" t="s">
        <v>104</v>
      </c>
    </row>
    <row r="19" spans="1:5" ht="15">
      <c r="A19" s="15" t="s">
        <v>46</v>
      </c>
      <c r="B19" s="15" t="s">
        <v>47</v>
      </c>
      <c r="C19" s="15" t="s">
        <v>48</v>
      </c>
      <c r="D19" s="15" t="s">
        <v>49</v>
      </c>
      <c r="E19" s="15" t="s">
        <v>50</v>
      </c>
    </row>
    <row r="20" spans="1:5">
      <c r="A20" s="12" t="s">
        <v>852</v>
      </c>
      <c r="B20" s="5" t="s">
        <v>104</v>
      </c>
      <c r="C20" s="5" t="s">
        <v>109</v>
      </c>
      <c r="D20" s="5" t="s">
        <v>502</v>
      </c>
      <c r="E20" s="16" t="s">
        <v>858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.5703125" style="5" bestFit="1" customWidth="1"/>
    <col min="7" max="9" width="5.5703125" style="4" bestFit="1" customWidth="1"/>
    <col min="10" max="10" width="4.85546875" style="4" bestFit="1" customWidth="1"/>
    <col min="11" max="12" width="5.5703125" style="4" bestFit="1" customWidth="1"/>
    <col min="13" max="13" width="2.140625" style="4" bestFit="1" customWidth="1"/>
    <col min="14" max="14" width="4.85546875" style="4" bestFit="1" customWidth="1"/>
    <col min="15" max="16" width="5.5703125" style="4" bestFit="1" customWidth="1"/>
    <col min="17" max="17" width="2.1406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38" t="s">
        <v>845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26" t="s">
        <v>5</v>
      </c>
    </row>
    <row r="4" spans="1:21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6"/>
      <c r="T4" s="36"/>
      <c r="U4" s="27"/>
    </row>
    <row r="5" spans="1:21" ht="15">
      <c r="A5" s="41" t="s">
        <v>73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>
      <c r="A6" s="6" t="s">
        <v>847</v>
      </c>
      <c r="B6" s="6" t="s">
        <v>848</v>
      </c>
      <c r="C6" s="6" t="s">
        <v>529</v>
      </c>
      <c r="D6" s="6" t="str">
        <f>"0,5881"</f>
        <v>0,5881</v>
      </c>
      <c r="E6" s="6" t="s">
        <v>33</v>
      </c>
      <c r="F6" s="6" t="s">
        <v>136</v>
      </c>
      <c r="G6" s="7" t="s">
        <v>221</v>
      </c>
      <c r="H6" s="7" t="s">
        <v>183</v>
      </c>
      <c r="I6" s="7" t="s">
        <v>218</v>
      </c>
      <c r="J6" s="8"/>
      <c r="K6" s="7" t="s">
        <v>22</v>
      </c>
      <c r="L6" s="8" t="s">
        <v>26</v>
      </c>
      <c r="M6" s="8"/>
      <c r="N6" s="8"/>
      <c r="O6" s="7" t="s">
        <v>36</v>
      </c>
      <c r="P6" s="7" t="s">
        <v>195</v>
      </c>
      <c r="Q6" s="8"/>
      <c r="R6" s="8"/>
      <c r="S6" s="6" t="str">
        <f>"760,0"</f>
        <v>760,0</v>
      </c>
      <c r="T6" s="7" t="str">
        <f>"446,9560"</f>
        <v>446,9560</v>
      </c>
      <c r="U6" s="6" t="s">
        <v>37</v>
      </c>
    </row>
    <row r="8" spans="1:21" ht="15">
      <c r="E8" s="9" t="s">
        <v>38</v>
      </c>
    </row>
    <row r="9" spans="1:21" ht="15">
      <c r="E9" s="9" t="s">
        <v>39</v>
      </c>
    </row>
    <row r="10" spans="1:21" ht="15">
      <c r="E10" s="9" t="s">
        <v>40</v>
      </c>
    </row>
    <row r="11" spans="1:21" ht="15">
      <c r="E11" s="9" t="s">
        <v>41</v>
      </c>
    </row>
    <row r="12" spans="1:21" ht="15">
      <c r="E12" s="9" t="s">
        <v>41</v>
      </c>
    </row>
    <row r="13" spans="1:21" ht="15">
      <c r="E13" s="9" t="s">
        <v>42</v>
      </c>
    </row>
    <row r="14" spans="1:21" ht="15">
      <c r="E14" s="9"/>
    </row>
    <row r="16" spans="1:21" ht="18">
      <c r="A16" s="10" t="s">
        <v>43</v>
      </c>
      <c r="B16" s="10"/>
    </row>
    <row r="17" spans="1:5" ht="15">
      <c r="A17" s="11" t="s">
        <v>44</v>
      </c>
      <c r="B17" s="11"/>
    </row>
    <row r="18" spans="1:5" ht="14.25">
      <c r="A18" s="13"/>
      <c r="B18" s="14" t="s">
        <v>104</v>
      </c>
    </row>
    <row r="19" spans="1:5" ht="15">
      <c r="A19" s="15" t="s">
        <v>46</v>
      </c>
      <c r="B19" s="15" t="s">
        <v>47</v>
      </c>
      <c r="C19" s="15" t="s">
        <v>48</v>
      </c>
      <c r="D19" s="15" t="s">
        <v>49</v>
      </c>
      <c r="E19" s="15" t="s">
        <v>50</v>
      </c>
    </row>
    <row r="20" spans="1:5">
      <c r="A20" s="12" t="s">
        <v>846</v>
      </c>
      <c r="B20" s="5" t="s">
        <v>104</v>
      </c>
      <c r="C20" s="5" t="s">
        <v>113</v>
      </c>
      <c r="D20" s="5" t="s">
        <v>849</v>
      </c>
      <c r="E20" s="16" t="s">
        <v>850</v>
      </c>
    </row>
  </sheetData>
  <mergeCells count="14">
    <mergeCell ref="F3:F4"/>
    <mergeCell ref="G3:J3"/>
    <mergeCell ref="K3:N3"/>
    <mergeCell ref="O3:R3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5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140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4.7109375" style="5" bestFit="1" customWidth="1"/>
    <col min="14" max="16384" width="9.140625" style="4"/>
  </cols>
  <sheetData>
    <row r="1" spans="1:13" s="3" customFormat="1" ht="29.1" customHeight="1">
      <c r="A1" s="38" t="s">
        <v>644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645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6" t="s">
        <v>647</v>
      </c>
      <c r="B6" s="6" t="s">
        <v>648</v>
      </c>
      <c r="C6" s="6" t="s">
        <v>649</v>
      </c>
      <c r="D6" s="6" t="str">
        <f>"1,1535"</f>
        <v>1,1535</v>
      </c>
      <c r="E6" s="6" t="s">
        <v>33</v>
      </c>
      <c r="F6" s="6" t="s">
        <v>650</v>
      </c>
      <c r="G6" s="7" t="s">
        <v>325</v>
      </c>
      <c r="H6" s="7" t="s">
        <v>302</v>
      </c>
      <c r="I6" s="7" t="s">
        <v>299</v>
      </c>
      <c r="J6" s="8"/>
      <c r="K6" s="6" t="str">
        <f>"70,0"</f>
        <v>70,0</v>
      </c>
      <c r="L6" s="7" t="str">
        <f>"80,7450"</f>
        <v>80,7450</v>
      </c>
      <c r="M6" s="6" t="s">
        <v>37</v>
      </c>
    </row>
    <row r="8" spans="1:13" ht="15">
      <c r="A8" s="39" t="s">
        <v>294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>
      <c r="A9" s="17" t="s">
        <v>652</v>
      </c>
      <c r="B9" s="17" t="s">
        <v>653</v>
      </c>
      <c r="C9" s="17" t="s">
        <v>654</v>
      </c>
      <c r="D9" s="17" t="str">
        <f>"1,0621"</f>
        <v>1,0621</v>
      </c>
      <c r="E9" s="17" t="s">
        <v>33</v>
      </c>
      <c r="F9" s="17" t="s">
        <v>342</v>
      </c>
      <c r="G9" s="19" t="s">
        <v>149</v>
      </c>
      <c r="H9" s="18" t="s">
        <v>323</v>
      </c>
      <c r="I9" s="19" t="s">
        <v>323</v>
      </c>
      <c r="J9" s="18"/>
      <c r="K9" s="17" t="str">
        <f>"77,5"</f>
        <v>77,5</v>
      </c>
      <c r="L9" s="19" t="str">
        <f>"82,3128"</f>
        <v>82,3128</v>
      </c>
      <c r="M9" s="17" t="s">
        <v>37</v>
      </c>
    </row>
    <row r="10" spans="1:13">
      <c r="A10" s="23" t="s">
        <v>296</v>
      </c>
      <c r="B10" s="23" t="s">
        <v>297</v>
      </c>
      <c r="C10" s="23" t="s">
        <v>298</v>
      </c>
      <c r="D10" s="23" t="str">
        <f>"1,0512"</f>
        <v>1,0512</v>
      </c>
      <c r="E10" s="23" t="s">
        <v>33</v>
      </c>
      <c r="F10" s="23" t="s">
        <v>34</v>
      </c>
      <c r="G10" s="24" t="s">
        <v>302</v>
      </c>
      <c r="H10" s="24" t="s">
        <v>205</v>
      </c>
      <c r="I10" s="24" t="s">
        <v>299</v>
      </c>
      <c r="J10" s="25"/>
      <c r="K10" s="23" t="str">
        <f>"70,0"</f>
        <v>70,0</v>
      </c>
      <c r="L10" s="24" t="str">
        <f>"73,5840"</f>
        <v>73,5840</v>
      </c>
      <c r="M10" s="23" t="s">
        <v>37</v>
      </c>
    </row>
    <row r="11" spans="1:13">
      <c r="A11" s="20" t="s">
        <v>656</v>
      </c>
      <c r="B11" s="20" t="s">
        <v>657</v>
      </c>
      <c r="C11" s="20" t="s">
        <v>658</v>
      </c>
      <c r="D11" s="20" t="str">
        <f>"1,0441"</f>
        <v>1,0441</v>
      </c>
      <c r="E11" s="20" t="s">
        <v>33</v>
      </c>
      <c r="F11" s="20" t="s">
        <v>34</v>
      </c>
      <c r="G11" s="22" t="s">
        <v>324</v>
      </c>
      <c r="H11" s="22" t="s">
        <v>25</v>
      </c>
      <c r="I11" s="21" t="s">
        <v>491</v>
      </c>
      <c r="J11" s="21"/>
      <c r="K11" s="20" t="str">
        <f>"97,5"</f>
        <v>97,5</v>
      </c>
      <c r="L11" s="22" t="str">
        <f>"101,7998"</f>
        <v>101,7998</v>
      </c>
      <c r="M11" s="20" t="s">
        <v>37</v>
      </c>
    </row>
    <row r="13" spans="1:13" ht="15">
      <c r="A13" s="39" t="s">
        <v>56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3">
      <c r="A14" s="6" t="s">
        <v>660</v>
      </c>
      <c r="B14" s="6" t="s">
        <v>661</v>
      </c>
      <c r="C14" s="6" t="s">
        <v>662</v>
      </c>
      <c r="D14" s="6" t="str">
        <f>"0,9305"</f>
        <v>0,9305</v>
      </c>
      <c r="E14" s="6" t="s">
        <v>33</v>
      </c>
      <c r="F14" s="6" t="s">
        <v>650</v>
      </c>
      <c r="G14" s="7" t="s">
        <v>302</v>
      </c>
      <c r="H14" s="7" t="s">
        <v>299</v>
      </c>
      <c r="I14" s="7" t="s">
        <v>307</v>
      </c>
      <c r="J14" s="8"/>
      <c r="K14" s="6" t="str">
        <f>"80,0"</f>
        <v>80,0</v>
      </c>
      <c r="L14" s="7" t="str">
        <f>"74,4400"</f>
        <v>74,4400</v>
      </c>
      <c r="M14" s="6" t="s">
        <v>37</v>
      </c>
    </row>
    <row r="16" spans="1:13" ht="15">
      <c r="A16" s="39" t="s">
        <v>121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3">
      <c r="A17" s="17" t="s">
        <v>313</v>
      </c>
      <c r="B17" s="17" t="s">
        <v>314</v>
      </c>
      <c r="C17" s="17" t="s">
        <v>315</v>
      </c>
      <c r="D17" s="17" t="str">
        <f>"0,8725"</f>
        <v>0,8725</v>
      </c>
      <c r="E17" s="17" t="s">
        <v>33</v>
      </c>
      <c r="F17" s="17" t="s">
        <v>316</v>
      </c>
      <c r="G17" s="19" t="s">
        <v>205</v>
      </c>
      <c r="H17" s="19" t="s">
        <v>109</v>
      </c>
      <c r="I17" s="19" t="s">
        <v>52</v>
      </c>
      <c r="J17" s="18"/>
      <c r="K17" s="17" t="str">
        <f>"82,5"</f>
        <v>82,5</v>
      </c>
      <c r="L17" s="19" t="str">
        <f>"71,9813"</f>
        <v>71,9813</v>
      </c>
      <c r="M17" s="17" t="s">
        <v>37</v>
      </c>
    </row>
    <row r="18" spans="1:13">
      <c r="A18" s="23" t="s">
        <v>664</v>
      </c>
      <c r="B18" s="23" t="s">
        <v>665</v>
      </c>
      <c r="C18" s="23" t="s">
        <v>666</v>
      </c>
      <c r="D18" s="23" t="str">
        <f>"0,9006"</f>
        <v>0,9006</v>
      </c>
      <c r="E18" s="23" t="s">
        <v>33</v>
      </c>
      <c r="F18" s="23" t="s">
        <v>34</v>
      </c>
      <c r="G18" s="24" t="s">
        <v>327</v>
      </c>
      <c r="H18" s="24" t="s">
        <v>331</v>
      </c>
      <c r="I18" s="24" t="s">
        <v>111</v>
      </c>
      <c r="J18" s="25"/>
      <c r="K18" s="23" t="str">
        <f>"125,0"</f>
        <v>125,0</v>
      </c>
      <c r="L18" s="24" t="str">
        <f>"112,5750"</f>
        <v>112,5750</v>
      </c>
      <c r="M18" s="23" t="s">
        <v>37</v>
      </c>
    </row>
    <row r="19" spans="1:13">
      <c r="A19" s="23" t="s">
        <v>667</v>
      </c>
      <c r="B19" s="23" t="s">
        <v>322</v>
      </c>
      <c r="C19" s="23" t="s">
        <v>124</v>
      </c>
      <c r="D19" s="23" t="str">
        <f>"0,8603"</f>
        <v>0,8603</v>
      </c>
      <c r="E19" s="23" t="s">
        <v>33</v>
      </c>
      <c r="F19" s="23" t="s">
        <v>34</v>
      </c>
      <c r="G19" s="24" t="s">
        <v>326</v>
      </c>
      <c r="H19" s="24" t="s">
        <v>327</v>
      </c>
      <c r="I19" s="24" t="s">
        <v>111</v>
      </c>
      <c r="J19" s="25"/>
      <c r="K19" s="23" t="str">
        <f>"125,0"</f>
        <v>125,0</v>
      </c>
      <c r="L19" s="24" t="str">
        <f>"107,5375"</f>
        <v>107,5375</v>
      </c>
      <c r="M19" s="23" t="s">
        <v>37</v>
      </c>
    </row>
    <row r="20" spans="1:13">
      <c r="A20" s="20" t="s">
        <v>669</v>
      </c>
      <c r="B20" s="20" t="s">
        <v>670</v>
      </c>
      <c r="C20" s="20" t="s">
        <v>671</v>
      </c>
      <c r="D20" s="20" t="str">
        <f>"0,8889"</f>
        <v>0,8889</v>
      </c>
      <c r="E20" s="20" t="s">
        <v>33</v>
      </c>
      <c r="F20" s="20" t="s">
        <v>468</v>
      </c>
      <c r="G20" s="22" t="s">
        <v>113</v>
      </c>
      <c r="H20" s="22" t="s">
        <v>187</v>
      </c>
      <c r="I20" s="22" t="s">
        <v>456</v>
      </c>
      <c r="J20" s="21"/>
      <c r="K20" s="20" t="str">
        <f>"112,5"</f>
        <v>112,5</v>
      </c>
      <c r="L20" s="22" t="str">
        <f>"100,0012"</f>
        <v>100,0012</v>
      </c>
      <c r="M20" s="20" t="s">
        <v>37</v>
      </c>
    </row>
    <row r="22" spans="1:13" ht="15">
      <c r="A22" s="39" t="s">
        <v>131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1:13">
      <c r="A23" s="17" t="s">
        <v>673</v>
      </c>
      <c r="B23" s="17" t="s">
        <v>674</v>
      </c>
      <c r="C23" s="17" t="s">
        <v>675</v>
      </c>
      <c r="D23" s="17" t="str">
        <f>"0,7908"</f>
        <v>0,7908</v>
      </c>
      <c r="E23" s="17" t="s">
        <v>33</v>
      </c>
      <c r="F23" s="17" t="s">
        <v>342</v>
      </c>
      <c r="G23" s="19" t="s">
        <v>331</v>
      </c>
      <c r="H23" s="19" t="s">
        <v>349</v>
      </c>
      <c r="I23" s="18" t="s">
        <v>507</v>
      </c>
      <c r="J23" s="18"/>
      <c r="K23" s="17" t="str">
        <f>"130,0"</f>
        <v>130,0</v>
      </c>
      <c r="L23" s="19" t="str">
        <f>"102,8040"</f>
        <v>102,8040</v>
      </c>
      <c r="M23" s="17" t="s">
        <v>37</v>
      </c>
    </row>
    <row r="24" spans="1:13">
      <c r="A24" s="23" t="s">
        <v>677</v>
      </c>
      <c r="B24" s="23" t="s">
        <v>678</v>
      </c>
      <c r="C24" s="23" t="s">
        <v>443</v>
      </c>
      <c r="D24" s="23" t="str">
        <f>"0,7777"</f>
        <v>0,7777</v>
      </c>
      <c r="E24" s="23" t="s">
        <v>33</v>
      </c>
      <c r="F24" s="23" t="s">
        <v>34</v>
      </c>
      <c r="G24" s="24" t="s">
        <v>349</v>
      </c>
      <c r="H24" s="25" t="s">
        <v>507</v>
      </c>
      <c r="I24" s="24" t="s">
        <v>507</v>
      </c>
      <c r="J24" s="25"/>
      <c r="K24" s="23" t="str">
        <f>"137,5"</f>
        <v>137,5</v>
      </c>
      <c r="L24" s="24" t="str">
        <f>"106,9338"</f>
        <v>106,9338</v>
      </c>
      <c r="M24" s="23" t="s">
        <v>37</v>
      </c>
    </row>
    <row r="25" spans="1:13">
      <c r="A25" s="23" t="s">
        <v>680</v>
      </c>
      <c r="B25" s="23" t="s">
        <v>681</v>
      </c>
      <c r="C25" s="23" t="s">
        <v>682</v>
      </c>
      <c r="D25" s="23" t="str">
        <f>"0,7817"</f>
        <v>0,7817</v>
      </c>
      <c r="E25" s="23" t="s">
        <v>33</v>
      </c>
      <c r="F25" s="23" t="s">
        <v>683</v>
      </c>
      <c r="G25" s="25" t="s">
        <v>115</v>
      </c>
      <c r="H25" s="24" t="s">
        <v>115</v>
      </c>
      <c r="I25" s="24" t="s">
        <v>331</v>
      </c>
      <c r="J25" s="25"/>
      <c r="K25" s="23" t="str">
        <f>"120,0"</f>
        <v>120,0</v>
      </c>
      <c r="L25" s="24" t="str">
        <f>"93,8040"</f>
        <v>93,8040</v>
      </c>
      <c r="M25" s="23" t="s">
        <v>37</v>
      </c>
    </row>
    <row r="26" spans="1:13">
      <c r="A26" s="23" t="s">
        <v>685</v>
      </c>
      <c r="B26" s="23" t="s">
        <v>686</v>
      </c>
      <c r="C26" s="23" t="s">
        <v>687</v>
      </c>
      <c r="D26" s="23" t="str">
        <f>"0,8073"</f>
        <v>0,8073</v>
      </c>
      <c r="E26" s="23" t="s">
        <v>33</v>
      </c>
      <c r="F26" s="23" t="s">
        <v>683</v>
      </c>
      <c r="G26" s="24" t="s">
        <v>326</v>
      </c>
      <c r="H26" s="24" t="s">
        <v>115</v>
      </c>
      <c r="I26" s="25" t="s">
        <v>331</v>
      </c>
      <c r="J26" s="25"/>
      <c r="K26" s="23" t="str">
        <f>"110,0"</f>
        <v>110,0</v>
      </c>
      <c r="L26" s="24" t="str">
        <f>"88,8030"</f>
        <v>88,8030</v>
      </c>
      <c r="M26" s="23" t="s">
        <v>37</v>
      </c>
    </row>
    <row r="27" spans="1:13">
      <c r="A27" s="20" t="s">
        <v>689</v>
      </c>
      <c r="B27" s="20" t="s">
        <v>690</v>
      </c>
      <c r="C27" s="20" t="s">
        <v>438</v>
      </c>
      <c r="D27" s="20" t="str">
        <f>"0,7857"</f>
        <v>0,7857</v>
      </c>
      <c r="E27" s="20" t="s">
        <v>33</v>
      </c>
      <c r="F27" s="20" t="s">
        <v>342</v>
      </c>
      <c r="G27" s="22" t="s">
        <v>187</v>
      </c>
      <c r="H27" s="21" t="s">
        <v>115</v>
      </c>
      <c r="I27" s="21" t="s">
        <v>115</v>
      </c>
      <c r="J27" s="21"/>
      <c r="K27" s="20" t="str">
        <f>"100,0"</f>
        <v>100,0</v>
      </c>
      <c r="L27" s="22" t="str">
        <f>"78,5700"</f>
        <v>78,5700</v>
      </c>
      <c r="M27" s="20" t="s">
        <v>37</v>
      </c>
    </row>
    <row r="29" spans="1:13" ht="15">
      <c r="A29" s="39" t="s">
        <v>65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</row>
    <row r="30" spans="1:13">
      <c r="A30" s="6" t="s">
        <v>692</v>
      </c>
      <c r="B30" s="6" t="s">
        <v>693</v>
      </c>
      <c r="C30" s="6" t="s">
        <v>694</v>
      </c>
      <c r="D30" s="6" t="str">
        <f>"0,7216"</f>
        <v>0,7216</v>
      </c>
      <c r="E30" s="6" t="s">
        <v>33</v>
      </c>
      <c r="F30" s="6" t="s">
        <v>683</v>
      </c>
      <c r="G30" s="7" t="s">
        <v>349</v>
      </c>
      <c r="H30" s="7" t="s">
        <v>86</v>
      </c>
      <c r="I30" s="7" t="s">
        <v>87</v>
      </c>
      <c r="J30" s="8"/>
      <c r="K30" s="6" t="str">
        <f>"150,0"</f>
        <v>150,0</v>
      </c>
      <c r="L30" s="7" t="str">
        <f>"108,2400"</f>
        <v>108,2400</v>
      </c>
      <c r="M30" s="6" t="s">
        <v>37</v>
      </c>
    </row>
    <row r="32" spans="1:13" ht="15">
      <c r="A32" s="39" t="s">
        <v>425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3">
      <c r="A33" s="6" t="s">
        <v>427</v>
      </c>
      <c r="B33" s="6" t="s">
        <v>428</v>
      </c>
      <c r="C33" s="6" t="s">
        <v>429</v>
      </c>
      <c r="D33" s="6" t="str">
        <f>"0,5971"</f>
        <v>0,5971</v>
      </c>
      <c r="E33" s="6" t="s">
        <v>33</v>
      </c>
      <c r="F33" s="6" t="s">
        <v>354</v>
      </c>
      <c r="G33" s="7" t="s">
        <v>502</v>
      </c>
      <c r="H33" s="7" t="s">
        <v>557</v>
      </c>
      <c r="I33" s="8" t="s">
        <v>377</v>
      </c>
      <c r="J33" s="8"/>
      <c r="K33" s="6" t="str">
        <f>"167,5"</f>
        <v>167,5</v>
      </c>
      <c r="L33" s="7" t="str">
        <f>"100,0143"</f>
        <v>100,0143</v>
      </c>
      <c r="M33" s="6" t="s">
        <v>431</v>
      </c>
    </row>
    <row r="35" spans="1:13" ht="15">
      <c r="A35" s="39" t="s">
        <v>121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3">
      <c r="A36" s="17" t="s">
        <v>696</v>
      </c>
      <c r="B36" s="17" t="s">
        <v>697</v>
      </c>
      <c r="C36" s="17" t="s">
        <v>698</v>
      </c>
      <c r="D36" s="17" t="str">
        <f>"0,8199"</f>
        <v>0,8199</v>
      </c>
      <c r="E36" s="17" t="s">
        <v>444</v>
      </c>
      <c r="F36" s="17" t="s">
        <v>354</v>
      </c>
      <c r="G36" s="19" t="s">
        <v>587</v>
      </c>
      <c r="H36" s="18" t="s">
        <v>699</v>
      </c>
      <c r="I36" s="18" t="s">
        <v>699</v>
      </c>
      <c r="J36" s="18"/>
      <c r="K36" s="17" t="str">
        <f>"175,0"</f>
        <v>175,0</v>
      </c>
      <c r="L36" s="19" t="str">
        <f>"143,4825"</f>
        <v>143,4825</v>
      </c>
      <c r="M36" s="17" t="s">
        <v>445</v>
      </c>
    </row>
    <row r="37" spans="1:13">
      <c r="A37" s="20" t="s">
        <v>701</v>
      </c>
      <c r="B37" s="20" t="s">
        <v>702</v>
      </c>
      <c r="C37" s="20" t="s">
        <v>703</v>
      </c>
      <c r="D37" s="20" t="str">
        <f>"0,8228"</f>
        <v>0,8228</v>
      </c>
      <c r="E37" s="20" t="s">
        <v>33</v>
      </c>
      <c r="F37" s="20" t="s">
        <v>354</v>
      </c>
      <c r="G37" s="22" t="s">
        <v>587</v>
      </c>
      <c r="H37" s="22" t="s">
        <v>169</v>
      </c>
      <c r="I37" s="21" t="s">
        <v>704</v>
      </c>
      <c r="J37" s="21"/>
      <c r="K37" s="20" t="str">
        <f>"195,0"</f>
        <v>195,0</v>
      </c>
      <c r="L37" s="22" t="str">
        <f>"160,4460"</f>
        <v>160,4460</v>
      </c>
      <c r="M37" s="20" t="s">
        <v>37</v>
      </c>
    </row>
    <row r="39" spans="1:13" ht="15">
      <c r="A39" s="39" t="s">
        <v>131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>
      <c r="A40" s="17" t="s">
        <v>706</v>
      </c>
      <c r="B40" s="17" t="s">
        <v>707</v>
      </c>
      <c r="C40" s="17" t="s">
        <v>708</v>
      </c>
      <c r="D40" s="17" t="str">
        <f>"0,7429"</f>
        <v>0,7429</v>
      </c>
      <c r="E40" s="17" t="s">
        <v>444</v>
      </c>
      <c r="F40" s="17" t="s">
        <v>354</v>
      </c>
      <c r="G40" s="19" t="s">
        <v>587</v>
      </c>
      <c r="H40" s="19" t="s">
        <v>709</v>
      </c>
      <c r="I40" s="18"/>
      <c r="J40" s="18"/>
      <c r="K40" s="17" t="str">
        <f>"192,5"</f>
        <v>192,5</v>
      </c>
      <c r="L40" s="19" t="str">
        <f>"143,0083"</f>
        <v>143,0083</v>
      </c>
      <c r="M40" s="17" t="s">
        <v>710</v>
      </c>
    </row>
    <row r="41" spans="1:13">
      <c r="A41" s="23" t="s">
        <v>712</v>
      </c>
      <c r="B41" s="23" t="s">
        <v>713</v>
      </c>
      <c r="C41" s="23" t="s">
        <v>708</v>
      </c>
      <c r="D41" s="23" t="str">
        <f>"0,7429"</f>
        <v>0,7429</v>
      </c>
      <c r="E41" s="23" t="s">
        <v>33</v>
      </c>
      <c r="F41" s="23" t="s">
        <v>34</v>
      </c>
      <c r="G41" s="25" t="s">
        <v>94</v>
      </c>
      <c r="H41" s="24" t="s">
        <v>709</v>
      </c>
      <c r="I41" s="24" t="s">
        <v>276</v>
      </c>
      <c r="J41" s="25"/>
      <c r="K41" s="23" t="str">
        <f>"205,0"</f>
        <v>205,0</v>
      </c>
      <c r="L41" s="24" t="str">
        <f>"152,2945"</f>
        <v>152,2945</v>
      </c>
      <c r="M41" s="23" t="s">
        <v>714</v>
      </c>
    </row>
    <row r="42" spans="1:13">
      <c r="A42" s="20" t="s">
        <v>716</v>
      </c>
      <c r="B42" s="20" t="s">
        <v>717</v>
      </c>
      <c r="C42" s="20" t="s">
        <v>718</v>
      </c>
      <c r="D42" s="20" t="str">
        <f>"0,7307"</f>
        <v>0,7307</v>
      </c>
      <c r="E42" s="20" t="s">
        <v>33</v>
      </c>
      <c r="F42" s="20" t="s">
        <v>439</v>
      </c>
      <c r="G42" s="22" t="s">
        <v>87</v>
      </c>
      <c r="H42" s="22" t="s">
        <v>80</v>
      </c>
      <c r="I42" s="21" t="s">
        <v>21</v>
      </c>
      <c r="J42" s="21"/>
      <c r="K42" s="20" t="str">
        <f>"165,0"</f>
        <v>165,0</v>
      </c>
      <c r="L42" s="22" t="str">
        <f>"237,5140"</f>
        <v>237,5140</v>
      </c>
      <c r="M42" s="20" t="s">
        <v>37</v>
      </c>
    </row>
    <row r="44" spans="1:13" ht="15">
      <c r="A44" s="39" t="s">
        <v>65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1:13">
      <c r="A45" s="17" t="s">
        <v>720</v>
      </c>
      <c r="B45" s="17" t="s">
        <v>721</v>
      </c>
      <c r="C45" s="17" t="s">
        <v>722</v>
      </c>
      <c r="D45" s="17" t="str">
        <f>"0,6828"</f>
        <v>0,6828</v>
      </c>
      <c r="E45" s="17" t="s">
        <v>33</v>
      </c>
      <c r="F45" s="17" t="s">
        <v>411</v>
      </c>
      <c r="G45" s="19" t="s">
        <v>22</v>
      </c>
      <c r="H45" s="18" t="s">
        <v>94</v>
      </c>
      <c r="I45" s="19" t="s">
        <v>26</v>
      </c>
      <c r="J45" s="18"/>
      <c r="K45" s="17" t="str">
        <f>"190,0"</f>
        <v>190,0</v>
      </c>
      <c r="L45" s="19" t="str">
        <f>"129,7320"</f>
        <v>129,7320</v>
      </c>
      <c r="M45" s="17" t="s">
        <v>37</v>
      </c>
    </row>
    <row r="46" spans="1:13">
      <c r="A46" s="23" t="s">
        <v>724</v>
      </c>
      <c r="B46" s="23" t="s">
        <v>725</v>
      </c>
      <c r="C46" s="23" t="s">
        <v>726</v>
      </c>
      <c r="D46" s="23" t="str">
        <f>"0,6774"</f>
        <v>0,6774</v>
      </c>
      <c r="E46" s="23" t="s">
        <v>444</v>
      </c>
      <c r="F46" s="23" t="s">
        <v>354</v>
      </c>
      <c r="G46" s="24" t="s">
        <v>343</v>
      </c>
      <c r="H46" s="24" t="s">
        <v>361</v>
      </c>
      <c r="I46" s="25"/>
      <c r="J46" s="25"/>
      <c r="K46" s="23" t="str">
        <f>"235,0"</f>
        <v>235,0</v>
      </c>
      <c r="L46" s="24" t="str">
        <f>"159,1890"</f>
        <v>159,1890</v>
      </c>
      <c r="M46" s="23" t="s">
        <v>445</v>
      </c>
    </row>
    <row r="47" spans="1:13">
      <c r="A47" s="23" t="s">
        <v>728</v>
      </c>
      <c r="B47" s="23" t="s">
        <v>729</v>
      </c>
      <c r="C47" s="23" t="s">
        <v>730</v>
      </c>
      <c r="D47" s="23" t="str">
        <f>"0,6716"</f>
        <v>0,6716</v>
      </c>
      <c r="E47" s="23" t="s">
        <v>33</v>
      </c>
      <c r="F47" s="23" t="s">
        <v>354</v>
      </c>
      <c r="G47" s="25" t="s">
        <v>276</v>
      </c>
      <c r="H47" s="25" t="s">
        <v>276</v>
      </c>
      <c r="I47" s="24" t="s">
        <v>276</v>
      </c>
      <c r="J47" s="25"/>
      <c r="K47" s="23" t="str">
        <f>"205,0"</f>
        <v>205,0</v>
      </c>
      <c r="L47" s="24" t="str">
        <f>"137,6780"</f>
        <v>137,6780</v>
      </c>
      <c r="M47" s="23" t="s">
        <v>731</v>
      </c>
    </row>
    <row r="48" spans="1:13">
      <c r="A48" s="23" t="s">
        <v>732</v>
      </c>
      <c r="B48" s="23" t="s">
        <v>454</v>
      </c>
      <c r="C48" s="23" t="s">
        <v>455</v>
      </c>
      <c r="D48" s="23" t="str">
        <f>"0,6730"</f>
        <v>0,6730</v>
      </c>
      <c r="E48" s="23" t="s">
        <v>33</v>
      </c>
      <c r="F48" s="23" t="s">
        <v>34</v>
      </c>
      <c r="G48" s="24" t="s">
        <v>587</v>
      </c>
      <c r="H48" s="24" t="s">
        <v>72</v>
      </c>
      <c r="I48" s="25" t="s">
        <v>26</v>
      </c>
      <c r="J48" s="25"/>
      <c r="K48" s="23" t="str">
        <f>"182,5"</f>
        <v>182,5</v>
      </c>
      <c r="L48" s="24" t="str">
        <f>"122,8225"</f>
        <v>122,8225</v>
      </c>
      <c r="M48" s="23" t="s">
        <v>457</v>
      </c>
    </row>
    <row r="49" spans="1:13">
      <c r="A49" s="20" t="s">
        <v>733</v>
      </c>
      <c r="B49" s="20" t="s">
        <v>467</v>
      </c>
      <c r="C49" s="20" t="s">
        <v>449</v>
      </c>
      <c r="D49" s="20" t="str">
        <f>"0,6687"</f>
        <v>0,6687</v>
      </c>
      <c r="E49" s="20" t="s">
        <v>33</v>
      </c>
      <c r="F49" s="20" t="s">
        <v>468</v>
      </c>
      <c r="G49" s="22" t="s">
        <v>21</v>
      </c>
      <c r="H49" s="22" t="s">
        <v>72</v>
      </c>
      <c r="I49" s="22" t="s">
        <v>709</v>
      </c>
      <c r="J49" s="21"/>
      <c r="K49" s="20" t="str">
        <f>"192,5"</f>
        <v>192,5</v>
      </c>
      <c r="L49" s="22" t="str">
        <f>"128,7247"</f>
        <v>128,7247</v>
      </c>
      <c r="M49" s="20" t="s">
        <v>37</v>
      </c>
    </row>
    <row r="51" spans="1:13" ht="15">
      <c r="A51" s="39" t="s">
        <v>14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1:13">
      <c r="A52" s="17" t="s">
        <v>487</v>
      </c>
      <c r="B52" s="17" t="s">
        <v>488</v>
      </c>
      <c r="C52" s="17" t="s">
        <v>489</v>
      </c>
      <c r="D52" s="17" t="str">
        <f>"0,6424"</f>
        <v>0,6424</v>
      </c>
      <c r="E52" s="17" t="s">
        <v>33</v>
      </c>
      <c r="F52" s="17" t="s">
        <v>490</v>
      </c>
      <c r="G52" s="19" t="s">
        <v>86</v>
      </c>
      <c r="H52" s="19" t="s">
        <v>79</v>
      </c>
      <c r="I52" s="19" t="s">
        <v>80</v>
      </c>
      <c r="J52" s="18"/>
      <c r="K52" s="17" t="str">
        <f>"165,0"</f>
        <v>165,0</v>
      </c>
      <c r="L52" s="19" t="str">
        <f>"105,9960"</f>
        <v>105,9960</v>
      </c>
      <c r="M52" s="17" t="s">
        <v>37</v>
      </c>
    </row>
    <row r="53" spans="1:13">
      <c r="A53" s="23" t="s">
        <v>735</v>
      </c>
      <c r="B53" s="23" t="s">
        <v>736</v>
      </c>
      <c r="C53" s="23" t="s">
        <v>737</v>
      </c>
      <c r="D53" s="23" t="str">
        <f>"0,6262"</f>
        <v>0,6262</v>
      </c>
      <c r="E53" s="23" t="s">
        <v>33</v>
      </c>
      <c r="F53" s="23" t="s">
        <v>34</v>
      </c>
      <c r="G53" s="24" t="s">
        <v>23</v>
      </c>
      <c r="H53" s="24" t="s">
        <v>101</v>
      </c>
      <c r="I53" s="25" t="s">
        <v>344</v>
      </c>
      <c r="J53" s="25"/>
      <c r="K53" s="23" t="str">
        <f>"200,0"</f>
        <v>200,0</v>
      </c>
      <c r="L53" s="24" t="str">
        <f>"125,2400"</f>
        <v>125,2400</v>
      </c>
      <c r="M53" s="23" t="s">
        <v>37</v>
      </c>
    </row>
    <row r="54" spans="1:13">
      <c r="A54" s="23" t="s">
        <v>739</v>
      </c>
      <c r="B54" s="23" t="s">
        <v>740</v>
      </c>
      <c r="C54" s="23" t="s">
        <v>741</v>
      </c>
      <c r="D54" s="23" t="str">
        <f>"0,6279"</f>
        <v>0,6279</v>
      </c>
      <c r="E54" s="23" t="s">
        <v>33</v>
      </c>
      <c r="F54" s="23" t="s">
        <v>650</v>
      </c>
      <c r="G54" s="25" t="s">
        <v>343</v>
      </c>
      <c r="H54" s="25" t="s">
        <v>343</v>
      </c>
      <c r="I54" s="24" t="s">
        <v>742</v>
      </c>
      <c r="J54" s="25"/>
      <c r="K54" s="23" t="str">
        <f>"225,5"</f>
        <v>225,5</v>
      </c>
      <c r="L54" s="24" t="str">
        <f>"141,5915"</f>
        <v>141,5915</v>
      </c>
      <c r="M54" s="23" t="s">
        <v>37</v>
      </c>
    </row>
    <row r="55" spans="1:13">
      <c r="A55" s="23" t="s">
        <v>744</v>
      </c>
      <c r="B55" s="23" t="s">
        <v>745</v>
      </c>
      <c r="C55" s="23" t="s">
        <v>746</v>
      </c>
      <c r="D55" s="23" t="str">
        <f>"0,6312"</f>
        <v>0,6312</v>
      </c>
      <c r="E55" s="23" t="s">
        <v>33</v>
      </c>
      <c r="F55" s="23" t="s">
        <v>747</v>
      </c>
      <c r="G55" s="24" t="s">
        <v>276</v>
      </c>
      <c r="H55" s="24" t="s">
        <v>27</v>
      </c>
      <c r="I55" s="24" t="s">
        <v>748</v>
      </c>
      <c r="J55" s="25"/>
      <c r="K55" s="23" t="str">
        <f>"222,5"</f>
        <v>222,5</v>
      </c>
      <c r="L55" s="24" t="str">
        <f>"140,4420"</f>
        <v>140,4420</v>
      </c>
      <c r="M55" s="23" t="s">
        <v>37</v>
      </c>
    </row>
    <row r="56" spans="1:13">
      <c r="A56" s="23" t="s">
        <v>749</v>
      </c>
      <c r="B56" s="23" t="s">
        <v>340</v>
      </c>
      <c r="C56" s="23" t="s">
        <v>341</v>
      </c>
      <c r="D56" s="23" t="str">
        <f>"0,6384"</f>
        <v>0,6384</v>
      </c>
      <c r="E56" s="23" t="s">
        <v>33</v>
      </c>
      <c r="F56" s="23" t="s">
        <v>342</v>
      </c>
      <c r="G56" s="24" t="s">
        <v>26</v>
      </c>
      <c r="H56" s="24" t="s">
        <v>343</v>
      </c>
      <c r="I56" s="25" t="s">
        <v>344</v>
      </c>
      <c r="J56" s="25"/>
      <c r="K56" s="23" t="str">
        <f>"210,0"</f>
        <v>210,0</v>
      </c>
      <c r="L56" s="24" t="str">
        <f>"134,0640"</f>
        <v>134,0640</v>
      </c>
      <c r="M56" s="23" t="s">
        <v>37</v>
      </c>
    </row>
    <row r="57" spans="1:13">
      <c r="A57" s="20" t="s">
        <v>751</v>
      </c>
      <c r="B57" s="20" t="s">
        <v>752</v>
      </c>
      <c r="C57" s="20" t="s">
        <v>746</v>
      </c>
      <c r="D57" s="20" t="str">
        <f>"0,6312"</f>
        <v>0,6312</v>
      </c>
      <c r="E57" s="20" t="s">
        <v>33</v>
      </c>
      <c r="F57" s="20" t="s">
        <v>753</v>
      </c>
      <c r="G57" s="22" t="s">
        <v>101</v>
      </c>
      <c r="H57" s="21" t="s">
        <v>344</v>
      </c>
      <c r="I57" s="21" t="s">
        <v>344</v>
      </c>
      <c r="J57" s="21"/>
      <c r="K57" s="20" t="str">
        <f>"200,0"</f>
        <v>200,0</v>
      </c>
      <c r="L57" s="22" t="str">
        <f>"126,2400"</f>
        <v>126,2400</v>
      </c>
      <c r="M57" s="20" t="s">
        <v>37</v>
      </c>
    </row>
    <row r="59" spans="1:13" ht="15">
      <c r="A59" s="39" t="s">
        <v>73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</row>
    <row r="60" spans="1:13">
      <c r="A60" s="17" t="s">
        <v>351</v>
      </c>
      <c r="B60" s="17" t="s">
        <v>352</v>
      </c>
      <c r="C60" s="17" t="s">
        <v>209</v>
      </c>
      <c r="D60" s="17" t="str">
        <f>"0,5983"</f>
        <v>0,5983</v>
      </c>
      <c r="E60" s="17" t="s">
        <v>353</v>
      </c>
      <c r="F60" s="17" t="s">
        <v>354</v>
      </c>
      <c r="G60" s="19" t="s">
        <v>754</v>
      </c>
      <c r="H60" s="19" t="s">
        <v>755</v>
      </c>
      <c r="I60" s="18" t="s">
        <v>195</v>
      </c>
      <c r="J60" s="18"/>
      <c r="K60" s="17" t="str">
        <f>"265,0"</f>
        <v>265,0</v>
      </c>
      <c r="L60" s="19" t="str">
        <f>"158,5495"</f>
        <v>158,5495</v>
      </c>
      <c r="M60" s="17" t="s">
        <v>234</v>
      </c>
    </row>
    <row r="61" spans="1:13">
      <c r="A61" s="23" t="s">
        <v>757</v>
      </c>
      <c r="B61" s="23" t="s">
        <v>758</v>
      </c>
      <c r="C61" s="23" t="s">
        <v>759</v>
      </c>
      <c r="D61" s="23" t="str">
        <f>"0,5873"</f>
        <v>0,5873</v>
      </c>
      <c r="E61" s="23" t="s">
        <v>33</v>
      </c>
      <c r="F61" s="23" t="s">
        <v>354</v>
      </c>
      <c r="G61" s="24" t="s">
        <v>276</v>
      </c>
      <c r="H61" s="24" t="s">
        <v>144</v>
      </c>
      <c r="I61" s="25" t="s">
        <v>35</v>
      </c>
      <c r="J61" s="25"/>
      <c r="K61" s="23" t="str">
        <f>"225,0"</f>
        <v>225,0</v>
      </c>
      <c r="L61" s="24" t="str">
        <f>"132,1425"</f>
        <v>132,1425</v>
      </c>
      <c r="M61" s="23" t="s">
        <v>445</v>
      </c>
    </row>
    <row r="62" spans="1:13">
      <c r="A62" s="23" t="s">
        <v>761</v>
      </c>
      <c r="B62" s="23" t="s">
        <v>762</v>
      </c>
      <c r="C62" s="23" t="s">
        <v>763</v>
      </c>
      <c r="D62" s="23" t="str">
        <f>"0,6117"</f>
        <v>0,6117</v>
      </c>
      <c r="E62" s="23" t="s">
        <v>33</v>
      </c>
      <c r="F62" s="23" t="s">
        <v>764</v>
      </c>
      <c r="G62" s="24" t="s">
        <v>35</v>
      </c>
      <c r="H62" s="24" t="s">
        <v>361</v>
      </c>
      <c r="I62" s="25" t="s">
        <v>138</v>
      </c>
      <c r="J62" s="25"/>
      <c r="K62" s="23" t="str">
        <f>"235,0"</f>
        <v>235,0</v>
      </c>
      <c r="L62" s="24" t="str">
        <f>"143,7495"</f>
        <v>143,7495</v>
      </c>
      <c r="M62" s="23" t="s">
        <v>37</v>
      </c>
    </row>
    <row r="63" spans="1:13">
      <c r="A63" s="23" t="s">
        <v>766</v>
      </c>
      <c r="B63" s="23" t="s">
        <v>767</v>
      </c>
      <c r="C63" s="23" t="s">
        <v>768</v>
      </c>
      <c r="D63" s="23" t="str">
        <f>"0,5861"</f>
        <v>0,5861</v>
      </c>
      <c r="E63" s="23" t="s">
        <v>100</v>
      </c>
      <c r="F63" s="23" t="s">
        <v>161</v>
      </c>
      <c r="G63" s="24" t="s">
        <v>144</v>
      </c>
      <c r="H63" s="24" t="s">
        <v>361</v>
      </c>
      <c r="I63" s="25" t="s">
        <v>162</v>
      </c>
      <c r="J63" s="25"/>
      <c r="K63" s="23" t="str">
        <f>"235,0"</f>
        <v>235,0</v>
      </c>
      <c r="L63" s="24" t="str">
        <f>"137,7335"</f>
        <v>137,7335</v>
      </c>
      <c r="M63" s="23" t="s">
        <v>37</v>
      </c>
    </row>
    <row r="64" spans="1:13">
      <c r="A64" s="20" t="s">
        <v>770</v>
      </c>
      <c r="B64" s="20" t="s">
        <v>771</v>
      </c>
      <c r="C64" s="20" t="s">
        <v>772</v>
      </c>
      <c r="D64" s="20" t="str">
        <f>"0,5973"</f>
        <v>0,5973</v>
      </c>
      <c r="E64" s="20" t="s">
        <v>33</v>
      </c>
      <c r="F64" s="20" t="s">
        <v>342</v>
      </c>
      <c r="G64" s="22" t="s">
        <v>276</v>
      </c>
      <c r="H64" s="22" t="s">
        <v>144</v>
      </c>
      <c r="I64" s="21" t="s">
        <v>361</v>
      </c>
      <c r="J64" s="21"/>
      <c r="K64" s="20" t="str">
        <f>"225,0"</f>
        <v>225,0</v>
      </c>
      <c r="L64" s="22" t="str">
        <f>"134,3925"</f>
        <v>134,3925</v>
      </c>
      <c r="M64" s="20" t="s">
        <v>37</v>
      </c>
    </row>
    <row r="66" spans="1:13" ht="15">
      <c r="A66" s="39" t="s">
        <v>177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</row>
    <row r="67" spans="1:13">
      <c r="A67" s="17" t="s">
        <v>774</v>
      </c>
      <c r="B67" s="17" t="s">
        <v>775</v>
      </c>
      <c r="C67" s="17" t="s">
        <v>776</v>
      </c>
      <c r="D67" s="17" t="str">
        <f>"0,5563"</f>
        <v>0,5563</v>
      </c>
      <c r="E67" s="17" t="s">
        <v>444</v>
      </c>
      <c r="F67" s="17" t="s">
        <v>354</v>
      </c>
      <c r="G67" s="19" t="s">
        <v>361</v>
      </c>
      <c r="H67" s="18" t="s">
        <v>195</v>
      </c>
      <c r="I67" s="18" t="s">
        <v>195</v>
      </c>
      <c r="J67" s="18"/>
      <c r="K67" s="17" t="str">
        <f>"235,0"</f>
        <v>235,0</v>
      </c>
      <c r="L67" s="19" t="str">
        <f>"130,7305"</f>
        <v>130,7305</v>
      </c>
      <c r="M67" s="17" t="s">
        <v>445</v>
      </c>
    </row>
    <row r="68" spans="1:13">
      <c r="A68" s="23" t="s">
        <v>778</v>
      </c>
      <c r="B68" s="23" t="s">
        <v>779</v>
      </c>
      <c r="C68" s="23" t="s">
        <v>780</v>
      </c>
      <c r="D68" s="23" t="str">
        <f>"0,5589"</f>
        <v>0,5589</v>
      </c>
      <c r="E68" s="23" t="s">
        <v>33</v>
      </c>
      <c r="F68" s="23" t="s">
        <v>747</v>
      </c>
      <c r="G68" s="24" t="s">
        <v>162</v>
      </c>
      <c r="H68" s="24" t="s">
        <v>210</v>
      </c>
      <c r="I68" s="24" t="s">
        <v>195</v>
      </c>
      <c r="J68" s="25"/>
      <c r="K68" s="23" t="str">
        <f>"270,0"</f>
        <v>270,0</v>
      </c>
      <c r="L68" s="24" t="str">
        <f>"150,9030"</f>
        <v>150,9030</v>
      </c>
      <c r="M68" s="23" t="s">
        <v>37</v>
      </c>
    </row>
    <row r="69" spans="1:13">
      <c r="A69" s="20" t="s">
        <v>782</v>
      </c>
      <c r="B69" s="20" t="s">
        <v>783</v>
      </c>
      <c r="C69" s="20" t="s">
        <v>784</v>
      </c>
      <c r="D69" s="20" t="str">
        <f>"0,5730"</f>
        <v>0,5730</v>
      </c>
      <c r="E69" s="20" t="s">
        <v>33</v>
      </c>
      <c r="F69" s="20" t="s">
        <v>34</v>
      </c>
      <c r="G69" s="22" t="s">
        <v>343</v>
      </c>
      <c r="H69" s="22" t="s">
        <v>360</v>
      </c>
      <c r="I69" s="21" t="s">
        <v>144</v>
      </c>
      <c r="J69" s="21"/>
      <c r="K69" s="20" t="str">
        <f>"220,0"</f>
        <v>220,0</v>
      </c>
      <c r="L69" s="22" t="str">
        <f>"126,0600"</f>
        <v>126,0600</v>
      </c>
      <c r="M69" s="20" t="s">
        <v>37</v>
      </c>
    </row>
    <row r="71" spans="1:13" ht="15">
      <c r="A71" s="39" t="s">
        <v>29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3">
      <c r="A72" s="17" t="s">
        <v>786</v>
      </c>
      <c r="B72" s="17" t="s">
        <v>787</v>
      </c>
      <c r="C72" s="17" t="s">
        <v>582</v>
      </c>
      <c r="D72" s="17" t="str">
        <f>"0,5381"</f>
        <v>0,5381</v>
      </c>
      <c r="E72" s="17" t="s">
        <v>444</v>
      </c>
      <c r="F72" s="17" t="s">
        <v>354</v>
      </c>
      <c r="G72" s="19" t="s">
        <v>788</v>
      </c>
      <c r="H72" s="18" t="s">
        <v>36</v>
      </c>
      <c r="I72" s="18" t="s">
        <v>36</v>
      </c>
      <c r="J72" s="18"/>
      <c r="K72" s="17" t="str">
        <f>"242,5"</f>
        <v>242,5</v>
      </c>
      <c r="L72" s="19" t="str">
        <f>"130,4893"</f>
        <v>130,4893</v>
      </c>
      <c r="M72" s="17" t="s">
        <v>445</v>
      </c>
    </row>
    <row r="73" spans="1:13">
      <c r="A73" s="20" t="s">
        <v>789</v>
      </c>
      <c r="B73" s="20" t="s">
        <v>577</v>
      </c>
      <c r="C73" s="20" t="s">
        <v>578</v>
      </c>
      <c r="D73" s="20" t="str">
        <f>"0,5386"</f>
        <v>0,5386</v>
      </c>
      <c r="E73" s="20" t="s">
        <v>33</v>
      </c>
      <c r="F73" s="20" t="s">
        <v>34</v>
      </c>
      <c r="G73" s="21" t="s">
        <v>22</v>
      </c>
      <c r="H73" s="21" t="s">
        <v>22</v>
      </c>
      <c r="I73" s="22" t="s">
        <v>343</v>
      </c>
      <c r="J73" s="21"/>
      <c r="K73" s="20" t="str">
        <f>"210,0"</f>
        <v>210,0</v>
      </c>
      <c r="L73" s="22" t="str">
        <f>"113,1060"</f>
        <v>113,1060</v>
      </c>
      <c r="M73" s="20" t="s">
        <v>37</v>
      </c>
    </row>
    <row r="75" spans="1:13" ht="15">
      <c r="A75" s="39" t="s">
        <v>95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</row>
    <row r="76" spans="1:13">
      <c r="A76" s="17" t="s">
        <v>791</v>
      </c>
      <c r="B76" s="17" t="s">
        <v>792</v>
      </c>
      <c r="C76" s="17" t="s">
        <v>793</v>
      </c>
      <c r="D76" s="17" t="str">
        <f>"0,5270"</f>
        <v>0,5270</v>
      </c>
      <c r="E76" s="17" t="s">
        <v>33</v>
      </c>
      <c r="F76" s="17" t="s">
        <v>650</v>
      </c>
      <c r="G76" s="19" t="s">
        <v>195</v>
      </c>
      <c r="H76" s="19" t="s">
        <v>221</v>
      </c>
      <c r="I76" s="19" t="s">
        <v>794</v>
      </c>
      <c r="J76" s="18"/>
      <c r="K76" s="17" t="str">
        <f>"295,0"</f>
        <v>295,0</v>
      </c>
      <c r="L76" s="19" t="str">
        <f>"155,4650"</f>
        <v>155,4650</v>
      </c>
      <c r="M76" s="17" t="s">
        <v>37</v>
      </c>
    </row>
    <row r="77" spans="1:13">
      <c r="A77" s="20" t="s">
        <v>796</v>
      </c>
      <c r="B77" s="20" t="s">
        <v>797</v>
      </c>
      <c r="C77" s="20" t="s">
        <v>798</v>
      </c>
      <c r="D77" s="20" t="str">
        <f>"0,5323"</f>
        <v>0,5323</v>
      </c>
      <c r="E77" s="20" t="s">
        <v>33</v>
      </c>
      <c r="F77" s="20" t="s">
        <v>34</v>
      </c>
      <c r="G77" s="22" t="s">
        <v>101</v>
      </c>
      <c r="H77" s="22" t="s">
        <v>343</v>
      </c>
      <c r="I77" s="22" t="s">
        <v>360</v>
      </c>
      <c r="J77" s="21"/>
      <c r="K77" s="20" t="str">
        <f>"220,0"</f>
        <v>220,0</v>
      </c>
      <c r="L77" s="22" t="str">
        <f>"117,1060"</f>
        <v>117,1060</v>
      </c>
      <c r="M77" s="20" t="s">
        <v>37</v>
      </c>
    </row>
    <row r="79" spans="1:13" ht="15">
      <c r="E79" s="9" t="s">
        <v>38</v>
      </c>
    </row>
    <row r="80" spans="1:13" ht="15">
      <c r="E80" s="9" t="s">
        <v>39</v>
      </c>
    </row>
    <row r="81" spans="1:5" ht="15">
      <c r="E81" s="9" t="s">
        <v>40</v>
      </c>
    </row>
    <row r="82" spans="1:5" ht="15">
      <c r="E82" s="9" t="s">
        <v>41</v>
      </c>
    </row>
    <row r="83" spans="1:5" ht="15">
      <c r="E83" s="9" t="s">
        <v>41</v>
      </c>
    </row>
    <row r="84" spans="1:5" ht="15">
      <c r="E84" s="9" t="s">
        <v>42</v>
      </c>
    </row>
    <row r="85" spans="1:5" ht="15">
      <c r="E85" s="9"/>
    </row>
    <row r="87" spans="1:5" ht="18">
      <c r="A87" s="10" t="s">
        <v>43</v>
      </c>
      <c r="B87" s="10"/>
    </row>
    <row r="88" spans="1:5" ht="15">
      <c r="A88" s="11" t="s">
        <v>103</v>
      </c>
      <c r="B88" s="11"/>
    </row>
    <row r="89" spans="1:5" ht="14.25">
      <c r="A89" s="13"/>
      <c r="B89" s="14" t="s">
        <v>374</v>
      </c>
    </row>
    <row r="90" spans="1:5" ht="15">
      <c r="A90" s="15" t="s">
        <v>46</v>
      </c>
      <c r="B90" s="15" t="s">
        <v>47</v>
      </c>
      <c r="C90" s="15" t="s">
        <v>48</v>
      </c>
      <c r="D90" s="15" t="s">
        <v>49</v>
      </c>
      <c r="E90" s="15" t="s">
        <v>50</v>
      </c>
    </row>
    <row r="91" spans="1:5">
      <c r="A91" s="12" t="s">
        <v>651</v>
      </c>
      <c r="B91" s="5" t="s">
        <v>375</v>
      </c>
      <c r="C91" s="5" t="s">
        <v>380</v>
      </c>
      <c r="D91" s="5" t="s">
        <v>323</v>
      </c>
      <c r="E91" s="16" t="s">
        <v>799</v>
      </c>
    </row>
    <row r="92" spans="1:5">
      <c r="A92" s="12" t="s">
        <v>646</v>
      </c>
      <c r="B92" s="5" t="s">
        <v>386</v>
      </c>
      <c r="C92" s="5" t="s">
        <v>800</v>
      </c>
      <c r="D92" s="5" t="s">
        <v>299</v>
      </c>
      <c r="E92" s="16" t="s">
        <v>801</v>
      </c>
    </row>
    <row r="93" spans="1:5">
      <c r="A93" s="12" t="s">
        <v>659</v>
      </c>
      <c r="B93" s="5" t="s">
        <v>386</v>
      </c>
      <c r="C93" s="5" t="s">
        <v>105</v>
      </c>
      <c r="D93" s="5" t="s">
        <v>307</v>
      </c>
      <c r="E93" s="16" t="s">
        <v>802</v>
      </c>
    </row>
    <row r="94" spans="1:5">
      <c r="A94" s="12" t="s">
        <v>312</v>
      </c>
      <c r="B94" s="5" t="s">
        <v>148</v>
      </c>
      <c r="C94" s="5" t="s">
        <v>302</v>
      </c>
      <c r="D94" s="5" t="s">
        <v>52</v>
      </c>
      <c r="E94" s="16" t="s">
        <v>803</v>
      </c>
    </row>
    <row r="96" spans="1:5" ht="14.25">
      <c r="A96" s="13"/>
      <c r="B96" s="14" t="s">
        <v>379</v>
      </c>
    </row>
    <row r="97" spans="1:5" ht="15">
      <c r="A97" s="15" t="s">
        <v>46</v>
      </c>
      <c r="B97" s="15" t="s">
        <v>47</v>
      </c>
      <c r="C97" s="15" t="s">
        <v>48</v>
      </c>
      <c r="D97" s="15" t="s">
        <v>49</v>
      </c>
      <c r="E97" s="15" t="s">
        <v>50</v>
      </c>
    </row>
    <row r="98" spans="1:5">
      <c r="A98" s="12" t="s">
        <v>672</v>
      </c>
      <c r="B98" s="5" t="s">
        <v>108</v>
      </c>
      <c r="C98" s="5" t="s">
        <v>149</v>
      </c>
      <c r="D98" s="5" t="s">
        <v>349</v>
      </c>
      <c r="E98" s="16" t="s">
        <v>804</v>
      </c>
    </row>
    <row r="99" spans="1:5">
      <c r="A99" s="12" t="s">
        <v>295</v>
      </c>
      <c r="B99" s="5" t="s">
        <v>108</v>
      </c>
      <c r="C99" s="5" t="s">
        <v>380</v>
      </c>
      <c r="D99" s="5" t="s">
        <v>299</v>
      </c>
      <c r="E99" s="16" t="s">
        <v>805</v>
      </c>
    </row>
    <row r="101" spans="1:5" ht="14.25">
      <c r="A101" s="13"/>
      <c r="B101" s="14" t="s">
        <v>104</v>
      </c>
    </row>
    <row r="102" spans="1:5" ht="15">
      <c r="A102" s="15" t="s">
        <v>46</v>
      </c>
      <c r="B102" s="15" t="s">
        <v>47</v>
      </c>
      <c r="C102" s="15" t="s">
        <v>48</v>
      </c>
      <c r="D102" s="15" t="s">
        <v>49</v>
      </c>
      <c r="E102" s="15" t="s">
        <v>50</v>
      </c>
    </row>
    <row r="103" spans="1:5">
      <c r="A103" s="12" t="s">
        <v>663</v>
      </c>
      <c r="B103" s="5" t="s">
        <v>104</v>
      </c>
      <c r="C103" s="5" t="s">
        <v>302</v>
      </c>
      <c r="D103" s="5" t="s">
        <v>111</v>
      </c>
      <c r="E103" s="16" t="s">
        <v>806</v>
      </c>
    </row>
    <row r="104" spans="1:5">
      <c r="A104" s="12" t="s">
        <v>691</v>
      </c>
      <c r="B104" s="5" t="s">
        <v>104</v>
      </c>
      <c r="C104" s="5" t="s">
        <v>109</v>
      </c>
      <c r="D104" s="5" t="s">
        <v>87</v>
      </c>
      <c r="E104" s="16" t="s">
        <v>807</v>
      </c>
    </row>
    <row r="105" spans="1:5">
      <c r="A105" s="12" t="s">
        <v>320</v>
      </c>
      <c r="B105" s="5" t="s">
        <v>104</v>
      </c>
      <c r="C105" s="5" t="s">
        <v>302</v>
      </c>
      <c r="D105" s="5" t="s">
        <v>111</v>
      </c>
      <c r="E105" s="16" t="s">
        <v>808</v>
      </c>
    </row>
    <row r="106" spans="1:5">
      <c r="A106" s="12" t="s">
        <v>676</v>
      </c>
      <c r="B106" s="5" t="s">
        <v>104</v>
      </c>
      <c r="C106" s="5" t="s">
        <v>149</v>
      </c>
      <c r="D106" s="5" t="s">
        <v>507</v>
      </c>
      <c r="E106" s="16" t="s">
        <v>809</v>
      </c>
    </row>
    <row r="107" spans="1:5">
      <c r="A107" s="12" t="s">
        <v>655</v>
      </c>
      <c r="B107" s="5" t="s">
        <v>104</v>
      </c>
      <c r="C107" s="5" t="s">
        <v>380</v>
      </c>
      <c r="D107" s="5" t="s">
        <v>25</v>
      </c>
      <c r="E107" s="16" t="s">
        <v>810</v>
      </c>
    </row>
    <row r="108" spans="1:5">
      <c r="A108" s="12" t="s">
        <v>426</v>
      </c>
      <c r="B108" s="5" t="s">
        <v>104</v>
      </c>
      <c r="C108" s="5" t="s">
        <v>93</v>
      </c>
      <c r="D108" s="5" t="s">
        <v>557</v>
      </c>
      <c r="E108" s="16" t="s">
        <v>811</v>
      </c>
    </row>
    <row r="109" spans="1:5">
      <c r="A109" s="12" t="s">
        <v>668</v>
      </c>
      <c r="B109" s="5" t="s">
        <v>104</v>
      </c>
      <c r="C109" s="5" t="s">
        <v>302</v>
      </c>
      <c r="D109" s="5" t="s">
        <v>456</v>
      </c>
      <c r="E109" s="16" t="s">
        <v>812</v>
      </c>
    </row>
    <row r="110" spans="1:5">
      <c r="A110" s="12" t="s">
        <v>679</v>
      </c>
      <c r="B110" s="5" t="s">
        <v>104</v>
      </c>
      <c r="C110" s="5" t="s">
        <v>149</v>
      </c>
      <c r="D110" s="5" t="s">
        <v>331</v>
      </c>
      <c r="E110" s="16" t="s">
        <v>813</v>
      </c>
    </row>
    <row r="111" spans="1:5">
      <c r="A111" s="12" t="s">
        <v>684</v>
      </c>
      <c r="B111" s="5" t="s">
        <v>104</v>
      </c>
      <c r="C111" s="5" t="s">
        <v>149</v>
      </c>
      <c r="D111" s="5" t="s">
        <v>115</v>
      </c>
      <c r="E111" s="16" t="s">
        <v>814</v>
      </c>
    </row>
    <row r="112" spans="1:5">
      <c r="A112" s="12" t="s">
        <v>688</v>
      </c>
      <c r="B112" s="5" t="s">
        <v>104</v>
      </c>
      <c r="C112" s="5" t="s">
        <v>149</v>
      </c>
      <c r="D112" s="5" t="s">
        <v>187</v>
      </c>
      <c r="E112" s="16" t="s">
        <v>815</v>
      </c>
    </row>
    <row r="115" spans="1:5" ht="15">
      <c r="A115" s="11" t="s">
        <v>44</v>
      </c>
      <c r="B115" s="11"/>
    </row>
    <row r="116" spans="1:5" ht="14.25">
      <c r="A116" s="13"/>
      <c r="B116" s="14" t="s">
        <v>147</v>
      </c>
    </row>
    <row r="117" spans="1:5" ht="15">
      <c r="A117" s="15" t="s">
        <v>46</v>
      </c>
      <c r="B117" s="15" t="s">
        <v>47</v>
      </c>
      <c r="C117" s="15" t="s">
        <v>48</v>
      </c>
      <c r="D117" s="15" t="s">
        <v>49</v>
      </c>
      <c r="E117" s="15" t="s">
        <v>50</v>
      </c>
    </row>
    <row r="118" spans="1:5">
      <c r="A118" s="12" t="s">
        <v>723</v>
      </c>
      <c r="B118" s="5" t="s">
        <v>375</v>
      </c>
      <c r="C118" s="5" t="s">
        <v>109</v>
      </c>
      <c r="D118" s="5" t="s">
        <v>361</v>
      </c>
      <c r="E118" s="16" t="s">
        <v>816</v>
      </c>
    </row>
    <row r="119" spans="1:5">
      <c r="A119" s="12" t="s">
        <v>695</v>
      </c>
      <c r="B119" s="5" t="s">
        <v>148</v>
      </c>
      <c r="C119" s="5" t="s">
        <v>302</v>
      </c>
      <c r="D119" s="5" t="s">
        <v>587</v>
      </c>
      <c r="E119" s="16" t="s">
        <v>817</v>
      </c>
    </row>
    <row r="120" spans="1:5">
      <c r="A120" s="12" t="s">
        <v>705</v>
      </c>
      <c r="B120" s="5" t="s">
        <v>386</v>
      </c>
      <c r="C120" s="5" t="s">
        <v>149</v>
      </c>
      <c r="D120" s="5" t="s">
        <v>709</v>
      </c>
      <c r="E120" s="16" t="s">
        <v>818</v>
      </c>
    </row>
    <row r="121" spans="1:5">
      <c r="A121" s="12" t="s">
        <v>719</v>
      </c>
      <c r="B121" s="5" t="s">
        <v>148</v>
      </c>
      <c r="C121" s="5" t="s">
        <v>109</v>
      </c>
      <c r="D121" s="5" t="s">
        <v>26</v>
      </c>
      <c r="E121" s="16" t="s">
        <v>819</v>
      </c>
    </row>
    <row r="122" spans="1:5">
      <c r="A122" s="12" t="s">
        <v>486</v>
      </c>
      <c r="B122" s="5" t="s">
        <v>148</v>
      </c>
      <c r="C122" s="5" t="s">
        <v>52</v>
      </c>
      <c r="D122" s="5" t="s">
        <v>80</v>
      </c>
      <c r="E122" s="16" t="s">
        <v>820</v>
      </c>
    </row>
    <row r="124" spans="1:5" ht="14.25">
      <c r="A124" s="13"/>
      <c r="B124" s="14" t="s">
        <v>107</v>
      </c>
    </row>
    <row r="125" spans="1:5" ht="15">
      <c r="A125" s="15" t="s">
        <v>46</v>
      </c>
      <c r="B125" s="15" t="s">
        <v>47</v>
      </c>
      <c r="C125" s="15" t="s">
        <v>48</v>
      </c>
      <c r="D125" s="15" t="s">
        <v>49</v>
      </c>
      <c r="E125" s="15" t="s">
        <v>50</v>
      </c>
    </row>
    <row r="126" spans="1:5">
      <c r="A126" s="12" t="s">
        <v>350</v>
      </c>
      <c r="B126" s="5" t="s">
        <v>108</v>
      </c>
      <c r="C126" s="5" t="s">
        <v>113</v>
      </c>
      <c r="D126" s="5" t="s">
        <v>755</v>
      </c>
      <c r="E126" s="16" t="s">
        <v>821</v>
      </c>
    </row>
    <row r="127" spans="1:5">
      <c r="A127" s="12" t="s">
        <v>727</v>
      </c>
      <c r="B127" s="5" t="s">
        <v>108</v>
      </c>
      <c r="C127" s="5" t="s">
        <v>109</v>
      </c>
      <c r="D127" s="5" t="s">
        <v>276</v>
      </c>
      <c r="E127" s="16" t="s">
        <v>822</v>
      </c>
    </row>
    <row r="128" spans="1:5">
      <c r="A128" s="12" t="s">
        <v>756</v>
      </c>
      <c r="B128" s="5" t="s">
        <v>108</v>
      </c>
      <c r="C128" s="5" t="s">
        <v>113</v>
      </c>
      <c r="D128" s="5" t="s">
        <v>144</v>
      </c>
      <c r="E128" s="16" t="s">
        <v>823</v>
      </c>
    </row>
    <row r="129" spans="1:5">
      <c r="A129" s="12" t="s">
        <v>773</v>
      </c>
      <c r="B129" s="5" t="s">
        <v>108</v>
      </c>
      <c r="C129" s="5" t="s">
        <v>187</v>
      </c>
      <c r="D129" s="5" t="s">
        <v>361</v>
      </c>
      <c r="E129" s="16" t="s">
        <v>824</v>
      </c>
    </row>
    <row r="130" spans="1:5">
      <c r="A130" s="12" t="s">
        <v>734</v>
      </c>
      <c r="B130" s="5" t="s">
        <v>108</v>
      </c>
      <c r="C130" s="5" t="s">
        <v>52</v>
      </c>
      <c r="D130" s="5" t="s">
        <v>101</v>
      </c>
      <c r="E130" s="16" t="s">
        <v>825</v>
      </c>
    </row>
    <row r="131" spans="1:5">
      <c r="A131" s="12" t="s">
        <v>452</v>
      </c>
      <c r="B131" s="5" t="s">
        <v>108</v>
      </c>
      <c r="C131" s="5" t="s">
        <v>109</v>
      </c>
      <c r="D131" s="5" t="s">
        <v>72</v>
      </c>
      <c r="E131" s="16" t="s">
        <v>826</v>
      </c>
    </row>
    <row r="133" spans="1:5" ht="14.25">
      <c r="A133" s="13"/>
      <c r="B133" s="14" t="s">
        <v>104</v>
      </c>
    </row>
    <row r="134" spans="1:5" ht="15">
      <c r="A134" s="15" t="s">
        <v>46</v>
      </c>
      <c r="B134" s="15" t="s">
        <v>47</v>
      </c>
      <c r="C134" s="15" t="s">
        <v>48</v>
      </c>
      <c r="D134" s="15" t="s">
        <v>49</v>
      </c>
      <c r="E134" s="15" t="s">
        <v>50</v>
      </c>
    </row>
    <row r="135" spans="1:5">
      <c r="A135" s="12" t="s">
        <v>700</v>
      </c>
      <c r="B135" s="5" t="s">
        <v>104</v>
      </c>
      <c r="C135" s="5" t="s">
        <v>302</v>
      </c>
      <c r="D135" s="5" t="s">
        <v>169</v>
      </c>
      <c r="E135" s="16" t="s">
        <v>827</v>
      </c>
    </row>
    <row r="136" spans="1:5">
      <c r="A136" s="12" t="s">
        <v>790</v>
      </c>
      <c r="B136" s="5" t="s">
        <v>104</v>
      </c>
      <c r="C136" s="5" t="s">
        <v>111</v>
      </c>
      <c r="D136" s="5" t="s">
        <v>794</v>
      </c>
      <c r="E136" s="16" t="s">
        <v>828</v>
      </c>
    </row>
    <row r="137" spans="1:5">
      <c r="A137" s="12" t="s">
        <v>711</v>
      </c>
      <c r="B137" s="5" t="s">
        <v>104</v>
      </c>
      <c r="C137" s="5" t="s">
        <v>149</v>
      </c>
      <c r="D137" s="5" t="s">
        <v>276</v>
      </c>
      <c r="E137" s="16" t="s">
        <v>829</v>
      </c>
    </row>
    <row r="138" spans="1:5">
      <c r="A138" s="12" t="s">
        <v>777</v>
      </c>
      <c r="B138" s="5" t="s">
        <v>104</v>
      </c>
      <c r="C138" s="5" t="s">
        <v>187</v>
      </c>
      <c r="D138" s="5" t="s">
        <v>195</v>
      </c>
      <c r="E138" s="16" t="s">
        <v>830</v>
      </c>
    </row>
    <row r="139" spans="1:5">
      <c r="A139" s="12" t="s">
        <v>760</v>
      </c>
      <c r="B139" s="5" t="s">
        <v>104</v>
      </c>
      <c r="C139" s="5" t="s">
        <v>113</v>
      </c>
      <c r="D139" s="5" t="s">
        <v>361</v>
      </c>
      <c r="E139" s="16" t="s">
        <v>831</v>
      </c>
    </row>
    <row r="140" spans="1:5">
      <c r="A140" s="12" t="s">
        <v>738</v>
      </c>
      <c r="B140" s="5" t="s">
        <v>104</v>
      </c>
      <c r="C140" s="5" t="s">
        <v>52</v>
      </c>
      <c r="D140" s="5" t="s">
        <v>742</v>
      </c>
      <c r="E140" s="16" t="s">
        <v>832</v>
      </c>
    </row>
    <row r="141" spans="1:5">
      <c r="A141" s="12" t="s">
        <v>743</v>
      </c>
      <c r="B141" s="5" t="s">
        <v>104</v>
      </c>
      <c r="C141" s="5" t="s">
        <v>52</v>
      </c>
      <c r="D141" s="5" t="s">
        <v>748</v>
      </c>
      <c r="E141" s="16" t="s">
        <v>833</v>
      </c>
    </row>
    <row r="142" spans="1:5">
      <c r="A142" s="12" t="s">
        <v>765</v>
      </c>
      <c r="B142" s="5" t="s">
        <v>104</v>
      </c>
      <c r="C142" s="5" t="s">
        <v>113</v>
      </c>
      <c r="D142" s="5" t="s">
        <v>361</v>
      </c>
      <c r="E142" s="16" t="s">
        <v>834</v>
      </c>
    </row>
    <row r="143" spans="1:5">
      <c r="A143" s="12" t="s">
        <v>769</v>
      </c>
      <c r="B143" s="5" t="s">
        <v>104</v>
      </c>
      <c r="C143" s="5" t="s">
        <v>113</v>
      </c>
      <c r="D143" s="5" t="s">
        <v>144</v>
      </c>
      <c r="E143" s="16" t="s">
        <v>835</v>
      </c>
    </row>
    <row r="144" spans="1:5">
      <c r="A144" s="12" t="s">
        <v>338</v>
      </c>
      <c r="B144" s="5" t="s">
        <v>104</v>
      </c>
      <c r="C144" s="5" t="s">
        <v>52</v>
      </c>
      <c r="D144" s="5" t="s">
        <v>343</v>
      </c>
      <c r="E144" s="16" t="s">
        <v>836</v>
      </c>
    </row>
    <row r="145" spans="1:5">
      <c r="A145" s="12" t="s">
        <v>785</v>
      </c>
      <c r="B145" s="5" t="s">
        <v>104</v>
      </c>
      <c r="C145" s="5" t="s">
        <v>115</v>
      </c>
      <c r="D145" s="5" t="s">
        <v>788</v>
      </c>
      <c r="E145" s="16" t="s">
        <v>837</v>
      </c>
    </row>
    <row r="146" spans="1:5">
      <c r="A146" s="12" t="s">
        <v>465</v>
      </c>
      <c r="B146" s="5" t="s">
        <v>104</v>
      </c>
      <c r="C146" s="5" t="s">
        <v>109</v>
      </c>
      <c r="D146" s="5" t="s">
        <v>709</v>
      </c>
      <c r="E146" s="16" t="s">
        <v>838</v>
      </c>
    </row>
    <row r="147" spans="1:5">
      <c r="A147" s="12" t="s">
        <v>750</v>
      </c>
      <c r="B147" s="5" t="s">
        <v>104</v>
      </c>
      <c r="C147" s="5" t="s">
        <v>52</v>
      </c>
      <c r="D147" s="5" t="s">
        <v>101</v>
      </c>
      <c r="E147" s="16" t="s">
        <v>839</v>
      </c>
    </row>
    <row r="148" spans="1:5">
      <c r="A148" s="12" t="s">
        <v>781</v>
      </c>
      <c r="B148" s="5" t="s">
        <v>104</v>
      </c>
      <c r="C148" s="5" t="s">
        <v>187</v>
      </c>
      <c r="D148" s="5" t="s">
        <v>360</v>
      </c>
      <c r="E148" s="16" t="s">
        <v>840</v>
      </c>
    </row>
    <row r="149" spans="1:5">
      <c r="A149" s="12" t="s">
        <v>795</v>
      </c>
      <c r="B149" s="5" t="s">
        <v>104</v>
      </c>
      <c r="C149" s="5" t="s">
        <v>111</v>
      </c>
      <c r="D149" s="5" t="s">
        <v>360</v>
      </c>
      <c r="E149" s="16" t="s">
        <v>841</v>
      </c>
    </row>
    <row r="150" spans="1:5">
      <c r="A150" s="12" t="s">
        <v>432</v>
      </c>
      <c r="B150" s="5" t="s">
        <v>104</v>
      </c>
      <c r="C150" s="5" t="s">
        <v>115</v>
      </c>
      <c r="D150" s="5" t="s">
        <v>343</v>
      </c>
      <c r="E150" s="16" t="s">
        <v>842</v>
      </c>
    </row>
    <row r="152" spans="1:5" ht="14.25">
      <c r="A152" s="13"/>
      <c r="B152" s="14" t="s">
        <v>45</v>
      </c>
    </row>
    <row r="153" spans="1:5" ht="15">
      <c r="A153" s="15" t="s">
        <v>46</v>
      </c>
      <c r="B153" s="15" t="s">
        <v>47</v>
      </c>
      <c r="C153" s="15" t="s">
        <v>48</v>
      </c>
      <c r="D153" s="15" t="s">
        <v>49</v>
      </c>
      <c r="E153" s="15" t="s">
        <v>50</v>
      </c>
    </row>
    <row r="154" spans="1:5">
      <c r="A154" s="12" t="s">
        <v>715</v>
      </c>
      <c r="B154" s="5" t="s">
        <v>843</v>
      </c>
      <c r="C154" s="5" t="s">
        <v>149</v>
      </c>
      <c r="D154" s="5" t="s">
        <v>80</v>
      </c>
      <c r="E154" s="16" t="s">
        <v>844</v>
      </c>
    </row>
  </sheetData>
  <mergeCells count="26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A29:L29"/>
    <mergeCell ref="A32:L32"/>
    <mergeCell ref="A35:L35"/>
    <mergeCell ref="A39:L39"/>
    <mergeCell ref="A8:L8"/>
    <mergeCell ref="A13:L13"/>
    <mergeCell ref="A16:L16"/>
    <mergeCell ref="A22:L22"/>
    <mergeCell ref="A71:L71"/>
    <mergeCell ref="A75:L75"/>
    <mergeCell ref="A44:L44"/>
    <mergeCell ref="A51:L51"/>
    <mergeCell ref="A59:L59"/>
    <mergeCell ref="A66:L66"/>
  </mergeCells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41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40.140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42578125" style="5" bestFit="1" customWidth="1"/>
    <col min="14" max="16384" width="9.140625" style="4"/>
  </cols>
  <sheetData>
    <row r="1" spans="1:13" s="3" customFormat="1" ht="29.1" customHeight="1">
      <c r="A1" s="38" t="s">
        <v>399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294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6" t="s">
        <v>401</v>
      </c>
      <c r="B6" s="6" t="s">
        <v>402</v>
      </c>
      <c r="C6" s="6" t="s">
        <v>403</v>
      </c>
      <c r="D6" s="6" t="str">
        <f>"1,0611"</f>
        <v>1,0611</v>
      </c>
      <c r="E6" s="6" t="s">
        <v>33</v>
      </c>
      <c r="F6" s="6" t="s">
        <v>404</v>
      </c>
      <c r="G6" s="7" t="s">
        <v>337</v>
      </c>
      <c r="H6" s="8" t="s">
        <v>309</v>
      </c>
      <c r="I6" s="7" t="s">
        <v>309</v>
      </c>
      <c r="J6" s="8"/>
      <c r="K6" s="6" t="str">
        <f>"45,0"</f>
        <v>45,0</v>
      </c>
      <c r="L6" s="7" t="str">
        <f>"47,7517"</f>
        <v>47,7517</v>
      </c>
      <c r="M6" s="6" t="s">
        <v>405</v>
      </c>
    </row>
    <row r="8" spans="1:13" ht="15">
      <c r="A8" s="39" t="s">
        <v>406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>
      <c r="A9" s="17" t="s">
        <v>408</v>
      </c>
      <c r="B9" s="17" t="s">
        <v>409</v>
      </c>
      <c r="C9" s="17" t="s">
        <v>410</v>
      </c>
      <c r="D9" s="17" t="str">
        <f>"0,9833"</f>
        <v>0,9833</v>
      </c>
      <c r="E9" s="17" t="s">
        <v>33</v>
      </c>
      <c r="F9" s="17" t="s">
        <v>411</v>
      </c>
      <c r="G9" s="19" t="s">
        <v>325</v>
      </c>
      <c r="H9" s="19" t="s">
        <v>63</v>
      </c>
      <c r="I9" s="19" t="s">
        <v>302</v>
      </c>
      <c r="J9" s="18"/>
      <c r="K9" s="17" t="str">
        <f>"60,0"</f>
        <v>60,0</v>
      </c>
      <c r="L9" s="19" t="str">
        <f>"58,9950"</f>
        <v>58,9950</v>
      </c>
      <c r="M9" s="17" t="s">
        <v>37</v>
      </c>
    </row>
    <row r="10" spans="1:13">
      <c r="A10" s="20" t="s">
        <v>413</v>
      </c>
      <c r="B10" s="20" t="s">
        <v>414</v>
      </c>
      <c r="C10" s="20" t="s">
        <v>415</v>
      </c>
      <c r="D10" s="20" t="str">
        <f>"1,0208"</f>
        <v>1,0208</v>
      </c>
      <c r="E10" s="20" t="s">
        <v>33</v>
      </c>
      <c r="F10" s="20" t="s">
        <v>34</v>
      </c>
      <c r="G10" s="22" t="s">
        <v>325</v>
      </c>
      <c r="H10" s="22" t="s">
        <v>416</v>
      </c>
      <c r="I10" s="21" t="s">
        <v>64</v>
      </c>
      <c r="J10" s="21"/>
      <c r="K10" s="20" t="str">
        <f>"52,5"</f>
        <v>52,5</v>
      </c>
      <c r="L10" s="22" t="str">
        <f>"53,5894"</f>
        <v>53,5894</v>
      </c>
      <c r="M10" s="20" t="s">
        <v>37</v>
      </c>
    </row>
    <row r="12" spans="1:13" ht="15">
      <c r="A12" s="39" t="s">
        <v>56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3">
      <c r="A13" s="6" t="s">
        <v>417</v>
      </c>
      <c r="B13" s="6" t="s">
        <v>418</v>
      </c>
      <c r="C13" s="6" t="s">
        <v>419</v>
      </c>
      <c r="D13" s="6" t="str">
        <f>"0,9513"</f>
        <v>0,9513</v>
      </c>
      <c r="E13" s="6" t="s">
        <v>33</v>
      </c>
      <c r="F13" s="6" t="s">
        <v>34</v>
      </c>
      <c r="G13" s="8" t="s">
        <v>420</v>
      </c>
      <c r="H13" s="8" t="s">
        <v>420</v>
      </c>
      <c r="I13" s="8" t="s">
        <v>420</v>
      </c>
      <c r="J13" s="8"/>
      <c r="K13" s="6" t="str">
        <f>"0,0"</f>
        <v>0,0</v>
      </c>
      <c r="L13" s="7" t="str">
        <f>"0,0000"</f>
        <v>0,0000</v>
      </c>
      <c r="M13" s="6" t="s">
        <v>37</v>
      </c>
    </row>
    <row r="15" spans="1:13" ht="15">
      <c r="A15" s="39" t="s">
        <v>121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3">
      <c r="A16" s="6" t="s">
        <v>422</v>
      </c>
      <c r="B16" s="6" t="s">
        <v>423</v>
      </c>
      <c r="C16" s="6" t="s">
        <v>424</v>
      </c>
      <c r="D16" s="6" t="str">
        <f>"0,8921"</f>
        <v>0,8921</v>
      </c>
      <c r="E16" s="6" t="s">
        <v>33</v>
      </c>
      <c r="F16" s="6" t="s">
        <v>78</v>
      </c>
      <c r="G16" s="7" t="s">
        <v>109</v>
      </c>
      <c r="H16" s="8" t="s">
        <v>323</v>
      </c>
      <c r="I16" s="8" t="s">
        <v>323</v>
      </c>
      <c r="J16" s="8"/>
      <c r="K16" s="6" t="str">
        <f>"75,0"</f>
        <v>75,0</v>
      </c>
      <c r="L16" s="7" t="str">
        <f>"66,9112"</f>
        <v>66,9112</v>
      </c>
      <c r="M16" s="6" t="s">
        <v>37</v>
      </c>
    </row>
    <row r="18" spans="1:13" ht="15">
      <c r="A18" s="39" t="s">
        <v>425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3">
      <c r="A19" s="6" t="s">
        <v>427</v>
      </c>
      <c r="B19" s="6" t="s">
        <v>428</v>
      </c>
      <c r="C19" s="6" t="s">
        <v>429</v>
      </c>
      <c r="D19" s="6" t="str">
        <f>"0,5972"</f>
        <v>0,5972</v>
      </c>
      <c r="E19" s="6" t="s">
        <v>33</v>
      </c>
      <c r="F19" s="6" t="s">
        <v>354</v>
      </c>
      <c r="G19" s="7" t="s">
        <v>307</v>
      </c>
      <c r="H19" s="7" t="s">
        <v>324</v>
      </c>
      <c r="I19" s="8" t="s">
        <v>430</v>
      </c>
      <c r="J19" s="8"/>
      <c r="K19" s="6" t="str">
        <f>"85,0"</f>
        <v>85,0</v>
      </c>
      <c r="L19" s="7" t="str">
        <f>"50,7662"</f>
        <v>50,7662</v>
      </c>
      <c r="M19" s="6" t="s">
        <v>431</v>
      </c>
    </row>
    <row r="21" spans="1:13" ht="15">
      <c r="A21" s="39" t="s">
        <v>406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1:13">
      <c r="A22" s="6" t="s">
        <v>433</v>
      </c>
      <c r="B22" s="6" t="s">
        <v>434</v>
      </c>
      <c r="C22" s="6" t="s">
        <v>410</v>
      </c>
      <c r="D22" s="6" t="str">
        <f>"0,9712"</f>
        <v>0,9712</v>
      </c>
      <c r="E22" s="6" t="s">
        <v>33</v>
      </c>
      <c r="F22" s="6" t="s">
        <v>34</v>
      </c>
      <c r="G22" s="7" t="s">
        <v>319</v>
      </c>
      <c r="H22" s="7" t="s">
        <v>308</v>
      </c>
      <c r="I22" s="7" t="s">
        <v>337</v>
      </c>
      <c r="J22" s="8"/>
      <c r="K22" s="6" t="str">
        <f>"42,5"</f>
        <v>42,5</v>
      </c>
      <c r="L22" s="7" t="str">
        <f>"50,7695"</f>
        <v>50,7695</v>
      </c>
      <c r="M22" s="6" t="s">
        <v>37</v>
      </c>
    </row>
    <row r="24" spans="1:13" ht="15">
      <c r="A24" s="39" t="s">
        <v>131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3">
      <c r="A25" s="17" t="s">
        <v>436</v>
      </c>
      <c r="B25" s="17" t="s">
        <v>437</v>
      </c>
      <c r="C25" s="17" t="s">
        <v>438</v>
      </c>
      <c r="D25" s="17" t="str">
        <f>"0,7327"</f>
        <v>0,7327</v>
      </c>
      <c r="E25" s="17" t="s">
        <v>33</v>
      </c>
      <c r="F25" s="17" t="s">
        <v>439</v>
      </c>
      <c r="G25" s="19" t="s">
        <v>52</v>
      </c>
      <c r="H25" s="18" t="s">
        <v>113</v>
      </c>
      <c r="I25" s="18" t="s">
        <v>24</v>
      </c>
      <c r="J25" s="18"/>
      <c r="K25" s="17" t="str">
        <f>"82,5"</f>
        <v>82,5</v>
      </c>
      <c r="L25" s="19" t="str">
        <f>"68,3060"</f>
        <v>68,3060</v>
      </c>
      <c r="M25" s="17" t="s">
        <v>37</v>
      </c>
    </row>
    <row r="26" spans="1:13">
      <c r="A26" s="20" t="s">
        <v>441</v>
      </c>
      <c r="B26" s="20" t="s">
        <v>442</v>
      </c>
      <c r="C26" s="20" t="s">
        <v>443</v>
      </c>
      <c r="D26" s="20" t="str">
        <f>"0,7258"</f>
        <v>0,7258</v>
      </c>
      <c r="E26" s="20" t="s">
        <v>444</v>
      </c>
      <c r="F26" s="20" t="s">
        <v>354</v>
      </c>
      <c r="G26" s="22" t="s">
        <v>24</v>
      </c>
      <c r="H26" s="21" t="s">
        <v>326</v>
      </c>
      <c r="I26" s="21" t="s">
        <v>326</v>
      </c>
      <c r="J26" s="21"/>
      <c r="K26" s="20" t="str">
        <f>"95,0"</f>
        <v>95,0</v>
      </c>
      <c r="L26" s="22" t="str">
        <f>"71,0195"</f>
        <v>71,0195</v>
      </c>
      <c r="M26" s="20" t="s">
        <v>445</v>
      </c>
    </row>
    <row r="28" spans="1:13" ht="15">
      <c r="A28" s="39" t="s">
        <v>65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1:13">
      <c r="A29" s="17" t="s">
        <v>447</v>
      </c>
      <c r="B29" s="17" t="s">
        <v>448</v>
      </c>
      <c r="C29" s="17" t="s">
        <v>449</v>
      </c>
      <c r="D29" s="17" t="str">
        <f>"0,6687"</f>
        <v>0,6687</v>
      </c>
      <c r="E29" s="17" t="s">
        <v>450</v>
      </c>
      <c r="F29" s="17" t="s">
        <v>451</v>
      </c>
      <c r="G29" s="19" t="s">
        <v>111</v>
      </c>
      <c r="H29" s="19" t="s">
        <v>349</v>
      </c>
      <c r="I29" s="18" t="s">
        <v>85</v>
      </c>
      <c r="J29" s="18"/>
      <c r="K29" s="17" t="str">
        <f>"130,0"</f>
        <v>130,0</v>
      </c>
      <c r="L29" s="19" t="str">
        <f>"93,8855"</f>
        <v>93,8855</v>
      </c>
      <c r="M29" s="17" t="s">
        <v>37</v>
      </c>
    </row>
    <row r="30" spans="1:13">
      <c r="A30" s="23" t="s">
        <v>453</v>
      </c>
      <c r="B30" s="23" t="s">
        <v>454</v>
      </c>
      <c r="C30" s="23" t="s">
        <v>455</v>
      </c>
      <c r="D30" s="23" t="str">
        <f>"0,6730"</f>
        <v>0,6730</v>
      </c>
      <c r="E30" s="23" t="s">
        <v>33</v>
      </c>
      <c r="F30" s="23" t="s">
        <v>34</v>
      </c>
      <c r="G30" s="24" t="s">
        <v>326</v>
      </c>
      <c r="H30" s="24" t="s">
        <v>456</v>
      </c>
      <c r="I30" s="25" t="s">
        <v>331</v>
      </c>
      <c r="J30" s="25"/>
      <c r="K30" s="23" t="str">
        <f>"112,5"</f>
        <v>112,5</v>
      </c>
      <c r="L30" s="24" t="str">
        <f>"77,2267"</f>
        <v>77,2267</v>
      </c>
      <c r="M30" s="23" t="s">
        <v>457</v>
      </c>
    </row>
    <row r="31" spans="1:13">
      <c r="A31" s="23" t="s">
        <v>459</v>
      </c>
      <c r="B31" s="23" t="s">
        <v>460</v>
      </c>
      <c r="C31" s="23" t="s">
        <v>461</v>
      </c>
      <c r="D31" s="23" t="str">
        <f>"0,6752"</f>
        <v>0,6752</v>
      </c>
      <c r="E31" s="23" t="s">
        <v>33</v>
      </c>
      <c r="F31" s="23" t="s">
        <v>462</v>
      </c>
      <c r="G31" s="25" t="s">
        <v>463</v>
      </c>
      <c r="H31" s="24" t="s">
        <v>464</v>
      </c>
      <c r="I31" s="24" t="s">
        <v>355</v>
      </c>
      <c r="J31" s="25"/>
      <c r="K31" s="23" t="str">
        <f>"132,5"</f>
        <v>132,5</v>
      </c>
      <c r="L31" s="24" t="str">
        <f>"89,4640"</f>
        <v>89,4640</v>
      </c>
      <c r="M31" s="23" t="s">
        <v>37</v>
      </c>
    </row>
    <row r="32" spans="1:13">
      <c r="A32" s="23" t="s">
        <v>466</v>
      </c>
      <c r="B32" s="23" t="s">
        <v>467</v>
      </c>
      <c r="C32" s="23" t="s">
        <v>449</v>
      </c>
      <c r="D32" s="23" t="str">
        <f>"0,6687"</f>
        <v>0,6687</v>
      </c>
      <c r="E32" s="23" t="s">
        <v>33</v>
      </c>
      <c r="F32" s="23" t="s">
        <v>468</v>
      </c>
      <c r="G32" s="24" t="s">
        <v>115</v>
      </c>
      <c r="H32" s="24" t="s">
        <v>327</v>
      </c>
      <c r="I32" s="25" t="s">
        <v>331</v>
      </c>
      <c r="J32" s="25"/>
      <c r="K32" s="23" t="str">
        <f>"115,0"</f>
        <v>115,0</v>
      </c>
      <c r="L32" s="24" t="str">
        <f>"76,9005"</f>
        <v>76,9005</v>
      </c>
      <c r="M32" s="23" t="s">
        <v>37</v>
      </c>
    </row>
    <row r="33" spans="1:13">
      <c r="A33" s="23" t="s">
        <v>469</v>
      </c>
      <c r="B33" s="23" t="s">
        <v>470</v>
      </c>
      <c r="C33" s="23" t="s">
        <v>471</v>
      </c>
      <c r="D33" s="23" t="str">
        <f>"0,6820"</f>
        <v>0,6820</v>
      </c>
      <c r="E33" s="23" t="s">
        <v>33</v>
      </c>
      <c r="F33" s="23" t="s">
        <v>411</v>
      </c>
      <c r="G33" s="25" t="s">
        <v>327</v>
      </c>
      <c r="H33" s="25" t="s">
        <v>331</v>
      </c>
      <c r="I33" s="25" t="s">
        <v>331</v>
      </c>
      <c r="J33" s="25"/>
      <c r="K33" s="23" t="str">
        <f>"0,0"</f>
        <v>0,0</v>
      </c>
      <c r="L33" s="24" t="str">
        <f>"0,0000"</f>
        <v>0,0000</v>
      </c>
      <c r="M33" s="23" t="s">
        <v>37</v>
      </c>
    </row>
    <row r="34" spans="1:13">
      <c r="A34" s="23" t="s">
        <v>472</v>
      </c>
      <c r="B34" s="23" t="s">
        <v>473</v>
      </c>
      <c r="C34" s="23" t="s">
        <v>474</v>
      </c>
      <c r="D34" s="23" t="str">
        <f>"0,6723"</f>
        <v>0,6723</v>
      </c>
      <c r="E34" s="23" t="s">
        <v>33</v>
      </c>
      <c r="F34" s="23" t="s">
        <v>34</v>
      </c>
      <c r="G34" s="25" t="s">
        <v>187</v>
      </c>
      <c r="H34" s="25" t="s">
        <v>326</v>
      </c>
      <c r="I34" s="25"/>
      <c r="J34" s="25"/>
      <c r="K34" s="23" t="str">
        <f>"0,0"</f>
        <v>0,0</v>
      </c>
      <c r="L34" s="24" t="str">
        <f>"0,0000"</f>
        <v>0,0000</v>
      </c>
      <c r="M34" s="23" t="s">
        <v>37</v>
      </c>
    </row>
    <row r="35" spans="1:13">
      <c r="A35" s="23" t="s">
        <v>476</v>
      </c>
      <c r="B35" s="23" t="s">
        <v>477</v>
      </c>
      <c r="C35" s="23" t="s">
        <v>478</v>
      </c>
      <c r="D35" s="23" t="str">
        <f>"0,6923"</f>
        <v>0,6923</v>
      </c>
      <c r="E35" s="23" t="s">
        <v>100</v>
      </c>
      <c r="F35" s="23" t="s">
        <v>479</v>
      </c>
      <c r="G35" s="24" t="s">
        <v>349</v>
      </c>
      <c r="H35" s="24" t="s">
        <v>85</v>
      </c>
      <c r="I35" s="25"/>
      <c r="J35" s="25"/>
      <c r="K35" s="23" t="str">
        <f>"135,0"</f>
        <v>135,0</v>
      </c>
      <c r="L35" s="24" t="str">
        <f>"138,3215"</f>
        <v>138,3215</v>
      </c>
      <c r="M35" s="23" t="s">
        <v>234</v>
      </c>
    </row>
    <row r="36" spans="1:13">
      <c r="A36" s="20" t="s">
        <v>481</v>
      </c>
      <c r="B36" s="20" t="s">
        <v>482</v>
      </c>
      <c r="C36" s="20" t="s">
        <v>483</v>
      </c>
      <c r="D36" s="20" t="str">
        <f>"0,6805"</f>
        <v>0,6805</v>
      </c>
      <c r="E36" s="20" t="s">
        <v>33</v>
      </c>
      <c r="F36" s="20" t="s">
        <v>34</v>
      </c>
      <c r="G36" s="22" t="s">
        <v>25</v>
      </c>
      <c r="H36" s="22" t="s">
        <v>484</v>
      </c>
      <c r="I36" s="21" t="s">
        <v>485</v>
      </c>
      <c r="J36" s="21"/>
      <c r="K36" s="20" t="str">
        <f>"102,5"</f>
        <v>102,5</v>
      </c>
      <c r="L36" s="22" t="str">
        <f>"145,3616"</f>
        <v>145,3616</v>
      </c>
      <c r="M36" s="20" t="s">
        <v>37</v>
      </c>
    </row>
    <row r="38" spans="1:13" ht="15">
      <c r="A38" s="39" t="s">
        <v>14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>
      <c r="A39" s="17" t="s">
        <v>487</v>
      </c>
      <c r="B39" s="17" t="s">
        <v>488</v>
      </c>
      <c r="C39" s="17" t="s">
        <v>489</v>
      </c>
      <c r="D39" s="17" t="str">
        <f>"0,6424"</f>
        <v>0,6424</v>
      </c>
      <c r="E39" s="17" t="s">
        <v>33</v>
      </c>
      <c r="F39" s="17" t="s">
        <v>490</v>
      </c>
      <c r="G39" s="19" t="s">
        <v>24</v>
      </c>
      <c r="H39" s="19" t="s">
        <v>491</v>
      </c>
      <c r="I39" s="18" t="s">
        <v>327</v>
      </c>
      <c r="J39" s="18"/>
      <c r="K39" s="17" t="str">
        <f>"107,5"</f>
        <v>107,5</v>
      </c>
      <c r="L39" s="19" t="str">
        <f>"78,0355"</f>
        <v>78,0355</v>
      </c>
      <c r="M39" s="17" t="s">
        <v>37</v>
      </c>
    </row>
    <row r="40" spans="1:13">
      <c r="A40" s="23" t="s">
        <v>493</v>
      </c>
      <c r="B40" s="23" t="s">
        <v>494</v>
      </c>
      <c r="C40" s="23" t="s">
        <v>495</v>
      </c>
      <c r="D40" s="23" t="str">
        <f>"0,6198"</f>
        <v>0,6198</v>
      </c>
      <c r="E40" s="23" t="s">
        <v>33</v>
      </c>
      <c r="F40" s="23" t="s">
        <v>496</v>
      </c>
      <c r="G40" s="25" t="s">
        <v>71</v>
      </c>
      <c r="H40" s="24" t="s">
        <v>71</v>
      </c>
      <c r="I40" s="24" t="s">
        <v>21</v>
      </c>
      <c r="J40" s="25"/>
      <c r="K40" s="23" t="str">
        <f>"170,0"</f>
        <v>170,0</v>
      </c>
      <c r="L40" s="24" t="str">
        <f>"105,3660"</f>
        <v>105,3660</v>
      </c>
      <c r="M40" s="23" t="s">
        <v>37</v>
      </c>
    </row>
    <row r="41" spans="1:13">
      <c r="A41" s="23" t="s">
        <v>498</v>
      </c>
      <c r="B41" s="23" t="s">
        <v>499</v>
      </c>
      <c r="C41" s="23" t="s">
        <v>500</v>
      </c>
      <c r="D41" s="23" t="str">
        <f>"0,6273"</f>
        <v>0,6273</v>
      </c>
      <c r="E41" s="23" t="s">
        <v>100</v>
      </c>
      <c r="F41" s="23" t="s">
        <v>404</v>
      </c>
      <c r="G41" s="24" t="s">
        <v>501</v>
      </c>
      <c r="H41" s="24" t="s">
        <v>502</v>
      </c>
      <c r="I41" s="24" t="s">
        <v>71</v>
      </c>
      <c r="J41" s="25"/>
      <c r="K41" s="23" t="str">
        <f>"160,0"</f>
        <v>160,0</v>
      </c>
      <c r="L41" s="24" t="str">
        <f>"100,3680"</f>
        <v>100,3680</v>
      </c>
      <c r="M41" s="23" t="s">
        <v>405</v>
      </c>
    </row>
    <row r="42" spans="1:13">
      <c r="A42" s="23" t="s">
        <v>504</v>
      </c>
      <c r="B42" s="23" t="s">
        <v>505</v>
      </c>
      <c r="C42" s="23" t="s">
        <v>506</v>
      </c>
      <c r="D42" s="23" t="str">
        <f>"0,6219"</f>
        <v>0,6219</v>
      </c>
      <c r="E42" s="23" t="s">
        <v>33</v>
      </c>
      <c r="F42" s="23" t="s">
        <v>34</v>
      </c>
      <c r="G42" s="25" t="s">
        <v>507</v>
      </c>
      <c r="H42" s="25" t="s">
        <v>507</v>
      </c>
      <c r="I42" s="24" t="s">
        <v>507</v>
      </c>
      <c r="J42" s="25"/>
      <c r="K42" s="23" t="str">
        <f>"137,5"</f>
        <v>137,5</v>
      </c>
      <c r="L42" s="24" t="str">
        <f>"85,5113"</f>
        <v>85,5113</v>
      </c>
      <c r="M42" s="23" t="s">
        <v>37</v>
      </c>
    </row>
    <row r="43" spans="1:13">
      <c r="A43" s="23" t="s">
        <v>509</v>
      </c>
      <c r="B43" s="23" t="s">
        <v>510</v>
      </c>
      <c r="C43" s="23" t="s">
        <v>511</v>
      </c>
      <c r="D43" s="23" t="str">
        <f>"0,6335"</f>
        <v>0,6335</v>
      </c>
      <c r="E43" s="23" t="s">
        <v>33</v>
      </c>
      <c r="F43" s="23" t="s">
        <v>34</v>
      </c>
      <c r="G43" s="24" t="s">
        <v>111</v>
      </c>
      <c r="H43" s="24" t="s">
        <v>85</v>
      </c>
      <c r="I43" s="25" t="s">
        <v>501</v>
      </c>
      <c r="J43" s="25"/>
      <c r="K43" s="23" t="str">
        <f>"135,0"</f>
        <v>135,0</v>
      </c>
      <c r="L43" s="24" t="str">
        <f>"85,5225"</f>
        <v>85,5225</v>
      </c>
      <c r="M43" s="23" t="s">
        <v>37</v>
      </c>
    </row>
    <row r="44" spans="1:13">
      <c r="A44" s="20" t="s">
        <v>513</v>
      </c>
      <c r="B44" s="20" t="s">
        <v>514</v>
      </c>
      <c r="C44" s="20" t="s">
        <v>515</v>
      </c>
      <c r="D44" s="20" t="str">
        <f>"0,6224"</f>
        <v>0,6224</v>
      </c>
      <c r="E44" s="20" t="s">
        <v>33</v>
      </c>
      <c r="F44" s="20" t="s">
        <v>516</v>
      </c>
      <c r="G44" s="22" t="s">
        <v>464</v>
      </c>
      <c r="H44" s="21" t="s">
        <v>355</v>
      </c>
      <c r="I44" s="21" t="s">
        <v>355</v>
      </c>
      <c r="J44" s="21"/>
      <c r="K44" s="20" t="str">
        <f>"127,5"</f>
        <v>127,5</v>
      </c>
      <c r="L44" s="22" t="str">
        <f>"79,3560"</f>
        <v>79,3560</v>
      </c>
      <c r="M44" s="20" t="s">
        <v>37</v>
      </c>
    </row>
    <row r="46" spans="1:13" ht="15">
      <c r="A46" s="39" t="s">
        <v>73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3">
      <c r="A47" s="17" t="s">
        <v>518</v>
      </c>
      <c r="B47" s="17" t="s">
        <v>519</v>
      </c>
      <c r="C47" s="17" t="s">
        <v>520</v>
      </c>
      <c r="D47" s="17" t="str">
        <f>"0,5853"</f>
        <v>0,5853</v>
      </c>
      <c r="E47" s="17" t="s">
        <v>33</v>
      </c>
      <c r="F47" s="17" t="s">
        <v>521</v>
      </c>
      <c r="G47" s="19" t="s">
        <v>349</v>
      </c>
      <c r="H47" s="18" t="s">
        <v>87</v>
      </c>
      <c r="I47" s="18" t="s">
        <v>87</v>
      </c>
      <c r="J47" s="18"/>
      <c r="K47" s="17" t="str">
        <f>"130,0"</f>
        <v>130,0</v>
      </c>
      <c r="L47" s="19" t="str">
        <f>"79,1326"</f>
        <v>79,1326</v>
      </c>
      <c r="M47" s="17" t="s">
        <v>37</v>
      </c>
    </row>
    <row r="48" spans="1:13">
      <c r="A48" s="23" t="s">
        <v>523</v>
      </c>
      <c r="B48" s="23" t="s">
        <v>524</v>
      </c>
      <c r="C48" s="23" t="s">
        <v>525</v>
      </c>
      <c r="D48" s="23" t="str">
        <f>"0,5930"</f>
        <v>0,5930</v>
      </c>
      <c r="E48" s="23" t="s">
        <v>33</v>
      </c>
      <c r="F48" s="23" t="s">
        <v>516</v>
      </c>
      <c r="G48" s="24" t="s">
        <v>79</v>
      </c>
      <c r="H48" s="25" t="s">
        <v>71</v>
      </c>
      <c r="I48" s="24" t="s">
        <v>71</v>
      </c>
      <c r="J48" s="25"/>
      <c r="K48" s="23" t="str">
        <f>"160,0"</f>
        <v>160,0</v>
      </c>
      <c r="L48" s="24" t="str">
        <f>"94,8800"</f>
        <v>94,8800</v>
      </c>
      <c r="M48" s="23" t="s">
        <v>37</v>
      </c>
    </row>
    <row r="49" spans="1:13">
      <c r="A49" s="23" t="s">
        <v>527</v>
      </c>
      <c r="B49" s="23" t="s">
        <v>528</v>
      </c>
      <c r="C49" s="23" t="s">
        <v>529</v>
      </c>
      <c r="D49" s="23" t="str">
        <f>"0,5881"</f>
        <v>0,5881</v>
      </c>
      <c r="E49" s="23" t="s">
        <v>33</v>
      </c>
      <c r="F49" s="23" t="s">
        <v>411</v>
      </c>
      <c r="G49" s="24" t="s">
        <v>87</v>
      </c>
      <c r="H49" s="24" t="s">
        <v>79</v>
      </c>
      <c r="I49" s="24" t="s">
        <v>502</v>
      </c>
      <c r="J49" s="25"/>
      <c r="K49" s="23" t="str">
        <f>"157,5"</f>
        <v>157,5</v>
      </c>
      <c r="L49" s="24" t="str">
        <f>"92,6258"</f>
        <v>92,6258</v>
      </c>
      <c r="M49" s="23" t="s">
        <v>37</v>
      </c>
    </row>
    <row r="50" spans="1:13">
      <c r="A50" s="23" t="s">
        <v>531</v>
      </c>
      <c r="B50" s="23" t="s">
        <v>532</v>
      </c>
      <c r="C50" s="23" t="s">
        <v>533</v>
      </c>
      <c r="D50" s="23" t="str">
        <f>"0,5914"</f>
        <v>0,5914</v>
      </c>
      <c r="E50" s="23" t="s">
        <v>33</v>
      </c>
      <c r="F50" s="23" t="s">
        <v>534</v>
      </c>
      <c r="G50" s="24" t="s">
        <v>349</v>
      </c>
      <c r="H50" s="24" t="s">
        <v>126</v>
      </c>
      <c r="I50" s="25" t="s">
        <v>87</v>
      </c>
      <c r="J50" s="25"/>
      <c r="K50" s="23" t="str">
        <f>"140,0"</f>
        <v>140,0</v>
      </c>
      <c r="L50" s="24" t="str">
        <f>"82,7960"</f>
        <v>82,7960</v>
      </c>
      <c r="M50" s="23" t="s">
        <v>37</v>
      </c>
    </row>
    <row r="51" spans="1:13">
      <c r="A51" s="20" t="s">
        <v>535</v>
      </c>
      <c r="B51" s="20" t="s">
        <v>536</v>
      </c>
      <c r="C51" s="20" t="s">
        <v>533</v>
      </c>
      <c r="D51" s="20" t="str">
        <f>"0,5914"</f>
        <v>0,5914</v>
      </c>
      <c r="E51" s="20" t="s">
        <v>33</v>
      </c>
      <c r="F51" s="20" t="s">
        <v>534</v>
      </c>
      <c r="G51" s="22" t="s">
        <v>349</v>
      </c>
      <c r="H51" s="22" t="s">
        <v>126</v>
      </c>
      <c r="I51" s="21" t="s">
        <v>87</v>
      </c>
      <c r="J51" s="21"/>
      <c r="K51" s="20" t="str">
        <f>"140,0"</f>
        <v>140,0</v>
      </c>
      <c r="L51" s="22" t="str">
        <f>"83,5412"</f>
        <v>83,5412</v>
      </c>
      <c r="M51" s="20" t="s">
        <v>37</v>
      </c>
    </row>
    <row r="53" spans="1:13" ht="15">
      <c r="A53" s="39" t="s">
        <v>177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3">
      <c r="A54" s="17" t="s">
        <v>538</v>
      </c>
      <c r="B54" s="17" t="s">
        <v>539</v>
      </c>
      <c r="C54" s="17" t="s">
        <v>216</v>
      </c>
      <c r="D54" s="17" t="str">
        <f>"0,5540"</f>
        <v>0,5540</v>
      </c>
      <c r="E54" s="17" t="s">
        <v>33</v>
      </c>
      <c r="F54" s="17" t="s">
        <v>540</v>
      </c>
      <c r="G54" s="19" t="s">
        <v>456</v>
      </c>
      <c r="H54" s="19" t="s">
        <v>541</v>
      </c>
      <c r="I54" s="19" t="s">
        <v>111</v>
      </c>
      <c r="J54" s="18"/>
      <c r="K54" s="17" t="str">
        <f>"125,0"</f>
        <v>125,0</v>
      </c>
      <c r="L54" s="19" t="str">
        <f>"78,2525"</f>
        <v>78,2525</v>
      </c>
      <c r="M54" s="17" t="s">
        <v>37</v>
      </c>
    </row>
    <row r="55" spans="1:13">
      <c r="A55" s="23" t="s">
        <v>543</v>
      </c>
      <c r="B55" s="23" t="s">
        <v>544</v>
      </c>
      <c r="C55" s="23" t="s">
        <v>216</v>
      </c>
      <c r="D55" s="23" t="str">
        <f>"0,5540"</f>
        <v>0,5540</v>
      </c>
      <c r="E55" s="23" t="s">
        <v>33</v>
      </c>
      <c r="F55" s="23" t="s">
        <v>468</v>
      </c>
      <c r="G55" s="24" t="s">
        <v>85</v>
      </c>
      <c r="H55" s="25" t="s">
        <v>126</v>
      </c>
      <c r="I55" s="25" t="s">
        <v>545</v>
      </c>
      <c r="J55" s="25"/>
      <c r="K55" s="23" t="str">
        <f>"135,0"</f>
        <v>135,0</v>
      </c>
      <c r="L55" s="24" t="str">
        <f>"79,2774"</f>
        <v>79,2774</v>
      </c>
      <c r="M55" s="23" t="s">
        <v>37</v>
      </c>
    </row>
    <row r="56" spans="1:13">
      <c r="A56" s="23" t="s">
        <v>547</v>
      </c>
      <c r="B56" s="23" t="s">
        <v>548</v>
      </c>
      <c r="C56" s="23" t="s">
        <v>549</v>
      </c>
      <c r="D56" s="23" t="str">
        <f>"0,5573"</f>
        <v>0,5573</v>
      </c>
      <c r="E56" s="23" t="s">
        <v>33</v>
      </c>
      <c r="F56" s="23" t="s">
        <v>550</v>
      </c>
      <c r="G56" s="24" t="s">
        <v>71</v>
      </c>
      <c r="H56" s="24" t="s">
        <v>21</v>
      </c>
      <c r="I56" s="25" t="s">
        <v>551</v>
      </c>
      <c r="J56" s="25"/>
      <c r="K56" s="23" t="str">
        <f>"170,0"</f>
        <v>170,0</v>
      </c>
      <c r="L56" s="24" t="str">
        <f>"94,7410"</f>
        <v>94,7410</v>
      </c>
      <c r="M56" s="23" t="s">
        <v>37</v>
      </c>
    </row>
    <row r="57" spans="1:13">
      <c r="A57" s="23" t="s">
        <v>553</v>
      </c>
      <c r="B57" s="23" t="s">
        <v>554</v>
      </c>
      <c r="C57" s="23" t="s">
        <v>555</v>
      </c>
      <c r="D57" s="23" t="str">
        <f>"0,5651"</f>
        <v>0,5651</v>
      </c>
      <c r="E57" s="23" t="s">
        <v>33</v>
      </c>
      <c r="F57" s="23" t="s">
        <v>556</v>
      </c>
      <c r="G57" s="24" t="s">
        <v>137</v>
      </c>
      <c r="H57" s="24" t="s">
        <v>557</v>
      </c>
      <c r="I57" s="25" t="s">
        <v>551</v>
      </c>
      <c r="J57" s="25"/>
      <c r="K57" s="23" t="str">
        <f>"167,5"</f>
        <v>167,5</v>
      </c>
      <c r="L57" s="24" t="str">
        <f>"94,6543"</f>
        <v>94,6543</v>
      </c>
      <c r="M57" s="23" t="s">
        <v>37</v>
      </c>
    </row>
    <row r="58" spans="1:13">
      <c r="A58" s="23" t="s">
        <v>559</v>
      </c>
      <c r="B58" s="23" t="s">
        <v>560</v>
      </c>
      <c r="C58" s="23" t="s">
        <v>561</v>
      </c>
      <c r="D58" s="23" t="str">
        <f>"0,5772"</f>
        <v>0,5772</v>
      </c>
      <c r="E58" s="23" t="s">
        <v>33</v>
      </c>
      <c r="F58" s="23" t="s">
        <v>490</v>
      </c>
      <c r="G58" s="24" t="s">
        <v>126</v>
      </c>
      <c r="H58" s="24" t="s">
        <v>501</v>
      </c>
      <c r="I58" s="24" t="s">
        <v>79</v>
      </c>
      <c r="J58" s="25"/>
      <c r="K58" s="23" t="str">
        <f>"155,0"</f>
        <v>155,0</v>
      </c>
      <c r="L58" s="24" t="str">
        <f>"89,4660"</f>
        <v>89,4660</v>
      </c>
      <c r="M58" s="23" t="s">
        <v>37</v>
      </c>
    </row>
    <row r="59" spans="1:13">
      <c r="A59" s="20" t="s">
        <v>563</v>
      </c>
      <c r="B59" s="20" t="s">
        <v>564</v>
      </c>
      <c r="C59" s="20" t="s">
        <v>565</v>
      </c>
      <c r="D59" s="20" t="str">
        <f>"0,5548"</f>
        <v>0,5548</v>
      </c>
      <c r="E59" s="20" t="s">
        <v>33</v>
      </c>
      <c r="F59" s="20" t="s">
        <v>61</v>
      </c>
      <c r="G59" s="22" t="s">
        <v>126</v>
      </c>
      <c r="H59" s="21" t="s">
        <v>137</v>
      </c>
      <c r="I59" s="21" t="s">
        <v>137</v>
      </c>
      <c r="J59" s="21"/>
      <c r="K59" s="20" t="str">
        <f>"140,0"</f>
        <v>140,0</v>
      </c>
      <c r="L59" s="22" t="str">
        <f>"77,6720"</f>
        <v>77,6720</v>
      </c>
      <c r="M59" s="20" t="s">
        <v>37</v>
      </c>
    </row>
    <row r="61" spans="1:13" ht="15">
      <c r="A61" s="39" t="s">
        <v>29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</row>
    <row r="62" spans="1:13">
      <c r="A62" s="17" t="s">
        <v>567</v>
      </c>
      <c r="B62" s="17" t="s">
        <v>568</v>
      </c>
      <c r="C62" s="17" t="s">
        <v>569</v>
      </c>
      <c r="D62" s="17" t="str">
        <f>"0,5372"</f>
        <v>0,5372</v>
      </c>
      <c r="E62" s="17" t="s">
        <v>33</v>
      </c>
      <c r="F62" s="17" t="s">
        <v>570</v>
      </c>
      <c r="G62" s="19" t="s">
        <v>26</v>
      </c>
      <c r="H62" s="18" t="s">
        <v>101</v>
      </c>
      <c r="I62" s="18" t="s">
        <v>101</v>
      </c>
      <c r="J62" s="18"/>
      <c r="K62" s="17" t="str">
        <f>"190,0"</f>
        <v>190,0</v>
      </c>
      <c r="L62" s="19" t="str">
        <f>"102,0680"</f>
        <v>102,0680</v>
      </c>
      <c r="M62" s="17" t="s">
        <v>571</v>
      </c>
    </row>
    <row r="63" spans="1:13">
      <c r="A63" s="23" t="s">
        <v>573</v>
      </c>
      <c r="B63" s="23" t="s">
        <v>574</v>
      </c>
      <c r="C63" s="23" t="s">
        <v>575</v>
      </c>
      <c r="D63" s="23" t="str">
        <f>"0,5405"</f>
        <v>0,5405</v>
      </c>
      <c r="E63" s="23" t="s">
        <v>33</v>
      </c>
      <c r="F63" s="23" t="s">
        <v>34</v>
      </c>
      <c r="G63" s="24" t="s">
        <v>501</v>
      </c>
      <c r="H63" s="24" t="s">
        <v>557</v>
      </c>
      <c r="I63" s="25"/>
      <c r="J63" s="25"/>
      <c r="K63" s="23" t="str">
        <f>"167,5"</f>
        <v>167,5</v>
      </c>
      <c r="L63" s="24" t="str">
        <f>"90,5337"</f>
        <v>90,5337</v>
      </c>
      <c r="M63" s="23" t="s">
        <v>37</v>
      </c>
    </row>
    <row r="64" spans="1:13">
      <c r="A64" s="23" t="s">
        <v>576</v>
      </c>
      <c r="B64" s="23" t="s">
        <v>577</v>
      </c>
      <c r="C64" s="23" t="s">
        <v>578</v>
      </c>
      <c r="D64" s="23" t="str">
        <f>"0,5386"</f>
        <v>0,5386</v>
      </c>
      <c r="E64" s="23" t="s">
        <v>33</v>
      </c>
      <c r="F64" s="23" t="s">
        <v>34</v>
      </c>
      <c r="G64" s="24" t="s">
        <v>137</v>
      </c>
      <c r="H64" s="24" t="s">
        <v>557</v>
      </c>
      <c r="I64" s="25" t="s">
        <v>21</v>
      </c>
      <c r="J64" s="25"/>
      <c r="K64" s="23" t="str">
        <f>"167,5"</f>
        <v>167,5</v>
      </c>
      <c r="L64" s="24" t="str">
        <f>"90,2155"</f>
        <v>90,2155</v>
      </c>
      <c r="M64" s="23" t="s">
        <v>37</v>
      </c>
    </row>
    <row r="65" spans="1:13">
      <c r="A65" s="20" t="s">
        <v>580</v>
      </c>
      <c r="B65" s="20" t="s">
        <v>581</v>
      </c>
      <c r="C65" s="20" t="s">
        <v>582</v>
      </c>
      <c r="D65" s="20" t="str">
        <f>"0,5381"</f>
        <v>0,5381</v>
      </c>
      <c r="E65" s="20" t="s">
        <v>33</v>
      </c>
      <c r="F65" s="20" t="s">
        <v>34</v>
      </c>
      <c r="G65" s="22" t="s">
        <v>79</v>
      </c>
      <c r="H65" s="22" t="s">
        <v>71</v>
      </c>
      <c r="I65" s="21" t="s">
        <v>137</v>
      </c>
      <c r="J65" s="21"/>
      <c r="K65" s="20" t="str">
        <f>"160,0"</f>
        <v>160,0</v>
      </c>
      <c r="L65" s="22" t="str">
        <f>"86,8709"</f>
        <v>86,8709</v>
      </c>
      <c r="M65" s="20" t="s">
        <v>37</v>
      </c>
    </row>
    <row r="67" spans="1:13" ht="15">
      <c r="A67" s="39" t="s">
        <v>95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</row>
    <row r="68" spans="1:13">
      <c r="A68" s="17" t="s">
        <v>583</v>
      </c>
      <c r="B68" s="17" t="s">
        <v>584</v>
      </c>
      <c r="C68" s="17" t="s">
        <v>585</v>
      </c>
      <c r="D68" s="17" t="str">
        <f>"0,5210"</f>
        <v>0,5210</v>
      </c>
      <c r="E68" s="17" t="s">
        <v>33</v>
      </c>
      <c r="F68" s="17" t="s">
        <v>586</v>
      </c>
      <c r="G68" s="18" t="s">
        <v>587</v>
      </c>
      <c r="H68" s="18" t="s">
        <v>587</v>
      </c>
      <c r="I68" s="18" t="s">
        <v>587</v>
      </c>
      <c r="J68" s="18"/>
      <c r="K68" s="17" t="str">
        <f>"0,0"</f>
        <v>0,0</v>
      </c>
      <c r="L68" s="19" t="str">
        <f>"0,0000"</f>
        <v>0,0000</v>
      </c>
      <c r="M68" s="17" t="s">
        <v>37</v>
      </c>
    </row>
    <row r="69" spans="1:13">
      <c r="A69" s="20" t="s">
        <v>589</v>
      </c>
      <c r="B69" s="20" t="s">
        <v>590</v>
      </c>
      <c r="C69" s="20" t="s">
        <v>591</v>
      </c>
      <c r="D69" s="20" t="str">
        <f>"0,5231"</f>
        <v>0,5231</v>
      </c>
      <c r="E69" s="20" t="s">
        <v>33</v>
      </c>
      <c r="F69" s="20" t="s">
        <v>34</v>
      </c>
      <c r="G69" s="22" t="s">
        <v>79</v>
      </c>
      <c r="H69" s="22" t="s">
        <v>71</v>
      </c>
      <c r="I69" s="22" t="s">
        <v>137</v>
      </c>
      <c r="J69" s="21"/>
      <c r="K69" s="20" t="str">
        <f>"162,5"</f>
        <v>162,5</v>
      </c>
      <c r="L69" s="22" t="str">
        <f>"90,8690"</f>
        <v>90,8690</v>
      </c>
      <c r="M69" s="20" t="s">
        <v>37</v>
      </c>
    </row>
    <row r="71" spans="1:13" ht="15">
      <c r="A71" s="39" t="s">
        <v>223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3">
      <c r="A72" s="6" t="s">
        <v>593</v>
      </c>
      <c r="B72" s="6" t="s">
        <v>594</v>
      </c>
      <c r="C72" s="6" t="s">
        <v>595</v>
      </c>
      <c r="D72" s="6" t="str">
        <f>"0,5090"</f>
        <v>0,5090</v>
      </c>
      <c r="E72" s="6" t="s">
        <v>33</v>
      </c>
      <c r="F72" s="6" t="s">
        <v>34</v>
      </c>
      <c r="G72" s="7" t="s">
        <v>343</v>
      </c>
      <c r="H72" s="7" t="s">
        <v>27</v>
      </c>
      <c r="I72" s="7" t="s">
        <v>360</v>
      </c>
      <c r="J72" s="8"/>
      <c r="K72" s="6" t="str">
        <f>"220,0"</f>
        <v>220,0</v>
      </c>
      <c r="L72" s="7" t="str">
        <f>"111,9800"</f>
        <v>111,9800</v>
      </c>
      <c r="M72" s="6" t="s">
        <v>37</v>
      </c>
    </row>
    <row r="74" spans="1:13" ht="15">
      <c r="A74" s="39" t="s">
        <v>596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</row>
    <row r="75" spans="1:13">
      <c r="A75" s="6" t="s">
        <v>598</v>
      </c>
      <c r="B75" s="6" t="s">
        <v>599</v>
      </c>
      <c r="C75" s="6" t="s">
        <v>600</v>
      </c>
      <c r="D75" s="6" t="str">
        <f>"0,4709"</f>
        <v>0,4709</v>
      </c>
      <c r="E75" s="6" t="s">
        <v>601</v>
      </c>
      <c r="F75" s="6" t="s">
        <v>34</v>
      </c>
      <c r="G75" s="8" t="s">
        <v>72</v>
      </c>
      <c r="H75" s="7" t="s">
        <v>72</v>
      </c>
      <c r="I75" s="8" t="s">
        <v>144</v>
      </c>
      <c r="J75" s="8"/>
      <c r="K75" s="6" t="str">
        <f>"182,5"</f>
        <v>182,5</v>
      </c>
      <c r="L75" s="7" t="str">
        <f>"85,9392"</f>
        <v>85,9392</v>
      </c>
      <c r="M75" s="6" t="s">
        <v>37</v>
      </c>
    </row>
    <row r="77" spans="1:13" ht="15">
      <c r="E77" s="9" t="s">
        <v>38</v>
      </c>
    </row>
    <row r="78" spans="1:13" ht="15">
      <c r="E78" s="9" t="s">
        <v>39</v>
      </c>
    </row>
    <row r="79" spans="1:13" ht="15">
      <c r="E79" s="9" t="s">
        <v>40</v>
      </c>
    </row>
    <row r="80" spans="1:13" ht="15">
      <c r="E80" s="9" t="s">
        <v>41</v>
      </c>
    </row>
    <row r="81" spans="1:5" ht="15">
      <c r="E81" s="9" t="s">
        <v>41</v>
      </c>
    </row>
    <row r="82" spans="1:5" ht="15">
      <c r="E82" s="9" t="s">
        <v>42</v>
      </c>
    </row>
    <row r="83" spans="1:5" ht="15">
      <c r="E83" s="9"/>
    </row>
    <row r="85" spans="1:5" ht="18">
      <c r="A85" s="10" t="s">
        <v>43</v>
      </c>
      <c r="B85" s="10"/>
    </row>
    <row r="86" spans="1:5" ht="15">
      <c r="A86" s="11" t="s">
        <v>103</v>
      </c>
      <c r="B86" s="11"/>
    </row>
    <row r="87" spans="1:5" ht="14.25">
      <c r="A87" s="13"/>
      <c r="B87" s="14" t="s">
        <v>104</v>
      </c>
    </row>
    <row r="88" spans="1:5" ht="15">
      <c r="A88" s="15" t="s">
        <v>46</v>
      </c>
      <c r="B88" s="15" t="s">
        <v>47</v>
      </c>
      <c r="C88" s="15" t="s">
        <v>48</v>
      </c>
      <c r="D88" s="15" t="s">
        <v>49</v>
      </c>
      <c r="E88" s="15" t="s">
        <v>50</v>
      </c>
    </row>
    <row r="89" spans="1:5">
      <c r="A89" s="12" t="s">
        <v>421</v>
      </c>
      <c r="B89" s="5" t="s">
        <v>104</v>
      </c>
      <c r="C89" s="5" t="s">
        <v>302</v>
      </c>
      <c r="D89" s="5" t="s">
        <v>109</v>
      </c>
      <c r="E89" s="16" t="s">
        <v>602</v>
      </c>
    </row>
    <row r="90" spans="1:5">
      <c r="A90" s="12" t="s">
        <v>407</v>
      </c>
      <c r="B90" s="5" t="s">
        <v>104</v>
      </c>
      <c r="C90" s="5" t="s">
        <v>603</v>
      </c>
      <c r="D90" s="5" t="s">
        <v>302</v>
      </c>
      <c r="E90" s="16" t="s">
        <v>604</v>
      </c>
    </row>
    <row r="91" spans="1:5">
      <c r="A91" s="12" t="s">
        <v>605</v>
      </c>
      <c r="B91" s="5" t="s">
        <v>104</v>
      </c>
      <c r="C91" s="5" t="s">
        <v>302</v>
      </c>
      <c r="D91" s="5" t="s">
        <v>205</v>
      </c>
      <c r="E91" s="16" t="s">
        <v>606</v>
      </c>
    </row>
    <row r="92" spans="1:5">
      <c r="A92" s="12" t="s">
        <v>412</v>
      </c>
      <c r="B92" s="5" t="s">
        <v>104</v>
      </c>
      <c r="C92" s="5" t="s">
        <v>603</v>
      </c>
      <c r="D92" s="5" t="s">
        <v>416</v>
      </c>
      <c r="E92" s="16" t="s">
        <v>607</v>
      </c>
    </row>
    <row r="93" spans="1:5">
      <c r="A93" s="12" t="s">
        <v>426</v>
      </c>
      <c r="B93" s="5" t="s">
        <v>104</v>
      </c>
      <c r="C93" s="5" t="s">
        <v>93</v>
      </c>
      <c r="D93" s="5" t="s">
        <v>324</v>
      </c>
      <c r="E93" s="16" t="s">
        <v>608</v>
      </c>
    </row>
    <row r="94" spans="1:5">
      <c r="A94" s="12" t="s">
        <v>400</v>
      </c>
      <c r="B94" s="5" t="s">
        <v>104</v>
      </c>
      <c r="C94" s="5" t="s">
        <v>380</v>
      </c>
      <c r="D94" s="5" t="s">
        <v>309</v>
      </c>
      <c r="E94" s="16" t="s">
        <v>609</v>
      </c>
    </row>
    <row r="97" spans="1:5" ht="15">
      <c r="A97" s="11" t="s">
        <v>44</v>
      </c>
      <c r="B97" s="11"/>
    </row>
    <row r="98" spans="1:5" ht="14.25">
      <c r="A98" s="13"/>
      <c r="B98" s="14" t="s">
        <v>147</v>
      </c>
    </row>
    <row r="99" spans="1:5" ht="15">
      <c r="A99" s="15" t="s">
        <v>46</v>
      </c>
      <c r="B99" s="15" t="s">
        <v>47</v>
      </c>
      <c r="C99" s="15" t="s">
        <v>48</v>
      </c>
      <c r="D99" s="15" t="s">
        <v>49</v>
      </c>
      <c r="E99" s="15" t="s">
        <v>50</v>
      </c>
    </row>
    <row r="100" spans="1:5">
      <c r="A100" s="12" t="s">
        <v>446</v>
      </c>
      <c r="B100" s="5" t="s">
        <v>148</v>
      </c>
      <c r="C100" s="5" t="s">
        <v>109</v>
      </c>
      <c r="D100" s="5" t="s">
        <v>349</v>
      </c>
      <c r="E100" s="16" t="s">
        <v>610</v>
      </c>
    </row>
    <row r="101" spans="1:5">
      <c r="A101" s="12" t="s">
        <v>542</v>
      </c>
      <c r="B101" s="5" t="s">
        <v>375</v>
      </c>
      <c r="C101" s="5" t="s">
        <v>187</v>
      </c>
      <c r="D101" s="5" t="s">
        <v>85</v>
      </c>
      <c r="E101" s="16" t="s">
        <v>611</v>
      </c>
    </row>
    <row r="102" spans="1:5">
      <c r="A102" s="12" t="s">
        <v>517</v>
      </c>
      <c r="B102" s="5" t="s">
        <v>375</v>
      </c>
      <c r="C102" s="5" t="s">
        <v>113</v>
      </c>
      <c r="D102" s="5" t="s">
        <v>349</v>
      </c>
      <c r="E102" s="16" t="s">
        <v>612</v>
      </c>
    </row>
    <row r="103" spans="1:5">
      <c r="A103" s="12" t="s">
        <v>537</v>
      </c>
      <c r="B103" s="5" t="s">
        <v>148</v>
      </c>
      <c r="C103" s="5" t="s">
        <v>187</v>
      </c>
      <c r="D103" s="5" t="s">
        <v>111</v>
      </c>
      <c r="E103" s="16" t="s">
        <v>613</v>
      </c>
    </row>
    <row r="104" spans="1:5">
      <c r="A104" s="12" t="s">
        <v>486</v>
      </c>
      <c r="B104" s="5" t="s">
        <v>148</v>
      </c>
      <c r="C104" s="5" t="s">
        <v>52</v>
      </c>
      <c r="D104" s="5" t="s">
        <v>491</v>
      </c>
      <c r="E104" s="16" t="s">
        <v>614</v>
      </c>
    </row>
    <row r="105" spans="1:5">
      <c r="A105" s="12" t="s">
        <v>435</v>
      </c>
      <c r="B105" s="5" t="s">
        <v>148</v>
      </c>
      <c r="C105" s="5" t="s">
        <v>149</v>
      </c>
      <c r="D105" s="5" t="s">
        <v>52</v>
      </c>
      <c r="E105" s="16" t="s">
        <v>615</v>
      </c>
    </row>
    <row r="106" spans="1:5">
      <c r="A106" s="12" t="s">
        <v>432</v>
      </c>
      <c r="B106" s="5" t="s">
        <v>386</v>
      </c>
      <c r="C106" s="5" t="s">
        <v>603</v>
      </c>
      <c r="D106" s="5" t="s">
        <v>337</v>
      </c>
      <c r="E106" s="16" t="s">
        <v>616</v>
      </c>
    </row>
    <row r="108" spans="1:5" ht="14.25">
      <c r="A108" s="13"/>
      <c r="B108" s="14" t="s">
        <v>107</v>
      </c>
    </row>
    <row r="109" spans="1:5" ht="15">
      <c r="A109" s="15" t="s">
        <v>46</v>
      </c>
      <c r="B109" s="15" t="s">
        <v>47</v>
      </c>
      <c r="C109" s="15" t="s">
        <v>48</v>
      </c>
      <c r="D109" s="15" t="s">
        <v>49</v>
      </c>
      <c r="E109" s="15" t="s">
        <v>50</v>
      </c>
    </row>
    <row r="110" spans="1:5">
      <c r="A110" s="12" t="s">
        <v>452</v>
      </c>
      <c r="B110" s="5" t="s">
        <v>108</v>
      </c>
      <c r="C110" s="5" t="s">
        <v>109</v>
      </c>
      <c r="D110" s="5" t="s">
        <v>456</v>
      </c>
      <c r="E110" s="16" t="s">
        <v>617</v>
      </c>
    </row>
    <row r="111" spans="1:5">
      <c r="A111" s="12" t="s">
        <v>440</v>
      </c>
      <c r="B111" s="5" t="s">
        <v>108</v>
      </c>
      <c r="C111" s="5" t="s">
        <v>149</v>
      </c>
      <c r="D111" s="5" t="s">
        <v>24</v>
      </c>
      <c r="E111" s="16" t="s">
        <v>618</v>
      </c>
    </row>
    <row r="113" spans="1:5" ht="14.25">
      <c r="A113" s="13"/>
      <c r="B113" s="14" t="s">
        <v>104</v>
      </c>
    </row>
    <row r="114" spans="1:5" ht="15">
      <c r="A114" s="15" t="s">
        <v>46</v>
      </c>
      <c r="B114" s="15" t="s">
        <v>47</v>
      </c>
      <c r="C114" s="15" t="s">
        <v>48</v>
      </c>
      <c r="D114" s="15" t="s">
        <v>49</v>
      </c>
      <c r="E114" s="15" t="s">
        <v>50</v>
      </c>
    </row>
    <row r="115" spans="1:5">
      <c r="A115" s="12" t="s">
        <v>592</v>
      </c>
      <c r="B115" s="5" t="s">
        <v>104</v>
      </c>
      <c r="C115" s="5" t="s">
        <v>126</v>
      </c>
      <c r="D115" s="5" t="s">
        <v>360</v>
      </c>
      <c r="E115" s="16" t="s">
        <v>619</v>
      </c>
    </row>
    <row r="116" spans="1:5">
      <c r="A116" s="12" t="s">
        <v>492</v>
      </c>
      <c r="B116" s="5" t="s">
        <v>104</v>
      </c>
      <c r="C116" s="5" t="s">
        <v>52</v>
      </c>
      <c r="D116" s="5" t="s">
        <v>21</v>
      </c>
      <c r="E116" s="16" t="s">
        <v>620</v>
      </c>
    </row>
    <row r="117" spans="1:5">
      <c r="A117" s="12" t="s">
        <v>566</v>
      </c>
      <c r="B117" s="5" t="s">
        <v>104</v>
      </c>
      <c r="C117" s="5" t="s">
        <v>115</v>
      </c>
      <c r="D117" s="5" t="s">
        <v>26</v>
      </c>
      <c r="E117" s="16" t="s">
        <v>621</v>
      </c>
    </row>
    <row r="118" spans="1:5">
      <c r="A118" s="12" t="s">
        <v>497</v>
      </c>
      <c r="B118" s="5" t="s">
        <v>104</v>
      </c>
      <c r="C118" s="5" t="s">
        <v>52</v>
      </c>
      <c r="D118" s="5" t="s">
        <v>71</v>
      </c>
      <c r="E118" s="16" t="s">
        <v>622</v>
      </c>
    </row>
    <row r="119" spans="1:5">
      <c r="A119" s="12" t="s">
        <v>522</v>
      </c>
      <c r="B119" s="5" t="s">
        <v>104</v>
      </c>
      <c r="C119" s="5" t="s">
        <v>113</v>
      </c>
      <c r="D119" s="5" t="s">
        <v>71</v>
      </c>
      <c r="E119" s="16" t="s">
        <v>623</v>
      </c>
    </row>
    <row r="120" spans="1:5">
      <c r="A120" s="12" t="s">
        <v>546</v>
      </c>
      <c r="B120" s="5" t="s">
        <v>104</v>
      </c>
      <c r="C120" s="5" t="s">
        <v>187</v>
      </c>
      <c r="D120" s="5" t="s">
        <v>21</v>
      </c>
      <c r="E120" s="16" t="s">
        <v>624</v>
      </c>
    </row>
    <row r="121" spans="1:5">
      <c r="A121" s="12" t="s">
        <v>552</v>
      </c>
      <c r="B121" s="5" t="s">
        <v>104</v>
      </c>
      <c r="C121" s="5" t="s">
        <v>187</v>
      </c>
      <c r="D121" s="5" t="s">
        <v>557</v>
      </c>
      <c r="E121" s="16" t="s">
        <v>625</v>
      </c>
    </row>
    <row r="122" spans="1:5">
      <c r="A122" s="12" t="s">
        <v>526</v>
      </c>
      <c r="B122" s="5" t="s">
        <v>104</v>
      </c>
      <c r="C122" s="5" t="s">
        <v>113</v>
      </c>
      <c r="D122" s="5" t="s">
        <v>502</v>
      </c>
      <c r="E122" s="16" t="s">
        <v>626</v>
      </c>
    </row>
    <row r="123" spans="1:5">
      <c r="A123" s="12" t="s">
        <v>572</v>
      </c>
      <c r="B123" s="5" t="s">
        <v>104</v>
      </c>
      <c r="C123" s="5" t="s">
        <v>115</v>
      </c>
      <c r="D123" s="5" t="s">
        <v>557</v>
      </c>
      <c r="E123" s="16" t="s">
        <v>627</v>
      </c>
    </row>
    <row r="124" spans="1:5">
      <c r="A124" s="12" t="s">
        <v>432</v>
      </c>
      <c r="B124" s="5" t="s">
        <v>104</v>
      </c>
      <c r="C124" s="5" t="s">
        <v>115</v>
      </c>
      <c r="D124" s="5" t="s">
        <v>557</v>
      </c>
      <c r="E124" s="16" t="s">
        <v>628</v>
      </c>
    </row>
    <row r="125" spans="1:5">
      <c r="A125" s="12" t="s">
        <v>558</v>
      </c>
      <c r="B125" s="5" t="s">
        <v>104</v>
      </c>
      <c r="C125" s="5" t="s">
        <v>187</v>
      </c>
      <c r="D125" s="5" t="s">
        <v>79</v>
      </c>
      <c r="E125" s="16" t="s">
        <v>629</v>
      </c>
    </row>
    <row r="126" spans="1:5">
      <c r="A126" s="12" t="s">
        <v>458</v>
      </c>
      <c r="B126" s="5" t="s">
        <v>104</v>
      </c>
      <c r="C126" s="5" t="s">
        <v>109</v>
      </c>
      <c r="D126" s="5" t="s">
        <v>355</v>
      </c>
      <c r="E126" s="16" t="s">
        <v>630</v>
      </c>
    </row>
    <row r="127" spans="1:5">
      <c r="A127" s="12" t="s">
        <v>597</v>
      </c>
      <c r="B127" s="5" t="s">
        <v>104</v>
      </c>
      <c r="C127" s="5" t="s">
        <v>93</v>
      </c>
      <c r="D127" s="5" t="s">
        <v>72</v>
      </c>
      <c r="E127" s="16" t="s">
        <v>631</v>
      </c>
    </row>
    <row r="128" spans="1:5">
      <c r="A128" s="12" t="s">
        <v>508</v>
      </c>
      <c r="B128" s="5" t="s">
        <v>104</v>
      </c>
      <c r="C128" s="5" t="s">
        <v>52</v>
      </c>
      <c r="D128" s="5" t="s">
        <v>85</v>
      </c>
      <c r="E128" s="16" t="s">
        <v>632</v>
      </c>
    </row>
    <row r="129" spans="1:5">
      <c r="A129" s="12" t="s">
        <v>503</v>
      </c>
      <c r="B129" s="5" t="s">
        <v>104</v>
      </c>
      <c r="C129" s="5" t="s">
        <v>52</v>
      </c>
      <c r="D129" s="5" t="s">
        <v>507</v>
      </c>
      <c r="E129" s="16" t="s">
        <v>633</v>
      </c>
    </row>
    <row r="130" spans="1:5">
      <c r="A130" s="12" t="s">
        <v>530</v>
      </c>
      <c r="B130" s="5" t="s">
        <v>104</v>
      </c>
      <c r="C130" s="5" t="s">
        <v>113</v>
      </c>
      <c r="D130" s="5" t="s">
        <v>126</v>
      </c>
      <c r="E130" s="16" t="s">
        <v>634</v>
      </c>
    </row>
    <row r="131" spans="1:5">
      <c r="A131" s="12" t="s">
        <v>512</v>
      </c>
      <c r="B131" s="5" t="s">
        <v>104</v>
      </c>
      <c r="C131" s="5" t="s">
        <v>52</v>
      </c>
      <c r="D131" s="5" t="s">
        <v>464</v>
      </c>
      <c r="E131" s="16" t="s">
        <v>635</v>
      </c>
    </row>
    <row r="132" spans="1:5">
      <c r="A132" s="12" t="s">
        <v>562</v>
      </c>
      <c r="B132" s="5" t="s">
        <v>104</v>
      </c>
      <c r="C132" s="5" t="s">
        <v>187</v>
      </c>
      <c r="D132" s="5" t="s">
        <v>126</v>
      </c>
      <c r="E132" s="16" t="s">
        <v>636</v>
      </c>
    </row>
    <row r="133" spans="1:5">
      <c r="A133" s="12" t="s">
        <v>465</v>
      </c>
      <c r="B133" s="5" t="s">
        <v>104</v>
      </c>
      <c r="C133" s="5" t="s">
        <v>109</v>
      </c>
      <c r="D133" s="5" t="s">
        <v>327</v>
      </c>
      <c r="E133" s="16" t="s">
        <v>637</v>
      </c>
    </row>
    <row r="135" spans="1:5" ht="14.25">
      <c r="A135" s="13"/>
      <c r="B135" s="14" t="s">
        <v>45</v>
      </c>
    </row>
    <row r="136" spans="1:5" ht="15">
      <c r="A136" s="15" t="s">
        <v>46</v>
      </c>
      <c r="B136" s="15" t="s">
        <v>47</v>
      </c>
      <c r="C136" s="15" t="s">
        <v>48</v>
      </c>
      <c r="D136" s="15" t="s">
        <v>49</v>
      </c>
      <c r="E136" s="15" t="s">
        <v>50</v>
      </c>
    </row>
    <row r="137" spans="1:5">
      <c r="A137" s="12" t="s">
        <v>480</v>
      </c>
      <c r="B137" s="5" t="s">
        <v>638</v>
      </c>
      <c r="C137" s="5" t="s">
        <v>109</v>
      </c>
      <c r="D137" s="5" t="s">
        <v>484</v>
      </c>
      <c r="E137" s="16" t="s">
        <v>639</v>
      </c>
    </row>
    <row r="138" spans="1:5">
      <c r="A138" s="12" t="s">
        <v>475</v>
      </c>
      <c r="B138" s="5" t="s">
        <v>152</v>
      </c>
      <c r="C138" s="5" t="s">
        <v>109</v>
      </c>
      <c r="D138" s="5" t="s">
        <v>85</v>
      </c>
      <c r="E138" s="16" t="s">
        <v>640</v>
      </c>
    </row>
    <row r="139" spans="1:5">
      <c r="A139" s="12" t="s">
        <v>588</v>
      </c>
      <c r="B139" s="5" t="s">
        <v>283</v>
      </c>
      <c r="C139" s="5" t="s">
        <v>111</v>
      </c>
      <c r="D139" s="5" t="s">
        <v>137</v>
      </c>
      <c r="E139" s="16" t="s">
        <v>641</v>
      </c>
    </row>
    <row r="140" spans="1:5">
      <c r="A140" s="12" t="s">
        <v>579</v>
      </c>
      <c r="B140" s="5" t="s">
        <v>384</v>
      </c>
      <c r="C140" s="5" t="s">
        <v>115</v>
      </c>
      <c r="D140" s="5" t="s">
        <v>71</v>
      </c>
      <c r="E140" s="16" t="s">
        <v>642</v>
      </c>
    </row>
    <row r="141" spans="1:5">
      <c r="A141" s="12" t="s">
        <v>530</v>
      </c>
      <c r="B141" s="5" t="s">
        <v>384</v>
      </c>
      <c r="C141" s="5" t="s">
        <v>113</v>
      </c>
      <c r="D141" s="5" t="s">
        <v>126</v>
      </c>
      <c r="E141" s="16" t="s">
        <v>643</v>
      </c>
    </row>
  </sheetData>
  <mergeCells count="26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A21:L21"/>
    <mergeCell ref="A24:L24"/>
    <mergeCell ref="A28:L28"/>
    <mergeCell ref="A38:L38"/>
    <mergeCell ref="A8:L8"/>
    <mergeCell ref="A12:L12"/>
    <mergeCell ref="A15:L15"/>
    <mergeCell ref="A18:L18"/>
    <mergeCell ref="A71:L71"/>
    <mergeCell ref="A74:L74"/>
    <mergeCell ref="A46:L46"/>
    <mergeCell ref="A53:L53"/>
    <mergeCell ref="A61:L61"/>
    <mergeCell ref="A67:L67"/>
  </mergeCells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78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1.570312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5.42578125" style="5" bestFit="1" customWidth="1"/>
    <col min="22" max="16384" width="9.140625" style="4"/>
  </cols>
  <sheetData>
    <row r="1" spans="1:21" s="3" customFormat="1" ht="29.1" customHeight="1">
      <c r="A1" s="38" t="s">
        <v>293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26" t="s">
        <v>5</v>
      </c>
    </row>
    <row r="4" spans="1:21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6"/>
      <c r="T4" s="36"/>
      <c r="U4" s="27"/>
    </row>
    <row r="5" spans="1:21" ht="15">
      <c r="A5" s="41" t="s">
        <v>294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>
      <c r="A6" s="6" t="s">
        <v>296</v>
      </c>
      <c r="B6" s="6" t="s">
        <v>297</v>
      </c>
      <c r="C6" s="6" t="s">
        <v>298</v>
      </c>
      <c r="D6" s="6" t="str">
        <f>"1,0521"</f>
        <v>1,0521</v>
      </c>
      <c r="E6" s="6" t="s">
        <v>33</v>
      </c>
      <c r="F6" s="6" t="s">
        <v>34</v>
      </c>
      <c r="G6" s="7" t="s">
        <v>63</v>
      </c>
      <c r="H6" s="8" t="s">
        <v>205</v>
      </c>
      <c r="I6" s="7" t="s">
        <v>299</v>
      </c>
      <c r="J6" s="8"/>
      <c r="K6" s="7" t="s">
        <v>300</v>
      </c>
      <c r="L6" s="8" t="s">
        <v>301</v>
      </c>
      <c r="M6" s="8" t="s">
        <v>301</v>
      </c>
      <c r="N6" s="8"/>
      <c r="O6" s="7" t="s">
        <v>302</v>
      </c>
      <c r="P6" s="7" t="s">
        <v>205</v>
      </c>
      <c r="Q6" s="7" t="s">
        <v>299</v>
      </c>
      <c r="R6" s="8"/>
      <c r="S6" s="6" t="str">
        <f>"170,0"</f>
        <v>170,0</v>
      </c>
      <c r="T6" s="7" t="str">
        <f>"182,4341"</f>
        <v>182,4341</v>
      </c>
      <c r="U6" s="6" t="s">
        <v>37</v>
      </c>
    </row>
    <row r="8" spans="1:21" ht="15">
      <c r="A8" s="39" t="s">
        <v>56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1">
      <c r="A9" s="6" t="s">
        <v>304</v>
      </c>
      <c r="B9" s="6" t="s">
        <v>305</v>
      </c>
      <c r="C9" s="6" t="s">
        <v>306</v>
      </c>
      <c r="D9" s="6" t="str">
        <f>"0,9215"</f>
        <v>0,9215</v>
      </c>
      <c r="E9" s="6" t="s">
        <v>33</v>
      </c>
      <c r="F9" s="6" t="s">
        <v>34</v>
      </c>
      <c r="G9" s="7" t="s">
        <v>299</v>
      </c>
      <c r="H9" s="7" t="s">
        <v>109</v>
      </c>
      <c r="I9" s="7" t="s">
        <v>307</v>
      </c>
      <c r="J9" s="8"/>
      <c r="K9" s="8" t="s">
        <v>308</v>
      </c>
      <c r="L9" s="7" t="s">
        <v>309</v>
      </c>
      <c r="M9" s="8" t="s">
        <v>310</v>
      </c>
      <c r="N9" s="8"/>
      <c r="O9" s="7" t="s">
        <v>307</v>
      </c>
      <c r="P9" s="7" t="s">
        <v>311</v>
      </c>
      <c r="Q9" s="7" t="s">
        <v>113</v>
      </c>
      <c r="R9" s="8"/>
      <c r="S9" s="6" t="str">
        <f>"215,0"</f>
        <v>215,0</v>
      </c>
      <c r="T9" s="7" t="str">
        <f>"210,0099"</f>
        <v>210,0099</v>
      </c>
      <c r="U9" s="6" t="s">
        <v>37</v>
      </c>
    </row>
    <row r="11" spans="1:21" ht="15">
      <c r="A11" s="39" t="s">
        <v>121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1">
      <c r="A12" s="17" t="s">
        <v>313</v>
      </c>
      <c r="B12" s="17" t="s">
        <v>314</v>
      </c>
      <c r="C12" s="17" t="s">
        <v>315</v>
      </c>
      <c r="D12" s="17" t="str">
        <f>"0,8731"</f>
        <v>0,8731</v>
      </c>
      <c r="E12" s="17" t="s">
        <v>33</v>
      </c>
      <c r="F12" s="17" t="s">
        <v>316</v>
      </c>
      <c r="G12" s="19" t="s">
        <v>63</v>
      </c>
      <c r="H12" s="19" t="s">
        <v>302</v>
      </c>
      <c r="I12" s="19" t="s">
        <v>317</v>
      </c>
      <c r="J12" s="18"/>
      <c r="K12" s="19" t="s">
        <v>318</v>
      </c>
      <c r="L12" s="19" t="s">
        <v>300</v>
      </c>
      <c r="M12" s="19" t="s">
        <v>319</v>
      </c>
      <c r="N12" s="18"/>
      <c r="O12" s="19" t="s">
        <v>205</v>
      </c>
      <c r="P12" s="19" t="s">
        <v>109</v>
      </c>
      <c r="Q12" s="19" t="s">
        <v>52</v>
      </c>
      <c r="R12" s="18"/>
      <c r="S12" s="17" t="str">
        <f>"177,5"</f>
        <v>177,5</v>
      </c>
      <c r="T12" s="19" t="str">
        <f>"167,3829"</f>
        <v>167,3829</v>
      </c>
      <c r="U12" s="17" t="s">
        <v>37</v>
      </c>
    </row>
    <row r="13" spans="1:21">
      <c r="A13" s="23" t="s">
        <v>321</v>
      </c>
      <c r="B13" s="23" t="s">
        <v>322</v>
      </c>
      <c r="C13" s="23" t="s">
        <v>124</v>
      </c>
      <c r="D13" s="23" t="str">
        <f>"0,8609"</f>
        <v>0,8609</v>
      </c>
      <c r="E13" s="23" t="s">
        <v>33</v>
      </c>
      <c r="F13" s="23" t="s">
        <v>34</v>
      </c>
      <c r="G13" s="24" t="s">
        <v>299</v>
      </c>
      <c r="H13" s="24" t="s">
        <v>323</v>
      </c>
      <c r="I13" s="24" t="s">
        <v>324</v>
      </c>
      <c r="J13" s="25"/>
      <c r="K13" s="24" t="s">
        <v>309</v>
      </c>
      <c r="L13" s="24" t="s">
        <v>325</v>
      </c>
      <c r="M13" s="25" t="s">
        <v>63</v>
      </c>
      <c r="N13" s="25"/>
      <c r="O13" s="24" t="s">
        <v>326</v>
      </c>
      <c r="P13" s="24" t="s">
        <v>327</v>
      </c>
      <c r="Q13" s="24" t="s">
        <v>111</v>
      </c>
      <c r="R13" s="25"/>
      <c r="S13" s="23" t="str">
        <f>"260,0"</f>
        <v>260,0</v>
      </c>
      <c r="T13" s="24" t="str">
        <f>"223,8340"</f>
        <v>223,8340</v>
      </c>
      <c r="U13" s="23" t="s">
        <v>37</v>
      </c>
    </row>
    <row r="14" spans="1:21">
      <c r="A14" s="20" t="s">
        <v>329</v>
      </c>
      <c r="B14" s="20" t="s">
        <v>330</v>
      </c>
      <c r="C14" s="20" t="s">
        <v>124</v>
      </c>
      <c r="D14" s="20" t="str">
        <f>"0,8609"</f>
        <v>0,8609</v>
      </c>
      <c r="E14" s="20" t="s">
        <v>33</v>
      </c>
      <c r="F14" s="20" t="s">
        <v>34</v>
      </c>
      <c r="G14" s="22" t="s">
        <v>24</v>
      </c>
      <c r="H14" s="22" t="s">
        <v>187</v>
      </c>
      <c r="I14" s="21" t="s">
        <v>326</v>
      </c>
      <c r="J14" s="21"/>
      <c r="K14" s="22" t="s">
        <v>309</v>
      </c>
      <c r="L14" s="21" t="s">
        <v>325</v>
      </c>
      <c r="M14" s="21" t="s">
        <v>325</v>
      </c>
      <c r="N14" s="21"/>
      <c r="O14" s="22" t="s">
        <v>326</v>
      </c>
      <c r="P14" s="22" t="s">
        <v>115</v>
      </c>
      <c r="Q14" s="21" t="s">
        <v>331</v>
      </c>
      <c r="R14" s="21"/>
      <c r="S14" s="20" t="str">
        <f>"255,0"</f>
        <v>255,0</v>
      </c>
      <c r="T14" s="22" t="str">
        <f>"219,5295"</f>
        <v>219,5295</v>
      </c>
      <c r="U14" s="20" t="s">
        <v>37</v>
      </c>
    </row>
    <row r="16" spans="1:21" ht="15">
      <c r="A16" s="39" t="s">
        <v>131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1">
      <c r="A17" s="6" t="s">
        <v>333</v>
      </c>
      <c r="B17" s="6" t="s">
        <v>334</v>
      </c>
      <c r="C17" s="6" t="s">
        <v>335</v>
      </c>
      <c r="D17" s="6" t="str">
        <f>"0,8026"</f>
        <v>0,8026</v>
      </c>
      <c r="E17" s="6" t="s">
        <v>33</v>
      </c>
      <c r="F17" s="6" t="s">
        <v>336</v>
      </c>
      <c r="G17" s="7" t="s">
        <v>299</v>
      </c>
      <c r="H17" s="7" t="s">
        <v>109</v>
      </c>
      <c r="I17" s="7" t="s">
        <v>307</v>
      </c>
      <c r="J17" s="8"/>
      <c r="K17" s="7" t="s">
        <v>308</v>
      </c>
      <c r="L17" s="8" t="s">
        <v>337</v>
      </c>
      <c r="M17" s="7" t="s">
        <v>309</v>
      </c>
      <c r="N17" s="8"/>
      <c r="O17" s="7" t="s">
        <v>109</v>
      </c>
      <c r="P17" s="7" t="s">
        <v>307</v>
      </c>
      <c r="Q17" s="7" t="s">
        <v>324</v>
      </c>
      <c r="R17" s="8"/>
      <c r="S17" s="6" t="str">
        <f>"210,0"</f>
        <v>210,0</v>
      </c>
      <c r="T17" s="7" t="str">
        <f>"171,5798"</f>
        <v>171,5798</v>
      </c>
      <c r="U17" s="6" t="s">
        <v>37</v>
      </c>
    </row>
    <row r="19" spans="1:21" ht="15">
      <c r="A19" s="39" t="s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1">
      <c r="A20" s="6" t="s">
        <v>339</v>
      </c>
      <c r="B20" s="6" t="s">
        <v>340</v>
      </c>
      <c r="C20" s="6" t="s">
        <v>341</v>
      </c>
      <c r="D20" s="6" t="str">
        <f>"0,6284"</f>
        <v>0,6284</v>
      </c>
      <c r="E20" s="6" t="s">
        <v>33</v>
      </c>
      <c r="F20" s="6" t="s">
        <v>342</v>
      </c>
      <c r="G20" s="8" t="s">
        <v>21</v>
      </c>
      <c r="H20" s="8" t="s">
        <v>21</v>
      </c>
      <c r="I20" s="7" t="s">
        <v>22</v>
      </c>
      <c r="J20" s="8"/>
      <c r="K20" s="7" t="s">
        <v>327</v>
      </c>
      <c r="L20" s="8" t="s">
        <v>111</v>
      </c>
      <c r="M20" s="7" t="s">
        <v>111</v>
      </c>
      <c r="N20" s="8"/>
      <c r="O20" s="7" t="s">
        <v>26</v>
      </c>
      <c r="P20" s="7" t="s">
        <v>343</v>
      </c>
      <c r="Q20" s="8" t="s">
        <v>344</v>
      </c>
      <c r="R20" s="8"/>
      <c r="S20" s="6" t="str">
        <f>"515,0"</f>
        <v>515,0</v>
      </c>
      <c r="T20" s="7" t="str">
        <f>"323,6260"</f>
        <v>323,6260</v>
      </c>
      <c r="U20" s="6" t="s">
        <v>37</v>
      </c>
    </row>
    <row r="22" spans="1:21" ht="15">
      <c r="A22" s="39" t="s">
        <v>73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1">
      <c r="A23" s="17" t="s">
        <v>346</v>
      </c>
      <c r="B23" s="17" t="s">
        <v>347</v>
      </c>
      <c r="C23" s="17" t="s">
        <v>348</v>
      </c>
      <c r="D23" s="17" t="str">
        <f>"0,6122"</f>
        <v>0,6122</v>
      </c>
      <c r="E23" s="17" t="s">
        <v>33</v>
      </c>
      <c r="F23" s="17" t="s">
        <v>34</v>
      </c>
      <c r="G23" s="19" t="s">
        <v>113</v>
      </c>
      <c r="H23" s="19" t="s">
        <v>187</v>
      </c>
      <c r="I23" s="19" t="s">
        <v>115</v>
      </c>
      <c r="J23" s="18"/>
      <c r="K23" s="19" t="s">
        <v>299</v>
      </c>
      <c r="L23" s="19" t="s">
        <v>109</v>
      </c>
      <c r="M23" s="19" t="s">
        <v>307</v>
      </c>
      <c r="N23" s="18"/>
      <c r="O23" s="19" t="s">
        <v>331</v>
      </c>
      <c r="P23" s="19" t="s">
        <v>349</v>
      </c>
      <c r="Q23" s="19" t="s">
        <v>126</v>
      </c>
      <c r="R23" s="18"/>
      <c r="S23" s="17" t="str">
        <f>"330,0"</f>
        <v>330,0</v>
      </c>
      <c r="T23" s="19" t="str">
        <f>"248,4920"</f>
        <v>248,4920</v>
      </c>
      <c r="U23" s="17" t="s">
        <v>37</v>
      </c>
    </row>
    <row r="24" spans="1:21">
      <c r="A24" s="20" t="s">
        <v>351</v>
      </c>
      <c r="B24" s="20" t="s">
        <v>352</v>
      </c>
      <c r="C24" s="20" t="s">
        <v>209</v>
      </c>
      <c r="D24" s="20" t="str">
        <f>"0,5893"</f>
        <v>0,5893</v>
      </c>
      <c r="E24" s="20" t="s">
        <v>353</v>
      </c>
      <c r="F24" s="20" t="s">
        <v>354</v>
      </c>
      <c r="G24" s="21" t="s">
        <v>94</v>
      </c>
      <c r="H24" s="22" t="s">
        <v>94</v>
      </c>
      <c r="I24" s="21" t="s">
        <v>276</v>
      </c>
      <c r="J24" s="21"/>
      <c r="K24" s="22" t="s">
        <v>327</v>
      </c>
      <c r="L24" s="22" t="s">
        <v>111</v>
      </c>
      <c r="M24" s="22" t="s">
        <v>355</v>
      </c>
      <c r="N24" s="21"/>
      <c r="O24" s="22" t="s">
        <v>325</v>
      </c>
      <c r="P24" s="21"/>
      <c r="Q24" s="21"/>
      <c r="R24" s="21"/>
      <c r="S24" s="20" t="str">
        <f>"367,5"</f>
        <v>367,5</v>
      </c>
      <c r="T24" s="22" t="str">
        <f>"218,7334"</f>
        <v>218,7334</v>
      </c>
      <c r="U24" s="20" t="s">
        <v>234</v>
      </c>
    </row>
    <row r="26" spans="1:21" ht="15">
      <c r="A26" s="39" t="s">
        <v>177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1">
      <c r="A27" s="17" t="s">
        <v>357</v>
      </c>
      <c r="B27" s="17" t="s">
        <v>358</v>
      </c>
      <c r="C27" s="17" t="s">
        <v>359</v>
      </c>
      <c r="D27" s="17" t="str">
        <f>"0,5627"</f>
        <v>0,5627</v>
      </c>
      <c r="E27" s="17" t="s">
        <v>33</v>
      </c>
      <c r="F27" s="17" t="s">
        <v>342</v>
      </c>
      <c r="G27" s="19" t="s">
        <v>343</v>
      </c>
      <c r="H27" s="19" t="s">
        <v>360</v>
      </c>
      <c r="I27" s="19" t="s">
        <v>35</v>
      </c>
      <c r="J27" s="18"/>
      <c r="K27" s="19" t="s">
        <v>21</v>
      </c>
      <c r="L27" s="18" t="s">
        <v>22</v>
      </c>
      <c r="M27" s="18" t="s">
        <v>22</v>
      </c>
      <c r="N27" s="18"/>
      <c r="O27" s="19" t="s">
        <v>361</v>
      </c>
      <c r="P27" s="19" t="s">
        <v>212</v>
      </c>
      <c r="Q27" s="18"/>
      <c r="R27" s="18"/>
      <c r="S27" s="17" t="str">
        <f>"655,0"</f>
        <v>655,0</v>
      </c>
      <c r="T27" s="19" t="str">
        <f>"368,5685"</f>
        <v>368,5685</v>
      </c>
      <c r="U27" s="17" t="s">
        <v>37</v>
      </c>
    </row>
    <row r="28" spans="1:21">
      <c r="A28" s="23" t="s">
        <v>363</v>
      </c>
      <c r="B28" s="23" t="s">
        <v>364</v>
      </c>
      <c r="C28" s="23" t="s">
        <v>365</v>
      </c>
      <c r="D28" s="23" t="str">
        <f>"0,5555"</f>
        <v>0,5555</v>
      </c>
      <c r="E28" s="23" t="s">
        <v>100</v>
      </c>
      <c r="F28" s="23" t="s">
        <v>161</v>
      </c>
      <c r="G28" s="24" t="s">
        <v>144</v>
      </c>
      <c r="H28" s="25" t="s">
        <v>35</v>
      </c>
      <c r="I28" s="25" t="s">
        <v>35</v>
      </c>
      <c r="J28" s="25"/>
      <c r="K28" s="25" t="s">
        <v>71</v>
      </c>
      <c r="L28" s="24" t="s">
        <v>71</v>
      </c>
      <c r="M28" s="25" t="s">
        <v>80</v>
      </c>
      <c r="N28" s="25"/>
      <c r="O28" s="24" t="s">
        <v>35</v>
      </c>
      <c r="P28" s="25" t="s">
        <v>138</v>
      </c>
      <c r="Q28" s="25"/>
      <c r="R28" s="25"/>
      <c r="S28" s="23" t="str">
        <f>"615,0"</f>
        <v>615,0</v>
      </c>
      <c r="T28" s="24" t="str">
        <f>"341,6325"</f>
        <v>341,6325</v>
      </c>
      <c r="U28" s="23" t="s">
        <v>37</v>
      </c>
    </row>
    <row r="29" spans="1:21">
      <c r="A29" s="20" t="s">
        <v>367</v>
      </c>
      <c r="B29" s="20" t="s">
        <v>368</v>
      </c>
      <c r="C29" s="20" t="s">
        <v>369</v>
      </c>
      <c r="D29" s="20" t="str">
        <f>"0,5642"</f>
        <v>0,5642</v>
      </c>
      <c r="E29" s="20" t="s">
        <v>33</v>
      </c>
      <c r="F29" s="20" t="s">
        <v>34</v>
      </c>
      <c r="G29" s="22" t="s">
        <v>22</v>
      </c>
      <c r="H29" s="22" t="s">
        <v>26</v>
      </c>
      <c r="I29" s="21" t="s">
        <v>343</v>
      </c>
      <c r="J29" s="21"/>
      <c r="K29" s="22" t="s">
        <v>71</v>
      </c>
      <c r="L29" s="21" t="s">
        <v>80</v>
      </c>
      <c r="M29" s="22" t="s">
        <v>80</v>
      </c>
      <c r="N29" s="21"/>
      <c r="O29" s="22" t="s">
        <v>138</v>
      </c>
      <c r="P29" s="22" t="s">
        <v>36</v>
      </c>
      <c r="Q29" s="21" t="s">
        <v>210</v>
      </c>
      <c r="R29" s="21"/>
      <c r="S29" s="20" t="str">
        <f>"605,0"</f>
        <v>605,0</v>
      </c>
      <c r="T29" s="22" t="str">
        <f>"341,3410"</f>
        <v>341,3410</v>
      </c>
      <c r="U29" s="20" t="s">
        <v>37</v>
      </c>
    </row>
    <row r="31" spans="1:21" ht="15">
      <c r="A31" s="39" t="s">
        <v>95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1">
      <c r="A32" s="6" t="s">
        <v>371</v>
      </c>
      <c r="B32" s="6" t="s">
        <v>372</v>
      </c>
      <c r="C32" s="6" t="s">
        <v>373</v>
      </c>
      <c r="D32" s="6" t="str">
        <f>"0,5267"</f>
        <v>0,5267</v>
      </c>
      <c r="E32" s="6" t="s">
        <v>33</v>
      </c>
      <c r="F32" s="6" t="s">
        <v>34</v>
      </c>
      <c r="G32" s="7" t="s">
        <v>115</v>
      </c>
      <c r="H32" s="8" t="s">
        <v>331</v>
      </c>
      <c r="I32" s="7" t="s">
        <v>85</v>
      </c>
      <c r="J32" s="8"/>
      <c r="K32" s="7" t="s">
        <v>307</v>
      </c>
      <c r="L32" s="8" t="s">
        <v>324</v>
      </c>
      <c r="M32" s="8" t="s">
        <v>311</v>
      </c>
      <c r="N32" s="8"/>
      <c r="O32" s="7" t="s">
        <v>87</v>
      </c>
      <c r="P32" s="7" t="s">
        <v>71</v>
      </c>
      <c r="Q32" s="8" t="s">
        <v>21</v>
      </c>
      <c r="R32" s="8"/>
      <c r="S32" s="6" t="str">
        <f>"375,0"</f>
        <v>375,0</v>
      </c>
      <c r="T32" s="7" t="str">
        <f>"223,1891"</f>
        <v>223,1891</v>
      </c>
      <c r="U32" s="6" t="s">
        <v>37</v>
      </c>
    </row>
    <row r="34" spans="1:5" ht="15">
      <c r="E34" s="9" t="s">
        <v>38</v>
      </c>
    </row>
    <row r="35" spans="1:5" ht="15">
      <c r="E35" s="9" t="s">
        <v>39</v>
      </c>
    </row>
    <row r="36" spans="1:5" ht="15">
      <c r="E36" s="9" t="s">
        <v>40</v>
      </c>
    </row>
    <row r="37" spans="1:5" ht="15">
      <c r="E37" s="9" t="s">
        <v>41</v>
      </c>
    </row>
    <row r="38" spans="1:5" ht="15">
      <c r="E38" s="9" t="s">
        <v>41</v>
      </c>
    </row>
    <row r="39" spans="1:5" ht="15">
      <c r="E39" s="9" t="s">
        <v>42</v>
      </c>
    </row>
    <row r="40" spans="1:5" ht="15">
      <c r="E40" s="9"/>
    </row>
    <row r="42" spans="1:5" ht="18">
      <c r="A42" s="10" t="s">
        <v>43</v>
      </c>
      <c r="B42" s="10"/>
    </row>
    <row r="43" spans="1:5" ht="15">
      <c r="A43" s="11" t="s">
        <v>103</v>
      </c>
      <c r="B43" s="11"/>
    </row>
    <row r="44" spans="1:5" ht="14.25">
      <c r="A44" s="13"/>
      <c r="B44" s="14" t="s">
        <v>374</v>
      </c>
    </row>
    <row r="45" spans="1:5" ht="15">
      <c r="A45" s="15" t="s">
        <v>46</v>
      </c>
      <c r="B45" s="15" t="s">
        <v>47</v>
      </c>
      <c r="C45" s="15" t="s">
        <v>48</v>
      </c>
      <c r="D45" s="15" t="s">
        <v>49</v>
      </c>
      <c r="E45" s="15" t="s">
        <v>50</v>
      </c>
    </row>
    <row r="46" spans="1:5">
      <c r="A46" s="12" t="s">
        <v>303</v>
      </c>
      <c r="B46" s="5" t="s">
        <v>375</v>
      </c>
      <c r="C46" s="5" t="s">
        <v>105</v>
      </c>
      <c r="D46" s="5" t="s">
        <v>27</v>
      </c>
      <c r="E46" s="16" t="s">
        <v>376</v>
      </c>
    </row>
    <row r="47" spans="1:5">
      <c r="A47" s="12" t="s">
        <v>312</v>
      </c>
      <c r="B47" s="5" t="s">
        <v>148</v>
      </c>
      <c r="C47" s="5" t="s">
        <v>302</v>
      </c>
      <c r="D47" s="5" t="s">
        <v>377</v>
      </c>
      <c r="E47" s="16" t="s">
        <v>378</v>
      </c>
    </row>
    <row r="49" spans="1:5" ht="14.25">
      <c r="A49" s="13"/>
      <c r="B49" s="14" t="s">
        <v>379</v>
      </c>
    </row>
    <row r="50" spans="1:5" ht="15">
      <c r="A50" s="15" t="s">
        <v>46</v>
      </c>
      <c r="B50" s="15" t="s">
        <v>47</v>
      </c>
      <c r="C50" s="15" t="s">
        <v>48</v>
      </c>
      <c r="D50" s="15" t="s">
        <v>49</v>
      </c>
      <c r="E50" s="15" t="s">
        <v>50</v>
      </c>
    </row>
    <row r="51" spans="1:5">
      <c r="A51" s="12" t="s">
        <v>295</v>
      </c>
      <c r="B51" s="5" t="s">
        <v>108</v>
      </c>
      <c r="C51" s="5" t="s">
        <v>380</v>
      </c>
      <c r="D51" s="5" t="s">
        <v>21</v>
      </c>
      <c r="E51" s="16" t="s">
        <v>381</v>
      </c>
    </row>
    <row r="53" spans="1:5" ht="14.25">
      <c r="A53" s="13"/>
      <c r="B53" s="14" t="s">
        <v>104</v>
      </c>
    </row>
    <row r="54" spans="1:5" ht="15">
      <c r="A54" s="15" t="s">
        <v>46</v>
      </c>
      <c r="B54" s="15" t="s">
        <v>47</v>
      </c>
      <c r="C54" s="15" t="s">
        <v>48</v>
      </c>
      <c r="D54" s="15" t="s">
        <v>49</v>
      </c>
      <c r="E54" s="15" t="s">
        <v>50</v>
      </c>
    </row>
    <row r="55" spans="1:5">
      <c r="A55" s="12" t="s">
        <v>320</v>
      </c>
      <c r="B55" s="5" t="s">
        <v>104</v>
      </c>
      <c r="C55" s="5" t="s">
        <v>302</v>
      </c>
      <c r="D55" s="5" t="s">
        <v>210</v>
      </c>
      <c r="E55" s="16" t="s">
        <v>382</v>
      </c>
    </row>
    <row r="56" spans="1:5">
      <c r="A56" s="12" t="s">
        <v>328</v>
      </c>
      <c r="B56" s="5" t="s">
        <v>104</v>
      </c>
      <c r="C56" s="5" t="s">
        <v>302</v>
      </c>
      <c r="D56" s="5" t="s">
        <v>212</v>
      </c>
      <c r="E56" s="16" t="s">
        <v>383</v>
      </c>
    </row>
    <row r="58" spans="1:5" ht="14.25">
      <c r="A58" s="13"/>
      <c r="B58" s="14" t="s">
        <v>45</v>
      </c>
    </row>
    <row r="59" spans="1:5" ht="15">
      <c r="A59" s="15" t="s">
        <v>46</v>
      </c>
      <c r="B59" s="15" t="s">
        <v>47</v>
      </c>
      <c r="C59" s="15" t="s">
        <v>48</v>
      </c>
      <c r="D59" s="15" t="s">
        <v>49</v>
      </c>
      <c r="E59" s="15" t="s">
        <v>50</v>
      </c>
    </row>
    <row r="60" spans="1:5">
      <c r="A60" s="12" t="s">
        <v>332</v>
      </c>
      <c r="B60" s="5" t="s">
        <v>384</v>
      </c>
      <c r="C60" s="5" t="s">
        <v>149</v>
      </c>
      <c r="D60" s="5" t="s">
        <v>343</v>
      </c>
      <c r="E60" s="16" t="s">
        <v>385</v>
      </c>
    </row>
    <row r="63" spans="1:5" ht="15">
      <c r="A63" s="11" t="s">
        <v>44</v>
      </c>
      <c r="B63" s="11"/>
    </row>
    <row r="64" spans="1:5" ht="14.25">
      <c r="A64" s="13"/>
      <c r="B64" s="14" t="s">
        <v>147</v>
      </c>
    </row>
    <row r="65" spans="1:5" ht="15">
      <c r="A65" s="15" t="s">
        <v>46</v>
      </c>
      <c r="B65" s="15" t="s">
        <v>47</v>
      </c>
      <c r="C65" s="15" t="s">
        <v>48</v>
      </c>
      <c r="D65" s="15" t="s">
        <v>49</v>
      </c>
      <c r="E65" s="15" t="s">
        <v>50</v>
      </c>
    </row>
    <row r="66" spans="1:5">
      <c r="A66" s="12" t="s">
        <v>345</v>
      </c>
      <c r="B66" s="5" t="s">
        <v>386</v>
      </c>
      <c r="C66" s="5" t="s">
        <v>113</v>
      </c>
      <c r="D66" s="5" t="s">
        <v>270</v>
      </c>
      <c r="E66" s="16" t="s">
        <v>387</v>
      </c>
    </row>
    <row r="67" spans="1:5">
      <c r="A67" s="12" t="s">
        <v>370</v>
      </c>
      <c r="B67" s="5" t="s">
        <v>148</v>
      </c>
      <c r="C67" s="5" t="s">
        <v>111</v>
      </c>
      <c r="D67" s="5" t="s">
        <v>388</v>
      </c>
      <c r="E67" s="16" t="s">
        <v>389</v>
      </c>
    </row>
    <row r="69" spans="1:5" ht="14.25">
      <c r="A69" s="13"/>
      <c r="B69" s="14" t="s">
        <v>107</v>
      </c>
    </row>
    <row r="70" spans="1:5" ht="15">
      <c r="A70" s="15" t="s">
        <v>46</v>
      </c>
      <c r="B70" s="15" t="s">
        <v>47</v>
      </c>
      <c r="C70" s="15" t="s">
        <v>48</v>
      </c>
      <c r="D70" s="15" t="s">
        <v>49</v>
      </c>
      <c r="E70" s="15" t="s">
        <v>50</v>
      </c>
    </row>
    <row r="71" spans="1:5">
      <c r="A71" s="12" t="s">
        <v>350</v>
      </c>
      <c r="B71" s="5" t="s">
        <v>108</v>
      </c>
      <c r="C71" s="5" t="s">
        <v>113</v>
      </c>
      <c r="D71" s="5" t="s">
        <v>235</v>
      </c>
      <c r="E71" s="16" t="s">
        <v>390</v>
      </c>
    </row>
    <row r="73" spans="1:5" ht="14.25">
      <c r="A73" s="13"/>
      <c r="B73" s="14" t="s">
        <v>104</v>
      </c>
    </row>
    <row r="74" spans="1:5" ht="15">
      <c r="A74" s="15" t="s">
        <v>46</v>
      </c>
      <c r="B74" s="15" t="s">
        <v>47</v>
      </c>
      <c r="C74" s="15" t="s">
        <v>48</v>
      </c>
      <c r="D74" s="15" t="s">
        <v>49</v>
      </c>
      <c r="E74" s="15" t="s">
        <v>50</v>
      </c>
    </row>
    <row r="75" spans="1:5">
      <c r="A75" s="12" t="s">
        <v>356</v>
      </c>
      <c r="B75" s="5" t="s">
        <v>104</v>
      </c>
      <c r="C75" s="5" t="s">
        <v>187</v>
      </c>
      <c r="D75" s="5" t="s">
        <v>391</v>
      </c>
      <c r="E75" s="16" t="s">
        <v>392</v>
      </c>
    </row>
    <row r="76" spans="1:5">
      <c r="A76" s="12" t="s">
        <v>362</v>
      </c>
      <c r="B76" s="5" t="s">
        <v>104</v>
      </c>
      <c r="C76" s="5" t="s">
        <v>187</v>
      </c>
      <c r="D76" s="5" t="s">
        <v>393</v>
      </c>
      <c r="E76" s="16" t="s">
        <v>394</v>
      </c>
    </row>
    <row r="77" spans="1:5">
      <c r="A77" s="12" t="s">
        <v>366</v>
      </c>
      <c r="B77" s="5" t="s">
        <v>104</v>
      </c>
      <c r="C77" s="5" t="s">
        <v>187</v>
      </c>
      <c r="D77" s="5" t="s">
        <v>395</v>
      </c>
      <c r="E77" s="16" t="s">
        <v>396</v>
      </c>
    </row>
    <row r="78" spans="1:5">
      <c r="A78" s="12" t="s">
        <v>338</v>
      </c>
      <c r="B78" s="5" t="s">
        <v>104</v>
      </c>
      <c r="C78" s="5" t="s">
        <v>52</v>
      </c>
      <c r="D78" s="5" t="s">
        <v>397</v>
      </c>
      <c r="E78" s="16" t="s">
        <v>398</v>
      </c>
    </row>
  </sheetData>
  <mergeCells count="21">
    <mergeCell ref="F3:F4"/>
    <mergeCell ref="G3:J3"/>
    <mergeCell ref="K3:N3"/>
    <mergeCell ref="O3:R3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A22:T22"/>
    <mergeCell ref="A26:T26"/>
    <mergeCell ref="A31:T31"/>
    <mergeCell ref="A8:T8"/>
    <mergeCell ref="A11:T11"/>
    <mergeCell ref="A16:T16"/>
    <mergeCell ref="A19:T19"/>
  </mergeCells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292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291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3.5703125" style="5" bestFit="1" customWidth="1"/>
    <col min="14" max="16384" width="9.140625" style="4"/>
  </cols>
  <sheetData>
    <row r="1" spans="1:13" s="3" customFormat="1" ht="29.1" customHeight="1">
      <c r="A1" s="38" t="s">
        <v>285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177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6" t="s">
        <v>287</v>
      </c>
      <c r="B6" s="6" t="s">
        <v>288</v>
      </c>
      <c r="C6" s="6" t="s">
        <v>289</v>
      </c>
      <c r="D6" s="6" t="str">
        <f>"0,5543"</f>
        <v>0,5543</v>
      </c>
      <c r="E6" s="6" t="s">
        <v>194</v>
      </c>
      <c r="F6" s="6" t="s">
        <v>182</v>
      </c>
      <c r="G6" s="7" t="s">
        <v>185</v>
      </c>
      <c r="H6" s="7" t="s">
        <v>220</v>
      </c>
      <c r="I6" s="8" t="s">
        <v>229</v>
      </c>
      <c r="J6" s="8"/>
      <c r="K6" s="6" t="str">
        <f>"350,0"</f>
        <v>350,0</v>
      </c>
      <c r="L6" s="7" t="str">
        <f>"194,0050"</f>
        <v>194,0050</v>
      </c>
      <c r="M6" s="6" t="s">
        <v>186</v>
      </c>
    </row>
    <row r="8" spans="1:13" ht="15">
      <c r="E8" s="9" t="s">
        <v>38</v>
      </c>
    </row>
    <row r="9" spans="1:13" ht="15">
      <c r="E9" s="9" t="s">
        <v>39</v>
      </c>
    </row>
    <row r="10" spans="1:13" ht="15">
      <c r="E10" s="9" t="s">
        <v>40</v>
      </c>
    </row>
    <row r="11" spans="1:13" ht="15">
      <c r="E11" s="9" t="s">
        <v>41</v>
      </c>
    </row>
    <row r="12" spans="1:13" ht="15">
      <c r="E12" s="9" t="s">
        <v>41</v>
      </c>
    </row>
    <row r="13" spans="1:13" ht="15">
      <c r="E13" s="9" t="s">
        <v>42</v>
      </c>
    </row>
    <row r="14" spans="1:13" ht="15">
      <c r="E14" s="9"/>
    </row>
    <row r="16" spans="1:13" ht="18">
      <c r="A16" s="10" t="s">
        <v>43</v>
      </c>
      <c r="B16" s="10"/>
    </row>
    <row r="17" spans="1:5" ht="15">
      <c r="A17" s="11" t="s">
        <v>44</v>
      </c>
      <c r="B17" s="11"/>
    </row>
    <row r="18" spans="1:5" ht="14.25">
      <c r="A18" s="13"/>
      <c r="B18" s="14" t="s">
        <v>104</v>
      </c>
    </row>
    <row r="19" spans="1:5" ht="15">
      <c r="A19" s="15" t="s">
        <v>46</v>
      </c>
      <c r="B19" s="15" t="s">
        <v>47</v>
      </c>
      <c r="C19" s="15" t="s">
        <v>48</v>
      </c>
      <c r="D19" s="15" t="s">
        <v>49</v>
      </c>
      <c r="E19" s="15" t="s">
        <v>50</v>
      </c>
    </row>
    <row r="20" spans="1:5">
      <c r="A20" s="12" t="s">
        <v>286</v>
      </c>
      <c r="B20" s="5" t="s">
        <v>104</v>
      </c>
      <c r="C20" s="5" t="s">
        <v>187</v>
      </c>
      <c r="D20" s="5" t="s">
        <v>220</v>
      </c>
      <c r="E20" s="16" t="s">
        <v>290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926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.5703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7.85546875" style="5" bestFit="1" customWidth="1"/>
    <col min="14" max="16384" width="9.140625" style="4"/>
  </cols>
  <sheetData>
    <row r="1" spans="1:13" s="3" customFormat="1" ht="29.1" customHeight="1">
      <c r="A1" s="38" t="s">
        <v>243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73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6" t="s">
        <v>245</v>
      </c>
      <c r="B6" s="6" t="s">
        <v>246</v>
      </c>
      <c r="C6" s="6" t="s">
        <v>247</v>
      </c>
      <c r="D6" s="6" t="str">
        <f>"0,5885"</f>
        <v>0,5885</v>
      </c>
      <c r="E6" s="6" t="s">
        <v>33</v>
      </c>
      <c r="F6" s="6" t="s">
        <v>136</v>
      </c>
      <c r="G6" s="7" t="s">
        <v>138</v>
      </c>
      <c r="H6" s="8" t="s">
        <v>210</v>
      </c>
      <c r="I6" s="8" t="s">
        <v>210</v>
      </c>
      <c r="J6" s="8"/>
      <c r="K6" s="6" t="str">
        <f>"240,0"</f>
        <v>240,0</v>
      </c>
      <c r="L6" s="7" t="str">
        <f>"141,2400"</f>
        <v>141,2400</v>
      </c>
      <c r="M6" s="6" t="s">
        <v>37</v>
      </c>
    </row>
    <row r="8" spans="1:13" ht="15">
      <c r="A8" s="39" t="s">
        <v>177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>
      <c r="A9" s="6" t="s">
        <v>249</v>
      </c>
      <c r="B9" s="6" t="s">
        <v>250</v>
      </c>
      <c r="C9" s="6" t="s">
        <v>251</v>
      </c>
      <c r="D9" s="6" t="str">
        <f>"0,5710"</f>
        <v>0,5710</v>
      </c>
      <c r="E9" s="6" t="s">
        <v>252</v>
      </c>
      <c r="F9" s="6" t="s">
        <v>34</v>
      </c>
      <c r="G9" s="7" t="s">
        <v>36</v>
      </c>
      <c r="H9" s="7" t="s">
        <v>195</v>
      </c>
      <c r="I9" s="8" t="s">
        <v>183</v>
      </c>
      <c r="J9" s="8"/>
      <c r="K9" s="6" t="str">
        <f>"270,0"</f>
        <v>270,0</v>
      </c>
      <c r="L9" s="7" t="str">
        <f>"154,1700"</f>
        <v>154,1700</v>
      </c>
      <c r="M9" s="6" t="s">
        <v>253</v>
      </c>
    </row>
    <row r="11" spans="1:13" ht="15">
      <c r="A11" s="39" t="s">
        <v>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3">
      <c r="A12" s="6" t="s">
        <v>255</v>
      </c>
      <c r="B12" s="6" t="s">
        <v>256</v>
      </c>
      <c r="C12" s="6" t="s">
        <v>257</v>
      </c>
      <c r="D12" s="6" t="str">
        <f>"0,5380"</f>
        <v>0,5380</v>
      </c>
      <c r="E12" s="6" t="s">
        <v>33</v>
      </c>
      <c r="F12" s="6" t="s">
        <v>258</v>
      </c>
      <c r="G12" s="7" t="s">
        <v>221</v>
      </c>
      <c r="H12" s="7" t="s">
        <v>183</v>
      </c>
      <c r="I12" s="8" t="s">
        <v>231</v>
      </c>
      <c r="J12" s="8"/>
      <c r="K12" s="6" t="str">
        <f>"300,0"</f>
        <v>300,0</v>
      </c>
      <c r="L12" s="7" t="str">
        <f>"161,4000"</f>
        <v>161,4000</v>
      </c>
      <c r="M12" s="6" t="s">
        <v>259</v>
      </c>
    </row>
    <row r="14" spans="1:13" ht="15">
      <c r="A14" s="39" t="s">
        <v>95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3">
      <c r="A15" s="6" t="s">
        <v>261</v>
      </c>
      <c r="B15" s="6" t="s">
        <v>262</v>
      </c>
      <c r="C15" s="6" t="s">
        <v>263</v>
      </c>
      <c r="D15" s="6" t="str">
        <f>"0,5211"</f>
        <v>0,5211</v>
      </c>
      <c r="E15" s="6" t="s">
        <v>100</v>
      </c>
      <c r="F15" s="6" t="s">
        <v>264</v>
      </c>
      <c r="G15" s="7" t="s">
        <v>221</v>
      </c>
      <c r="H15" s="8" t="s">
        <v>196</v>
      </c>
      <c r="I15" s="7" t="s">
        <v>196</v>
      </c>
      <c r="J15" s="8"/>
      <c r="K15" s="6" t="str">
        <f>"290,0"</f>
        <v>290,0</v>
      </c>
      <c r="L15" s="7" t="str">
        <f>"151,1190"</f>
        <v>151,1190</v>
      </c>
      <c r="M15" s="6" t="s">
        <v>265</v>
      </c>
    </row>
    <row r="17" spans="1:13" ht="15">
      <c r="A17" s="39" t="s">
        <v>223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3">
      <c r="A18" s="17" t="s">
        <v>267</v>
      </c>
      <c r="B18" s="17" t="s">
        <v>268</v>
      </c>
      <c r="C18" s="17" t="s">
        <v>269</v>
      </c>
      <c r="D18" s="17" t="str">
        <f>"0,5064"</f>
        <v>0,5064</v>
      </c>
      <c r="E18" s="17" t="s">
        <v>33</v>
      </c>
      <c r="F18" s="17" t="s">
        <v>34</v>
      </c>
      <c r="G18" s="19" t="s">
        <v>218</v>
      </c>
      <c r="H18" s="19" t="s">
        <v>231</v>
      </c>
      <c r="I18" s="18" t="s">
        <v>270</v>
      </c>
      <c r="J18" s="18"/>
      <c r="K18" s="17" t="str">
        <f>"320,0"</f>
        <v>320,0</v>
      </c>
      <c r="L18" s="19" t="str">
        <f>"162,0352"</f>
        <v>162,0352</v>
      </c>
      <c r="M18" s="17" t="s">
        <v>271</v>
      </c>
    </row>
    <row r="19" spans="1:13">
      <c r="A19" s="20" t="s">
        <v>273</v>
      </c>
      <c r="B19" s="20" t="s">
        <v>274</v>
      </c>
      <c r="C19" s="20" t="s">
        <v>275</v>
      </c>
      <c r="D19" s="20" t="str">
        <f>"0,5138"</f>
        <v>0,5138</v>
      </c>
      <c r="E19" s="20" t="s">
        <v>100</v>
      </c>
      <c r="F19" s="20" t="s">
        <v>264</v>
      </c>
      <c r="G19" s="22" t="s">
        <v>169</v>
      </c>
      <c r="H19" s="22" t="s">
        <v>276</v>
      </c>
      <c r="I19" s="21" t="s">
        <v>27</v>
      </c>
      <c r="J19" s="21"/>
      <c r="K19" s="20" t="str">
        <f>"205,0"</f>
        <v>205,0</v>
      </c>
      <c r="L19" s="22" t="str">
        <f>"115,0193"</f>
        <v>115,0193</v>
      </c>
      <c r="M19" s="20" t="s">
        <v>277</v>
      </c>
    </row>
    <row r="21" spans="1:13" ht="15">
      <c r="E21" s="9" t="s">
        <v>38</v>
      </c>
    </row>
    <row r="22" spans="1:13" ht="15">
      <c r="E22" s="9" t="s">
        <v>39</v>
      </c>
    </row>
    <row r="23" spans="1:13" ht="15">
      <c r="E23" s="9" t="s">
        <v>40</v>
      </c>
    </row>
    <row r="24" spans="1:13" ht="15">
      <c r="E24" s="9" t="s">
        <v>41</v>
      </c>
    </row>
    <row r="25" spans="1:13" ht="15">
      <c r="E25" s="9" t="s">
        <v>41</v>
      </c>
    </row>
    <row r="26" spans="1:13" ht="15">
      <c r="E26" s="9" t="s">
        <v>42</v>
      </c>
    </row>
    <row r="27" spans="1:13" ht="15">
      <c r="E27" s="9"/>
    </row>
    <row r="29" spans="1:13" ht="18">
      <c r="A29" s="10" t="s">
        <v>43</v>
      </c>
      <c r="B29" s="10"/>
    </row>
    <row r="30" spans="1:13" ht="15">
      <c r="A30" s="11" t="s">
        <v>44</v>
      </c>
      <c r="B30" s="11"/>
    </row>
    <row r="31" spans="1:13" ht="14.25">
      <c r="A31" s="13"/>
      <c r="B31" s="14" t="s">
        <v>104</v>
      </c>
    </row>
    <row r="32" spans="1:13" ht="15">
      <c r="A32" s="15" t="s">
        <v>46</v>
      </c>
      <c r="B32" s="15" t="s">
        <v>47</v>
      </c>
      <c r="C32" s="15" t="s">
        <v>48</v>
      </c>
      <c r="D32" s="15" t="s">
        <v>49</v>
      </c>
      <c r="E32" s="15" t="s">
        <v>50</v>
      </c>
    </row>
    <row r="33" spans="1:5">
      <c r="A33" s="12" t="s">
        <v>266</v>
      </c>
      <c r="B33" s="5" t="s">
        <v>104</v>
      </c>
      <c r="C33" s="5" t="s">
        <v>126</v>
      </c>
      <c r="D33" s="5" t="s">
        <v>231</v>
      </c>
      <c r="E33" s="16" t="s">
        <v>278</v>
      </c>
    </row>
    <row r="34" spans="1:5">
      <c r="A34" s="12" t="s">
        <v>254</v>
      </c>
      <c r="B34" s="5" t="s">
        <v>104</v>
      </c>
      <c r="C34" s="5" t="s">
        <v>115</v>
      </c>
      <c r="D34" s="5" t="s">
        <v>183</v>
      </c>
      <c r="E34" s="16" t="s">
        <v>279</v>
      </c>
    </row>
    <row r="35" spans="1:5">
      <c r="A35" s="12" t="s">
        <v>248</v>
      </c>
      <c r="B35" s="5" t="s">
        <v>104</v>
      </c>
      <c r="C35" s="5" t="s">
        <v>187</v>
      </c>
      <c r="D35" s="5" t="s">
        <v>195</v>
      </c>
      <c r="E35" s="16" t="s">
        <v>280</v>
      </c>
    </row>
    <row r="36" spans="1:5">
      <c r="A36" s="12" t="s">
        <v>260</v>
      </c>
      <c r="B36" s="5" t="s">
        <v>104</v>
      </c>
      <c r="C36" s="5" t="s">
        <v>111</v>
      </c>
      <c r="D36" s="5" t="s">
        <v>196</v>
      </c>
      <c r="E36" s="16" t="s">
        <v>281</v>
      </c>
    </row>
    <row r="37" spans="1:5">
      <c r="A37" s="12" t="s">
        <v>244</v>
      </c>
      <c r="B37" s="5" t="s">
        <v>104</v>
      </c>
      <c r="C37" s="5" t="s">
        <v>113</v>
      </c>
      <c r="D37" s="5" t="s">
        <v>138</v>
      </c>
      <c r="E37" s="16" t="s">
        <v>282</v>
      </c>
    </row>
    <row r="39" spans="1:5" ht="14.25">
      <c r="A39" s="13"/>
      <c r="B39" s="14" t="s">
        <v>45</v>
      </c>
    </row>
    <row r="40" spans="1:5" ht="15">
      <c r="A40" s="15" t="s">
        <v>46</v>
      </c>
      <c r="B40" s="15" t="s">
        <v>47</v>
      </c>
      <c r="C40" s="15" t="s">
        <v>48</v>
      </c>
      <c r="D40" s="15" t="s">
        <v>49</v>
      </c>
      <c r="E40" s="15" t="s">
        <v>50</v>
      </c>
    </row>
    <row r="41" spans="1:5">
      <c r="A41" s="12" t="s">
        <v>272</v>
      </c>
      <c r="B41" s="5" t="s">
        <v>283</v>
      </c>
      <c r="C41" s="5" t="s">
        <v>126</v>
      </c>
      <c r="D41" s="5" t="s">
        <v>276</v>
      </c>
      <c r="E41" s="16" t="s">
        <v>284</v>
      </c>
    </row>
  </sheetData>
  <mergeCells count="16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A11:L11"/>
    <mergeCell ref="A14:L14"/>
    <mergeCell ref="A17:L17"/>
    <mergeCell ref="K3:K4"/>
    <mergeCell ref="L3:L4"/>
  </mergeCells>
  <phoneticPr fontId="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U37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1.2851562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5.42578125" style="5" bestFit="1" customWidth="1"/>
    <col min="22" max="16384" width="9.140625" style="4"/>
  </cols>
  <sheetData>
    <row r="1" spans="1:21" s="3" customFormat="1" ht="29.1" customHeight="1">
      <c r="A1" s="38" t="s">
        <v>199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26" t="s">
        <v>5</v>
      </c>
    </row>
    <row r="4" spans="1:21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6"/>
      <c r="T4" s="36"/>
      <c r="U4" s="27"/>
    </row>
    <row r="5" spans="1:21" ht="15">
      <c r="A5" s="41" t="s">
        <v>131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>
      <c r="A6" s="6" t="s">
        <v>201</v>
      </c>
      <c r="B6" s="6" t="s">
        <v>202</v>
      </c>
      <c r="C6" s="6" t="s">
        <v>203</v>
      </c>
      <c r="D6" s="6" t="str">
        <f>"0,7923"</f>
        <v>0,7923</v>
      </c>
      <c r="E6" s="6" t="s">
        <v>33</v>
      </c>
      <c r="F6" s="6" t="s">
        <v>204</v>
      </c>
      <c r="G6" s="7" t="s">
        <v>126</v>
      </c>
      <c r="H6" s="8" t="s">
        <v>79</v>
      </c>
      <c r="I6" s="8" t="s">
        <v>79</v>
      </c>
      <c r="J6" s="8"/>
      <c r="K6" s="7" t="s">
        <v>205</v>
      </c>
      <c r="L6" s="7" t="s">
        <v>109</v>
      </c>
      <c r="M6" s="7" t="s">
        <v>52</v>
      </c>
      <c r="N6" s="8"/>
      <c r="O6" s="7" t="s">
        <v>126</v>
      </c>
      <c r="P6" s="7" t="s">
        <v>86</v>
      </c>
      <c r="Q6" s="8" t="s">
        <v>87</v>
      </c>
      <c r="R6" s="8"/>
      <c r="S6" s="6" t="str">
        <f>"367,5"</f>
        <v>367,5</v>
      </c>
      <c r="T6" s="7" t="str">
        <f>"291,1702"</f>
        <v>291,1702</v>
      </c>
      <c r="U6" s="6" t="s">
        <v>37</v>
      </c>
    </row>
    <row r="8" spans="1:21" ht="15">
      <c r="A8" s="39" t="s">
        <v>73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1">
      <c r="A9" s="6" t="s">
        <v>207</v>
      </c>
      <c r="B9" s="6" t="s">
        <v>208</v>
      </c>
      <c r="C9" s="6" t="s">
        <v>209</v>
      </c>
      <c r="D9" s="6" t="str">
        <f>"0,5893"</f>
        <v>0,5893</v>
      </c>
      <c r="E9" s="6" t="s">
        <v>33</v>
      </c>
      <c r="F9" s="6" t="s">
        <v>34</v>
      </c>
      <c r="G9" s="7" t="s">
        <v>36</v>
      </c>
      <c r="H9" s="7" t="s">
        <v>210</v>
      </c>
      <c r="I9" s="7" t="s">
        <v>211</v>
      </c>
      <c r="J9" s="8"/>
      <c r="K9" s="7" t="s">
        <v>35</v>
      </c>
      <c r="L9" s="7" t="s">
        <v>138</v>
      </c>
      <c r="M9" s="7" t="s">
        <v>36</v>
      </c>
      <c r="N9" s="8"/>
      <c r="O9" s="7" t="s">
        <v>35</v>
      </c>
      <c r="P9" s="7" t="s">
        <v>138</v>
      </c>
      <c r="Q9" s="7" t="s">
        <v>212</v>
      </c>
      <c r="R9" s="8"/>
      <c r="S9" s="6" t="str">
        <f>"780,0"</f>
        <v>780,0</v>
      </c>
      <c r="T9" s="7" t="str">
        <f>"459,6540"</f>
        <v>459,6540</v>
      </c>
      <c r="U9" s="6" t="s">
        <v>37</v>
      </c>
    </row>
    <row r="11" spans="1:21" ht="15">
      <c r="A11" s="39" t="s">
        <v>177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1">
      <c r="A12" s="6" t="s">
        <v>214</v>
      </c>
      <c r="B12" s="6" t="s">
        <v>215</v>
      </c>
      <c r="C12" s="6" t="s">
        <v>216</v>
      </c>
      <c r="D12" s="6" t="str">
        <f>"0,5540"</f>
        <v>0,5540</v>
      </c>
      <c r="E12" s="6" t="s">
        <v>33</v>
      </c>
      <c r="F12" s="6" t="s">
        <v>217</v>
      </c>
      <c r="G12" s="7" t="s">
        <v>218</v>
      </c>
      <c r="H12" s="7" t="s">
        <v>219</v>
      </c>
      <c r="I12" s="7" t="s">
        <v>220</v>
      </c>
      <c r="J12" s="8"/>
      <c r="K12" s="7" t="s">
        <v>21</v>
      </c>
      <c r="L12" s="7" t="s">
        <v>22</v>
      </c>
      <c r="M12" s="7" t="s">
        <v>94</v>
      </c>
      <c r="N12" s="8"/>
      <c r="O12" s="8" t="s">
        <v>221</v>
      </c>
      <c r="P12" s="7" t="s">
        <v>196</v>
      </c>
      <c r="Q12" s="8" t="s">
        <v>222</v>
      </c>
      <c r="R12" s="8"/>
      <c r="S12" s="6" t="str">
        <f>"825,0"</f>
        <v>825,0</v>
      </c>
      <c r="T12" s="7" t="str">
        <f>"457,0500"</f>
        <v>457,0500</v>
      </c>
      <c r="U12" s="6" t="s">
        <v>37</v>
      </c>
    </row>
    <row r="14" spans="1:21" ht="15">
      <c r="A14" s="39" t="s">
        <v>223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1">
      <c r="A15" s="6" t="s">
        <v>225</v>
      </c>
      <c r="B15" s="6" t="s">
        <v>226</v>
      </c>
      <c r="C15" s="6" t="s">
        <v>227</v>
      </c>
      <c r="D15" s="6" t="str">
        <f>"0,5174"</f>
        <v>0,5174</v>
      </c>
      <c r="E15" s="6" t="s">
        <v>100</v>
      </c>
      <c r="F15" s="6" t="s">
        <v>228</v>
      </c>
      <c r="G15" s="7" t="s">
        <v>229</v>
      </c>
      <c r="H15" s="8" t="s">
        <v>230</v>
      </c>
      <c r="I15" s="7" t="s">
        <v>230</v>
      </c>
      <c r="J15" s="8"/>
      <c r="K15" s="7" t="s">
        <v>231</v>
      </c>
      <c r="L15" s="7" t="s">
        <v>232</v>
      </c>
      <c r="M15" s="8" t="s">
        <v>220</v>
      </c>
      <c r="N15" s="8"/>
      <c r="O15" s="7" t="s">
        <v>231</v>
      </c>
      <c r="P15" s="7" t="s">
        <v>232</v>
      </c>
      <c r="Q15" s="7" t="s">
        <v>233</v>
      </c>
      <c r="R15" s="8"/>
      <c r="S15" s="6" t="str">
        <f>"1100,0"</f>
        <v>1100,0</v>
      </c>
      <c r="T15" s="7" t="str">
        <f>"569,1400"</f>
        <v>569,1400</v>
      </c>
      <c r="U15" s="6" t="s">
        <v>234</v>
      </c>
    </row>
    <row r="17" spans="1:5" ht="15">
      <c r="E17" s="9" t="s">
        <v>38</v>
      </c>
    </row>
    <row r="18" spans="1:5" ht="15">
      <c r="E18" s="9" t="s">
        <v>39</v>
      </c>
    </row>
    <row r="19" spans="1:5" ht="15">
      <c r="E19" s="9" t="s">
        <v>40</v>
      </c>
    </row>
    <row r="20" spans="1:5" ht="15">
      <c r="E20" s="9" t="s">
        <v>41</v>
      </c>
    </row>
    <row r="21" spans="1:5" ht="15">
      <c r="E21" s="9" t="s">
        <v>41</v>
      </c>
    </row>
    <row r="22" spans="1:5" ht="15">
      <c r="E22" s="9" t="s">
        <v>42</v>
      </c>
    </row>
    <row r="23" spans="1:5" ht="15">
      <c r="E23" s="9"/>
    </row>
    <row r="25" spans="1:5" ht="18">
      <c r="A25" s="10" t="s">
        <v>43</v>
      </c>
      <c r="B25" s="10"/>
    </row>
    <row r="26" spans="1:5" ht="15">
      <c r="A26" s="11" t="s">
        <v>103</v>
      </c>
      <c r="B26" s="11"/>
    </row>
    <row r="27" spans="1:5" ht="14.25">
      <c r="A27" s="13"/>
      <c r="B27" s="14" t="s">
        <v>104</v>
      </c>
    </row>
    <row r="28" spans="1:5" ht="15">
      <c r="A28" s="15" t="s">
        <v>46</v>
      </c>
      <c r="B28" s="15" t="s">
        <v>47</v>
      </c>
      <c r="C28" s="15" t="s">
        <v>48</v>
      </c>
      <c r="D28" s="15" t="s">
        <v>49</v>
      </c>
      <c r="E28" s="15" t="s">
        <v>50</v>
      </c>
    </row>
    <row r="29" spans="1:5">
      <c r="A29" s="12" t="s">
        <v>200</v>
      </c>
      <c r="B29" s="5" t="s">
        <v>104</v>
      </c>
      <c r="C29" s="5" t="s">
        <v>149</v>
      </c>
      <c r="D29" s="5" t="s">
        <v>235</v>
      </c>
      <c r="E29" s="16" t="s">
        <v>236</v>
      </c>
    </row>
    <row r="32" spans="1:5" ht="15">
      <c r="A32" s="11" t="s">
        <v>44</v>
      </c>
      <c r="B32" s="11"/>
    </row>
    <row r="33" spans="1:5" ht="14.25">
      <c r="A33" s="13"/>
      <c r="B33" s="14" t="s">
        <v>104</v>
      </c>
    </row>
    <row r="34" spans="1:5" ht="15">
      <c r="A34" s="15" t="s">
        <v>46</v>
      </c>
      <c r="B34" s="15" t="s">
        <v>47</v>
      </c>
      <c r="C34" s="15" t="s">
        <v>48</v>
      </c>
      <c r="D34" s="15" t="s">
        <v>49</v>
      </c>
      <c r="E34" s="15" t="s">
        <v>50</v>
      </c>
    </row>
    <row r="35" spans="1:5">
      <c r="A35" s="12" t="s">
        <v>224</v>
      </c>
      <c r="B35" s="5" t="s">
        <v>104</v>
      </c>
      <c r="C35" s="5" t="s">
        <v>126</v>
      </c>
      <c r="D35" s="5" t="s">
        <v>237</v>
      </c>
      <c r="E35" s="16" t="s">
        <v>238</v>
      </c>
    </row>
    <row r="36" spans="1:5">
      <c r="A36" s="12" t="s">
        <v>206</v>
      </c>
      <c r="B36" s="5" t="s">
        <v>104</v>
      </c>
      <c r="C36" s="5" t="s">
        <v>113</v>
      </c>
      <c r="D36" s="5" t="s">
        <v>239</v>
      </c>
      <c r="E36" s="16" t="s">
        <v>240</v>
      </c>
    </row>
    <row r="37" spans="1:5">
      <c r="A37" s="12" t="s">
        <v>213</v>
      </c>
      <c r="B37" s="5" t="s">
        <v>104</v>
      </c>
      <c r="C37" s="5" t="s">
        <v>187</v>
      </c>
      <c r="D37" s="5" t="s">
        <v>241</v>
      </c>
      <c r="E37" s="16" t="s">
        <v>242</v>
      </c>
    </row>
  </sheetData>
  <mergeCells count="17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T8"/>
    <mergeCell ref="A11:T11"/>
    <mergeCell ref="A14:T14"/>
    <mergeCell ref="S3:S4"/>
    <mergeCell ref="T3:T4"/>
    <mergeCell ref="U3:U4"/>
    <mergeCell ref="A5:T5"/>
  </mergeCells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198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1.5703125" style="5" bestFit="1" customWidth="1"/>
    <col min="14" max="16384" width="9.140625" style="4"/>
  </cols>
  <sheetData>
    <row r="1" spans="1:13" s="3" customFormat="1" ht="29.1" customHeight="1">
      <c r="A1" s="38" t="s">
        <v>189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177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6" t="s">
        <v>191</v>
      </c>
      <c r="B6" s="6" t="s">
        <v>192</v>
      </c>
      <c r="C6" s="6" t="s">
        <v>193</v>
      </c>
      <c r="D6" s="6" t="str">
        <f>"0,5654"</f>
        <v>0,5654</v>
      </c>
      <c r="E6" s="6" t="s">
        <v>194</v>
      </c>
      <c r="F6" s="6" t="s">
        <v>182</v>
      </c>
      <c r="G6" s="7" t="s">
        <v>36</v>
      </c>
      <c r="H6" s="7" t="s">
        <v>195</v>
      </c>
      <c r="I6" s="8" t="s">
        <v>196</v>
      </c>
      <c r="J6" s="8"/>
      <c r="K6" s="6" t="str">
        <f>"270,0"</f>
        <v>270,0</v>
      </c>
      <c r="L6" s="7" t="str">
        <f>"152,6580"</f>
        <v>152,6580</v>
      </c>
      <c r="M6" s="6" t="s">
        <v>102</v>
      </c>
    </row>
    <row r="8" spans="1:13" ht="15">
      <c r="E8" s="9" t="s">
        <v>38</v>
      </c>
    </row>
    <row r="9" spans="1:13" ht="15">
      <c r="E9" s="9" t="s">
        <v>39</v>
      </c>
    </row>
    <row r="10" spans="1:13" ht="15">
      <c r="E10" s="9" t="s">
        <v>40</v>
      </c>
    </row>
    <row r="11" spans="1:13" ht="15">
      <c r="E11" s="9" t="s">
        <v>41</v>
      </c>
    </row>
    <row r="12" spans="1:13" ht="15">
      <c r="E12" s="9" t="s">
        <v>41</v>
      </c>
    </row>
    <row r="13" spans="1:13" ht="15">
      <c r="E13" s="9" t="s">
        <v>42</v>
      </c>
    </row>
    <row r="14" spans="1:13" ht="15">
      <c r="E14" s="9"/>
    </row>
    <row r="16" spans="1:13" ht="18">
      <c r="A16" s="10" t="s">
        <v>43</v>
      </c>
      <c r="B16" s="10"/>
    </row>
    <row r="17" spans="1:5" ht="15">
      <c r="A17" s="11" t="s">
        <v>44</v>
      </c>
      <c r="B17" s="11"/>
    </row>
    <row r="18" spans="1:5" ht="14.25">
      <c r="A18" s="13"/>
      <c r="B18" s="14" t="s">
        <v>104</v>
      </c>
    </row>
    <row r="19" spans="1:5" ht="15">
      <c r="A19" s="15" t="s">
        <v>46</v>
      </c>
      <c r="B19" s="15" t="s">
        <v>47</v>
      </c>
      <c r="C19" s="15" t="s">
        <v>48</v>
      </c>
      <c r="D19" s="15" t="s">
        <v>49</v>
      </c>
      <c r="E19" s="15" t="s">
        <v>50</v>
      </c>
    </row>
    <row r="20" spans="1:5">
      <c r="A20" s="12" t="s">
        <v>190</v>
      </c>
      <c r="B20" s="5" t="s">
        <v>104</v>
      </c>
      <c r="C20" s="5" t="s">
        <v>187</v>
      </c>
      <c r="D20" s="5" t="s">
        <v>195</v>
      </c>
      <c r="E20" s="16" t="s">
        <v>197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3.5703125" style="5" bestFit="1" customWidth="1"/>
    <col min="14" max="16384" width="9.140625" style="4"/>
  </cols>
  <sheetData>
    <row r="1" spans="1:13" s="3" customFormat="1" ht="29.1" customHeight="1">
      <c r="A1" s="38" t="s">
        <v>176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177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6" t="s">
        <v>179</v>
      </c>
      <c r="B6" s="6" t="s">
        <v>180</v>
      </c>
      <c r="C6" s="6" t="s">
        <v>181</v>
      </c>
      <c r="D6" s="6" t="str">
        <f>"0,5678"</f>
        <v>0,5678</v>
      </c>
      <c r="E6" s="6" t="s">
        <v>100</v>
      </c>
      <c r="F6" s="6" t="s">
        <v>182</v>
      </c>
      <c r="G6" s="7" t="s">
        <v>183</v>
      </c>
      <c r="H6" s="7" t="s">
        <v>184</v>
      </c>
      <c r="I6" s="8" t="s">
        <v>185</v>
      </c>
      <c r="J6" s="8"/>
      <c r="K6" s="6" t="str">
        <f>"315,0"</f>
        <v>315,0</v>
      </c>
      <c r="L6" s="7" t="str">
        <f>"178,8570"</f>
        <v>178,8570</v>
      </c>
      <c r="M6" s="6" t="s">
        <v>186</v>
      </c>
    </row>
    <row r="8" spans="1:13" ht="15">
      <c r="E8" s="9" t="s">
        <v>38</v>
      </c>
    </row>
    <row r="9" spans="1:13" ht="15">
      <c r="E9" s="9" t="s">
        <v>39</v>
      </c>
    </row>
    <row r="10" spans="1:13" ht="15">
      <c r="E10" s="9" t="s">
        <v>40</v>
      </c>
    </row>
    <row r="11" spans="1:13" ht="15">
      <c r="E11" s="9" t="s">
        <v>41</v>
      </c>
    </row>
    <row r="12" spans="1:13" ht="15">
      <c r="E12" s="9" t="s">
        <v>41</v>
      </c>
    </row>
    <row r="13" spans="1:13" ht="15">
      <c r="E13" s="9" t="s">
        <v>42</v>
      </c>
    </row>
    <row r="14" spans="1:13" ht="15">
      <c r="E14" s="9"/>
    </row>
    <row r="16" spans="1:13" ht="18">
      <c r="A16" s="10" t="s">
        <v>43</v>
      </c>
      <c r="B16" s="10"/>
    </row>
    <row r="17" spans="1:5" ht="15">
      <c r="A17" s="11" t="s">
        <v>44</v>
      </c>
      <c r="B17" s="11"/>
    </row>
    <row r="18" spans="1:5" ht="14.25">
      <c r="A18" s="13"/>
      <c r="B18" s="14" t="s">
        <v>104</v>
      </c>
    </row>
    <row r="19" spans="1:5" ht="15">
      <c r="A19" s="15" t="s">
        <v>46</v>
      </c>
      <c r="B19" s="15" t="s">
        <v>47</v>
      </c>
      <c r="C19" s="15" t="s">
        <v>48</v>
      </c>
      <c r="D19" s="15" t="s">
        <v>49</v>
      </c>
      <c r="E19" s="15" t="s">
        <v>50</v>
      </c>
    </row>
    <row r="20" spans="1:5">
      <c r="A20" s="12" t="s">
        <v>178</v>
      </c>
      <c r="B20" s="5" t="s">
        <v>104</v>
      </c>
      <c r="C20" s="5" t="s">
        <v>187</v>
      </c>
      <c r="D20" s="5" t="s">
        <v>184</v>
      </c>
      <c r="E20" s="16" t="s">
        <v>188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175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174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38" t="s">
        <v>173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26" t="s">
        <v>5</v>
      </c>
    </row>
    <row r="4" spans="1:21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6"/>
      <c r="T4" s="36"/>
      <c r="U4" s="27"/>
    </row>
    <row r="6" spans="1:21" ht="15">
      <c r="E6" s="9" t="s">
        <v>38</v>
      </c>
    </row>
    <row r="7" spans="1:21" ht="15">
      <c r="E7" s="9" t="s">
        <v>39</v>
      </c>
    </row>
    <row r="8" spans="1:21" ht="15">
      <c r="E8" s="9" t="s">
        <v>40</v>
      </c>
    </row>
    <row r="9" spans="1:21" ht="15">
      <c r="E9" s="9" t="s">
        <v>41</v>
      </c>
    </row>
    <row r="10" spans="1:21" ht="15">
      <c r="E10" s="9" t="s">
        <v>41</v>
      </c>
    </row>
    <row r="11" spans="1:21" ht="15">
      <c r="E11" s="9" t="s">
        <v>42</v>
      </c>
    </row>
    <row r="12" spans="1:21" ht="15">
      <c r="E12" s="9"/>
    </row>
    <row r="14" spans="1:21" ht="18">
      <c r="A14" s="10" t="s">
        <v>43</v>
      </c>
      <c r="B14" s="10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5703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7.5703125" style="5" bestFit="1" customWidth="1"/>
    <col min="14" max="16384" width="9.140625" style="4"/>
  </cols>
  <sheetData>
    <row r="1" spans="1:13" s="3" customFormat="1" ht="29.1" customHeight="1">
      <c r="A1" s="38" t="s">
        <v>155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73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17" t="s">
        <v>157</v>
      </c>
      <c r="B6" s="17" t="s">
        <v>158</v>
      </c>
      <c r="C6" s="17" t="s">
        <v>159</v>
      </c>
      <c r="D6" s="17" t="str">
        <f>"0,5995"</f>
        <v>0,5995</v>
      </c>
      <c r="E6" s="17" t="s">
        <v>160</v>
      </c>
      <c r="F6" s="17" t="s">
        <v>161</v>
      </c>
      <c r="G6" s="19" t="s">
        <v>35</v>
      </c>
      <c r="H6" s="19" t="s">
        <v>138</v>
      </c>
      <c r="I6" s="18" t="s">
        <v>162</v>
      </c>
      <c r="J6" s="18"/>
      <c r="K6" s="17" t="str">
        <f>"240,0"</f>
        <v>240,0</v>
      </c>
      <c r="L6" s="19" t="str">
        <f>"143,8800"</f>
        <v>143,8800</v>
      </c>
      <c r="M6" s="17" t="s">
        <v>163</v>
      </c>
    </row>
    <row r="7" spans="1:13">
      <c r="A7" s="20" t="s">
        <v>165</v>
      </c>
      <c r="B7" s="20" t="s">
        <v>166</v>
      </c>
      <c r="C7" s="20" t="s">
        <v>167</v>
      </c>
      <c r="D7" s="20" t="str">
        <f>"0,5865"</f>
        <v>0,5865</v>
      </c>
      <c r="E7" s="20" t="s">
        <v>33</v>
      </c>
      <c r="F7" s="20" t="s">
        <v>168</v>
      </c>
      <c r="G7" s="22" t="s">
        <v>22</v>
      </c>
      <c r="H7" s="22" t="s">
        <v>26</v>
      </c>
      <c r="I7" s="22" t="s">
        <v>169</v>
      </c>
      <c r="J7" s="21"/>
      <c r="K7" s="20" t="str">
        <f>"195,0"</f>
        <v>195,0</v>
      </c>
      <c r="L7" s="22" t="str">
        <f>"114,3675"</f>
        <v>114,3675</v>
      </c>
      <c r="M7" s="20" t="s">
        <v>37</v>
      </c>
    </row>
    <row r="9" spans="1:13" ht="15">
      <c r="A9" s="39" t="s">
        <v>95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3">
      <c r="A10" s="6" t="s">
        <v>140</v>
      </c>
      <c r="B10" s="6" t="s">
        <v>141</v>
      </c>
      <c r="C10" s="6" t="s">
        <v>142</v>
      </c>
      <c r="D10" s="6" t="str">
        <f>"0,5284"</f>
        <v>0,5284</v>
      </c>
      <c r="E10" s="6" t="s">
        <v>33</v>
      </c>
      <c r="F10" s="6" t="s">
        <v>143</v>
      </c>
      <c r="G10" s="7" t="s">
        <v>85</v>
      </c>
      <c r="H10" s="7" t="s">
        <v>86</v>
      </c>
      <c r="I10" s="8" t="s">
        <v>79</v>
      </c>
      <c r="J10" s="8"/>
      <c r="K10" s="6" t="str">
        <f>"145,0"</f>
        <v>145,0</v>
      </c>
      <c r="L10" s="7" t="str">
        <f>"109,5637"</f>
        <v>109,5637</v>
      </c>
      <c r="M10" s="6" t="s">
        <v>145</v>
      </c>
    </row>
    <row r="12" spans="1:13" ht="15">
      <c r="E12" s="9" t="s">
        <v>38</v>
      </c>
    </row>
    <row r="13" spans="1:13" ht="15">
      <c r="E13" s="9" t="s">
        <v>39</v>
      </c>
    </row>
    <row r="14" spans="1:13" ht="15">
      <c r="E14" s="9" t="s">
        <v>40</v>
      </c>
    </row>
    <row r="15" spans="1:13" ht="15">
      <c r="E15" s="9" t="s">
        <v>41</v>
      </c>
    </row>
    <row r="16" spans="1:13" ht="15">
      <c r="E16" s="9" t="s">
        <v>41</v>
      </c>
    </row>
    <row r="17" spans="1:5" ht="15">
      <c r="E17" s="9" t="s">
        <v>42</v>
      </c>
    </row>
    <row r="18" spans="1:5" ht="15">
      <c r="E18" s="9"/>
    </row>
    <row r="20" spans="1:5" ht="18">
      <c r="A20" s="10" t="s">
        <v>43</v>
      </c>
      <c r="B20" s="10"/>
    </row>
    <row r="21" spans="1:5" ht="15">
      <c r="A21" s="11" t="s">
        <v>44</v>
      </c>
      <c r="B21" s="11"/>
    </row>
    <row r="22" spans="1:5" ht="14.25">
      <c r="A22" s="13"/>
      <c r="B22" s="14" t="s">
        <v>104</v>
      </c>
    </row>
    <row r="23" spans="1:5" ht="15">
      <c r="A23" s="15" t="s">
        <v>46</v>
      </c>
      <c r="B23" s="15" t="s">
        <v>47</v>
      </c>
      <c r="C23" s="15" t="s">
        <v>48</v>
      </c>
      <c r="D23" s="15" t="s">
        <v>49</v>
      </c>
      <c r="E23" s="15" t="s">
        <v>50</v>
      </c>
    </row>
    <row r="24" spans="1:5">
      <c r="A24" s="12" t="s">
        <v>156</v>
      </c>
      <c r="B24" s="5" t="s">
        <v>104</v>
      </c>
      <c r="C24" s="5" t="s">
        <v>113</v>
      </c>
      <c r="D24" s="5" t="s">
        <v>138</v>
      </c>
      <c r="E24" s="16" t="s">
        <v>170</v>
      </c>
    </row>
    <row r="25" spans="1:5">
      <c r="A25" s="12" t="s">
        <v>164</v>
      </c>
      <c r="B25" s="5" t="s">
        <v>104</v>
      </c>
      <c r="C25" s="5" t="s">
        <v>113</v>
      </c>
      <c r="D25" s="5" t="s">
        <v>169</v>
      </c>
      <c r="E25" s="16" t="s">
        <v>171</v>
      </c>
    </row>
    <row r="27" spans="1:5" ht="14.25">
      <c r="A27" s="13"/>
      <c r="B27" s="14" t="s">
        <v>45</v>
      </c>
    </row>
    <row r="28" spans="1:5" ht="15">
      <c r="A28" s="15" t="s">
        <v>46</v>
      </c>
      <c r="B28" s="15" t="s">
        <v>47</v>
      </c>
      <c r="C28" s="15" t="s">
        <v>48</v>
      </c>
      <c r="D28" s="15" t="s">
        <v>49</v>
      </c>
      <c r="E28" s="15" t="s">
        <v>50</v>
      </c>
    </row>
    <row r="29" spans="1:5">
      <c r="A29" s="12" t="s">
        <v>139</v>
      </c>
      <c r="B29" s="5" t="s">
        <v>152</v>
      </c>
      <c r="C29" s="5" t="s">
        <v>111</v>
      </c>
      <c r="D29" s="5" t="s">
        <v>86</v>
      </c>
      <c r="E29" s="16" t="s">
        <v>172</v>
      </c>
    </row>
  </sheetData>
  <mergeCells count="13">
    <mergeCell ref="E3:E4"/>
    <mergeCell ref="F3:F4"/>
    <mergeCell ref="G3:J3"/>
    <mergeCell ref="A9:L9"/>
    <mergeCell ref="K3:K4"/>
    <mergeCell ref="L3:L4"/>
    <mergeCell ref="M3:M4"/>
    <mergeCell ref="A5:L5"/>
    <mergeCell ref="A1:M2"/>
    <mergeCell ref="A3:A4"/>
    <mergeCell ref="B3:B4"/>
    <mergeCell ref="C3:C4"/>
    <mergeCell ref="D3:D4"/>
  </mergeCells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38" t="s">
        <v>154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26" t="s">
        <v>5</v>
      </c>
    </row>
    <row r="4" spans="1:21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6"/>
      <c r="T4" s="36"/>
      <c r="U4" s="27"/>
    </row>
    <row r="6" spans="1:21" ht="15">
      <c r="E6" s="9" t="s">
        <v>38</v>
      </c>
    </row>
    <row r="7" spans="1:21" ht="15">
      <c r="E7" s="9" t="s">
        <v>39</v>
      </c>
    </row>
    <row r="8" spans="1:21" ht="15">
      <c r="E8" s="9" t="s">
        <v>40</v>
      </c>
    </row>
    <row r="9" spans="1:21" ht="15">
      <c r="E9" s="9" t="s">
        <v>41</v>
      </c>
    </row>
    <row r="10" spans="1:21" ht="15">
      <c r="E10" s="9" t="s">
        <v>41</v>
      </c>
    </row>
    <row r="11" spans="1:21" ht="15">
      <c r="E11" s="9" t="s">
        <v>42</v>
      </c>
    </row>
    <row r="12" spans="1:21" ht="15">
      <c r="E12" s="9"/>
    </row>
    <row r="14" spans="1:21" ht="18">
      <c r="A14" s="10" t="s">
        <v>43</v>
      </c>
      <c r="B14" s="10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925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.5703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7109375" style="5" bestFit="1" customWidth="1"/>
    <col min="14" max="16384" width="9.140625" style="4"/>
  </cols>
  <sheetData>
    <row r="1" spans="1:13" s="3" customFormat="1" ht="29.1" customHeight="1">
      <c r="A1" s="38" t="s">
        <v>120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121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6" t="s">
        <v>122</v>
      </c>
      <c r="B6" s="6" t="s">
        <v>123</v>
      </c>
      <c r="C6" s="6" t="s">
        <v>124</v>
      </c>
      <c r="D6" s="6" t="str">
        <f>"0,8609"</f>
        <v>0,8609</v>
      </c>
      <c r="E6" s="6" t="s">
        <v>33</v>
      </c>
      <c r="F6" s="6" t="s">
        <v>125</v>
      </c>
      <c r="G6" s="8" t="s">
        <v>126</v>
      </c>
      <c r="H6" s="8"/>
      <c r="I6" s="8"/>
      <c r="J6" s="8"/>
      <c r="K6" s="6" t="str">
        <f>"0,0"</f>
        <v>0,0</v>
      </c>
      <c r="L6" s="7" t="str">
        <f>"0,0000"</f>
        <v>0,0000</v>
      </c>
      <c r="M6" s="6" t="s">
        <v>37</v>
      </c>
    </row>
    <row r="8" spans="1:13" ht="15">
      <c r="A8" s="39" t="s">
        <v>65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>
      <c r="A9" s="6" t="s">
        <v>128</v>
      </c>
      <c r="B9" s="6" t="s">
        <v>129</v>
      </c>
      <c r="C9" s="6" t="s">
        <v>130</v>
      </c>
      <c r="D9" s="6" t="str">
        <f>"0,7369"</f>
        <v>0,7369</v>
      </c>
      <c r="E9" s="6" t="s">
        <v>33</v>
      </c>
      <c r="F9" s="6" t="s">
        <v>34</v>
      </c>
      <c r="G9" s="8" t="s">
        <v>87</v>
      </c>
      <c r="H9" s="7" t="s">
        <v>87</v>
      </c>
      <c r="I9" s="7" t="s">
        <v>71</v>
      </c>
      <c r="J9" s="8"/>
      <c r="K9" s="6" t="str">
        <f>"160,0"</f>
        <v>160,0</v>
      </c>
      <c r="L9" s="7" t="str">
        <f>"117,8960"</f>
        <v>117,8960</v>
      </c>
      <c r="M9" s="6" t="s">
        <v>37</v>
      </c>
    </row>
    <row r="11" spans="1:13" ht="15">
      <c r="A11" s="39" t="s">
        <v>131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3">
      <c r="A12" s="6" t="s">
        <v>133</v>
      </c>
      <c r="B12" s="6" t="s">
        <v>134</v>
      </c>
      <c r="C12" s="6" t="s">
        <v>135</v>
      </c>
      <c r="D12" s="6" t="str">
        <f>"0,7439"</f>
        <v>0,7439</v>
      </c>
      <c r="E12" s="6" t="s">
        <v>33</v>
      </c>
      <c r="F12" s="6" t="s">
        <v>136</v>
      </c>
      <c r="G12" s="7" t="s">
        <v>86</v>
      </c>
      <c r="H12" s="7" t="s">
        <v>79</v>
      </c>
      <c r="I12" s="8" t="s">
        <v>137</v>
      </c>
      <c r="J12" s="8"/>
      <c r="K12" s="6" t="str">
        <f>"155,0"</f>
        <v>155,0</v>
      </c>
      <c r="L12" s="7" t="str">
        <f>"124,5289"</f>
        <v>124,5289</v>
      </c>
      <c r="M12" s="6" t="s">
        <v>102</v>
      </c>
    </row>
    <row r="14" spans="1:13" ht="15">
      <c r="A14" s="39" t="s">
        <v>73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3">
      <c r="A15" s="6" t="s">
        <v>75</v>
      </c>
      <c r="B15" s="6" t="s">
        <v>76</v>
      </c>
      <c r="C15" s="6" t="s">
        <v>77</v>
      </c>
      <c r="D15" s="6" t="str">
        <f>"0,5986"</f>
        <v>0,5986</v>
      </c>
      <c r="E15" s="6" t="s">
        <v>33</v>
      </c>
      <c r="F15" s="6" t="s">
        <v>78</v>
      </c>
      <c r="G15" s="7" t="s">
        <v>35</v>
      </c>
      <c r="H15" s="7" t="s">
        <v>138</v>
      </c>
      <c r="I15" s="8" t="s">
        <v>36</v>
      </c>
      <c r="J15" s="8"/>
      <c r="K15" s="6" t="str">
        <f>"240,0"</f>
        <v>240,0</v>
      </c>
      <c r="L15" s="7" t="str">
        <f>"143,6640"</f>
        <v>143,6640</v>
      </c>
      <c r="M15" s="6" t="s">
        <v>37</v>
      </c>
    </row>
    <row r="17" spans="1:13" ht="15">
      <c r="A17" s="39" t="s">
        <v>95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3">
      <c r="A18" s="6" t="s">
        <v>140</v>
      </c>
      <c r="B18" s="6" t="s">
        <v>141</v>
      </c>
      <c r="C18" s="6" t="s">
        <v>142</v>
      </c>
      <c r="D18" s="6" t="str">
        <f>"0,5284"</f>
        <v>0,5284</v>
      </c>
      <c r="E18" s="6" t="s">
        <v>33</v>
      </c>
      <c r="F18" s="6" t="s">
        <v>143</v>
      </c>
      <c r="G18" s="7" t="s">
        <v>101</v>
      </c>
      <c r="H18" s="7" t="s">
        <v>27</v>
      </c>
      <c r="I18" s="7" t="s">
        <v>144</v>
      </c>
      <c r="J18" s="8"/>
      <c r="K18" s="6" t="str">
        <f>"225,0"</f>
        <v>225,0</v>
      </c>
      <c r="L18" s="7" t="str">
        <f>"170,0127"</f>
        <v>170,0127</v>
      </c>
      <c r="M18" s="6" t="s">
        <v>145</v>
      </c>
    </row>
    <row r="20" spans="1:13" ht="15">
      <c r="E20" s="9" t="s">
        <v>38</v>
      </c>
    </row>
    <row r="21" spans="1:13" ht="15">
      <c r="E21" s="9" t="s">
        <v>39</v>
      </c>
    </row>
    <row r="22" spans="1:13" ht="15">
      <c r="E22" s="9" t="s">
        <v>40</v>
      </c>
    </row>
    <row r="23" spans="1:13" ht="15">
      <c r="E23" s="9" t="s">
        <v>41</v>
      </c>
    </row>
    <row r="24" spans="1:13" ht="15">
      <c r="E24" s="9" t="s">
        <v>41</v>
      </c>
    </row>
    <row r="25" spans="1:13" ht="15">
      <c r="E25" s="9" t="s">
        <v>42</v>
      </c>
    </row>
    <row r="26" spans="1:13" ht="15">
      <c r="E26" s="9"/>
    </row>
    <row r="28" spans="1:13" ht="18">
      <c r="A28" s="10" t="s">
        <v>43</v>
      </c>
      <c r="B28" s="10"/>
    </row>
    <row r="29" spans="1:13" ht="15">
      <c r="A29" s="11" t="s">
        <v>103</v>
      </c>
      <c r="B29" s="11"/>
    </row>
    <row r="30" spans="1:13" ht="14.25">
      <c r="A30" s="13"/>
      <c r="B30" s="14" t="s">
        <v>104</v>
      </c>
    </row>
    <row r="31" spans="1:13" ht="15">
      <c r="A31" s="15" t="s">
        <v>46</v>
      </c>
      <c r="B31" s="15" t="s">
        <v>47</v>
      </c>
      <c r="C31" s="15" t="s">
        <v>48</v>
      </c>
      <c r="D31" s="15" t="s">
        <v>49</v>
      </c>
      <c r="E31" s="15" t="s">
        <v>50</v>
      </c>
    </row>
    <row r="32" spans="1:13">
      <c r="A32" s="12" t="s">
        <v>127</v>
      </c>
      <c r="B32" s="5" t="s">
        <v>104</v>
      </c>
      <c r="C32" s="5" t="s">
        <v>109</v>
      </c>
      <c r="D32" s="5" t="s">
        <v>71</v>
      </c>
      <c r="E32" s="16" t="s">
        <v>146</v>
      </c>
    </row>
    <row r="35" spans="1:5" ht="15">
      <c r="A35" s="11" t="s">
        <v>44</v>
      </c>
      <c r="B35" s="11"/>
    </row>
    <row r="36" spans="1:5" ht="14.25">
      <c r="A36" s="13"/>
      <c r="B36" s="14" t="s">
        <v>147</v>
      </c>
    </row>
    <row r="37" spans="1:5" ht="15">
      <c r="A37" s="15" t="s">
        <v>46</v>
      </c>
      <c r="B37" s="15" t="s">
        <v>47</v>
      </c>
      <c r="C37" s="15" t="s">
        <v>48</v>
      </c>
      <c r="D37" s="15" t="s">
        <v>49</v>
      </c>
      <c r="E37" s="15" t="s">
        <v>50</v>
      </c>
    </row>
    <row r="38" spans="1:5">
      <c r="A38" s="12" t="s">
        <v>132</v>
      </c>
      <c r="B38" s="5" t="s">
        <v>148</v>
      </c>
      <c r="C38" s="5" t="s">
        <v>149</v>
      </c>
      <c r="D38" s="5" t="s">
        <v>79</v>
      </c>
      <c r="E38" s="16" t="s">
        <v>150</v>
      </c>
    </row>
    <row r="40" spans="1:5" ht="14.25">
      <c r="A40" s="13"/>
      <c r="B40" s="14" t="s">
        <v>104</v>
      </c>
    </row>
    <row r="41" spans="1:5" ht="15">
      <c r="A41" s="15" t="s">
        <v>46</v>
      </c>
      <c r="B41" s="15" t="s">
        <v>47</v>
      </c>
      <c r="C41" s="15" t="s">
        <v>48</v>
      </c>
      <c r="D41" s="15" t="s">
        <v>49</v>
      </c>
      <c r="E41" s="15" t="s">
        <v>50</v>
      </c>
    </row>
    <row r="42" spans="1:5">
      <c r="A42" s="12" t="s">
        <v>74</v>
      </c>
      <c r="B42" s="5" t="s">
        <v>104</v>
      </c>
      <c r="C42" s="5" t="s">
        <v>113</v>
      </c>
      <c r="D42" s="5" t="s">
        <v>138</v>
      </c>
      <c r="E42" s="16" t="s">
        <v>151</v>
      </c>
    </row>
    <row r="44" spans="1:5" ht="14.25">
      <c r="A44" s="13"/>
      <c r="B44" s="14" t="s">
        <v>45</v>
      </c>
    </row>
    <row r="45" spans="1:5" ht="15">
      <c r="A45" s="15" t="s">
        <v>46</v>
      </c>
      <c r="B45" s="15" t="s">
        <v>47</v>
      </c>
      <c r="C45" s="15" t="s">
        <v>48</v>
      </c>
      <c r="D45" s="15" t="s">
        <v>49</v>
      </c>
      <c r="E45" s="15" t="s">
        <v>50</v>
      </c>
    </row>
    <row r="46" spans="1:5">
      <c r="A46" s="12" t="s">
        <v>139</v>
      </c>
      <c r="B46" s="5" t="s">
        <v>152</v>
      </c>
      <c r="C46" s="5" t="s">
        <v>111</v>
      </c>
      <c r="D46" s="5" t="s">
        <v>144</v>
      </c>
      <c r="E46" s="16" t="s">
        <v>153</v>
      </c>
    </row>
  </sheetData>
  <mergeCells count="16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A11:L11"/>
    <mergeCell ref="A14:L14"/>
    <mergeCell ref="A17:L17"/>
    <mergeCell ref="K3:K4"/>
    <mergeCell ref="L3:L4"/>
  </mergeCells>
  <phoneticPr fontId="0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49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.5703125" style="5" bestFit="1" customWidth="1"/>
    <col min="7" max="7" width="5.85546875" style="4" bestFit="1" customWidth="1"/>
    <col min="8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1.5703125" style="5" bestFit="1" customWidth="1"/>
    <col min="14" max="16384" width="9.140625" style="4"/>
  </cols>
  <sheetData>
    <row r="1" spans="1:13" s="3" customFormat="1" ht="29.1" customHeight="1">
      <c r="A1" s="38" t="s">
        <v>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56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6" t="s">
        <v>58</v>
      </c>
      <c r="B6" s="6" t="s">
        <v>59</v>
      </c>
      <c r="C6" s="6" t="s">
        <v>60</v>
      </c>
      <c r="D6" s="6" t="str">
        <f>"0,9270"</f>
        <v>0,9270</v>
      </c>
      <c r="E6" s="6" t="s">
        <v>33</v>
      </c>
      <c r="F6" s="6" t="s">
        <v>61</v>
      </c>
      <c r="G6" s="7" t="s">
        <v>62</v>
      </c>
      <c r="H6" s="7" t="s">
        <v>63</v>
      </c>
      <c r="I6" s="8" t="s">
        <v>64</v>
      </c>
      <c r="J6" s="8"/>
      <c r="K6" s="6" t="str">
        <f>"55,0"</f>
        <v>55,0</v>
      </c>
      <c r="L6" s="7" t="str">
        <f>"50,9850"</f>
        <v>50,9850</v>
      </c>
      <c r="M6" s="6" t="s">
        <v>37</v>
      </c>
    </row>
    <row r="8" spans="1:13" ht="15">
      <c r="A8" s="39" t="s">
        <v>65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>
      <c r="A9" s="6" t="s">
        <v>67</v>
      </c>
      <c r="B9" s="6" t="s">
        <v>68</v>
      </c>
      <c r="C9" s="6" t="s">
        <v>69</v>
      </c>
      <c r="D9" s="6" t="str">
        <f>"0,6673"</f>
        <v>0,6673</v>
      </c>
      <c r="E9" s="6" t="s">
        <v>33</v>
      </c>
      <c r="F9" s="6" t="s">
        <v>70</v>
      </c>
      <c r="G9" s="7" t="s">
        <v>71</v>
      </c>
      <c r="H9" s="7" t="s">
        <v>21</v>
      </c>
      <c r="I9" s="8" t="s">
        <v>72</v>
      </c>
      <c r="J9" s="8"/>
      <c r="K9" s="6" t="str">
        <f>"170,0"</f>
        <v>170,0</v>
      </c>
      <c r="L9" s="7" t="str">
        <f>"116,8442"</f>
        <v>116,8442</v>
      </c>
      <c r="M9" s="6" t="s">
        <v>37</v>
      </c>
    </row>
    <row r="11" spans="1:13" ht="15">
      <c r="A11" s="39" t="s">
        <v>73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3">
      <c r="A12" s="17" t="s">
        <v>75</v>
      </c>
      <c r="B12" s="17" t="s">
        <v>76</v>
      </c>
      <c r="C12" s="17" t="s">
        <v>77</v>
      </c>
      <c r="D12" s="17" t="str">
        <f>"0,5986"</f>
        <v>0,5986</v>
      </c>
      <c r="E12" s="17" t="s">
        <v>33</v>
      </c>
      <c r="F12" s="17" t="s">
        <v>78</v>
      </c>
      <c r="G12" s="19" t="s">
        <v>79</v>
      </c>
      <c r="H12" s="19" t="s">
        <v>71</v>
      </c>
      <c r="I12" s="18" t="s">
        <v>80</v>
      </c>
      <c r="J12" s="18"/>
      <c r="K12" s="17" t="str">
        <f>"160,0"</f>
        <v>160,0</v>
      </c>
      <c r="L12" s="19" t="str">
        <f>"95,7760"</f>
        <v>95,7760</v>
      </c>
      <c r="M12" s="17" t="s">
        <v>37</v>
      </c>
    </row>
    <row r="13" spans="1:13">
      <c r="A13" s="20" t="s">
        <v>82</v>
      </c>
      <c r="B13" s="20" t="s">
        <v>83</v>
      </c>
      <c r="C13" s="20" t="s">
        <v>84</v>
      </c>
      <c r="D13" s="20" t="str">
        <f>"0,5939"</f>
        <v>0,5939</v>
      </c>
      <c r="E13" s="20" t="s">
        <v>33</v>
      </c>
      <c r="F13" s="20" t="s">
        <v>34</v>
      </c>
      <c r="G13" s="22" t="s">
        <v>85</v>
      </c>
      <c r="H13" s="22" t="s">
        <v>86</v>
      </c>
      <c r="I13" s="21" t="s">
        <v>87</v>
      </c>
      <c r="J13" s="21"/>
      <c r="K13" s="20" t="str">
        <f>"145,0"</f>
        <v>145,0</v>
      </c>
      <c r="L13" s="22" t="str">
        <f>"103,6831"</f>
        <v>103,6831</v>
      </c>
      <c r="M13" s="20" t="s">
        <v>37</v>
      </c>
    </row>
    <row r="15" spans="1:13" ht="15">
      <c r="A15" s="39" t="s">
        <v>29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3">
      <c r="A16" s="6" t="s">
        <v>89</v>
      </c>
      <c r="B16" s="6" t="s">
        <v>90</v>
      </c>
      <c r="C16" s="6" t="s">
        <v>91</v>
      </c>
      <c r="D16" s="6" t="str">
        <f>"0,5459"</f>
        <v>0,5459</v>
      </c>
      <c r="E16" s="6" t="s">
        <v>33</v>
      </c>
      <c r="F16" s="6" t="s">
        <v>92</v>
      </c>
      <c r="G16" s="7" t="s">
        <v>22</v>
      </c>
      <c r="H16" s="7" t="s">
        <v>94</v>
      </c>
      <c r="I16" s="7" t="s">
        <v>26</v>
      </c>
      <c r="J16" s="8"/>
      <c r="K16" s="6" t="str">
        <f>"190,0"</f>
        <v>190,0</v>
      </c>
      <c r="L16" s="7" t="str">
        <f>"182,0304"</f>
        <v>182,0304</v>
      </c>
      <c r="M16" s="6" t="s">
        <v>37</v>
      </c>
    </row>
    <row r="18" spans="1:13" ht="15">
      <c r="A18" s="39" t="s">
        <v>95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3">
      <c r="A19" s="6" t="s">
        <v>97</v>
      </c>
      <c r="B19" s="6" t="s">
        <v>98</v>
      </c>
      <c r="C19" s="6" t="s">
        <v>99</v>
      </c>
      <c r="D19" s="6" t="str">
        <f>"0,5341"</f>
        <v>0,5341</v>
      </c>
      <c r="E19" s="6" t="s">
        <v>100</v>
      </c>
      <c r="F19" s="6" t="s">
        <v>34</v>
      </c>
      <c r="G19" s="7" t="s">
        <v>21</v>
      </c>
      <c r="H19" s="7" t="s">
        <v>26</v>
      </c>
      <c r="I19" s="7" t="s">
        <v>101</v>
      </c>
      <c r="J19" s="8"/>
      <c r="K19" s="6" t="str">
        <f>"200,0"</f>
        <v>200,0</v>
      </c>
      <c r="L19" s="7" t="str">
        <f>"106,8200"</f>
        <v>106,8200</v>
      </c>
      <c r="M19" s="6" t="s">
        <v>102</v>
      </c>
    </row>
    <row r="21" spans="1:13" ht="15">
      <c r="E21" s="9" t="s">
        <v>38</v>
      </c>
    </row>
    <row r="22" spans="1:13" ht="15">
      <c r="E22" s="9" t="s">
        <v>39</v>
      </c>
    </row>
    <row r="23" spans="1:13" ht="15">
      <c r="E23" s="9" t="s">
        <v>40</v>
      </c>
    </row>
    <row r="24" spans="1:13" ht="15">
      <c r="E24" s="9" t="s">
        <v>41</v>
      </c>
    </row>
    <row r="25" spans="1:13" ht="15">
      <c r="E25" s="9" t="s">
        <v>41</v>
      </c>
    </row>
    <row r="26" spans="1:13" ht="15">
      <c r="E26" s="9" t="s">
        <v>42</v>
      </c>
    </row>
    <row r="27" spans="1:13" ht="15">
      <c r="E27" s="9"/>
    </row>
    <row r="29" spans="1:13" ht="18">
      <c r="A29" s="10" t="s">
        <v>43</v>
      </c>
      <c r="B29" s="10"/>
    </row>
    <row r="30" spans="1:13" ht="15">
      <c r="A30" s="11" t="s">
        <v>103</v>
      </c>
      <c r="B30" s="11"/>
    </row>
    <row r="31" spans="1:13" ht="14.25">
      <c r="A31" s="13"/>
      <c r="B31" s="14" t="s">
        <v>104</v>
      </c>
    </row>
    <row r="32" spans="1:13" ht="15">
      <c r="A32" s="15" t="s">
        <v>46</v>
      </c>
      <c r="B32" s="15" t="s">
        <v>47</v>
      </c>
      <c r="C32" s="15" t="s">
        <v>48</v>
      </c>
      <c r="D32" s="15" t="s">
        <v>49</v>
      </c>
      <c r="E32" s="15" t="s">
        <v>50</v>
      </c>
    </row>
    <row r="33" spans="1:5">
      <c r="A33" s="12" t="s">
        <v>57</v>
      </c>
      <c r="B33" s="5" t="s">
        <v>104</v>
      </c>
      <c r="C33" s="5" t="s">
        <v>105</v>
      </c>
      <c r="D33" s="5" t="s">
        <v>63</v>
      </c>
      <c r="E33" s="16" t="s">
        <v>106</v>
      </c>
    </row>
    <row r="36" spans="1:5" ht="15">
      <c r="A36" s="11" t="s">
        <v>44</v>
      </c>
      <c r="B36" s="11"/>
    </row>
    <row r="37" spans="1:5" ht="14.25">
      <c r="A37" s="13"/>
      <c r="B37" s="14" t="s">
        <v>107</v>
      </c>
    </row>
    <row r="38" spans="1:5" ht="15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</row>
    <row r="39" spans="1:5">
      <c r="A39" s="12" t="s">
        <v>66</v>
      </c>
      <c r="B39" s="5" t="s">
        <v>108</v>
      </c>
      <c r="C39" s="5" t="s">
        <v>109</v>
      </c>
      <c r="D39" s="5" t="s">
        <v>21</v>
      </c>
      <c r="E39" s="16" t="s">
        <v>110</v>
      </c>
    </row>
    <row r="41" spans="1:5" ht="14.25">
      <c r="A41" s="13"/>
      <c r="B41" s="14" t="s">
        <v>104</v>
      </c>
    </row>
    <row r="42" spans="1:5" ht="15">
      <c r="A42" s="15" t="s">
        <v>46</v>
      </c>
      <c r="B42" s="15" t="s">
        <v>47</v>
      </c>
      <c r="C42" s="15" t="s">
        <v>48</v>
      </c>
      <c r="D42" s="15" t="s">
        <v>49</v>
      </c>
      <c r="E42" s="15" t="s">
        <v>50</v>
      </c>
    </row>
    <row r="43" spans="1:5">
      <c r="A43" s="12" t="s">
        <v>96</v>
      </c>
      <c r="B43" s="5" t="s">
        <v>104</v>
      </c>
      <c r="C43" s="5" t="s">
        <v>111</v>
      </c>
      <c r="D43" s="5" t="s">
        <v>101</v>
      </c>
      <c r="E43" s="16" t="s">
        <v>112</v>
      </c>
    </row>
    <row r="44" spans="1:5">
      <c r="A44" s="12" t="s">
        <v>74</v>
      </c>
      <c r="B44" s="5" t="s">
        <v>104</v>
      </c>
      <c r="C44" s="5" t="s">
        <v>113</v>
      </c>
      <c r="D44" s="5" t="s">
        <v>71</v>
      </c>
      <c r="E44" s="16" t="s">
        <v>114</v>
      </c>
    </row>
    <row r="46" spans="1:5" ht="14.25">
      <c r="A46" s="13"/>
      <c r="B46" s="14" t="s">
        <v>45</v>
      </c>
    </row>
    <row r="47" spans="1:5" ht="15">
      <c r="A47" s="15" t="s">
        <v>46</v>
      </c>
      <c r="B47" s="15" t="s">
        <v>47</v>
      </c>
      <c r="C47" s="15" t="s">
        <v>48</v>
      </c>
      <c r="D47" s="15" t="s">
        <v>49</v>
      </c>
      <c r="E47" s="15" t="s">
        <v>50</v>
      </c>
    </row>
    <row r="48" spans="1:5">
      <c r="A48" s="12" t="s">
        <v>88</v>
      </c>
      <c r="B48" s="5" t="s">
        <v>51</v>
      </c>
      <c r="C48" s="5" t="s">
        <v>115</v>
      </c>
      <c r="D48" s="5" t="s">
        <v>26</v>
      </c>
      <c r="E48" s="16" t="s">
        <v>116</v>
      </c>
    </row>
    <row r="49" spans="1:5">
      <c r="A49" s="12" t="s">
        <v>81</v>
      </c>
      <c r="B49" s="5" t="s">
        <v>117</v>
      </c>
      <c r="C49" s="5" t="s">
        <v>113</v>
      </c>
      <c r="D49" s="5" t="s">
        <v>86</v>
      </c>
      <c r="E49" s="16" t="s">
        <v>118</v>
      </c>
    </row>
  </sheetData>
  <mergeCells count="16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A11:L11"/>
    <mergeCell ref="A15:L15"/>
    <mergeCell ref="A18:L18"/>
    <mergeCell ref="K3:K4"/>
    <mergeCell ref="L3:L4"/>
  </mergeCells>
  <phoneticPr fontId="0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U23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1" width="5.5703125" style="4" bestFit="1" customWidth="1"/>
    <col min="12" max="13" width="4.5703125" style="4" bestFit="1" customWidth="1"/>
    <col min="14" max="14" width="4.85546875" style="4" bestFit="1" customWidth="1"/>
    <col min="15" max="16" width="5.5703125" style="4" bestFit="1" customWidth="1"/>
    <col min="17" max="17" width="2.1406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28.140625" style="5" bestFit="1" customWidth="1"/>
    <col min="22" max="16384" width="9.140625" style="4"/>
  </cols>
  <sheetData>
    <row r="1" spans="1:21" s="3" customFormat="1" ht="29.1" customHeight="1">
      <c r="A1" s="3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26" t="s">
        <v>5</v>
      </c>
    </row>
    <row r="4" spans="1:21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6"/>
      <c r="T4" s="36"/>
      <c r="U4" s="27"/>
    </row>
    <row r="5" spans="1:21" ht="15">
      <c r="A5" s="41" t="s">
        <v>14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>
      <c r="A6" s="6" t="s">
        <v>16</v>
      </c>
      <c r="B6" s="6" t="s">
        <v>17</v>
      </c>
      <c r="C6" s="6" t="s">
        <v>18</v>
      </c>
      <c r="D6" s="6" t="str">
        <f>"0,6214"</f>
        <v>0,6214</v>
      </c>
      <c r="E6" s="6" t="s">
        <v>19</v>
      </c>
      <c r="F6" s="6" t="s">
        <v>20</v>
      </c>
      <c r="G6" s="7" t="s">
        <v>21</v>
      </c>
      <c r="H6" s="7" t="s">
        <v>22</v>
      </c>
      <c r="I6" s="7" t="s">
        <v>23</v>
      </c>
      <c r="J6" s="8"/>
      <c r="K6" s="8" t="s">
        <v>24</v>
      </c>
      <c r="L6" s="7" t="s">
        <v>24</v>
      </c>
      <c r="M6" s="8" t="s">
        <v>25</v>
      </c>
      <c r="N6" s="8"/>
      <c r="O6" s="7" t="s">
        <v>26</v>
      </c>
      <c r="P6" s="7" t="s">
        <v>27</v>
      </c>
      <c r="Q6" s="8"/>
      <c r="R6" s="8"/>
      <c r="S6" s="6" t="str">
        <f>"497,5"</f>
        <v>497,5</v>
      </c>
      <c r="T6" s="7" t="str">
        <f>"525,5490"</f>
        <v>525,5490</v>
      </c>
      <c r="U6" s="6" t="s">
        <v>28</v>
      </c>
    </row>
    <row r="8" spans="1:21" ht="15">
      <c r="A8" s="39" t="s">
        <v>29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1">
      <c r="A9" s="6" t="s">
        <v>30</v>
      </c>
      <c r="B9" s="6" t="s">
        <v>31</v>
      </c>
      <c r="C9" s="6" t="s">
        <v>32</v>
      </c>
      <c r="D9" s="6" t="str">
        <f>"0,5391"</f>
        <v>0,5391</v>
      </c>
      <c r="E9" s="6" t="s">
        <v>33</v>
      </c>
      <c r="F9" s="6" t="s">
        <v>34</v>
      </c>
      <c r="G9" s="8" t="s">
        <v>35</v>
      </c>
      <c r="H9" s="8"/>
      <c r="I9" s="8"/>
      <c r="J9" s="8"/>
      <c r="K9" s="8" t="s">
        <v>22</v>
      </c>
      <c r="L9" s="8"/>
      <c r="M9" s="8"/>
      <c r="N9" s="8"/>
      <c r="O9" s="8" t="s">
        <v>36</v>
      </c>
      <c r="P9" s="8"/>
      <c r="Q9" s="8"/>
      <c r="R9" s="8"/>
      <c r="S9" s="6" t="str">
        <f>"0,0"</f>
        <v>0,0</v>
      </c>
      <c r="T9" s="7" t="str">
        <f>"0,0000"</f>
        <v>0,0000</v>
      </c>
      <c r="U9" s="6" t="s">
        <v>37</v>
      </c>
    </row>
    <row r="11" spans="1:21" ht="15">
      <c r="E11" s="9" t="s">
        <v>38</v>
      </c>
    </row>
    <row r="12" spans="1:21" ht="15">
      <c r="E12" s="9" t="s">
        <v>39</v>
      </c>
    </row>
    <row r="13" spans="1:21" ht="15">
      <c r="E13" s="9" t="s">
        <v>40</v>
      </c>
    </row>
    <row r="14" spans="1:21" ht="15">
      <c r="E14" s="9" t="s">
        <v>41</v>
      </c>
    </row>
    <row r="15" spans="1:21" ht="15">
      <c r="E15" s="9" t="s">
        <v>41</v>
      </c>
    </row>
    <row r="16" spans="1:21" ht="15">
      <c r="E16" s="9" t="s">
        <v>42</v>
      </c>
    </row>
    <row r="17" spans="1:5" ht="15">
      <c r="E17" s="9"/>
    </row>
    <row r="19" spans="1:5" ht="18">
      <c r="A19" s="10" t="s">
        <v>43</v>
      </c>
      <c r="B19" s="10"/>
    </row>
    <row r="20" spans="1:5" ht="15">
      <c r="A20" s="11" t="s">
        <v>44</v>
      </c>
      <c r="B20" s="11"/>
    </row>
    <row r="21" spans="1:5" ht="14.25">
      <c r="A21" s="13"/>
      <c r="B21" s="14" t="s">
        <v>45</v>
      </c>
    </row>
    <row r="22" spans="1:5" ht="15">
      <c r="A22" s="15" t="s">
        <v>46</v>
      </c>
      <c r="B22" s="15" t="s">
        <v>47</v>
      </c>
      <c r="C22" s="15" t="s">
        <v>48</v>
      </c>
      <c r="D22" s="15" t="s">
        <v>49</v>
      </c>
      <c r="E22" s="15" t="s">
        <v>50</v>
      </c>
    </row>
    <row r="23" spans="1:5">
      <c r="A23" s="12" t="s">
        <v>15</v>
      </c>
      <c r="B23" s="5" t="s">
        <v>51</v>
      </c>
      <c r="C23" s="5" t="s">
        <v>52</v>
      </c>
      <c r="D23" s="5" t="s">
        <v>53</v>
      </c>
      <c r="E23" s="16" t="s">
        <v>54</v>
      </c>
    </row>
  </sheetData>
  <mergeCells count="15">
    <mergeCell ref="B3:B4"/>
    <mergeCell ref="C3:C4"/>
    <mergeCell ref="U3:U4"/>
    <mergeCell ref="F3:F4"/>
    <mergeCell ref="E3:E4"/>
    <mergeCell ref="A8:T8"/>
    <mergeCell ref="D3:D4"/>
    <mergeCell ref="S3:S4"/>
    <mergeCell ref="T3:T4"/>
    <mergeCell ref="A5:T5"/>
    <mergeCell ref="A1:U2"/>
    <mergeCell ref="G3:J3"/>
    <mergeCell ref="K3:N3"/>
    <mergeCell ref="O3:R3"/>
    <mergeCell ref="A3:A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F5" sqref="F5"/>
    </sheetView>
  </sheetViews>
  <sheetFormatPr defaultRowHeight="12.75"/>
  <cols>
    <col min="1" max="1" width="26" style="5" customWidth="1"/>
    <col min="2" max="2" width="21.42578125" style="5" customWidth="1"/>
    <col min="3" max="3" width="10.5703125" style="5" customWidth="1"/>
    <col min="4" max="4" width="8.42578125" style="5" customWidth="1"/>
    <col min="5" max="5" width="22.7109375" style="5" customWidth="1"/>
    <col min="6" max="6" width="16.7109375" style="5" customWidth="1"/>
    <col min="7" max="7" width="8.85546875" style="5" customWidth="1"/>
    <col min="8" max="16384" width="9.140625" style="4"/>
  </cols>
  <sheetData>
    <row r="1" spans="1:7" s="44" customFormat="1" ht="29.1" customHeight="1" thickBot="1">
      <c r="A1" s="43" t="s">
        <v>928</v>
      </c>
      <c r="B1" s="43"/>
      <c r="C1" s="43"/>
      <c r="D1" s="43"/>
      <c r="E1" s="43"/>
      <c r="F1" s="43"/>
      <c r="G1" s="43"/>
    </row>
    <row r="2" spans="1:7" s="44" customFormat="1" ht="62.1" customHeight="1" thickBot="1">
      <c r="A2" s="43"/>
      <c r="B2" s="43"/>
      <c r="C2" s="43"/>
      <c r="D2" s="43"/>
      <c r="E2" s="43"/>
      <c r="F2" s="43"/>
      <c r="G2" s="43"/>
    </row>
    <row r="3" spans="1:7" s="49" customFormat="1" ht="12.75" customHeight="1" thickBot="1">
      <c r="A3" s="45" t="s">
        <v>0</v>
      </c>
      <c r="B3" s="46" t="s">
        <v>9</v>
      </c>
      <c r="C3" s="46" t="s">
        <v>11</v>
      </c>
      <c r="D3" s="47"/>
      <c r="E3" s="47" t="s">
        <v>7</v>
      </c>
      <c r="F3" s="47" t="s">
        <v>10</v>
      </c>
      <c r="G3" s="48" t="s">
        <v>5</v>
      </c>
    </row>
    <row r="4" spans="1:7" s="49" customFormat="1" ht="21" customHeight="1" thickBot="1">
      <c r="A4" s="45"/>
      <c r="B4" s="46"/>
      <c r="C4" s="46"/>
      <c r="D4" s="46"/>
      <c r="E4" s="46"/>
      <c r="F4" s="46"/>
      <c r="G4" s="48"/>
    </row>
    <row r="6" spans="1:7" ht="15">
      <c r="E6" s="50" t="s">
        <v>38</v>
      </c>
    </row>
    <row r="7" spans="1:7" ht="15">
      <c r="E7" s="50" t="s">
        <v>39</v>
      </c>
    </row>
    <row r="8" spans="1:7" ht="15">
      <c r="E8" s="50" t="s">
        <v>40</v>
      </c>
    </row>
    <row r="9" spans="1:7" ht="15">
      <c r="E9" s="50" t="s">
        <v>41</v>
      </c>
    </row>
    <row r="10" spans="1:7" ht="15">
      <c r="E10" s="50" t="s">
        <v>41</v>
      </c>
    </row>
    <row r="11" spans="1:7" ht="15">
      <c r="E11" s="50" t="s">
        <v>42</v>
      </c>
    </row>
    <row r="12" spans="1:7" ht="15">
      <c r="E12" s="50"/>
    </row>
    <row r="14" spans="1:7" ht="18">
      <c r="A14" s="51"/>
      <c r="B14" s="51"/>
    </row>
    <row r="17" spans="1:5" ht="15">
      <c r="A17" s="52"/>
      <c r="B17" s="52"/>
    </row>
    <row r="18" spans="1:5" ht="14.25">
      <c r="A18" s="53"/>
      <c r="B18" s="54"/>
    </row>
    <row r="19" spans="1:5" ht="15">
      <c r="A19" s="55"/>
      <c r="B19" s="55"/>
      <c r="C19" s="55"/>
      <c r="D19" s="55"/>
      <c r="E19" s="55"/>
    </row>
    <row r="20" spans="1:5">
      <c r="A20" s="12"/>
      <c r="E20" s="56"/>
    </row>
  </sheetData>
  <mergeCells count="8">
    <mergeCell ref="A1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19" sqref="J19"/>
    </sheetView>
  </sheetViews>
  <sheetFormatPr defaultRowHeight="12.75"/>
  <cols>
    <col min="1" max="1" width="26" style="5" customWidth="1"/>
    <col min="2" max="2" width="28.5703125" style="5" customWidth="1"/>
    <col min="3" max="3" width="10.5703125" style="5" customWidth="1"/>
    <col min="4" max="4" width="10.7109375" style="5" customWidth="1"/>
    <col min="5" max="5" width="22.7109375" style="5" customWidth="1"/>
    <col min="6" max="6" width="16.7109375" style="5" customWidth="1"/>
    <col min="7" max="7" width="4.5703125" style="4" customWidth="1"/>
    <col min="8" max="8" width="4.5703125" style="64" customWidth="1"/>
    <col min="9" max="9" width="7.85546875" style="5" customWidth="1"/>
    <col min="10" max="10" width="9.5703125" style="4" customWidth="1"/>
    <col min="11" max="11" width="8.85546875" style="5" customWidth="1"/>
    <col min="12" max="16384" width="9.140625" style="4"/>
  </cols>
  <sheetData>
    <row r="1" spans="1:11" s="44" customFormat="1" ht="29.1" customHeight="1" thickBot="1">
      <c r="A1" s="43" t="s">
        <v>929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44" customFormat="1" ht="62.1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9" customFormat="1" ht="12.75" customHeight="1" thickBot="1">
      <c r="A3" s="45" t="s">
        <v>0</v>
      </c>
      <c r="B3" s="46" t="s">
        <v>9</v>
      </c>
      <c r="C3" s="46" t="s">
        <v>11</v>
      </c>
      <c r="D3" s="47" t="s">
        <v>930</v>
      </c>
      <c r="E3" s="47" t="s">
        <v>7</v>
      </c>
      <c r="F3" s="47" t="s">
        <v>10</v>
      </c>
      <c r="G3" s="57" t="s">
        <v>931</v>
      </c>
      <c r="H3" s="57"/>
      <c r="I3" s="47" t="s">
        <v>932</v>
      </c>
      <c r="J3" s="47" t="s">
        <v>6</v>
      </c>
      <c r="K3" s="48" t="s">
        <v>5</v>
      </c>
    </row>
    <row r="4" spans="1:11" s="49" customFormat="1" ht="21" customHeight="1" thickBot="1">
      <c r="A4" s="45"/>
      <c r="B4" s="46"/>
      <c r="C4" s="46"/>
      <c r="D4" s="46"/>
      <c r="E4" s="46"/>
      <c r="F4" s="46"/>
      <c r="G4" s="58" t="s">
        <v>933</v>
      </c>
      <c r="H4" s="59" t="s">
        <v>934</v>
      </c>
      <c r="I4" s="47"/>
      <c r="J4" s="47"/>
      <c r="K4" s="48"/>
    </row>
    <row r="5" spans="1:11" ht="15">
      <c r="A5" s="60" t="s">
        <v>177</v>
      </c>
      <c r="B5" s="60"/>
      <c r="C5" s="60"/>
      <c r="D5" s="60"/>
      <c r="E5" s="60"/>
      <c r="F5" s="60"/>
      <c r="G5" s="60"/>
      <c r="H5" s="60"/>
      <c r="I5" s="60"/>
      <c r="J5" s="60"/>
    </row>
    <row r="6" spans="1:11">
      <c r="A6" s="61" t="s">
        <v>935</v>
      </c>
      <c r="B6" s="61" t="s">
        <v>936</v>
      </c>
      <c r="C6" s="61" t="s">
        <v>896</v>
      </c>
      <c r="D6" s="61" t="str">
        <f>"0,7003"</f>
        <v>0,7003</v>
      </c>
      <c r="E6" s="61" t="s">
        <v>33</v>
      </c>
      <c r="F6" s="61" t="s">
        <v>316</v>
      </c>
      <c r="G6" s="62" t="s">
        <v>24</v>
      </c>
      <c r="H6" s="63" t="s">
        <v>937</v>
      </c>
      <c r="I6" s="61" t="str">
        <f>"2090,0"</f>
        <v>2090,0</v>
      </c>
      <c r="J6" s="62" t="str">
        <f>"1463,6270"</f>
        <v>1463,6270</v>
      </c>
      <c r="K6" s="61" t="s">
        <v>37</v>
      </c>
    </row>
    <row r="8" spans="1:11" ht="15">
      <c r="E8" s="50" t="s">
        <v>38</v>
      </c>
    </row>
    <row r="9" spans="1:11" ht="15">
      <c r="E9" s="50" t="s">
        <v>39</v>
      </c>
    </row>
    <row r="10" spans="1:11" ht="15">
      <c r="E10" s="50" t="s">
        <v>40</v>
      </c>
    </row>
    <row r="11" spans="1:11" ht="15">
      <c r="E11" s="50" t="s">
        <v>41</v>
      </c>
    </row>
    <row r="12" spans="1:11" ht="15">
      <c r="E12" s="50" t="s">
        <v>41</v>
      </c>
    </row>
    <row r="13" spans="1:11" ht="15">
      <c r="E13" s="50" t="s">
        <v>42</v>
      </c>
    </row>
    <row r="14" spans="1:11" ht="15">
      <c r="E14" s="50"/>
    </row>
    <row r="16" spans="1:11" ht="18">
      <c r="A16" s="51" t="s">
        <v>43</v>
      </c>
      <c r="B16" s="51"/>
    </row>
    <row r="17" spans="1:5" ht="15">
      <c r="A17" s="52" t="s">
        <v>44</v>
      </c>
      <c r="B17" s="52"/>
    </row>
    <row r="18" spans="1:5" ht="14.25">
      <c r="A18" s="53"/>
      <c r="B18" s="54" t="s">
        <v>45</v>
      </c>
    </row>
    <row r="19" spans="1:5" ht="15">
      <c r="A19" s="55" t="s">
        <v>46</v>
      </c>
      <c r="B19" s="55" t="s">
        <v>47</v>
      </c>
      <c r="C19" s="55" t="s">
        <v>48</v>
      </c>
      <c r="D19" s="55" t="s">
        <v>49</v>
      </c>
      <c r="E19" s="55" t="s">
        <v>938</v>
      </c>
    </row>
    <row r="20" spans="1:5">
      <c r="A20" s="12" t="s">
        <v>939</v>
      </c>
      <c r="B20" s="5" t="s">
        <v>384</v>
      </c>
      <c r="C20" s="5" t="s">
        <v>187</v>
      </c>
      <c r="D20" s="5" t="s">
        <v>940</v>
      </c>
      <c r="E20" s="56" t="s">
        <v>941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F15" sqref="F15"/>
    </sheetView>
  </sheetViews>
  <sheetFormatPr defaultRowHeight="12.75"/>
  <cols>
    <col min="1" max="1" width="26" style="5" customWidth="1"/>
    <col min="2" max="2" width="29" style="5" customWidth="1"/>
    <col min="3" max="3" width="10.5703125" style="5" customWidth="1"/>
    <col min="4" max="4" width="10.7109375" style="5" customWidth="1"/>
    <col min="5" max="5" width="22.7109375" style="5" customWidth="1"/>
    <col min="6" max="6" width="29.7109375" style="5" customWidth="1"/>
    <col min="7" max="7" width="4.5703125" style="4" customWidth="1"/>
    <col min="8" max="8" width="4.5703125" style="64" customWidth="1"/>
    <col min="9" max="9" width="7.85546875" style="5" customWidth="1"/>
    <col min="10" max="10" width="8.5703125" style="4" customWidth="1"/>
    <col min="11" max="11" width="8.85546875" style="5" customWidth="1"/>
    <col min="12" max="16384" width="9.140625" style="4"/>
  </cols>
  <sheetData>
    <row r="1" spans="1:11" s="44" customFormat="1" ht="29.1" customHeight="1" thickBot="1">
      <c r="A1" s="43" t="s">
        <v>942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44" customFormat="1" ht="62.1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9" customFormat="1" ht="12.75" customHeight="1" thickBot="1">
      <c r="A3" s="45" t="s">
        <v>0</v>
      </c>
      <c r="B3" s="46" t="s">
        <v>9</v>
      </c>
      <c r="C3" s="46" t="s">
        <v>11</v>
      </c>
      <c r="D3" s="47" t="s">
        <v>930</v>
      </c>
      <c r="E3" s="47" t="s">
        <v>7</v>
      </c>
      <c r="F3" s="47" t="s">
        <v>10</v>
      </c>
      <c r="G3" s="57" t="s">
        <v>931</v>
      </c>
      <c r="H3" s="57"/>
      <c r="I3" s="47" t="s">
        <v>932</v>
      </c>
      <c r="J3" s="47" t="s">
        <v>6</v>
      </c>
      <c r="K3" s="48" t="s">
        <v>5</v>
      </c>
    </row>
    <row r="4" spans="1:11" s="49" customFormat="1" ht="21" customHeight="1" thickBot="1">
      <c r="A4" s="45"/>
      <c r="B4" s="46"/>
      <c r="C4" s="46"/>
      <c r="D4" s="46"/>
      <c r="E4" s="46"/>
      <c r="F4" s="46"/>
      <c r="G4" s="58" t="s">
        <v>933</v>
      </c>
      <c r="H4" s="59" t="s">
        <v>934</v>
      </c>
      <c r="I4" s="47"/>
      <c r="J4" s="47"/>
      <c r="K4" s="48"/>
    </row>
    <row r="5" spans="1:11" ht="15">
      <c r="A5" s="60" t="s">
        <v>56</v>
      </c>
      <c r="B5" s="60"/>
      <c r="C5" s="60"/>
      <c r="D5" s="60"/>
      <c r="E5" s="60"/>
      <c r="F5" s="60"/>
      <c r="G5" s="60"/>
      <c r="H5" s="60"/>
      <c r="I5" s="60"/>
      <c r="J5" s="60"/>
    </row>
    <row r="6" spans="1:11">
      <c r="A6" s="65" t="s">
        <v>863</v>
      </c>
      <c r="B6" s="65" t="s">
        <v>864</v>
      </c>
      <c r="C6" s="65" t="s">
        <v>865</v>
      </c>
      <c r="D6" s="65" t="str">
        <f>"0,9454"</f>
        <v>0,9454</v>
      </c>
      <c r="E6" s="65" t="s">
        <v>33</v>
      </c>
      <c r="F6" s="65" t="s">
        <v>34</v>
      </c>
      <c r="G6" s="66" t="s">
        <v>318</v>
      </c>
      <c r="H6" s="67" t="s">
        <v>943</v>
      </c>
      <c r="I6" s="65" t="str">
        <f>"797,5"</f>
        <v>797,5</v>
      </c>
      <c r="J6" s="66" t="str">
        <f>"753,9565"</f>
        <v>753,9565</v>
      </c>
      <c r="K6" s="65" t="s">
        <v>37</v>
      </c>
    </row>
    <row r="7" spans="1:11">
      <c r="A7" s="68" t="s">
        <v>944</v>
      </c>
      <c r="B7" s="68" t="s">
        <v>418</v>
      </c>
      <c r="C7" s="68" t="s">
        <v>419</v>
      </c>
      <c r="D7" s="68" t="str">
        <f>"0,9649"</f>
        <v>0,9649</v>
      </c>
      <c r="E7" s="68" t="s">
        <v>33</v>
      </c>
      <c r="F7" s="68" t="s">
        <v>34</v>
      </c>
      <c r="G7" s="69" t="s">
        <v>318</v>
      </c>
      <c r="H7" s="70" t="s">
        <v>945</v>
      </c>
      <c r="I7" s="68" t="str">
        <f>"715,0"</f>
        <v>715,0</v>
      </c>
      <c r="J7" s="69" t="str">
        <f>"689,9035"</f>
        <v>689,9035</v>
      </c>
      <c r="K7" s="68" t="s">
        <v>37</v>
      </c>
    </row>
    <row r="9" spans="1:11" ht="15">
      <c r="E9" s="50" t="s">
        <v>38</v>
      </c>
    </row>
    <row r="10" spans="1:11" ht="15">
      <c r="E10" s="50" t="s">
        <v>39</v>
      </c>
    </row>
    <row r="11" spans="1:11" ht="15">
      <c r="E11" s="50" t="s">
        <v>40</v>
      </c>
    </row>
    <row r="12" spans="1:11" ht="15">
      <c r="E12" s="50" t="s">
        <v>41</v>
      </c>
    </row>
    <row r="13" spans="1:11" ht="15">
      <c r="E13" s="50" t="s">
        <v>41</v>
      </c>
    </row>
    <row r="14" spans="1:11" ht="15">
      <c r="E14" s="50" t="s">
        <v>42</v>
      </c>
    </row>
    <row r="15" spans="1:11" ht="15">
      <c r="E15" s="50"/>
    </row>
    <row r="17" spans="1:5" ht="18">
      <c r="A17" s="51" t="s">
        <v>43</v>
      </c>
      <c r="B17" s="51"/>
    </row>
    <row r="18" spans="1:5" ht="15">
      <c r="A18" s="52" t="s">
        <v>103</v>
      </c>
      <c r="B18" s="52"/>
    </row>
    <row r="19" spans="1:5" ht="14.25">
      <c r="A19" s="53"/>
      <c r="B19" s="54" t="s">
        <v>379</v>
      </c>
    </row>
    <row r="20" spans="1:5" ht="15">
      <c r="A20" s="55" t="s">
        <v>46</v>
      </c>
      <c r="B20" s="55" t="s">
        <v>47</v>
      </c>
      <c r="C20" s="55" t="s">
        <v>48</v>
      </c>
      <c r="D20" s="55" t="s">
        <v>49</v>
      </c>
      <c r="E20" s="55" t="s">
        <v>938</v>
      </c>
    </row>
    <row r="21" spans="1:5">
      <c r="A21" s="12" t="s">
        <v>862</v>
      </c>
      <c r="B21" s="5" t="s">
        <v>108</v>
      </c>
      <c r="C21" s="5" t="s">
        <v>105</v>
      </c>
      <c r="D21" s="5" t="s">
        <v>946</v>
      </c>
      <c r="E21" s="56" t="s">
        <v>947</v>
      </c>
    </row>
    <row r="23" spans="1:5" ht="14.25">
      <c r="A23" s="53"/>
      <c r="B23" s="54" t="s">
        <v>45</v>
      </c>
    </row>
    <row r="24" spans="1:5" ht="15">
      <c r="A24" s="55" t="s">
        <v>46</v>
      </c>
      <c r="B24" s="55" t="s">
        <v>47</v>
      </c>
      <c r="C24" s="55" t="s">
        <v>48</v>
      </c>
      <c r="D24" s="55" t="s">
        <v>49</v>
      </c>
      <c r="E24" s="55" t="s">
        <v>938</v>
      </c>
    </row>
    <row r="25" spans="1:5">
      <c r="A25" s="12" t="s">
        <v>948</v>
      </c>
      <c r="B25" s="5" t="s">
        <v>117</v>
      </c>
      <c r="C25" s="5" t="s">
        <v>105</v>
      </c>
      <c r="D25" s="5" t="s">
        <v>949</v>
      </c>
      <c r="E25" s="56" t="s">
        <v>950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A8" sqref="A8:J8"/>
    </sheetView>
  </sheetViews>
  <sheetFormatPr defaultRowHeight="12.75"/>
  <cols>
    <col min="1" max="1" width="26" style="5" customWidth="1"/>
    <col min="2" max="2" width="28.5703125" style="5" customWidth="1"/>
    <col min="3" max="3" width="10.5703125" style="5" customWidth="1"/>
    <col min="4" max="4" width="10.7109375" style="5" customWidth="1"/>
    <col min="5" max="5" width="22.7109375" style="5" customWidth="1"/>
    <col min="6" max="6" width="38.28515625" style="5" customWidth="1"/>
    <col min="7" max="7" width="5.5703125" style="4" customWidth="1"/>
    <col min="8" max="8" width="4.5703125" style="64" customWidth="1"/>
    <col min="9" max="9" width="7.85546875" style="5" customWidth="1"/>
    <col min="10" max="10" width="9.5703125" style="4" customWidth="1"/>
    <col min="11" max="11" width="14" style="5" customWidth="1"/>
    <col min="12" max="16384" width="9.140625" style="4"/>
  </cols>
  <sheetData>
    <row r="1" spans="1:11" s="44" customFormat="1" ht="29.1" customHeight="1" thickBot="1">
      <c r="A1" s="43" t="s">
        <v>951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44" customFormat="1" ht="62.1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9" customFormat="1" ht="12.75" customHeight="1" thickBot="1">
      <c r="A3" s="45" t="s">
        <v>0</v>
      </c>
      <c r="B3" s="46" t="s">
        <v>9</v>
      </c>
      <c r="C3" s="46" t="s">
        <v>11</v>
      </c>
      <c r="D3" s="47" t="s">
        <v>930</v>
      </c>
      <c r="E3" s="47" t="s">
        <v>7</v>
      </c>
      <c r="F3" s="47" t="s">
        <v>10</v>
      </c>
      <c r="G3" s="57" t="s">
        <v>931</v>
      </c>
      <c r="H3" s="57"/>
      <c r="I3" s="47" t="s">
        <v>932</v>
      </c>
      <c r="J3" s="47" t="s">
        <v>6</v>
      </c>
      <c r="K3" s="48" t="s">
        <v>5</v>
      </c>
    </row>
    <row r="4" spans="1:11" s="49" customFormat="1" ht="21" customHeight="1" thickBot="1">
      <c r="A4" s="45"/>
      <c r="B4" s="46"/>
      <c r="C4" s="46"/>
      <c r="D4" s="46"/>
      <c r="E4" s="46"/>
      <c r="F4" s="46"/>
      <c r="G4" s="58" t="s">
        <v>933</v>
      </c>
      <c r="H4" s="59" t="s">
        <v>934</v>
      </c>
      <c r="I4" s="47"/>
      <c r="J4" s="47"/>
      <c r="K4" s="48"/>
    </row>
    <row r="5" spans="1:11" ht="15">
      <c r="A5" s="60" t="s">
        <v>131</v>
      </c>
      <c r="B5" s="60"/>
      <c r="C5" s="60"/>
      <c r="D5" s="60"/>
      <c r="E5" s="60"/>
      <c r="F5" s="60"/>
      <c r="G5" s="60"/>
      <c r="H5" s="60"/>
      <c r="I5" s="60"/>
      <c r="J5" s="60"/>
    </row>
    <row r="6" spans="1:11">
      <c r="A6" s="61" t="s">
        <v>712</v>
      </c>
      <c r="B6" s="61" t="s">
        <v>713</v>
      </c>
      <c r="C6" s="61" t="s">
        <v>708</v>
      </c>
      <c r="D6" s="61" t="str">
        <f>"0,8511"</f>
        <v>0,8511</v>
      </c>
      <c r="E6" s="61" t="s">
        <v>33</v>
      </c>
      <c r="F6" s="61" t="s">
        <v>34</v>
      </c>
      <c r="G6" s="62" t="s">
        <v>149</v>
      </c>
      <c r="H6" s="63" t="s">
        <v>952</v>
      </c>
      <c r="I6" s="61" t="str">
        <f>"1890,0"</f>
        <v>1890,0</v>
      </c>
      <c r="J6" s="62" t="str">
        <f>"1608,5791"</f>
        <v>1608,5791</v>
      </c>
      <c r="K6" s="61" t="s">
        <v>714</v>
      </c>
    </row>
    <row r="8" spans="1:11" ht="15">
      <c r="A8" s="71" t="s">
        <v>65</v>
      </c>
      <c r="B8" s="71"/>
      <c r="C8" s="71"/>
      <c r="D8" s="71"/>
      <c r="E8" s="71"/>
      <c r="F8" s="71"/>
      <c r="G8" s="71"/>
      <c r="H8" s="71"/>
      <c r="I8" s="71"/>
      <c r="J8" s="71"/>
    </row>
    <row r="9" spans="1:11">
      <c r="A9" s="61" t="s">
        <v>481</v>
      </c>
      <c r="B9" s="61" t="s">
        <v>482</v>
      </c>
      <c r="C9" s="61" t="s">
        <v>483</v>
      </c>
      <c r="D9" s="61" t="str">
        <f>"0,8108"</f>
        <v>0,8108</v>
      </c>
      <c r="E9" s="61" t="s">
        <v>33</v>
      </c>
      <c r="F9" s="61" t="s">
        <v>34</v>
      </c>
      <c r="G9" s="62" t="s">
        <v>109</v>
      </c>
      <c r="H9" s="63" t="s">
        <v>953</v>
      </c>
      <c r="I9" s="61" t="str">
        <f>"975,0"</f>
        <v>975,0</v>
      </c>
      <c r="J9" s="62" t="str">
        <f>"790,5300"</f>
        <v>790,5300</v>
      </c>
      <c r="K9" s="61" t="s">
        <v>37</v>
      </c>
    </row>
    <row r="11" spans="1:11" ht="15">
      <c r="A11" s="71" t="s">
        <v>14</v>
      </c>
      <c r="B11" s="71"/>
      <c r="C11" s="71"/>
      <c r="D11" s="71"/>
      <c r="E11" s="71"/>
      <c r="F11" s="71"/>
      <c r="G11" s="71"/>
      <c r="H11" s="71"/>
      <c r="I11" s="71"/>
      <c r="J11" s="71"/>
    </row>
    <row r="12" spans="1:11">
      <c r="A12" s="65" t="s">
        <v>954</v>
      </c>
      <c r="B12" s="65" t="s">
        <v>499</v>
      </c>
      <c r="C12" s="65" t="s">
        <v>500</v>
      </c>
      <c r="D12" s="65" t="str">
        <f>"0,7704"</f>
        <v>0,7704</v>
      </c>
      <c r="E12" s="65" t="s">
        <v>100</v>
      </c>
      <c r="F12" s="65" t="s">
        <v>404</v>
      </c>
      <c r="G12" s="66" t="s">
        <v>52</v>
      </c>
      <c r="H12" s="67" t="s">
        <v>955</v>
      </c>
      <c r="I12" s="65" t="str">
        <f>"2722,5"</f>
        <v>2722,5</v>
      </c>
      <c r="J12" s="66" t="str">
        <f>"2097,4140"</f>
        <v>2097,4140</v>
      </c>
      <c r="K12" s="65" t="s">
        <v>405</v>
      </c>
    </row>
    <row r="13" spans="1:11">
      <c r="A13" s="72" t="s">
        <v>956</v>
      </c>
      <c r="B13" s="72" t="s">
        <v>494</v>
      </c>
      <c r="C13" s="72" t="s">
        <v>495</v>
      </c>
      <c r="D13" s="72" t="str">
        <f>"0,7573"</f>
        <v>0,7573</v>
      </c>
      <c r="E13" s="72" t="s">
        <v>33</v>
      </c>
      <c r="F13" s="72" t="s">
        <v>496</v>
      </c>
      <c r="G13" s="73" t="s">
        <v>52</v>
      </c>
      <c r="H13" s="74" t="s">
        <v>952</v>
      </c>
      <c r="I13" s="72" t="str">
        <f>"2310,0"</f>
        <v>2310,0</v>
      </c>
      <c r="J13" s="73" t="str">
        <f>"1749,3630"</f>
        <v>1749,3630</v>
      </c>
      <c r="K13" s="72" t="s">
        <v>37</v>
      </c>
    </row>
    <row r="14" spans="1:11">
      <c r="A14" s="68" t="s">
        <v>957</v>
      </c>
      <c r="B14" s="68" t="s">
        <v>514</v>
      </c>
      <c r="C14" s="68" t="s">
        <v>515</v>
      </c>
      <c r="D14" s="68" t="str">
        <f>"0,7619"</f>
        <v>0,7619</v>
      </c>
      <c r="E14" s="68" t="s">
        <v>33</v>
      </c>
      <c r="F14" s="68" t="s">
        <v>516</v>
      </c>
      <c r="G14" s="69" t="s">
        <v>52</v>
      </c>
      <c r="H14" s="70" t="s">
        <v>958</v>
      </c>
      <c r="I14" s="68" t="str">
        <f>"1650,0"</f>
        <v>1650,0</v>
      </c>
      <c r="J14" s="69" t="str">
        <f>"1257,1350"</f>
        <v>1257,1350</v>
      </c>
      <c r="K14" s="68" t="s">
        <v>37</v>
      </c>
    </row>
    <row r="16" spans="1:11" ht="15">
      <c r="A16" s="71" t="s">
        <v>73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1">
      <c r="A17" s="65" t="s">
        <v>959</v>
      </c>
      <c r="B17" s="65" t="s">
        <v>528</v>
      </c>
      <c r="C17" s="65" t="s">
        <v>529</v>
      </c>
      <c r="D17" s="65" t="str">
        <f>"0,7193"</f>
        <v>0,7193</v>
      </c>
      <c r="E17" s="65" t="s">
        <v>33</v>
      </c>
      <c r="F17" s="65" t="s">
        <v>411</v>
      </c>
      <c r="G17" s="66" t="s">
        <v>113</v>
      </c>
      <c r="H17" s="67" t="s">
        <v>945</v>
      </c>
      <c r="I17" s="65" t="str">
        <f>"2340,0"</f>
        <v>2340,0</v>
      </c>
      <c r="J17" s="66" t="str">
        <f>"1683,1619"</f>
        <v>1683,1619</v>
      </c>
      <c r="K17" s="65" t="s">
        <v>37</v>
      </c>
    </row>
    <row r="18" spans="1:11">
      <c r="A18" s="68" t="s">
        <v>960</v>
      </c>
      <c r="B18" s="68" t="s">
        <v>524</v>
      </c>
      <c r="C18" s="68" t="s">
        <v>525</v>
      </c>
      <c r="D18" s="68" t="str">
        <f>"0,7291"</f>
        <v>0,7291</v>
      </c>
      <c r="E18" s="68" t="s">
        <v>33</v>
      </c>
      <c r="F18" s="68" t="s">
        <v>516</v>
      </c>
      <c r="G18" s="69" t="s">
        <v>113</v>
      </c>
      <c r="H18" s="70" t="s">
        <v>961</v>
      </c>
      <c r="I18" s="68" t="str">
        <f>"2070,0"</f>
        <v>2070,0</v>
      </c>
      <c r="J18" s="69" t="str">
        <f>"1509,2370"</f>
        <v>1509,2370</v>
      </c>
      <c r="K18" s="68" t="s">
        <v>37</v>
      </c>
    </row>
    <row r="20" spans="1:11" ht="15">
      <c r="A20" s="71" t="s">
        <v>29</v>
      </c>
      <c r="B20" s="71"/>
      <c r="C20" s="71"/>
      <c r="D20" s="71"/>
      <c r="E20" s="71"/>
      <c r="F20" s="71"/>
      <c r="G20" s="71"/>
      <c r="H20" s="71"/>
      <c r="I20" s="71"/>
      <c r="J20" s="71"/>
    </row>
    <row r="21" spans="1:11">
      <c r="A21" s="61" t="s">
        <v>567</v>
      </c>
      <c r="B21" s="61" t="s">
        <v>568</v>
      </c>
      <c r="C21" s="61" t="s">
        <v>569</v>
      </c>
      <c r="D21" s="61" t="str">
        <f>"0,6440"</f>
        <v>0,6440</v>
      </c>
      <c r="E21" s="61" t="s">
        <v>33</v>
      </c>
      <c r="F21" s="61" t="s">
        <v>570</v>
      </c>
      <c r="G21" s="62" t="s">
        <v>115</v>
      </c>
      <c r="H21" s="63" t="s">
        <v>300</v>
      </c>
      <c r="I21" s="61" t="str">
        <f>"3300,0"</f>
        <v>3300,0</v>
      </c>
      <c r="J21" s="62" t="str">
        <f>"2125,2000"</f>
        <v>2125,2000</v>
      </c>
      <c r="K21" s="61" t="s">
        <v>571</v>
      </c>
    </row>
    <row r="23" spans="1:11" ht="15">
      <c r="A23" s="71" t="s">
        <v>95</v>
      </c>
      <c r="B23" s="71"/>
      <c r="C23" s="71"/>
      <c r="D23" s="71"/>
      <c r="E23" s="71"/>
      <c r="F23" s="71"/>
      <c r="G23" s="71"/>
      <c r="H23" s="71"/>
      <c r="I23" s="71"/>
      <c r="J23" s="71"/>
    </row>
    <row r="24" spans="1:11">
      <c r="A24" s="61" t="s">
        <v>962</v>
      </c>
      <c r="B24" s="61" t="s">
        <v>963</v>
      </c>
      <c r="C24" s="61" t="s">
        <v>964</v>
      </c>
      <c r="D24" s="61" t="str">
        <f>"0,7072"</f>
        <v>0,7072</v>
      </c>
      <c r="E24" s="61" t="s">
        <v>33</v>
      </c>
      <c r="F24" s="61" t="s">
        <v>34</v>
      </c>
      <c r="G24" s="62" t="s">
        <v>456</v>
      </c>
      <c r="H24" s="63" t="s">
        <v>965</v>
      </c>
      <c r="I24" s="61" t="str">
        <f>"1912,5"</f>
        <v>1912,5</v>
      </c>
      <c r="J24" s="62" t="str">
        <f>"1352,5200"</f>
        <v>1352,5200</v>
      </c>
      <c r="K24" s="61" t="s">
        <v>37</v>
      </c>
    </row>
    <row r="26" spans="1:11" ht="15">
      <c r="E26" s="50" t="s">
        <v>38</v>
      </c>
    </row>
    <row r="27" spans="1:11" ht="15">
      <c r="E27" s="50" t="s">
        <v>39</v>
      </c>
    </row>
    <row r="28" spans="1:11" ht="15">
      <c r="E28" s="50" t="s">
        <v>40</v>
      </c>
    </row>
    <row r="29" spans="1:11" ht="15">
      <c r="E29" s="50" t="s">
        <v>41</v>
      </c>
    </row>
    <row r="30" spans="1:11" ht="15">
      <c r="E30" s="50" t="s">
        <v>41</v>
      </c>
    </row>
    <row r="31" spans="1:11" ht="15">
      <c r="E31" s="50" t="s">
        <v>42</v>
      </c>
    </row>
    <row r="32" spans="1:11" ht="15">
      <c r="E32" s="50"/>
    </row>
    <row r="34" spans="1:5" ht="18">
      <c r="A34" s="51" t="s">
        <v>43</v>
      </c>
      <c r="B34" s="51"/>
    </row>
    <row r="35" spans="1:5" ht="15">
      <c r="A35" s="52" t="s">
        <v>44</v>
      </c>
      <c r="B35" s="52"/>
    </row>
    <row r="36" spans="1:5" ht="14.25">
      <c r="A36" s="53"/>
      <c r="B36" s="54" t="s">
        <v>104</v>
      </c>
    </row>
    <row r="37" spans="1:5" ht="15">
      <c r="A37" s="55" t="s">
        <v>46</v>
      </c>
      <c r="B37" s="55" t="s">
        <v>47</v>
      </c>
      <c r="C37" s="55" t="s">
        <v>48</v>
      </c>
      <c r="D37" s="55" t="s">
        <v>49</v>
      </c>
      <c r="E37" s="55" t="s">
        <v>938</v>
      </c>
    </row>
    <row r="38" spans="1:5">
      <c r="A38" s="12" t="s">
        <v>566</v>
      </c>
      <c r="B38" s="5" t="s">
        <v>104</v>
      </c>
      <c r="C38" s="5" t="s">
        <v>115</v>
      </c>
      <c r="D38" s="5" t="s">
        <v>966</v>
      </c>
      <c r="E38" s="56" t="s">
        <v>967</v>
      </c>
    </row>
    <row r="39" spans="1:5">
      <c r="A39" s="12" t="s">
        <v>497</v>
      </c>
      <c r="B39" s="5" t="s">
        <v>104</v>
      </c>
      <c r="C39" s="5" t="s">
        <v>52</v>
      </c>
      <c r="D39" s="5" t="s">
        <v>968</v>
      </c>
      <c r="E39" s="56" t="s">
        <v>969</v>
      </c>
    </row>
    <row r="40" spans="1:5">
      <c r="A40" s="12" t="s">
        <v>492</v>
      </c>
      <c r="B40" s="5" t="s">
        <v>104</v>
      </c>
      <c r="C40" s="5" t="s">
        <v>52</v>
      </c>
      <c r="D40" s="5" t="s">
        <v>970</v>
      </c>
      <c r="E40" s="56" t="s">
        <v>971</v>
      </c>
    </row>
    <row r="41" spans="1:5">
      <c r="A41" s="12" t="s">
        <v>526</v>
      </c>
      <c r="B41" s="5" t="s">
        <v>104</v>
      </c>
      <c r="C41" s="5" t="s">
        <v>113</v>
      </c>
      <c r="D41" s="5" t="s">
        <v>972</v>
      </c>
      <c r="E41" s="56" t="s">
        <v>973</v>
      </c>
    </row>
    <row r="42" spans="1:5">
      <c r="A42" s="12" t="s">
        <v>711</v>
      </c>
      <c r="B42" s="5" t="s">
        <v>104</v>
      </c>
      <c r="C42" s="5" t="s">
        <v>149</v>
      </c>
      <c r="D42" s="5" t="s">
        <v>974</v>
      </c>
      <c r="E42" s="56" t="s">
        <v>975</v>
      </c>
    </row>
    <row r="43" spans="1:5">
      <c r="A43" s="12" t="s">
        <v>522</v>
      </c>
      <c r="B43" s="5" t="s">
        <v>104</v>
      </c>
      <c r="C43" s="5" t="s">
        <v>113</v>
      </c>
      <c r="D43" s="5" t="s">
        <v>976</v>
      </c>
      <c r="E43" s="56" t="s">
        <v>977</v>
      </c>
    </row>
    <row r="44" spans="1:5">
      <c r="A44" s="12" t="s">
        <v>512</v>
      </c>
      <c r="B44" s="5" t="s">
        <v>104</v>
      </c>
      <c r="C44" s="5" t="s">
        <v>52</v>
      </c>
      <c r="D44" s="5" t="s">
        <v>978</v>
      </c>
      <c r="E44" s="56" t="s">
        <v>979</v>
      </c>
    </row>
    <row r="46" spans="1:5" ht="14.25">
      <c r="A46" s="53"/>
      <c r="B46" s="54" t="s">
        <v>45</v>
      </c>
    </row>
    <row r="47" spans="1:5" ht="15">
      <c r="A47" s="55" t="s">
        <v>46</v>
      </c>
      <c r="B47" s="55" t="s">
        <v>47</v>
      </c>
      <c r="C47" s="55" t="s">
        <v>48</v>
      </c>
      <c r="D47" s="55" t="s">
        <v>49</v>
      </c>
      <c r="E47" s="55" t="s">
        <v>938</v>
      </c>
    </row>
    <row r="48" spans="1:5">
      <c r="A48" s="12" t="s">
        <v>980</v>
      </c>
      <c r="B48" s="5" t="s">
        <v>117</v>
      </c>
      <c r="C48" s="5" t="s">
        <v>111</v>
      </c>
      <c r="D48" s="5" t="s">
        <v>981</v>
      </c>
      <c r="E48" s="56" t="s">
        <v>982</v>
      </c>
    </row>
    <row r="49" spans="1:5">
      <c r="A49" s="12" t="s">
        <v>480</v>
      </c>
      <c r="B49" s="5" t="s">
        <v>638</v>
      </c>
      <c r="C49" s="5" t="s">
        <v>109</v>
      </c>
      <c r="D49" s="5" t="s">
        <v>983</v>
      </c>
      <c r="E49" s="56" t="s">
        <v>984</v>
      </c>
    </row>
  </sheetData>
  <mergeCells count="17">
    <mergeCell ref="A23:J23"/>
    <mergeCell ref="K3:K4"/>
    <mergeCell ref="A5:J5"/>
    <mergeCell ref="A8:J8"/>
    <mergeCell ref="A11:J11"/>
    <mergeCell ref="A16:J16"/>
    <mergeCell ref="A20:J20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E9" sqref="E9"/>
    </sheetView>
  </sheetViews>
  <sheetFormatPr defaultRowHeight="12.75"/>
  <cols>
    <col min="1" max="1" width="26" style="5" customWidth="1"/>
    <col min="2" max="2" width="17" style="5" customWidth="1"/>
    <col min="3" max="3" width="5.7109375" style="5" customWidth="1"/>
    <col min="4" max="4" width="6.5703125" style="5" customWidth="1"/>
    <col min="5" max="5" width="22.7109375" style="5" customWidth="1"/>
    <col min="6" max="6" width="16.7109375" style="5" customWidth="1"/>
    <col min="7" max="7" width="2.140625" style="4" customWidth="1"/>
    <col min="8" max="8" width="2.140625" style="64" customWidth="1"/>
    <col min="9" max="9" width="7.85546875" style="5" customWidth="1"/>
    <col min="10" max="10" width="6.42578125" style="4" customWidth="1"/>
    <col min="11" max="11" width="8.85546875" style="5" customWidth="1"/>
    <col min="12" max="16384" width="9.140625" style="4"/>
  </cols>
  <sheetData>
    <row r="1" spans="1:11" s="44" customFormat="1" ht="29.1" customHeight="1" thickBot="1">
      <c r="A1" s="43" t="s">
        <v>985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44" customFormat="1" ht="62.1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9" customFormat="1" ht="12.75" customHeight="1" thickBot="1">
      <c r="A3" s="45" t="s">
        <v>0</v>
      </c>
      <c r="B3" s="46" t="s">
        <v>9</v>
      </c>
      <c r="C3" s="46" t="s">
        <v>11</v>
      </c>
      <c r="D3" s="47"/>
      <c r="E3" s="47" t="s">
        <v>7</v>
      </c>
      <c r="F3" s="47" t="s">
        <v>10</v>
      </c>
      <c r="G3" s="57" t="s">
        <v>931</v>
      </c>
      <c r="H3" s="57"/>
      <c r="I3" s="47" t="s">
        <v>932</v>
      </c>
      <c r="J3" s="47" t="s">
        <v>6</v>
      </c>
      <c r="K3" s="48" t="s">
        <v>5</v>
      </c>
    </row>
    <row r="4" spans="1:11" s="49" customFormat="1" ht="21" customHeight="1" thickBot="1">
      <c r="A4" s="45"/>
      <c r="B4" s="46"/>
      <c r="C4" s="46"/>
      <c r="D4" s="46"/>
      <c r="E4" s="46"/>
      <c r="F4" s="46"/>
      <c r="G4" s="58" t="s">
        <v>933</v>
      </c>
      <c r="H4" s="59" t="s">
        <v>934</v>
      </c>
      <c r="I4" s="47"/>
      <c r="J4" s="47"/>
      <c r="K4" s="48"/>
    </row>
    <row r="6" spans="1:11" ht="15">
      <c r="E6" s="50" t="s">
        <v>38</v>
      </c>
    </row>
    <row r="7" spans="1:11" ht="15">
      <c r="E7" s="50" t="s">
        <v>39</v>
      </c>
    </row>
    <row r="8" spans="1:11" ht="15">
      <c r="E8" s="50" t="s">
        <v>40</v>
      </c>
    </row>
    <row r="9" spans="1:11" ht="15">
      <c r="E9" s="50" t="s">
        <v>41</v>
      </c>
    </row>
    <row r="10" spans="1:11" ht="15">
      <c r="E10" s="50" t="s">
        <v>41</v>
      </c>
    </row>
    <row r="11" spans="1:11" ht="15">
      <c r="E11" s="50" t="s">
        <v>42</v>
      </c>
    </row>
    <row r="12" spans="1:11" ht="15">
      <c r="E12" s="50"/>
    </row>
    <row r="14" spans="1:11" ht="18">
      <c r="A14" s="51" t="s">
        <v>43</v>
      </c>
      <c r="B14" s="51"/>
    </row>
  </sheetData>
  <mergeCells count="11">
    <mergeCell ref="K3:K4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B19" sqref="B19"/>
    </sheetView>
  </sheetViews>
  <sheetFormatPr defaultRowHeight="12.75"/>
  <cols>
    <col min="1" max="1" width="26" style="5" customWidth="1"/>
    <col min="2" max="2" width="22.85546875" style="5" customWidth="1"/>
    <col min="3" max="3" width="10.5703125" style="5" customWidth="1"/>
    <col min="4" max="4" width="10.7109375" style="5" customWidth="1"/>
    <col min="5" max="5" width="22.7109375" style="5" customWidth="1"/>
    <col min="6" max="6" width="38.5703125" style="5" customWidth="1"/>
    <col min="7" max="7" width="5.5703125" style="4" customWidth="1"/>
    <col min="8" max="8" width="5.5703125" style="64" customWidth="1"/>
    <col min="9" max="9" width="7.85546875" style="5" customWidth="1"/>
    <col min="10" max="10" width="10.5703125" style="4" customWidth="1"/>
    <col min="11" max="11" width="8.85546875" style="5" customWidth="1"/>
    <col min="12" max="16384" width="9.140625" style="4"/>
  </cols>
  <sheetData>
    <row r="1" spans="1:11" s="44" customFormat="1" ht="29.1" customHeight="1" thickBot="1">
      <c r="A1" s="43" t="s">
        <v>986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44" customFormat="1" ht="62.1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9" customFormat="1" ht="12.75" customHeight="1" thickBot="1">
      <c r="A3" s="45" t="s">
        <v>0</v>
      </c>
      <c r="B3" s="46" t="s">
        <v>9</v>
      </c>
      <c r="C3" s="46" t="s">
        <v>11</v>
      </c>
      <c r="D3" s="47" t="s">
        <v>930</v>
      </c>
      <c r="E3" s="47" t="s">
        <v>7</v>
      </c>
      <c r="F3" s="47" t="s">
        <v>10</v>
      </c>
      <c r="G3" s="57" t="s">
        <v>2</v>
      </c>
      <c r="H3" s="57"/>
      <c r="I3" s="57"/>
      <c r="J3" s="47" t="s">
        <v>6</v>
      </c>
      <c r="K3" s="48" t="s">
        <v>5</v>
      </c>
    </row>
    <row r="4" spans="1:11" s="49" customFormat="1" ht="21" customHeight="1" thickBot="1">
      <c r="A4" s="45"/>
      <c r="B4" s="46"/>
      <c r="C4" s="46"/>
      <c r="D4" s="46"/>
      <c r="E4" s="46"/>
      <c r="F4" s="46"/>
      <c r="G4" s="58" t="s">
        <v>987</v>
      </c>
      <c r="H4" s="59">
        <v>2</v>
      </c>
      <c r="I4" s="58" t="s">
        <v>988</v>
      </c>
      <c r="J4" s="47"/>
      <c r="K4" s="48"/>
    </row>
    <row r="5" spans="1:11" ht="15">
      <c r="A5" s="60" t="s">
        <v>73</v>
      </c>
      <c r="B5" s="60"/>
      <c r="C5" s="60"/>
      <c r="D5" s="60"/>
      <c r="E5" s="60"/>
      <c r="F5" s="60"/>
      <c r="G5" s="60"/>
      <c r="H5" s="60"/>
      <c r="I5" s="60"/>
      <c r="J5" s="60"/>
    </row>
    <row r="6" spans="1:11">
      <c r="A6" s="61" t="s">
        <v>989</v>
      </c>
      <c r="B6" s="61" t="s">
        <v>166</v>
      </c>
      <c r="C6" s="61" t="s">
        <v>167</v>
      </c>
      <c r="D6" s="61" t="str">
        <f>"0,7161"</f>
        <v>0,7161</v>
      </c>
      <c r="E6" s="61" t="s">
        <v>33</v>
      </c>
      <c r="F6" s="61" t="s">
        <v>168</v>
      </c>
      <c r="G6" s="62" t="s">
        <v>87</v>
      </c>
      <c r="H6" s="63" t="s">
        <v>79</v>
      </c>
      <c r="I6" s="63" t="s">
        <v>71</v>
      </c>
      <c r="J6" s="75" t="s">
        <v>990</v>
      </c>
      <c r="K6" s="61" t="s">
        <v>37</v>
      </c>
    </row>
    <row r="8" spans="1:11" ht="15">
      <c r="A8" s="71" t="s">
        <v>95</v>
      </c>
      <c r="B8" s="71"/>
      <c r="C8" s="71"/>
      <c r="D8" s="71"/>
      <c r="E8" s="71"/>
      <c r="F8" s="71"/>
      <c r="G8" s="71"/>
      <c r="H8" s="71"/>
      <c r="I8" s="71"/>
      <c r="J8" s="71"/>
    </row>
    <row r="9" spans="1:11">
      <c r="A9" s="61" t="s">
        <v>991</v>
      </c>
      <c r="B9" s="61" t="s">
        <v>992</v>
      </c>
      <c r="C9" s="61" t="s">
        <v>993</v>
      </c>
      <c r="D9" s="61" t="str">
        <f>"0,6921"</f>
        <v>0,6921</v>
      </c>
      <c r="E9" s="61" t="s">
        <v>100</v>
      </c>
      <c r="F9" s="61" t="s">
        <v>34</v>
      </c>
      <c r="G9" s="62" t="s">
        <v>71</v>
      </c>
      <c r="H9" s="63" t="s">
        <v>80</v>
      </c>
      <c r="I9" s="63" t="s">
        <v>21</v>
      </c>
      <c r="J9" s="75" t="s">
        <v>994</v>
      </c>
      <c r="K9" s="61" t="s">
        <v>37</v>
      </c>
    </row>
    <row r="11" spans="1:11" ht="15">
      <c r="E11" s="50" t="s">
        <v>38</v>
      </c>
    </row>
    <row r="12" spans="1:11" ht="15">
      <c r="E12" s="50" t="s">
        <v>39</v>
      </c>
    </row>
    <row r="13" spans="1:11" ht="15">
      <c r="E13" s="50" t="s">
        <v>40</v>
      </c>
    </row>
    <row r="14" spans="1:11" ht="15">
      <c r="E14" s="50" t="s">
        <v>41</v>
      </c>
    </row>
    <row r="15" spans="1:11" ht="15">
      <c r="E15" s="50" t="s">
        <v>41</v>
      </c>
    </row>
    <row r="16" spans="1:11" ht="15">
      <c r="E16" s="50" t="s">
        <v>42</v>
      </c>
    </row>
    <row r="17" spans="1:5" ht="15">
      <c r="E17" s="50"/>
    </row>
    <row r="19" spans="1:5" ht="18">
      <c r="A19" s="51" t="s">
        <v>43</v>
      </c>
      <c r="B19" s="51"/>
    </row>
    <row r="20" spans="1:5" ht="15">
      <c r="A20" s="52" t="s">
        <v>44</v>
      </c>
      <c r="B20" s="52"/>
    </row>
    <row r="21" spans="1:5" ht="14.25">
      <c r="A21" s="53"/>
      <c r="B21" s="54" t="s">
        <v>104</v>
      </c>
    </row>
    <row r="22" spans="1:5" ht="15">
      <c r="A22" s="55" t="s">
        <v>46</v>
      </c>
      <c r="B22" s="55" t="s">
        <v>47</v>
      </c>
      <c r="C22" s="55" t="s">
        <v>48</v>
      </c>
      <c r="D22" s="55" t="s">
        <v>49</v>
      </c>
      <c r="E22" s="55" t="s">
        <v>6</v>
      </c>
    </row>
    <row r="23" spans="1:5">
      <c r="A23" s="12" t="s">
        <v>995</v>
      </c>
      <c r="B23" s="5" t="s">
        <v>104</v>
      </c>
      <c r="C23" s="5" t="s">
        <v>111</v>
      </c>
      <c r="D23" s="63" t="s">
        <v>21</v>
      </c>
      <c r="E23" s="75" t="s">
        <v>994</v>
      </c>
    </row>
    <row r="24" spans="1:5">
      <c r="A24" s="12" t="s">
        <v>164</v>
      </c>
      <c r="B24" s="5" t="s">
        <v>104</v>
      </c>
      <c r="C24" s="5" t="s">
        <v>113</v>
      </c>
      <c r="D24" s="63" t="s">
        <v>71</v>
      </c>
      <c r="E24" s="75" t="s">
        <v>990</v>
      </c>
    </row>
  </sheetData>
  <mergeCells count="12"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I3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8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3.42578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3.140625" style="5" bestFit="1" customWidth="1"/>
    <col min="14" max="16384" width="9.140625" style="4"/>
  </cols>
  <sheetData>
    <row r="1" spans="1:13" s="3" customFormat="1" ht="29.1" customHeight="1">
      <c r="A1" s="38" t="s">
        <v>872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121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17" t="s">
        <v>874</v>
      </c>
      <c r="B6" s="17" t="s">
        <v>875</v>
      </c>
      <c r="C6" s="17" t="s">
        <v>124</v>
      </c>
      <c r="D6" s="17" t="str">
        <f>"0,8609"</f>
        <v>0,8609</v>
      </c>
      <c r="E6" s="17" t="s">
        <v>33</v>
      </c>
      <c r="F6" s="17" t="s">
        <v>753</v>
      </c>
      <c r="G6" s="19" t="s">
        <v>52</v>
      </c>
      <c r="H6" s="18" t="s">
        <v>24</v>
      </c>
      <c r="I6" s="18" t="s">
        <v>24</v>
      </c>
      <c r="J6" s="18"/>
      <c r="K6" s="17" t="str">
        <f>"82,5"</f>
        <v>82,5</v>
      </c>
      <c r="L6" s="19" t="str">
        <f>"71,0242"</f>
        <v>71,0242</v>
      </c>
      <c r="M6" s="17" t="s">
        <v>37</v>
      </c>
    </row>
    <row r="7" spans="1:13">
      <c r="A7" s="23" t="s">
        <v>877</v>
      </c>
      <c r="B7" s="23" t="s">
        <v>878</v>
      </c>
      <c r="C7" s="23" t="s">
        <v>698</v>
      </c>
      <c r="D7" s="23" t="str">
        <f>"0,8670"</f>
        <v>0,8670</v>
      </c>
      <c r="E7" s="23" t="s">
        <v>33</v>
      </c>
      <c r="F7" s="23" t="s">
        <v>753</v>
      </c>
      <c r="G7" s="25" t="s">
        <v>109</v>
      </c>
      <c r="H7" s="24" t="s">
        <v>109</v>
      </c>
      <c r="I7" s="25" t="s">
        <v>52</v>
      </c>
      <c r="J7" s="25"/>
      <c r="K7" s="23" t="str">
        <f>"75,0"</f>
        <v>75,0</v>
      </c>
      <c r="L7" s="24" t="str">
        <f>"65,0250"</f>
        <v>65,0250</v>
      </c>
      <c r="M7" s="23" t="s">
        <v>37</v>
      </c>
    </row>
    <row r="8" spans="1:13">
      <c r="A8" s="20" t="s">
        <v>880</v>
      </c>
      <c r="B8" s="20" t="s">
        <v>881</v>
      </c>
      <c r="C8" s="20" t="s">
        <v>882</v>
      </c>
      <c r="D8" s="20" t="str">
        <f>"0,8769"</f>
        <v>0,8769</v>
      </c>
      <c r="E8" s="20" t="s">
        <v>883</v>
      </c>
      <c r="F8" s="20" t="s">
        <v>161</v>
      </c>
      <c r="G8" s="22" t="s">
        <v>205</v>
      </c>
      <c r="H8" s="21" t="s">
        <v>307</v>
      </c>
      <c r="I8" s="21" t="s">
        <v>307</v>
      </c>
      <c r="J8" s="21"/>
      <c r="K8" s="20" t="str">
        <f>"65,0"</f>
        <v>65,0</v>
      </c>
      <c r="L8" s="22" t="str">
        <f>"56,9985"</f>
        <v>56,9985</v>
      </c>
      <c r="M8" s="20" t="s">
        <v>884</v>
      </c>
    </row>
    <row r="10" spans="1:13" ht="15">
      <c r="A10" s="39" t="s">
        <v>65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3">
      <c r="A11" s="6" t="s">
        <v>886</v>
      </c>
      <c r="B11" s="6" t="s">
        <v>887</v>
      </c>
      <c r="C11" s="6" t="s">
        <v>888</v>
      </c>
      <c r="D11" s="6" t="str">
        <f>"0,6666"</f>
        <v>0,6666</v>
      </c>
      <c r="E11" s="6" t="s">
        <v>33</v>
      </c>
      <c r="F11" s="6" t="s">
        <v>753</v>
      </c>
      <c r="G11" s="7" t="s">
        <v>137</v>
      </c>
      <c r="H11" s="8" t="s">
        <v>21</v>
      </c>
      <c r="I11" s="8" t="s">
        <v>21</v>
      </c>
      <c r="J11" s="8"/>
      <c r="K11" s="6" t="str">
        <f>"162,5"</f>
        <v>162,5</v>
      </c>
      <c r="L11" s="7" t="str">
        <f>"108,3225"</f>
        <v>108,3225</v>
      </c>
      <c r="M11" s="6" t="s">
        <v>37</v>
      </c>
    </row>
    <row r="13" spans="1:13" ht="15">
      <c r="A13" s="39" t="s">
        <v>14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3">
      <c r="A14" s="17" t="s">
        <v>889</v>
      </c>
      <c r="B14" s="17" t="s">
        <v>505</v>
      </c>
      <c r="C14" s="17" t="s">
        <v>506</v>
      </c>
      <c r="D14" s="17" t="str">
        <f>"0,6219"</f>
        <v>0,6219</v>
      </c>
      <c r="E14" s="17" t="s">
        <v>33</v>
      </c>
      <c r="F14" s="17" t="s">
        <v>34</v>
      </c>
      <c r="G14" s="18" t="s">
        <v>94</v>
      </c>
      <c r="H14" s="19" t="s">
        <v>94</v>
      </c>
      <c r="I14" s="19" t="s">
        <v>704</v>
      </c>
      <c r="J14" s="18"/>
      <c r="K14" s="17" t="str">
        <f>"202,5"</f>
        <v>202,5</v>
      </c>
      <c r="L14" s="19" t="str">
        <f>"125,9348"</f>
        <v>125,9348</v>
      </c>
      <c r="M14" s="17" t="s">
        <v>37</v>
      </c>
    </row>
    <row r="15" spans="1:13">
      <c r="A15" s="20" t="s">
        <v>891</v>
      </c>
      <c r="B15" s="20" t="s">
        <v>892</v>
      </c>
      <c r="C15" s="20" t="s">
        <v>18</v>
      </c>
      <c r="D15" s="20" t="str">
        <f>"0,6214"</f>
        <v>0,6214</v>
      </c>
      <c r="E15" s="20" t="s">
        <v>33</v>
      </c>
      <c r="F15" s="20" t="s">
        <v>753</v>
      </c>
      <c r="G15" s="22" t="s">
        <v>94</v>
      </c>
      <c r="H15" s="21" t="s">
        <v>704</v>
      </c>
      <c r="I15" s="21" t="s">
        <v>704</v>
      </c>
      <c r="J15" s="21"/>
      <c r="K15" s="20" t="str">
        <f>"185,0"</f>
        <v>185,0</v>
      </c>
      <c r="L15" s="22" t="str">
        <f>"114,9590"</f>
        <v>114,9590</v>
      </c>
      <c r="M15" s="20" t="s">
        <v>37</v>
      </c>
    </row>
    <row r="17" spans="1:13" ht="15">
      <c r="A17" s="39" t="s">
        <v>177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3">
      <c r="A18" s="17" t="s">
        <v>894</v>
      </c>
      <c r="B18" s="17" t="s">
        <v>895</v>
      </c>
      <c r="C18" s="17" t="s">
        <v>896</v>
      </c>
      <c r="D18" s="17" t="str">
        <f>"0,5694"</f>
        <v>0,5694</v>
      </c>
      <c r="E18" s="17" t="s">
        <v>33</v>
      </c>
      <c r="F18" s="17" t="s">
        <v>753</v>
      </c>
      <c r="G18" s="18" t="s">
        <v>704</v>
      </c>
      <c r="H18" s="18" t="s">
        <v>704</v>
      </c>
      <c r="I18" s="19" t="s">
        <v>704</v>
      </c>
      <c r="J18" s="18"/>
      <c r="K18" s="17" t="str">
        <f>"202,5"</f>
        <v>202,5</v>
      </c>
      <c r="L18" s="19" t="str">
        <f>"116,4565"</f>
        <v>116,4565</v>
      </c>
      <c r="M18" s="17" t="s">
        <v>37</v>
      </c>
    </row>
    <row r="19" spans="1:13">
      <c r="A19" s="23" t="s">
        <v>897</v>
      </c>
      <c r="B19" s="23" t="s">
        <v>368</v>
      </c>
      <c r="C19" s="23" t="s">
        <v>369</v>
      </c>
      <c r="D19" s="23" t="str">
        <f>"0,5642"</f>
        <v>0,5642</v>
      </c>
      <c r="E19" s="23" t="s">
        <v>33</v>
      </c>
      <c r="F19" s="23" t="s">
        <v>34</v>
      </c>
      <c r="G19" s="25" t="s">
        <v>360</v>
      </c>
      <c r="H19" s="24" t="s">
        <v>360</v>
      </c>
      <c r="I19" s="24" t="s">
        <v>898</v>
      </c>
      <c r="J19" s="25"/>
      <c r="K19" s="23" t="str">
        <f>"232,5"</f>
        <v>232,5</v>
      </c>
      <c r="L19" s="24" t="str">
        <f>"131,1765"</f>
        <v>131,1765</v>
      </c>
      <c r="M19" s="23" t="s">
        <v>37</v>
      </c>
    </row>
    <row r="20" spans="1:13">
      <c r="A20" s="20" t="s">
        <v>899</v>
      </c>
      <c r="B20" s="20" t="s">
        <v>900</v>
      </c>
      <c r="C20" s="20" t="s">
        <v>896</v>
      </c>
      <c r="D20" s="20" t="str">
        <f>"0,5694"</f>
        <v>0,5694</v>
      </c>
      <c r="E20" s="20" t="s">
        <v>33</v>
      </c>
      <c r="F20" s="20" t="s">
        <v>753</v>
      </c>
      <c r="G20" s="21" t="s">
        <v>704</v>
      </c>
      <c r="H20" s="21" t="s">
        <v>704</v>
      </c>
      <c r="I20" s="22" t="s">
        <v>704</v>
      </c>
      <c r="J20" s="21"/>
      <c r="K20" s="20" t="str">
        <f>"202,5"</f>
        <v>202,5</v>
      </c>
      <c r="L20" s="22" t="str">
        <f>"115,3035"</f>
        <v>115,3035</v>
      </c>
      <c r="M20" s="20" t="s">
        <v>37</v>
      </c>
    </row>
    <row r="22" spans="1:13" ht="15">
      <c r="A22" s="39" t="s">
        <v>29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1:13">
      <c r="A23" s="17" t="s">
        <v>901</v>
      </c>
      <c r="B23" s="17" t="s">
        <v>902</v>
      </c>
      <c r="C23" s="17" t="s">
        <v>903</v>
      </c>
      <c r="D23" s="17" t="str">
        <f>"0,5402"</f>
        <v>0,5402</v>
      </c>
      <c r="E23" s="17" t="s">
        <v>33</v>
      </c>
      <c r="F23" s="17" t="s">
        <v>904</v>
      </c>
      <c r="G23" s="18" t="s">
        <v>195</v>
      </c>
      <c r="H23" s="18" t="s">
        <v>196</v>
      </c>
      <c r="I23" s="18" t="s">
        <v>196</v>
      </c>
      <c r="J23" s="18"/>
      <c r="K23" s="17" t="str">
        <f>"0,0"</f>
        <v>0,0</v>
      </c>
      <c r="L23" s="19" t="str">
        <f>"0,0000"</f>
        <v>0,0000</v>
      </c>
      <c r="M23" s="17" t="s">
        <v>905</v>
      </c>
    </row>
    <row r="24" spans="1:13">
      <c r="A24" s="23" t="s">
        <v>580</v>
      </c>
      <c r="B24" s="23" t="s">
        <v>581</v>
      </c>
      <c r="C24" s="23" t="s">
        <v>582</v>
      </c>
      <c r="D24" s="23" t="str">
        <f>"0,5381"</f>
        <v>0,5381</v>
      </c>
      <c r="E24" s="23" t="s">
        <v>33</v>
      </c>
      <c r="F24" s="23" t="s">
        <v>34</v>
      </c>
      <c r="G24" s="24" t="s">
        <v>26</v>
      </c>
      <c r="H24" s="24" t="s">
        <v>101</v>
      </c>
      <c r="I24" s="24" t="s">
        <v>343</v>
      </c>
      <c r="J24" s="25"/>
      <c r="K24" s="23" t="str">
        <f>"210,0"</f>
        <v>210,0</v>
      </c>
      <c r="L24" s="24" t="str">
        <f>"114,0180"</f>
        <v>114,0180</v>
      </c>
      <c r="M24" s="23" t="s">
        <v>37</v>
      </c>
    </row>
    <row r="25" spans="1:13">
      <c r="A25" s="20" t="s">
        <v>901</v>
      </c>
      <c r="B25" s="20" t="s">
        <v>906</v>
      </c>
      <c r="C25" s="20" t="s">
        <v>903</v>
      </c>
      <c r="D25" s="20" t="str">
        <f>"0,5402"</f>
        <v>0,5402</v>
      </c>
      <c r="E25" s="20" t="s">
        <v>33</v>
      </c>
      <c r="F25" s="20" t="s">
        <v>904</v>
      </c>
      <c r="G25" s="21" t="s">
        <v>195</v>
      </c>
      <c r="H25" s="21" t="s">
        <v>196</v>
      </c>
      <c r="I25" s="21" t="s">
        <v>196</v>
      </c>
      <c r="J25" s="21"/>
      <c r="K25" s="20" t="str">
        <f>"0,0"</f>
        <v>0,0</v>
      </c>
      <c r="L25" s="22" t="str">
        <f>"0,0000"</f>
        <v>0,0000</v>
      </c>
      <c r="M25" s="20" t="s">
        <v>905</v>
      </c>
    </row>
    <row r="27" spans="1:13" ht="15">
      <c r="A27" s="39" t="s">
        <v>596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1:13">
      <c r="A28" s="17" t="s">
        <v>908</v>
      </c>
      <c r="B28" s="17" t="s">
        <v>909</v>
      </c>
      <c r="C28" s="17" t="s">
        <v>910</v>
      </c>
      <c r="D28" s="17" t="str">
        <f>"0,4853"</f>
        <v>0,4853</v>
      </c>
      <c r="E28" s="17" t="s">
        <v>33</v>
      </c>
      <c r="F28" s="17" t="s">
        <v>34</v>
      </c>
      <c r="G28" s="19" t="s">
        <v>195</v>
      </c>
      <c r="H28" s="19" t="s">
        <v>911</v>
      </c>
      <c r="I28" s="18"/>
      <c r="J28" s="18"/>
      <c r="K28" s="17" t="str">
        <f>"282,5"</f>
        <v>282,5</v>
      </c>
      <c r="L28" s="19" t="str">
        <f>"145,3231"</f>
        <v>145,3231</v>
      </c>
      <c r="M28" s="17" t="s">
        <v>37</v>
      </c>
    </row>
    <row r="29" spans="1:13">
      <c r="A29" s="20" t="s">
        <v>908</v>
      </c>
      <c r="B29" s="20" t="s">
        <v>912</v>
      </c>
      <c r="C29" s="20" t="s">
        <v>910</v>
      </c>
      <c r="D29" s="20" t="str">
        <f>"0,4853"</f>
        <v>0,4853</v>
      </c>
      <c r="E29" s="20" t="s">
        <v>33</v>
      </c>
      <c r="F29" s="20" t="s">
        <v>34</v>
      </c>
      <c r="G29" s="22" t="s">
        <v>195</v>
      </c>
      <c r="H29" s="22" t="s">
        <v>911</v>
      </c>
      <c r="I29" s="21"/>
      <c r="J29" s="21"/>
      <c r="K29" s="20" t="str">
        <f>"282,5"</f>
        <v>282,5</v>
      </c>
      <c r="L29" s="22" t="str">
        <f>"137,0973"</f>
        <v>137,0973</v>
      </c>
      <c r="M29" s="20" t="s">
        <v>37</v>
      </c>
    </row>
    <row r="31" spans="1:13" ht="15">
      <c r="E31" s="9" t="s">
        <v>38</v>
      </c>
    </row>
    <row r="32" spans="1:13" ht="15">
      <c r="E32" s="9" t="s">
        <v>39</v>
      </c>
    </row>
    <row r="33" spans="1:5" ht="15">
      <c r="E33" s="9" t="s">
        <v>40</v>
      </c>
    </row>
    <row r="34" spans="1:5" ht="15">
      <c r="E34" s="9" t="s">
        <v>41</v>
      </c>
    </row>
    <row r="35" spans="1:5" ht="15">
      <c r="E35" s="9" t="s">
        <v>41</v>
      </c>
    </row>
    <row r="36" spans="1:5" ht="15">
      <c r="E36" s="9" t="s">
        <v>42</v>
      </c>
    </row>
    <row r="37" spans="1:5" ht="15">
      <c r="E37" s="9"/>
    </row>
    <row r="39" spans="1:5" ht="18">
      <c r="A39" s="10" t="s">
        <v>43</v>
      </c>
      <c r="B39" s="10"/>
    </row>
    <row r="40" spans="1:5" ht="15">
      <c r="A40" s="11" t="s">
        <v>103</v>
      </c>
      <c r="B40" s="11"/>
    </row>
    <row r="41" spans="1:5" ht="14.25">
      <c r="A41" s="13"/>
      <c r="B41" s="14" t="s">
        <v>104</v>
      </c>
    </row>
    <row r="42" spans="1:5" ht="15">
      <c r="A42" s="15" t="s">
        <v>46</v>
      </c>
      <c r="B42" s="15" t="s">
        <v>47</v>
      </c>
      <c r="C42" s="15" t="s">
        <v>48</v>
      </c>
      <c r="D42" s="15" t="s">
        <v>49</v>
      </c>
      <c r="E42" s="15" t="s">
        <v>50</v>
      </c>
    </row>
    <row r="43" spans="1:5">
      <c r="A43" s="12" t="s">
        <v>873</v>
      </c>
      <c r="B43" s="5" t="s">
        <v>104</v>
      </c>
      <c r="C43" s="5" t="s">
        <v>302</v>
      </c>
      <c r="D43" s="5" t="s">
        <v>52</v>
      </c>
      <c r="E43" s="16" t="s">
        <v>913</v>
      </c>
    </row>
    <row r="44" spans="1:5">
      <c r="A44" s="12" t="s">
        <v>876</v>
      </c>
      <c r="B44" s="5" t="s">
        <v>104</v>
      </c>
      <c r="C44" s="5" t="s">
        <v>302</v>
      </c>
      <c r="D44" s="5" t="s">
        <v>109</v>
      </c>
      <c r="E44" s="16" t="s">
        <v>914</v>
      </c>
    </row>
    <row r="45" spans="1:5">
      <c r="A45" s="12" t="s">
        <v>879</v>
      </c>
      <c r="B45" s="5" t="s">
        <v>104</v>
      </c>
      <c r="C45" s="5" t="s">
        <v>302</v>
      </c>
      <c r="D45" s="5" t="s">
        <v>205</v>
      </c>
      <c r="E45" s="16" t="s">
        <v>915</v>
      </c>
    </row>
    <row r="48" spans="1:5" ht="15">
      <c r="A48" s="11" t="s">
        <v>44</v>
      </c>
      <c r="B48" s="11"/>
    </row>
    <row r="49" spans="1:5" ht="14.25">
      <c r="A49" s="13"/>
      <c r="B49" s="14" t="s">
        <v>147</v>
      </c>
    </row>
    <row r="50" spans="1:5" ht="15">
      <c r="A50" s="15" t="s">
        <v>46</v>
      </c>
      <c r="B50" s="15" t="s">
        <v>47</v>
      </c>
      <c r="C50" s="15" t="s">
        <v>48</v>
      </c>
      <c r="D50" s="15" t="s">
        <v>49</v>
      </c>
      <c r="E50" s="15" t="s">
        <v>50</v>
      </c>
    </row>
    <row r="51" spans="1:5">
      <c r="A51" s="12" t="s">
        <v>907</v>
      </c>
      <c r="B51" s="5" t="s">
        <v>375</v>
      </c>
      <c r="C51" s="5" t="s">
        <v>93</v>
      </c>
      <c r="D51" s="5" t="s">
        <v>911</v>
      </c>
      <c r="E51" s="16" t="s">
        <v>916</v>
      </c>
    </row>
    <row r="53" spans="1:5" ht="14.25">
      <c r="A53" s="13"/>
      <c r="B53" s="14" t="s">
        <v>107</v>
      </c>
    </row>
    <row r="54" spans="1:5" ht="15">
      <c r="A54" s="15" t="s">
        <v>46</v>
      </c>
      <c r="B54" s="15" t="s">
        <v>47</v>
      </c>
      <c r="C54" s="15" t="s">
        <v>48</v>
      </c>
      <c r="D54" s="15" t="s">
        <v>49</v>
      </c>
      <c r="E54" s="15" t="s">
        <v>50</v>
      </c>
    </row>
    <row r="55" spans="1:5">
      <c r="A55" s="12" t="s">
        <v>893</v>
      </c>
      <c r="B55" s="5" t="s">
        <v>108</v>
      </c>
      <c r="C55" s="5" t="s">
        <v>187</v>
      </c>
      <c r="D55" s="5" t="s">
        <v>704</v>
      </c>
      <c r="E55" s="16" t="s">
        <v>917</v>
      </c>
    </row>
    <row r="57" spans="1:5" ht="14.25">
      <c r="A57" s="13"/>
      <c r="B57" s="14" t="s">
        <v>104</v>
      </c>
    </row>
    <row r="58" spans="1:5" ht="15">
      <c r="A58" s="15" t="s">
        <v>46</v>
      </c>
      <c r="B58" s="15" t="s">
        <v>47</v>
      </c>
      <c r="C58" s="15" t="s">
        <v>48</v>
      </c>
      <c r="D58" s="15" t="s">
        <v>49</v>
      </c>
      <c r="E58" s="15" t="s">
        <v>50</v>
      </c>
    </row>
    <row r="59" spans="1:5">
      <c r="A59" s="12" t="s">
        <v>907</v>
      </c>
      <c r="B59" s="5" t="s">
        <v>104</v>
      </c>
      <c r="C59" s="5" t="s">
        <v>93</v>
      </c>
      <c r="D59" s="5" t="s">
        <v>911</v>
      </c>
      <c r="E59" s="16" t="s">
        <v>918</v>
      </c>
    </row>
    <row r="60" spans="1:5">
      <c r="A60" s="12" t="s">
        <v>366</v>
      </c>
      <c r="B60" s="5" t="s">
        <v>104</v>
      </c>
      <c r="C60" s="5" t="s">
        <v>187</v>
      </c>
      <c r="D60" s="5" t="s">
        <v>898</v>
      </c>
      <c r="E60" s="16" t="s">
        <v>919</v>
      </c>
    </row>
    <row r="61" spans="1:5">
      <c r="A61" s="12" t="s">
        <v>503</v>
      </c>
      <c r="B61" s="5" t="s">
        <v>104</v>
      </c>
      <c r="C61" s="5" t="s">
        <v>52</v>
      </c>
      <c r="D61" s="5" t="s">
        <v>704</v>
      </c>
      <c r="E61" s="16" t="s">
        <v>920</v>
      </c>
    </row>
    <row r="62" spans="1:5">
      <c r="A62" s="12" t="s">
        <v>893</v>
      </c>
      <c r="B62" s="5" t="s">
        <v>104</v>
      </c>
      <c r="C62" s="5" t="s">
        <v>187</v>
      </c>
      <c r="D62" s="5" t="s">
        <v>704</v>
      </c>
      <c r="E62" s="16" t="s">
        <v>921</v>
      </c>
    </row>
    <row r="63" spans="1:5">
      <c r="A63" s="12" t="s">
        <v>890</v>
      </c>
      <c r="B63" s="5" t="s">
        <v>104</v>
      </c>
      <c r="C63" s="5" t="s">
        <v>52</v>
      </c>
      <c r="D63" s="5" t="s">
        <v>94</v>
      </c>
      <c r="E63" s="16" t="s">
        <v>922</v>
      </c>
    </row>
    <row r="64" spans="1:5">
      <c r="A64" s="12" t="s">
        <v>885</v>
      </c>
      <c r="B64" s="5" t="s">
        <v>104</v>
      </c>
      <c r="C64" s="5" t="s">
        <v>109</v>
      </c>
      <c r="D64" s="5" t="s">
        <v>137</v>
      </c>
      <c r="E64" s="16" t="s">
        <v>923</v>
      </c>
    </row>
    <row r="66" spans="1:5" ht="14.25">
      <c r="A66" s="13"/>
      <c r="B66" s="14" t="s">
        <v>45</v>
      </c>
    </row>
    <row r="67" spans="1:5" ht="15">
      <c r="A67" s="15" t="s">
        <v>46</v>
      </c>
      <c r="B67" s="15" t="s">
        <v>47</v>
      </c>
      <c r="C67" s="15" t="s">
        <v>48</v>
      </c>
      <c r="D67" s="15" t="s">
        <v>49</v>
      </c>
      <c r="E67" s="15" t="s">
        <v>50</v>
      </c>
    </row>
    <row r="68" spans="1:5">
      <c r="A68" s="12" t="s">
        <v>579</v>
      </c>
      <c r="B68" s="5" t="s">
        <v>384</v>
      </c>
      <c r="C68" s="5" t="s">
        <v>115</v>
      </c>
      <c r="D68" s="5" t="s">
        <v>343</v>
      </c>
      <c r="E68" s="16" t="s">
        <v>924</v>
      </c>
    </row>
  </sheetData>
  <mergeCells count="17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27:L27"/>
    <mergeCell ref="A10:L10"/>
    <mergeCell ref="A13:L13"/>
    <mergeCell ref="A17:L17"/>
    <mergeCell ref="A22:L22"/>
    <mergeCell ref="K3:K4"/>
    <mergeCell ref="L3:L4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38" t="s">
        <v>871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26" t="s">
        <v>5</v>
      </c>
    </row>
    <row r="4" spans="1:21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6"/>
      <c r="T4" s="36"/>
      <c r="U4" s="27"/>
    </row>
    <row r="6" spans="1:21" ht="15">
      <c r="E6" s="9" t="s">
        <v>38</v>
      </c>
    </row>
    <row r="7" spans="1:21" ht="15">
      <c r="E7" s="9" t="s">
        <v>39</v>
      </c>
    </row>
    <row r="8" spans="1:21" ht="15">
      <c r="E8" s="9" t="s">
        <v>40</v>
      </c>
    </row>
    <row r="9" spans="1:21" ht="15">
      <c r="E9" s="9" t="s">
        <v>41</v>
      </c>
    </row>
    <row r="10" spans="1:21" ht="15">
      <c r="E10" s="9" t="s">
        <v>41</v>
      </c>
    </row>
    <row r="11" spans="1:21" ht="15">
      <c r="E11" s="9" t="s">
        <v>42</v>
      </c>
    </row>
    <row r="12" spans="1:21" ht="15">
      <c r="E12" s="9"/>
    </row>
    <row r="14" spans="1:21" ht="18">
      <c r="A14" s="10" t="s">
        <v>43</v>
      </c>
      <c r="B14" s="10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870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869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868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/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6" spans="1:13" ht="15">
      <c r="E6" s="9" t="s">
        <v>38</v>
      </c>
    </row>
    <row r="7" spans="1:13" ht="15">
      <c r="E7" s="9" t="s">
        <v>39</v>
      </c>
    </row>
    <row r="8" spans="1:13" ht="15">
      <c r="E8" s="9" t="s">
        <v>40</v>
      </c>
    </row>
    <row r="9" spans="1:13" ht="15">
      <c r="E9" s="9" t="s">
        <v>41</v>
      </c>
    </row>
    <row r="10" spans="1:13" ht="15">
      <c r="E10" s="9" t="s">
        <v>41</v>
      </c>
    </row>
    <row r="11" spans="1:13" ht="15">
      <c r="E11" s="9" t="s">
        <v>42</v>
      </c>
    </row>
    <row r="12" spans="1:13" ht="15">
      <c r="E12" s="9"/>
    </row>
    <row r="14" spans="1:13" ht="18">
      <c r="A14" s="10" t="s">
        <v>43</v>
      </c>
      <c r="B14" s="10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4.5703125" style="4" bestFit="1" customWidth="1"/>
    <col min="10" max="10" width="4.85546875" style="4" bestFit="1" customWidth="1"/>
    <col min="11" max="11" width="7.85546875" style="5" bestFit="1" customWidth="1"/>
    <col min="12" max="12" width="7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38" t="s">
        <v>861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3" customFormat="1" ht="62.1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9</v>
      </c>
      <c r="C3" s="35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119</v>
      </c>
      <c r="L3" s="37" t="s">
        <v>6</v>
      </c>
      <c r="M3" s="26" t="s">
        <v>5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2">
        <v>1</v>
      </c>
      <c r="H4" s="2">
        <v>2</v>
      </c>
      <c r="I4" s="2">
        <v>3</v>
      </c>
      <c r="J4" s="2" t="s">
        <v>8</v>
      </c>
      <c r="K4" s="36"/>
      <c r="L4" s="36"/>
      <c r="M4" s="27"/>
    </row>
    <row r="5" spans="1:13" ht="15">
      <c r="A5" s="41" t="s">
        <v>56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>
      <c r="A6" s="6" t="s">
        <v>863</v>
      </c>
      <c r="B6" s="6" t="s">
        <v>864</v>
      </c>
      <c r="C6" s="6" t="s">
        <v>865</v>
      </c>
      <c r="D6" s="6" t="str">
        <f>"0,9355"</f>
        <v>0,9355</v>
      </c>
      <c r="E6" s="6" t="s">
        <v>33</v>
      </c>
      <c r="F6" s="6" t="s">
        <v>34</v>
      </c>
      <c r="G6" s="8" t="s">
        <v>149</v>
      </c>
      <c r="H6" s="7" t="s">
        <v>149</v>
      </c>
      <c r="I6" s="7" t="s">
        <v>866</v>
      </c>
      <c r="J6" s="8"/>
      <c r="K6" s="6" t="str">
        <f>"72,5"</f>
        <v>72,5</v>
      </c>
      <c r="L6" s="7" t="str">
        <f>"68,5020"</f>
        <v>68,5020</v>
      </c>
      <c r="M6" s="6" t="s">
        <v>37</v>
      </c>
    </row>
    <row r="8" spans="1:13" ht="15">
      <c r="E8" s="9" t="s">
        <v>38</v>
      </c>
    </row>
    <row r="9" spans="1:13" ht="15">
      <c r="E9" s="9" t="s">
        <v>39</v>
      </c>
    </row>
    <row r="10" spans="1:13" ht="15">
      <c r="E10" s="9" t="s">
        <v>40</v>
      </c>
    </row>
    <row r="11" spans="1:13" ht="15">
      <c r="E11" s="9" t="s">
        <v>41</v>
      </c>
    </row>
    <row r="12" spans="1:13" ht="15">
      <c r="E12" s="9" t="s">
        <v>41</v>
      </c>
    </row>
    <row r="13" spans="1:13" ht="15">
      <c r="E13" s="9" t="s">
        <v>42</v>
      </c>
    </row>
    <row r="14" spans="1:13" ht="15">
      <c r="E14" s="9"/>
    </row>
    <row r="16" spans="1:13" ht="18">
      <c r="A16" s="10" t="s">
        <v>43</v>
      </c>
      <c r="B16" s="10"/>
    </row>
    <row r="17" spans="1:5" ht="15">
      <c r="A17" s="11" t="s">
        <v>103</v>
      </c>
      <c r="B17" s="11"/>
    </row>
    <row r="18" spans="1:5" ht="14.25">
      <c r="A18" s="13"/>
      <c r="B18" s="14" t="s">
        <v>379</v>
      </c>
    </row>
    <row r="19" spans="1:5" ht="15">
      <c r="A19" s="15" t="s">
        <v>46</v>
      </c>
      <c r="B19" s="15" t="s">
        <v>47</v>
      </c>
      <c r="C19" s="15" t="s">
        <v>48</v>
      </c>
      <c r="D19" s="15" t="s">
        <v>49</v>
      </c>
      <c r="E19" s="15" t="s">
        <v>50</v>
      </c>
    </row>
    <row r="20" spans="1:5">
      <c r="A20" s="12" t="s">
        <v>862</v>
      </c>
      <c r="B20" s="5" t="s">
        <v>108</v>
      </c>
      <c r="C20" s="5" t="s">
        <v>105</v>
      </c>
      <c r="D20" s="5" t="s">
        <v>866</v>
      </c>
      <c r="E20" s="16" t="s">
        <v>867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Люб. присед софт экип.</vt:lpstr>
      <vt:lpstr>Люб. тяга софт экип.</vt:lpstr>
      <vt:lpstr>Люб. присед мн.слой</vt:lpstr>
      <vt:lpstr>Люб. жим софт экип.</vt:lpstr>
      <vt:lpstr>Люб. ПЛ. софт экип.</vt:lpstr>
      <vt:lpstr>Люб. присед 1.слой</vt:lpstr>
      <vt:lpstr>Люб. тяга мн.слой</vt:lpstr>
      <vt:lpstr>Люб. тяга 1.слой</vt:lpstr>
      <vt:lpstr>Люб. присед б.э.</vt:lpstr>
      <vt:lpstr>Люб. жим мн.слой</vt:lpstr>
      <vt:lpstr>Люб. ПЛ. мн.слой</vt:lpstr>
      <vt:lpstr>Люб. жим 1.слой</vt:lpstr>
      <vt:lpstr>Люб. ПЛ. 1.слой</vt:lpstr>
      <vt:lpstr>Люб. тяга б.э.</vt:lpstr>
      <vt:lpstr>Люб. жим б.э.</vt:lpstr>
      <vt:lpstr>Люб. ПЛ. б.э.</vt:lpstr>
      <vt:lpstr>ПРО присед софт экип.</vt:lpstr>
      <vt:lpstr>ПРО тяга софт экип.</vt:lpstr>
      <vt:lpstr>ПРО присед мн.слой</vt:lpstr>
      <vt:lpstr>ПРО жим софт экип.</vt:lpstr>
      <vt:lpstr>ПРО ПЛ. софт экип.</vt:lpstr>
      <vt:lpstr>ПРО присед 1.слой</vt:lpstr>
      <vt:lpstr>ПРО тяга мн.слой</vt:lpstr>
      <vt:lpstr>ПРО тяга 1.слой</vt:lpstr>
      <vt:lpstr>ПРО присед б.э.</vt:lpstr>
      <vt:lpstr>ПРО жим мн.слой</vt:lpstr>
      <vt:lpstr>ПРО ПЛ. мн.слой</vt:lpstr>
      <vt:lpstr>ПРО жим 1.слой</vt:lpstr>
      <vt:lpstr>ПРО ПЛ. 1.слой</vt:lpstr>
      <vt:lpstr>ПРО тяга б.э.</vt:lpstr>
      <vt:lpstr>ПРО жим б.э.</vt:lpstr>
      <vt:lpstr>ПРО ПЛ. б.э.</vt:lpstr>
      <vt:lpstr>ПРО нж 1_2 вес</vt:lpstr>
      <vt:lpstr>ПРО нж 1 вес</vt:lpstr>
      <vt:lpstr>Люб. нж 1_2 вес</vt:lpstr>
      <vt:lpstr>Люб. нж 1 вес</vt:lpstr>
      <vt:lpstr>Люб. военный жим</vt:lpstr>
      <vt:lpstr>ПРО военный жим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Андрей</cp:lastModifiedBy>
  <cp:lastPrinted>2015-07-16T19:10:53Z</cp:lastPrinted>
  <dcterms:created xsi:type="dcterms:W3CDTF">2002-06-16T13:36:44Z</dcterms:created>
  <dcterms:modified xsi:type="dcterms:W3CDTF">2017-08-08T17:27:48Z</dcterms:modified>
</cp:coreProperties>
</file>