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activeTab="4"/>
  </bookViews>
  <sheets>
    <sheet name="Лист35" sheetId="40" r:id="rId1"/>
    <sheet name="Люб. присед софт экип." sheetId="39" r:id="rId2"/>
    <sheet name="Люб. тяга софт экип." sheetId="38" r:id="rId3"/>
    <sheet name="Люб. присед мн.слой" sheetId="37" r:id="rId4"/>
    <sheet name="Люб. жим софт экип." sheetId="36" r:id="rId5"/>
    <sheet name="Люб. ПЛ. софт экип." sheetId="35" r:id="rId6"/>
    <sheet name="Люб. присед 1.слой" sheetId="34" r:id="rId7"/>
    <sheet name="Люб. тяга мн.слой" sheetId="33" r:id="rId8"/>
    <sheet name="Люб. тяга 1.слой" sheetId="32" r:id="rId9"/>
    <sheet name="Люб. присед б.э." sheetId="31" r:id="rId10"/>
    <sheet name="Люб. жим мн.слой" sheetId="30" r:id="rId11"/>
    <sheet name="Люб. ПЛ. мн.слой" sheetId="29" r:id="rId12"/>
    <sheet name="Люб. Военный жим" sheetId="28" r:id="rId13"/>
    <sheet name="Люб. жим 1.слой" sheetId="27" r:id="rId14"/>
    <sheet name="Люб. ПЛ. 1.слой" sheetId="26" r:id="rId15"/>
    <sheet name="Люб. тяга б.э." sheetId="25" r:id="rId16"/>
    <sheet name="Люб. жим б.э." sheetId="24" r:id="rId17"/>
    <sheet name="Люб. ПЛ. б.э." sheetId="23" r:id="rId18"/>
    <sheet name="Проф. Военный жим" sheetId="22" r:id="rId19"/>
    <sheet name="ПРО жим софт экип. 3сл." sheetId="21" r:id="rId20"/>
    <sheet name="ПРО присед софт экип." sheetId="20" r:id="rId21"/>
    <sheet name="ПРО тяга софт экип." sheetId="19" r:id="rId22"/>
    <sheet name="ПРО присед мн.слой" sheetId="18" r:id="rId23"/>
    <sheet name="ПРО жим софт экип." sheetId="17" r:id="rId24"/>
    <sheet name="ПРО ПЛ. софт экип." sheetId="16" r:id="rId25"/>
    <sheet name="ПРО присед 1.слой" sheetId="15" r:id="rId26"/>
    <sheet name="ПРО тяга мн.слой" sheetId="14" r:id="rId27"/>
    <sheet name="ПРО тяга 1.слой" sheetId="13" r:id="rId28"/>
    <sheet name="ПРО присед б.э." sheetId="12" r:id="rId29"/>
    <sheet name="ПРО жим мн.слой" sheetId="11" r:id="rId30"/>
    <sheet name="ПРО ПЛ. мн.слой" sheetId="10" r:id="rId31"/>
    <sheet name="ПРО жим 1.слой" sheetId="9" r:id="rId32"/>
    <sheet name="ПРО ПЛ. 1.слой" sheetId="8" r:id="rId33"/>
    <sheet name="ПРО тяга б.э." sheetId="7" r:id="rId34"/>
    <sheet name="ПРО жим б.э." sheetId="6" r:id="rId35"/>
    <sheet name="ПРО ПЛ. б.э." sheetId="5" r:id="rId36"/>
    <sheet name="ПРО Нж 1_2 вес" sheetId="41" r:id="rId37"/>
    <sheet name="ПРО Нж 1 вес" sheetId="42" r:id="rId38"/>
    <sheet name="Люб.Нж 1_2 вес" sheetId="43" r:id="rId39"/>
    <sheet name="Люб.Нж 1 вес" sheetId="44" r:id="rId40"/>
    <sheet name="ПРО пауэрспорт" sheetId="45" r:id="rId41"/>
    <sheet name="ПРО Рж 100 кг" sheetId="46" r:id="rId42"/>
    <sheet name="Люб.Рж 75 кг" sheetId="47" r:id="rId43"/>
    <sheet name="Люб.Рж 55 кг" sheetId="48" r:id="rId44"/>
    <sheet name="Люб.Рж 35 кг" sheetId="49" r:id="rId45"/>
  </sheets>
  <definedNames>
    <definedName name="_xlnm._FilterDatabase" localSheetId="35" hidden="1">'ПРО ПЛ. б.э.'!$A$1:$S$3</definedName>
  </definedNames>
  <calcPr calcId="124519" refMode="R1C1"/>
</workbook>
</file>

<file path=xl/calcChain.xml><?xml version="1.0" encoding="utf-8"?>
<calcChain xmlns="http://schemas.openxmlformats.org/spreadsheetml/2006/main">
  <c r="J6" i="49"/>
  <c r="I6"/>
  <c r="D6"/>
  <c r="J7" i="48"/>
  <c r="I7"/>
  <c r="D7"/>
  <c r="J6"/>
  <c r="I6"/>
  <c r="D6"/>
  <c r="J6" i="47"/>
  <c r="I6"/>
  <c r="D6"/>
  <c r="J6" i="46"/>
  <c r="I6"/>
  <c r="D6"/>
  <c r="P9" i="45"/>
  <c r="O9"/>
  <c r="D9"/>
  <c r="P6"/>
  <c r="O6"/>
  <c r="D6"/>
  <c r="J20" i="44"/>
  <c r="I20"/>
  <c r="D20"/>
  <c r="J17"/>
  <c r="I17"/>
  <c r="D17"/>
  <c r="J14"/>
  <c r="I14"/>
  <c r="D14"/>
  <c r="J13"/>
  <c r="I13"/>
  <c r="D13"/>
  <c r="J12"/>
  <c r="I12"/>
  <c r="D12"/>
  <c r="J9"/>
  <c r="I9"/>
  <c r="D9"/>
  <c r="J6"/>
  <c r="I6"/>
  <c r="D6"/>
  <c r="J6" i="43"/>
  <c r="I6"/>
  <c r="D6"/>
  <c r="J16" i="42"/>
  <c r="I16"/>
  <c r="D16"/>
  <c r="J13"/>
  <c r="I13"/>
  <c r="D13"/>
  <c r="J10"/>
  <c r="I10"/>
  <c r="D10"/>
  <c r="J9"/>
  <c r="I9"/>
  <c r="D9"/>
  <c r="J6"/>
  <c r="I6"/>
  <c r="D6"/>
  <c r="J6" i="41"/>
  <c r="I6"/>
  <c r="D6"/>
  <c r="L36" i="36"/>
  <c r="K36"/>
  <c r="D36"/>
  <c r="L33"/>
  <c r="K33"/>
  <c r="D33"/>
  <c r="L32"/>
  <c r="K32"/>
  <c r="D32"/>
  <c r="L31"/>
  <c r="K31"/>
  <c r="D31"/>
  <c r="L28"/>
  <c r="K28"/>
  <c r="D28"/>
  <c r="L27"/>
  <c r="K27"/>
  <c r="D27"/>
  <c r="L24"/>
  <c r="K24"/>
  <c r="D24"/>
  <c r="L23"/>
  <c r="K23"/>
  <c r="D23"/>
  <c r="L22"/>
  <c r="K22"/>
  <c r="D22"/>
  <c r="L19"/>
  <c r="K19"/>
  <c r="D19"/>
  <c r="L18"/>
  <c r="K18"/>
  <c r="D18"/>
  <c r="L15"/>
  <c r="K15"/>
  <c r="D15"/>
  <c r="L14"/>
  <c r="K14"/>
  <c r="D14"/>
  <c r="L11"/>
  <c r="K11"/>
  <c r="D11"/>
  <c r="L10"/>
  <c r="K10"/>
  <c r="D10"/>
  <c r="L7"/>
  <c r="K7"/>
  <c r="D7"/>
  <c r="L6"/>
  <c r="K6"/>
  <c r="D6"/>
  <c r="T9" i="35"/>
  <c r="S9"/>
  <c r="D9"/>
  <c r="T6"/>
  <c r="S6"/>
  <c r="D6"/>
  <c r="L9" i="32"/>
  <c r="K9"/>
  <c r="D9"/>
  <c r="L6"/>
  <c r="K6"/>
  <c r="D6"/>
  <c r="L26" i="31"/>
  <c r="K26"/>
  <c r="D26"/>
  <c r="L23"/>
  <c r="K23"/>
  <c r="D23"/>
  <c r="L20"/>
  <c r="K20"/>
  <c r="D20"/>
  <c r="L17"/>
  <c r="K17"/>
  <c r="D17"/>
  <c r="L16"/>
  <c r="K16"/>
  <c r="D16"/>
  <c r="L13"/>
  <c r="K13"/>
  <c r="D13"/>
  <c r="L10"/>
  <c r="K10"/>
  <c r="D10"/>
  <c r="L7"/>
  <c r="K7"/>
  <c r="D7"/>
  <c r="L6"/>
  <c r="K6"/>
  <c r="D6"/>
  <c r="L6" i="27"/>
  <c r="K6"/>
  <c r="D6"/>
  <c r="L90" i="25"/>
  <c r="K90"/>
  <c r="D90"/>
  <c r="L89"/>
  <c r="K89"/>
  <c r="D89"/>
  <c r="L86"/>
  <c r="K86"/>
  <c r="D86"/>
  <c r="L83"/>
  <c r="K83"/>
  <c r="D83"/>
  <c r="L82"/>
  <c r="K82"/>
  <c r="D82"/>
  <c r="L81"/>
  <c r="K81"/>
  <c r="D81"/>
  <c r="L80"/>
  <c r="K80"/>
  <c r="D80"/>
  <c r="L79"/>
  <c r="K79"/>
  <c r="D79"/>
  <c r="L78"/>
  <c r="K78"/>
  <c r="D78"/>
  <c r="L77"/>
  <c r="K77"/>
  <c r="D77"/>
  <c r="L76"/>
  <c r="K76"/>
  <c r="D76"/>
  <c r="L73"/>
  <c r="K73"/>
  <c r="D73"/>
  <c r="L72"/>
  <c r="K72"/>
  <c r="D72"/>
  <c r="L71"/>
  <c r="K71"/>
  <c r="D71"/>
  <c r="L70"/>
  <c r="K70"/>
  <c r="D70"/>
  <c r="L67"/>
  <c r="K67"/>
  <c r="D67"/>
  <c r="L66"/>
  <c r="K66"/>
  <c r="D66"/>
  <c r="L65"/>
  <c r="K65"/>
  <c r="D65"/>
  <c r="L64"/>
  <c r="K64"/>
  <c r="D64"/>
  <c r="L63"/>
  <c r="K63"/>
  <c r="D63"/>
  <c r="L62"/>
  <c r="K62"/>
  <c r="D62"/>
  <c r="L61"/>
  <c r="K61"/>
  <c r="D61"/>
  <c r="L60"/>
  <c r="K60"/>
  <c r="D60"/>
  <c r="L59"/>
  <c r="K59"/>
  <c r="D59"/>
  <c r="L58"/>
  <c r="K58"/>
  <c r="D58"/>
  <c r="L55"/>
  <c r="K55"/>
  <c r="D55"/>
  <c r="L54"/>
  <c r="K54"/>
  <c r="D54"/>
  <c r="L53"/>
  <c r="K53"/>
  <c r="D53"/>
  <c r="L52"/>
  <c r="K52"/>
  <c r="D52"/>
  <c r="L51"/>
  <c r="K51"/>
  <c r="D51"/>
  <c r="L50"/>
  <c r="K50"/>
  <c r="D50"/>
  <c r="L49"/>
  <c r="K49"/>
  <c r="D49"/>
  <c r="L48"/>
  <c r="K48"/>
  <c r="D48"/>
  <c r="L47"/>
  <c r="K47"/>
  <c r="D47"/>
  <c r="L46"/>
  <c r="K46"/>
  <c r="D46"/>
  <c r="L45"/>
  <c r="K45"/>
  <c r="D45"/>
  <c r="L44"/>
  <c r="K44"/>
  <c r="D44"/>
  <c r="L43"/>
  <c r="K43"/>
  <c r="D43"/>
  <c r="L40"/>
  <c r="K40"/>
  <c r="D40"/>
  <c r="L39"/>
  <c r="K39"/>
  <c r="D39"/>
  <c r="L38"/>
  <c r="K38"/>
  <c r="D38"/>
  <c r="L37"/>
  <c r="K37"/>
  <c r="D37"/>
  <c r="L34"/>
  <c r="K34"/>
  <c r="D34"/>
  <c r="L31"/>
  <c r="K31"/>
  <c r="D31"/>
  <c r="L28"/>
  <c r="K28"/>
  <c r="D28"/>
  <c r="L25"/>
  <c r="K25"/>
  <c r="D25"/>
  <c r="L24"/>
  <c r="K24"/>
  <c r="D24"/>
  <c r="L23"/>
  <c r="K23"/>
  <c r="D23"/>
  <c r="L22"/>
  <c r="K22"/>
  <c r="D22"/>
  <c r="L21"/>
  <c r="K21"/>
  <c r="D21"/>
  <c r="L18"/>
  <c r="K18"/>
  <c r="D18"/>
  <c r="L17"/>
  <c r="K17"/>
  <c r="D17"/>
  <c r="L14"/>
  <c r="K14"/>
  <c r="D14"/>
  <c r="L13"/>
  <c r="K13"/>
  <c r="D13"/>
  <c r="L12"/>
  <c r="K12"/>
  <c r="D12"/>
  <c r="L11"/>
  <c r="K11"/>
  <c r="D11"/>
  <c r="L10"/>
  <c r="K10"/>
  <c r="D10"/>
  <c r="L7"/>
  <c r="K7"/>
  <c r="D7"/>
  <c r="L6"/>
  <c r="K6"/>
  <c r="D6"/>
  <c r="L93" i="24"/>
  <c r="K93"/>
  <c r="D93"/>
  <c r="L92"/>
  <c r="K92"/>
  <c r="D92"/>
  <c r="L91"/>
  <c r="K91"/>
  <c r="D91"/>
  <c r="L90"/>
  <c r="K90"/>
  <c r="D90"/>
  <c r="L89"/>
  <c r="K89"/>
  <c r="D89"/>
  <c r="L86"/>
  <c r="K86"/>
  <c r="D86"/>
  <c r="L85"/>
  <c r="K85"/>
  <c r="D85"/>
  <c r="L84"/>
  <c r="K84"/>
  <c r="D84"/>
  <c r="L81"/>
  <c r="K81"/>
  <c r="D81"/>
  <c r="L80"/>
  <c r="K80"/>
  <c r="D80"/>
  <c r="L79"/>
  <c r="K79"/>
  <c r="D79"/>
  <c r="L78"/>
  <c r="K78"/>
  <c r="D78"/>
  <c r="L77"/>
  <c r="K77"/>
  <c r="D77"/>
  <c r="L76"/>
  <c r="K76"/>
  <c r="D76"/>
  <c r="L75"/>
  <c r="K75"/>
  <c r="D75"/>
  <c r="L74"/>
  <c r="K74"/>
  <c r="D74"/>
  <c r="L73"/>
  <c r="K73"/>
  <c r="D73"/>
  <c r="L70"/>
  <c r="K70"/>
  <c r="D70"/>
  <c r="L69"/>
  <c r="K69"/>
  <c r="D69"/>
  <c r="L68"/>
  <c r="K68"/>
  <c r="D68"/>
  <c r="L67"/>
  <c r="K67"/>
  <c r="D67"/>
  <c r="L66"/>
  <c r="K66"/>
  <c r="D66"/>
  <c r="L65"/>
  <c r="K65"/>
  <c r="D65"/>
  <c r="L64"/>
  <c r="K64"/>
  <c r="D64"/>
  <c r="L63"/>
  <c r="K63"/>
  <c r="D63"/>
  <c r="L62"/>
  <c r="K62"/>
  <c r="D62"/>
  <c r="L61"/>
  <c r="K61"/>
  <c r="D61"/>
  <c r="L58"/>
  <c r="K58"/>
  <c r="D58"/>
  <c r="L57"/>
  <c r="K57"/>
  <c r="D57"/>
  <c r="L56"/>
  <c r="K56"/>
  <c r="D56"/>
  <c r="L55"/>
  <c r="K55"/>
  <c r="D55"/>
  <c r="L52"/>
  <c r="K52"/>
  <c r="D52"/>
  <c r="L51"/>
  <c r="K51"/>
  <c r="D51"/>
  <c r="L50"/>
  <c r="K50"/>
  <c r="D50"/>
  <c r="L49"/>
  <c r="K49"/>
  <c r="D49"/>
  <c r="L48"/>
  <c r="K48"/>
  <c r="D48"/>
  <c r="L47"/>
  <c r="K47"/>
  <c r="D47"/>
  <c r="L46"/>
  <c r="K46"/>
  <c r="D46"/>
  <c r="L45"/>
  <c r="K45"/>
  <c r="D45"/>
  <c r="L44"/>
  <c r="K44"/>
  <c r="D44"/>
  <c r="L43"/>
  <c r="K43"/>
  <c r="D43"/>
  <c r="L40"/>
  <c r="K40"/>
  <c r="D40"/>
  <c r="L39"/>
  <c r="K39"/>
  <c r="D39"/>
  <c r="L38"/>
  <c r="K38"/>
  <c r="D38"/>
  <c r="L35"/>
  <c r="K35"/>
  <c r="D35"/>
  <c r="L34"/>
  <c r="K34"/>
  <c r="D34"/>
  <c r="L31"/>
  <c r="K31"/>
  <c r="D31"/>
  <c r="L28"/>
  <c r="K28"/>
  <c r="D28"/>
  <c r="L25"/>
  <c r="K25"/>
  <c r="D25"/>
  <c r="L22"/>
  <c r="K22"/>
  <c r="D22"/>
  <c r="L21"/>
  <c r="K21"/>
  <c r="D21"/>
  <c r="L20"/>
  <c r="K20"/>
  <c r="D20"/>
  <c r="L17"/>
  <c r="K17"/>
  <c r="D17"/>
  <c r="L16"/>
  <c r="K16"/>
  <c r="D16"/>
  <c r="L15"/>
  <c r="K15"/>
  <c r="D15"/>
  <c r="L12"/>
  <c r="K12"/>
  <c r="D12"/>
  <c r="L11"/>
  <c r="K11"/>
  <c r="D11"/>
  <c r="L10"/>
  <c r="K10"/>
  <c r="D10"/>
  <c r="L7"/>
  <c r="K7"/>
  <c r="D7"/>
  <c r="L6"/>
  <c r="K6"/>
  <c r="D6"/>
  <c r="T73" i="23"/>
  <c r="S73"/>
  <c r="D73"/>
  <c r="T72"/>
  <c r="S72"/>
  <c r="D72"/>
  <c r="T69"/>
  <c r="S69"/>
  <c r="D69"/>
  <c r="T68"/>
  <c r="S68"/>
  <c r="D68"/>
  <c r="T67"/>
  <c r="S67"/>
  <c r="D67"/>
  <c r="T66"/>
  <c r="S66"/>
  <c r="D66"/>
  <c r="T65"/>
  <c r="S65"/>
  <c r="D65"/>
  <c r="T62"/>
  <c r="S62"/>
  <c r="D62"/>
  <c r="T61"/>
  <c r="S61"/>
  <c r="D61"/>
  <c r="T60"/>
  <c r="S60"/>
  <c r="D60"/>
  <c r="T59"/>
  <c r="S59"/>
  <c r="D59"/>
  <c r="T56"/>
  <c r="S56"/>
  <c r="D56"/>
  <c r="T53"/>
  <c r="S53"/>
  <c r="D53"/>
  <c r="T52"/>
  <c r="S52"/>
  <c r="D52"/>
  <c r="T51"/>
  <c r="S51"/>
  <c r="D51"/>
  <c r="T50"/>
  <c r="S50"/>
  <c r="D50"/>
  <c r="T49"/>
  <c r="S49"/>
  <c r="D49"/>
  <c r="T48"/>
  <c r="S48"/>
  <c r="D48"/>
  <c r="T47"/>
  <c r="S47"/>
  <c r="D47"/>
  <c r="T46"/>
  <c r="S46"/>
  <c r="D46"/>
  <c r="T45"/>
  <c r="S45"/>
  <c r="D45"/>
  <c r="T44"/>
  <c r="S44"/>
  <c r="D44"/>
  <c r="T41"/>
  <c r="S41"/>
  <c r="D41"/>
  <c r="T38"/>
  <c r="S38"/>
  <c r="D38"/>
  <c r="T37"/>
  <c r="S37"/>
  <c r="D37"/>
  <c r="T34"/>
  <c r="S34"/>
  <c r="D34"/>
  <c r="T31"/>
  <c r="S31"/>
  <c r="D31"/>
  <c r="T28"/>
  <c r="S28"/>
  <c r="D28"/>
  <c r="T25"/>
  <c r="S25"/>
  <c r="D25"/>
  <c r="T24"/>
  <c r="S24"/>
  <c r="D24"/>
  <c r="T23"/>
  <c r="S23"/>
  <c r="D23"/>
  <c r="T20"/>
  <c r="S20"/>
  <c r="D20"/>
  <c r="T17"/>
  <c r="S17"/>
  <c r="D17"/>
  <c r="T16"/>
  <c r="S16"/>
  <c r="D16"/>
  <c r="T13"/>
  <c r="S13"/>
  <c r="D13"/>
  <c r="T12"/>
  <c r="S12"/>
  <c r="D12"/>
  <c r="T11"/>
  <c r="S11"/>
  <c r="D11"/>
  <c r="T10"/>
  <c r="S10"/>
  <c r="D10"/>
  <c r="T9"/>
  <c r="S9"/>
  <c r="D9"/>
  <c r="T6"/>
  <c r="S6"/>
  <c r="D6"/>
  <c r="D9" i="22"/>
  <c r="D6"/>
  <c r="L18" i="21"/>
  <c r="K18"/>
  <c r="D18"/>
  <c r="L17"/>
  <c r="K17"/>
  <c r="D17"/>
  <c r="L14"/>
  <c r="K14"/>
  <c r="D14"/>
  <c r="L13"/>
  <c r="K13"/>
  <c r="D13"/>
  <c r="L10"/>
  <c r="K10"/>
  <c r="D10"/>
  <c r="L6"/>
  <c r="K6"/>
  <c r="D6"/>
  <c r="L24" i="17"/>
  <c r="K24"/>
  <c r="D24"/>
  <c r="L21"/>
  <c r="K21"/>
  <c r="D21"/>
  <c r="L20"/>
  <c r="K20"/>
  <c r="D20"/>
  <c r="L17"/>
  <c r="K17"/>
  <c r="D17"/>
  <c r="L14"/>
  <c r="K14"/>
  <c r="D14"/>
  <c r="L13"/>
  <c r="K13"/>
  <c r="D13"/>
  <c r="L12"/>
  <c r="K12"/>
  <c r="D12"/>
  <c r="L9"/>
  <c r="K9"/>
  <c r="D9"/>
  <c r="L6"/>
  <c r="K6"/>
  <c r="D6"/>
  <c r="T13" i="16"/>
  <c r="S13"/>
  <c r="D13"/>
  <c r="T10"/>
  <c r="S10"/>
  <c r="D10"/>
  <c r="T9"/>
  <c r="S9"/>
  <c r="D9"/>
  <c r="T6"/>
  <c r="S6"/>
  <c r="D6"/>
  <c r="L9" i="12"/>
  <c r="K9"/>
  <c r="D9"/>
  <c r="L6"/>
  <c r="K6"/>
  <c r="D6"/>
  <c r="L6" i="11"/>
  <c r="K6"/>
  <c r="D6"/>
  <c r="T8" i="10"/>
  <c r="S8"/>
  <c r="D8"/>
  <c r="T7"/>
  <c r="S7"/>
  <c r="D7"/>
  <c r="T6"/>
  <c r="S6"/>
  <c r="D6"/>
  <c r="L9" i="9"/>
  <c r="K9"/>
  <c r="D9"/>
  <c r="L6"/>
  <c r="K6"/>
  <c r="D6"/>
  <c r="L25" i="7"/>
  <c r="K25"/>
  <c r="D25"/>
  <c r="L24"/>
  <c r="K24"/>
  <c r="D24"/>
  <c r="L23"/>
  <c r="K23"/>
  <c r="D23"/>
  <c r="L20"/>
  <c r="K20"/>
  <c r="D20"/>
  <c r="L17"/>
  <c r="K17"/>
  <c r="D17"/>
  <c r="L16"/>
  <c r="K16"/>
  <c r="D16"/>
  <c r="L15"/>
  <c r="K15"/>
  <c r="D15"/>
  <c r="L12"/>
  <c r="K12"/>
  <c r="D12"/>
  <c r="L9"/>
  <c r="K9"/>
  <c r="D9"/>
  <c r="L6"/>
  <c r="K6"/>
  <c r="D6"/>
  <c r="L31" i="6"/>
  <c r="K31"/>
  <c r="D31"/>
  <c r="L30"/>
  <c r="K30"/>
  <c r="D30"/>
  <c r="L29"/>
  <c r="K29"/>
  <c r="D29"/>
  <c r="L28"/>
  <c r="K28"/>
  <c r="D28"/>
  <c r="L25"/>
  <c r="K25"/>
  <c r="D25"/>
  <c r="L22"/>
  <c r="K22"/>
  <c r="D22"/>
  <c r="L21"/>
  <c r="K21"/>
  <c r="D21"/>
  <c r="L20"/>
  <c r="K20"/>
  <c r="D20"/>
  <c r="L19"/>
  <c r="K19"/>
  <c r="D19"/>
  <c r="L16"/>
  <c r="K16"/>
  <c r="D16"/>
  <c r="L15"/>
  <c r="K15"/>
  <c r="D15"/>
  <c r="L12"/>
  <c r="K12"/>
  <c r="D12"/>
  <c r="L11"/>
  <c r="K11"/>
  <c r="D11"/>
  <c r="L8"/>
  <c r="K8"/>
  <c r="D8"/>
  <c r="L7"/>
  <c r="K7"/>
  <c r="D7"/>
  <c r="L6"/>
  <c r="K6"/>
  <c r="D6"/>
  <c r="T16" i="5"/>
  <c r="S16"/>
  <c r="D16"/>
  <c r="T13"/>
  <c r="S13"/>
  <c r="D13"/>
  <c r="T12"/>
  <c r="S12"/>
  <c r="D12"/>
  <c r="T9"/>
  <c r="S9"/>
  <c r="D9"/>
  <c r="T6"/>
  <c r="S6"/>
  <c r="D6"/>
</calcChain>
</file>

<file path=xl/sharedStrings.xml><?xml version="1.0" encoding="utf-8"?>
<sst xmlns="http://schemas.openxmlformats.org/spreadsheetml/2006/main" count="5364" uniqueCount="1433">
  <si>
    <t>ФИО</t>
  </si>
  <si>
    <t>Присед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</si>
  <si>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</si>
  <si>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</si>
  <si>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</si>
  <si>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</si>
  <si>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</si>
  <si>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</si>
  <si>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</si>
  <si>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 груп
Год. р./Возраст</t>
  </si>
  <si>
    <t>Коэф</t>
  </si>
  <si>
    <t>Город/область</t>
  </si>
  <si>
    <t>Соб.
Вес</t>
  </si>
  <si>
    <t>Кубок Силы 5 НАП
ПРО пауэрлифтинг без экипировки
Краснодар/Краснодарский край 22 - 24 декабря 2017 г.</t>
  </si>
  <si>
    <t>Shv/Mel</t>
  </si>
  <si>
    <t>ВЕСОВАЯ КАТЕГОРИЯ   67.5</t>
  </si>
  <si>
    <t>Кузнецов Игорь</t>
  </si>
  <si>
    <t>1. Кузнецов Игорь</t>
  </si>
  <si>
    <t>Открытая (17.08.1989)/28</t>
  </si>
  <si>
    <t>67,20</t>
  </si>
  <si>
    <t xml:space="preserve">Light Fit </t>
  </si>
  <si>
    <t xml:space="preserve">Краснодар/Краснодарский край </t>
  </si>
  <si>
    <t>205,0</t>
  </si>
  <si>
    <t>215,0</t>
  </si>
  <si>
    <t>225,0</t>
  </si>
  <si>
    <t>155,0</t>
  </si>
  <si>
    <t>162,5</t>
  </si>
  <si>
    <t>165,0</t>
  </si>
  <si>
    <t>260,0</t>
  </si>
  <si>
    <t>270,0</t>
  </si>
  <si>
    <t>280,0</t>
  </si>
  <si>
    <t xml:space="preserve">Крылов </t>
  </si>
  <si>
    <t>ВЕСОВАЯ КАТЕГОРИЯ   90</t>
  </si>
  <si>
    <t>Аракелян Григор</t>
  </si>
  <si>
    <t>1. Аракелян Григор</t>
  </si>
  <si>
    <t>Открытая (05.07.1991)/26</t>
  </si>
  <si>
    <t>86,00</t>
  </si>
  <si>
    <t xml:space="preserve">Ск «медведь» </t>
  </si>
  <si>
    <t>200,0</t>
  </si>
  <si>
    <t>150,0</t>
  </si>
  <si>
    <t>160,0</t>
  </si>
  <si>
    <t>240,0</t>
  </si>
  <si>
    <t>250,0</t>
  </si>
  <si>
    <t xml:space="preserve"> </t>
  </si>
  <si>
    <t>ВЕСОВАЯ КАТЕГОРИЯ   100</t>
  </si>
  <si>
    <t>Карпенко Владислав</t>
  </si>
  <si>
    <t>1. Карпенко Владислав</t>
  </si>
  <si>
    <t>Открытая (02.11.1987)/30</t>
  </si>
  <si>
    <t>98,20</t>
  </si>
  <si>
    <t xml:space="preserve">Олимпия </t>
  </si>
  <si>
    <t xml:space="preserve">Краснодар </t>
  </si>
  <si>
    <t>230,0</t>
  </si>
  <si>
    <t>245,0</t>
  </si>
  <si>
    <t>170,0</t>
  </si>
  <si>
    <t>180,0</t>
  </si>
  <si>
    <t>182,5</t>
  </si>
  <si>
    <t>265,0</t>
  </si>
  <si>
    <t>275,0</t>
  </si>
  <si>
    <t xml:space="preserve">Виталий волков </t>
  </si>
  <si>
    <t>Кононенко Константин</t>
  </si>
  <si>
    <t>2. Кононенко Константин</t>
  </si>
  <si>
    <t>Открытая (19.10.1986)/31</t>
  </si>
  <si>
    <t>92,70</t>
  </si>
  <si>
    <t>210,0</t>
  </si>
  <si>
    <t>177,5</t>
  </si>
  <si>
    <t>ВЕСОВАЯ КАТЕГОРИЯ   125</t>
  </si>
  <si>
    <t>Шавоев Яшар</t>
  </si>
  <si>
    <t>1. Шавоев Яшар</t>
  </si>
  <si>
    <t>Открытая (02.10.1986)/31</t>
  </si>
  <si>
    <t>121,20</t>
  </si>
  <si>
    <t xml:space="preserve">Фитнес стар </t>
  </si>
  <si>
    <t xml:space="preserve">Майкоп </t>
  </si>
  <si>
    <t>300,0</t>
  </si>
  <si>
    <t>315,0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</si>
  <si>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</si>
  <si>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</si>
  <si>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</si>
  <si>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</si>
  <si>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</si>
  <si>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</si>
  <si>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</si>
  <si>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</si>
  <si>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</si>
  <si>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</si>
  <si>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</si>
  <si>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</si>
  <si>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</si>
  <si>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67,5</t>
  </si>
  <si>
    <t>660,0</t>
  </si>
  <si>
    <t>480,9420</t>
  </si>
  <si>
    <t>125,0</t>
  </si>
  <si>
    <t>785,0</t>
  </si>
  <si>
    <t>412,7530</t>
  </si>
  <si>
    <t>100,0</t>
  </si>
  <si>
    <t>700,0</t>
  </si>
  <si>
    <t>391,0200</t>
  </si>
  <si>
    <t>652,5</t>
  </si>
  <si>
    <t>375,4485</t>
  </si>
  <si>
    <t>90,0</t>
  </si>
  <si>
    <t>610,0</t>
  </si>
  <si>
    <t>367,3420</t>
  </si>
  <si>
    <t>Кубок Силы 5 НАП
ПРО жим лежа без экипировки
Краснодар/Краснодарский край 22 - 24 декабря 2017 г.</t>
  </si>
  <si>
    <t>ВЕСОВАЯ КАТЕГОРИЯ   75</t>
  </si>
  <si>
    <t>Яхшибекян Араик</t>
  </si>
  <si>
    <t>1. Яхшибекян Араик</t>
  </si>
  <si>
    <t>Открытая (27.06.1989)/28</t>
  </si>
  <si>
    <t>72,40</t>
  </si>
  <si>
    <t xml:space="preserve">спорт лайф гулькевичи </t>
  </si>
  <si>
    <t xml:space="preserve">Гулькевичи/Краснодарский край </t>
  </si>
  <si>
    <t>Демьянов Вячеслав</t>
  </si>
  <si>
    <t>2. Демьянов Вячеслав</t>
  </si>
  <si>
    <t>Открытая (15.03.1990)/27</t>
  </si>
  <si>
    <t>73,00</t>
  </si>
  <si>
    <t xml:space="preserve">Икс Фит </t>
  </si>
  <si>
    <t>135,0</t>
  </si>
  <si>
    <t>140,0</t>
  </si>
  <si>
    <t>Язев Станислав</t>
  </si>
  <si>
    <t>3. Язев Станислав</t>
  </si>
  <si>
    <t>Открытая (14.07.1989)/28</t>
  </si>
  <si>
    <t>72,50</t>
  </si>
  <si>
    <t xml:space="preserve">ск МЕДВЕДЬ </t>
  </si>
  <si>
    <t xml:space="preserve">Сочи/Краснодарский край </t>
  </si>
  <si>
    <t>ВЕСОВАЯ КАТЕГОРИЯ   82.5</t>
  </si>
  <si>
    <t>-. Катунин Максим</t>
  </si>
  <si>
    <t>Юниоры 20 - 23 (23.10.1994)/23</t>
  </si>
  <si>
    <t>81,70</t>
  </si>
  <si>
    <t xml:space="preserve">Титан </t>
  </si>
  <si>
    <t xml:space="preserve">Майкоп/Адыгея </t>
  </si>
  <si>
    <t>Гроза Андрей</t>
  </si>
  <si>
    <t>1. Гроза Андрей</t>
  </si>
  <si>
    <t>Открытая (14.12.1988)/29</t>
  </si>
  <si>
    <t>79,60</t>
  </si>
  <si>
    <t xml:space="preserve">Планета Железяка </t>
  </si>
  <si>
    <t>130,0</t>
  </si>
  <si>
    <t>137,5</t>
  </si>
  <si>
    <t>Зуб Евгений</t>
  </si>
  <si>
    <t>1. Зуб Евгений</t>
  </si>
  <si>
    <t>Открытая (03.07.1987)/30</t>
  </si>
  <si>
    <t>88,60</t>
  </si>
  <si>
    <t>-. Насонов Роман</t>
  </si>
  <si>
    <t>Открытая (10.12.1990)/27</t>
  </si>
  <si>
    <t>87,70</t>
  </si>
  <si>
    <t>Соловьев Евгений</t>
  </si>
  <si>
    <t>1. Соловьев Евгений</t>
  </si>
  <si>
    <t>Открытая (24.02.1988)/29</t>
  </si>
  <si>
    <t>93,40</t>
  </si>
  <si>
    <t>222,5</t>
  </si>
  <si>
    <t>Пархоменко Владислав</t>
  </si>
  <si>
    <t>2. Пархоменко Владислав</t>
  </si>
  <si>
    <t>Открытая (23.12.1993)/24</t>
  </si>
  <si>
    <t>97,80</t>
  </si>
  <si>
    <t>217,5</t>
  </si>
  <si>
    <t>Ичетовкин Сергей</t>
  </si>
  <si>
    <t>3. Ичетовкин Сергей</t>
  </si>
  <si>
    <t>Открытая (12.09.1980)/37</t>
  </si>
  <si>
    <t xml:space="preserve">ВДВ ШАХТЫ </t>
  </si>
  <si>
    <t xml:space="preserve">Шахты/Ростовская область </t>
  </si>
  <si>
    <t>185,0</t>
  </si>
  <si>
    <t>190,0</t>
  </si>
  <si>
    <t>195,0</t>
  </si>
  <si>
    <t>Жданов Дмитрий</t>
  </si>
  <si>
    <t>4. Жданов Дмитрий</t>
  </si>
  <si>
    <t>Открытая (20.08.1989)/28</t>
  </si>
  <si>
    <t>100,00</t>
  </si>
  <si>
    <t>0,0</t>
  </si>
  <si>
    <t>192,5</t>
  </si>
  <si>
    <t>ВЕСОВАЯ КАТЕГОРИЯ   110</t>
  </si>
  <si>
    <t>Казьмин Евгений</t>
  </si>
  <si>
    <t>1. Казьмин Евгений</t>
  </si>
  <si>
    <t>Открытая (01.11.1986)/31</t>
  </si>
  <si>
    <t>110,00</t>
  </si>
  <si>
    <t>Фатыхов Артем</t>
  </si>
  <si>
    <t>1. Фатыхов Артем</t>
  </si>
  <si>
    <t>Юноши 16 - 17 (07.04.2001)/16</t>
  </si>
  <si>
    <t>121,00</t>
  </si>
  <si>
    <t>80,0</t>
  </si>
  <si>
    <t>85,0</t>
  </si>
  <si>
    <t>Маклашов Роман</t>
  </si>
  <si>
    <t>1. Маклашов Роман</t>
  </si>
  <si>
    <t>Открытая (16.06.1992)/25</t>
  </si>
  <si>
    <t>115,50</t>
  </si>
  <si>
    <t>212,5</t>
  </si>
  <si>
    <t>Доронин Анатолий</t>
  </si>
  <si>
    <t>2. Доронин Анатолий</t>
  </si>
  <si>
    <t>Открытая (12.06.1982)/35</t>
  </si>
  <si>
    <t>123,10</t>
  </si>
  <si>
    <t>145,0</t>
  </si>
  <si>
    <t>-. Ремнёв Василий</t>
  </si>
  <si>
    <t>Открытая (19.09.1978)/39</t>
  </si>
  <si>
    <t>114,70</t>
  </si>
  <si>
    <t xml:space="preserve">Юноши </t>
  </si>
  <si>
    <t xml:space="preserve">Юноши 16 - 17 </t>
  </si>
  <si>
    <t>50,5223</t>
  </si>
  <si>
    <t>123,1950</t>
  </si>
  <si>
    <t>117,5370</t>
  </si>
  <si>
    <t>75,0</t>
  </si>
  <si>
    <t>112,7775</t>
  </si>
  <si>
    <t>109,1415</t>
  </si>
  <si>
    <t>108,8345</t>
  </si>
  <si>
    <t>110,0</t>
  </si>
  <si>
    <t>101,9350</t>
  </si>
  <si>
    <t>100,4700</t>
  </si>
  <si>
    <t>99,7200</t>
  </si>
  <si>
    <t>91,6515</t>
  </si>
  <si>
    <t>82,5</t>
  </si>
  <si>
    <t>87,3400</t>
  </si>
  <si>
    <t>75,9220</t>
  </si>
  <si>
    <t>68,2800</t>
  </si>
  <si>
    <t>Результат</t>
  </si>
  <si>
    <t>Кубок Силы 5 НАП
ПРО становая тяга без экипировки
Краснодар/Краснодарский край 22 - 24 декабря 2017 г.</t>
  </si>
  <si>
    <t>Лысенко Камилла</t>
  </si>
  <si>
    <t>1. Лысенко Камилла</t>
  </si>
  <si>
    <t>Юниорки 20 - 23 (05.08.1994)/23</t>
  </si>
  <si>
    <t>67,30</t>
  </si>
  <si>
    <t>Анохин Александр</t>
  </si>
  <si>
    <t>1. Анохин Александр</t>
  </si>
  <si>
    <t>Открытая (14.12.1983)/34</t>
  </si>
  <si>
    <t>74,70</t>
  </si>
  <si>
    <t>207,5</t>
  </si>
  <si>
    <t xml:space="preserve">Самостоятельно </t>
  </si>
  <si>
    <t>Сенченко Илья</t>
  </si>
  <si>
    <t>1. Сенченко Илья</t>
  </si>
  <si>
    <t>Юноши 18 - 19 (26.10.1998)/19</t>
  </si>
  <si>
    <t>96,80</t>
  </si>
  <si>
    <t>255,0</t>
  </si>
  <si>
    <t>Приходько Александр</t>
  </si>
  <si>
    <t>1. Приходько Александр</t>
  </si>
  <si>
    <t>Открытая (26.11.1989)/28</t>
  </si>
  <si>
    <t>94,70</t>
  </si>
  <si>
    <t xml:space="preserve">Гулькевичи </t>
  </si>
  <si>
    <t>Тюриков Олег</t>
  </si>
  <si>
    <t>2. Тюриков Олег</t>
  </si>
  <si>
    <t>Открытая (18.05.1985)/32</t>
  </si>
  <si>
    <t>96,40</t>
  </si>
  <si>
    <t>Финклер Геннадий</t>
  </si>
  <si>
    <t>1. Финклер Геннадий</t>
  </si>
  <si>
    <t>Открытая (27.01.1981)/36</t>
  </si>
  <si>
    <t>107,50</t>
  </si>
  <si>
    <t>290,0</t>
  </si>
  <si>
    <t>320,0</t>
  </si>
  <si>
    <t>Трухляк Руслан</t>
  </si>
  <si>
    <t>1. Трухляк Руслан</t>
  </si>
  <si>
    <t>Открытая (08.07.1991)/26</t>
  </si>
  <si>
    <t>120,00</t>
  </si>
  <si>
    <t xml:space="preserve">центр тяжести </t>
  </si>
  <si>
    <t>310,0</t>
  </si>
  <si>
    <t>2. Шавоев Яшар</t>
  </si>
  <si>
    <t>Таловасов Анатолий</t>
  </si>
  <si>
    <t>1. Таловасов Анатолий</t>
  </si>
  <si>
    <t>Мастера 55 - 59 (01.12.1960)/57</t>
  </si>
  <si>
    <t>119,40</t>
  </si>
  <si>
    <t xml:space="preserve">Чемпион </t>
  </si>
  <si>
    <t xml:space="preserve">П. тульский </t>
  </si>
  <si>
    <t>220,0</t>
  </si>
  <si>
    <t xml:space="preserve">Женщины </t>
  </si>
  <si>
    <t xml:space="preserve">Юниорки </t>
  </si>
  <si>
    <t xml:space="preserve">Юниоры 20 - 23 </t>
  </si>
  <si>
    <t>124,9920</t>
  </si>
  <si>
    <t xml:space="preserve">Юноши 18 - 19 </t>
  </si>
  <si>
    <t>143,2995</t>
  </si>
  <si>
    <t>204,0360</t>
  </si>
  <si>
    <t>159,2640</t>
  </si>
  <si>
    <t>158,1000</t>
  </si>
  <si>
    <t>157,7400</t>
  </si>
  <si>
    <t>156,5420</t>
  </si>
  <si>
    <t>140,9000</t>
  </si>
  <si>
    <t>129,9870</t>
  </si>
  <si>
    <t xml:space="preserve">Мастера </t>
  </si>
  <si>
    <t xml:space="preserve">Мастера 55 - 59 </t>
  </si>
  <si>
    <t>187,3680</t>
  </si>
  <si>
    <t>Кубок Силы 5 НАП
ПРО пауэрлифтинг в однослойной экипировке
Краснодар/Краснодарский край 22 - 24 декабря 2017 г.</t>
  </si>
  <si>
    <t>Кубок Силы 5 НАП
ПРО жим лежа в однослойной экипировке
Краснодар/Краснодарский край 22 - 24 декабря 2017 г.</t>
  </si>
  <si>
    <t>Попов Роман</t>
  </si>
  <si>
    <t>1. Попов Роман</t>
  </si>
  <si>
    <t>Открытая (21.09.1977)/40</t>
  </si>
  <si>
    <t>70,70</t>
  </si>
  <si>
    <t xml:space="preserve">ДГТУ </t>
  </si>
  <si>
    <t xml:space="preserve">Ростов-на-Дону </t>
  </si>
  <si>
    <t xml:space="preserve">лично </t>
  </si>
  <si>
    <t>-. Погосян Степан</t>
  </si>
  <si>
    <t>Открытая (18.04.1985)/32</t>
  </si>
  <si>
    <t>87,00</t>
  </si>
  <si>
    <t xml:space="preserve">Olympia </t>
  </si>
  <si>
    <t xml:space="preserve">Туапсе </t>
  </si>
  <si>
    <t xml:space="preserve">Хачатурян Армен Робертович </t>
  </si>
  <si>
    <t>111,5520</t>
  </si>
  <si>
    <t>Кубок Силы 5 НАП
ПРО пауэрлифтинг в многослойной экипировке
Краснодар/Краснодарский край 22 - 24 декабря 2017 г.</t>
  </si>
  <si>
    <t>Митрофанов Павел</t>
  </si>
  <si>
    <t>1. Митрофанов Павел</t>
  </si>
  <si>
    <t>Открытая (12.08.1983)/34</t>
  </si>
  <si>
    <t>99,40</t>
  </si>
  <si>
    <t xml:space="preserve">Горячий ключ </t>
  </si>
  <si>
    <t>350,0</t>
  </si>
  <si>
    <t>375,0</t>
  </si>
  <si>
    <t>390,0</t>
  </si>
  <si>
    <t xml:space="preserve">Сизов андрей </t>
  </si>
  <si>
    <t>Винников Владимир</t>
  </si>
  <si>
    <t>2. Винников Владимир</t>
  </si>
  <si>
    <t>Открытая (28.08.1986)/31</t>
  </si>
  <si>
    <t xml:space="preserve">Сизов А. В. </t>
  </si>
  <si>
    <t>Игошин Сергей</t>
  </si>
  <si>
    <t>3. Игошин Сергей</t>
  </si>
  <si>
    <t>Открытая (04.11.1986)/31</t>
  </si>
  <si>
    <t>99,10</t>
  </si>
  <si>
    <t xml:space="preserve">Горячий Ключ/Краснодарский край </t>
  </si>
  <si>
    <t>120,0</t>
  </si>
  <si>
    <t>175,0</t>
  </si>
  <si>
    <t>930,0</t>
  </si>
  <si>
    <t>516,6150</t>
  </si>
  <si>
    <t>695,0</t>
  </si>
  <si>
    <t>388,9915</t>
  </si>
  <si>
    <t>675,0</t>
  </si>
  <si>
    <t>375,5025</t>
  </si>
  <si>
    <t>Кубок Силы 5 НАП
ПРО жим лежа в многослойной экипировке
Краснодар/Краснодарский край 22 - 24 декабря 2017 г.</t>
  </si>
  <si>
    <t>Манченко Александр</t>
  </si>
  <si>
    <t>1. Манченко Александр</t>
  </si>
  <si>
    <t>Открытая (05.11.1978)/39</t>
  </si>
  <si>
    <t>124,10</t>
  </si>
  <si>
    <t xml:space="preserve">МАЙКОП </t>
  </si>
  <si>
    <t xml:space="preserve">манченко марина павловна </t>
  </si>
  <si>
    <t>151,4670</t>
  </si>
  <si>
    <t>Кубок Силы 5 НАП
ПРО присед без экипировки
Краснодар/Краснодарский край 22 - 24 декабря 2017 г.</t>
  </si>
  <si>
    <t>Бойцевский Александр</t>
  </si>
  <si>
    <t>1. Бойцевский Александр</t>
  </si>
  <si>
    <t>Открытая (30.05.1987)/30</t>
  </si>
  <si>
    <t>97,50</t>
  </si>
  <si>
    <t>165,6270</t>
  </si>
  <si>
    <t>100,8900</t>
  </si>
  <si>
    <t>Кубок Силы 5 НАП
ПРО становая тяга в однослойной экипировке
Краснодар/Краснодарский край 22 - 24 декабря 2017 г.</t>
  </si>
  <si>
    <t>Кубок Силы 5 НАП
ПРО становая тяга в многослойной экипировке
Краснодар/Краснодарский край 22 - 24 декабря 2017 г.</t>
  </si>
  <si>
    <t>Кубок Силы 5 НАП
ПРО присед в однослойной экипировке
Краснодар/Краснодарский край 22 - 24 декабря 2017 г.</t>
  </si>
  <si>
    <t>Кубок Силы 5 НАП
ПРО пауэрлифтинг в софт экипировке
Краснодар/Краснодарский край 22 - 24 декабря 2017 г.</t>
  </si>
  <si>
    <t>Злыденная Татьяна</t>
  </si>
  <si>
    <t>1. Злыденная Татьяна</t>
  </si>
  <si>
    <t>Открытая (28.01.1987)/30</t>
  </si>
  <si>
    <t>66,30</t>
  </si>
  <si>
    <t>105,0</t>
  </si>
  <si>
    <t>157,5</t>
  </si>
  <si>
    <t xml:space="preserve">Баллод А. </t>
  </si>
  <si>
    <t>Радионов Евгений</t>
  </si>
  <si>
    <t>1. Радионов Евгений</t>
  </si>
  <si>
    <t>Открытая (10.05.1983)/34</t>
  </si>
  <si>
    <t>87,20</t>
  </si>
  <si>
    <t>262,5</t>
  </si>
  <si>
    <t>Шкаликов Максим</t>
  </si>
  <si>
    <t>2. Шкаликов Максим</t>
  </si>
  <si>
    <t>Открытая (10.11.1992)/25</t>
  </si>
  <si>
    <t>85,30</t>
  </si>
  <si>
    <t>ВЕСОВАЯ КАТЕГОРИЯ   140</t>
  </si>
  <si>
    <t>Коробейников Константин</t>
  </si>
  <si>
    <t>1. Коробейников Константин</t>
  </si>
  <si>
    <t>Юниоры 20 - 23 (29.03.1996)/21</t>
  </si>
  <si>
    <t>138,20</t>
  </si>
  <si>
    <t xml:space="preserve">Лично </t>
  </si>
  <si>
    <t>235,0</t>
  </si>
  <si>
    <t>405,0</t>
  </si>
  <si>
    <t>320,4765</t>
  </si>
  <si>
    <t xml:space="preserve">Юниоры </t>
  </si>
  <si>
    <t>645,0</t>
  </si>
  <si>
    <t>332,5553</t>
  </si>
  <si>
    <t>815,0</t>
  </si>
  <si>
    <t>486,4735</t>
  </si>
  <si>
    <t>625,0</t>
  </si>
  <si>
    <t>378,4375</t>
  </si>
  <si>
    <t>Кубок Силы 5 НАП
ПРО жим лежа в софт экипировке
Краснодар/Краснодарский край 22 - 24 декабря 2017 г.</t>
  </si>
  <si>
    <t xml:space="preserve">Швецов </t>
  </si>
  <si>
    <t>Гилевич Руслан</t>
  </si>
  <si>
    <t>1. Гилевич Руслан</t>
  </si>
  <si>
    <t>Открытая (31.07.1992)/25</t>
  </si>
  <si>
    <t>78,70</t>
  </si>
  <si>
    <t>Варданян Дмитрий</t>
  </si>
  <si>
    <t>1. Варданян Дмитрий</t>
  </si>
  <si>
    <t>Открытая (26.05.1982)/35</t>
  </si>
  <si>
    <t>93,80</t>
  </si>
  <si>
    <t xml:space="preserve">Ростов-на-Дону/Ростовская область </t>
  </si>
  <si>
    <t>287,5</t>
  </si>
  <si>
    <t>Труднев Эдуард</t>
  </si>
  <si>
    <t>2. Труднев Эдуард</t>
  </si>
  <si>
    <t>Открытая (11.11.1979)/38</t>
  </si>
  <si>
    <t>96,60</t>
  </si>
  <si>
    <t xml:space="preserve">Славянск-на-Кубани/Краснодарский край </t>
  </si>
  <si>
    <t>272,5</t>
  </si>
  <si>
    <t>Холявка Евгений</t>
  </si>
  <si>
    <t>3. Холявка Евгений</t>
  </si>
  <si>
    <t>Открытая (25.04.1988)/29</t>
  </si>
  <si>
    <t>94,80</t>
  </si>
  <si>
    <t>Макаров Роман</t>
  </si>
  <si>
    <t>1. Макаров Роман</t>
  </si>
  <si>
    <t>Открытая (08.03.1980)/37</t>
  </si>
  <si>
    <t>106,40</t>
  </si>
  <si>
    <t>252,5</t>
  </si>
  <si>
    <t xml:space="preserve">ск медведь крд </t>
  </si>
  <si>
    <t>Сорокотягин Виталий</t>
  </si>
  <si>
    <t>1. Сорокотягин Виталий</t>
  </si>
  <si>
    <t>Открытая (28.05.1981)/36</t>
  </si>
  <si>
    <t>113,00</t>
  </si>
  <si>
    <t>330,0</t>
  </si>
  <si>
    <t>Баллод Александр</t>
  </si>
  <si>
    <t>1. Баллод Александр</t>
  </si>
  <si>
    <t>Открытая (17.08.1979)/38</t>
  </si>
  <si>
    <t>139,50</t>
  </si>
  <si>
    <t>345,0</t>
  </si>
  <si>
    <t xml:space="preserve">Чугунов Е.Г. Микао </t>
  </si>
  <si>
    <t>83,0865</t>
  </si>
  <si>
    <t>65,3818</t>
  </si>
  <si>
    <t>175,9560</t>
  </si>
  <si>
    <t>161,2960</t>
  </si>
  <si>
    <t>157,2175</t>
  </si>
  <si>
    <t>153,4175</t>
  </si>
  <si>
    <t>142,1250</t>
  </si>
  <si>
    <t>136,7035</t>
  </si>
  <si>
    <t>115,2900</t>
  </si>
  <si>
    <t>Кубок Силы 5 НАП
ПРО присед в многослойной экипировке
Краснодар/Краснодарский край 22 - 24 декабря 2017 г.</t>
  </si>
  <si>
    <t>Кубок Силы 5 НАП
ПРО становая тяга в софт экипировке
Краснодар/Краснодарский край 22 - 24 декабря 2017 г.</t>
  </si>
  <si>
    <t>Кубок Силы 5 НАП
ПРО присед в софт экипировке
Краснодар/Краснодарский край 22 - 24 декабря 2017 г.</t>
  </si>
  <si>
    <t>Кубок Силы 5 НАП
ПРО жим лежа в софт экипировке3сл.
Краснодар/Краснодарский край 22 - 24 декабря 2017 г.</t>
  </si>
  <si>
    <t>ВЕСОВАЯ КАТЕГОРИЯ   60</t>
  </si>
  <si>
    <t>Айнетдинова Кристина</t>
  </si>
  <si>
    <t>1. Айнетдинова Кристина</t>
  </si>
  <si>
    <t>Открытая (11.10.1986)/31</t>
  </si>
  <si>
    <t>57,90</t>
  </si>
  <si>
    <t>112,5</t>
  </si>
  <si>
    <t>Тураева Анна</t>
  </si>
  <si>
    <t>1. Тураева Анна</t>
  </si>
  <si>
    <t>Открытая (18.08.1978)/39</t>
  </si>
  <si>
    <t>80,00</t>
  </si>
  <si>
    <t>Сериков Илья</t>
  </si>
  <si>
    <t>1. Сериков Илья</t>
  </si>
  <si>
    <t>Открытая (16.07.1983)/34</t>
  </si>
  <si>
    <t>Кушвид Даниил</t>
  </si>
  <si>
    <t>2. Кушвид Даниил</t>
  </si>
  <si>
    <t>Открытая (13.03.1993)/24</t>
  </si>
  <si>
    <t>102,60</t>
  </si>
  <si>
    <t>-. Сихаджок Анзор</t>
  </si>
  <si>
    <t>Открытая (06.02.1989)/28</t>
  </si>
  <si>
    <t>113,40</t>
  </si>
  <si>
    <t>-. Таловасов Анатолий</t>
  </si>
  <si>
    <t>130,8815</t>
  </si>
  <si>
    <t>60,0</t>
  </si>
  <si>
    <t>88,6950</t>
  </si>
  <si>
    <t>145,7460</t>
  </si>
  <si>
    <t>98,6940</t>
  </si>
  <si>
    <t>Кубок Силы 5 НАП
Профессионалы военный жим
Краснодар/Краснодарский край 22 - 24 декабря 2017 г.</t>
  </si>
  <si>
    <t>107,5</t>
  </si>
  <si>
    <t>Кубок Силы 5 НАП
Любители пауэрлифтинг без экипировки
Краснодар/Краснодарский край 22 - 24 декабря 2017 г.</t>
  </si>
  <si>
    <t>ВЕСОВАЯ КАТЕГОРИЯ   44</t>
  </si>
  <si>
    <t>Шутько Алена</t>
  </si>
  <si>
    <t>1. Шутько Алена</t>
  </si>
  <si>
    <t>Открытая (16.01.1994)/23</t>
  </si>
  <si>
    <t>43,50</t>
  </si>
  <si>
    <t>72,5</t>
  </si>
  <si>
    <t>77,5</t>
  </si>
  <si>
    <t>35,0</t>
  </si>
  <si>
    <t>37,5</t>
  </si>
  <si>
    <t>40,0</t>
  </si>
  <si>
    <t>117,5</t>
  </si>
  <si>
    <t>ВЕСОВАЯ КАТЕГОРИЯ   48</t>
  </si>
  <si>
    <t>Павленко Вероника</t>
  </si>
  <si>
    <t>1. Павленко Вероника</t>
  </si>
  <si>
    <t>Девушки 14 - 15 (14.10.2003)/14</t>
  </si>
  <si>
    <t>46,50</t>
  </si>
  <si>
    <t xml:space="preserve">ск Бомонд </t>
  </si>
  <si>
    <t xml:space="preserve">Новочеркасск/Ростовская область </t>
  </si>
  <si>
    <t>45,0</t>
  </si>
  <si>
    <t>47,5</t>
  </si>
  <si>
    <t>70,0</t>
  </si>
  <si>
    <t>Губжева Амина</t>
  </si>
  <si>
    <t>2. Губжева Амина</t>
  </si>
  <si>
    <t>46,70</t>
  </si>
  <si>
    <t xml:space="preserve">Легион </t>
  </si>
  <si>
    <t xml:space="preserve">Нальчик/Кабардино-Балкария </t>
  </si>
  <si>
    <t>30,0</t>
  </si>
  <si>
    <t>25,0</t>
  </si>
  <si>
    <t>27,5</t>
  </si>
  <si>
    <t>50,0</t>
  </si>
  <si>
    <t>65,0</t>
  </si>
  <si>
    <t>Полянская Ксения</t>
  </si>
  <si>
    <t>1. Полянская Ксения</t>
  </si>
  <si>
    <t>Открытая (22.11.1988)/29</t>
  </si>
  <si>
    <t>46,80</t>
  </si>
  <si>
    <t>95,0</t>
  </si>
  <si>
    <t>55,0</t>
  </si>
  <si>
    <t>2. Павленко Вероника</t>
  </si>
  <si>
    <t>Открытая (14.10.2003)/14</t>
  </si>
  <si>
    <t>3. Губжева Амина</t>
  </si>
  <si>
    <t>ВЕСОВАЯ КАТЕГОРИЯ   52</t>
  </si>
  <si>
    <t>Котлярова Татьяна</t>
  </si>
  <si>
    <t>1. Котлярова Татьяна</t>
  </si>
  <si>
    <t>Открытая (06.06.1994)/23</t>
  </si>
  <si>
    <t>51,70</t>
  </si>
  <si>
    <t>115,0</t>
  </si>
  <si>
    <t>62,5</t>
  </si>
  <si>
    <t xml:space="preserve">Чугунов Евгений </t>
  </si>
  <si>
    <t>Чабанная Юлия</t>
  </si>
  <si>
    <t>2. Чабанная Юлия</t>
  </si>
  <si>
    <t>Открытая (12.02.1986)/31</t>
  </si>
  <si>
    <t>50,90</t>
  </si>
  <si>
    <t>ВЕСОВАЯ КАТЕГОРИЯ   56</t>
  </si>
  <si>
    <t>Пахучая Оксана</t>
  </si>
  <si>
    <t>1. Пахучая Оксана</t>
  </si>
  <si>
    <t>55,00</t>
  </si>
  <si>
    <t>Будаковская Екатерина</t>
  </si>
  <si>
    <t>1. Будаковская Екатерина</t>
  </si>
  <si>
    <t>Открытая (05.02.1982)/35</t>
  </si>
  <si>
    <t>58,40</t>
  </si>
  <si>
    <t>52,5</t>
  </si>
  <si>
    <t>57,5</t>
  </si>
  <si>
    <t>Акимова Анна</t>
  </si>
  <si>
    <t>2. Акимова Анна</t>
  </si>
  <si>
    <t>Открытая (07.09.1992)/25</t>
  </si>
  <si>
    <t>Лавриненко Божена</t>
  </si>
  <si>
    <t>3. Лавриненко Божена</t>
  </si>
  <si>
    <t>Открытая (26.07.1983)/34</t>
  </si>
  <si>
    <t>57,20</t>
  </si>
  <si>
    <t>Билимихова Карина</t>
  </si>
  <si>
    <t>1. Билимихова Карина</t>
  </si>
  <si>
    <t>Открытая (14.06.1988)/29</t>
  </si>
  <si>
    <t>65,50</t>
  </si>
  <si>
    <t>122,5</t>
  </si>
  <si>
    <t>132,5</t>
  </si>
  <si>
    <t>-. Руденко Елена</t>
  </si>
  <si>
    <t>Мастера 45 - 49 (19.05.1970)/47</t>
  </si>
  <si>
    <t>71,30</t>
  </si>
  <si>
    <t>97,5</t>
  </si>
  <si>
    <t>102,5</t>
  </si>
  <si>
    <t>Махкамова Наргиза</t>
  </si>
  <si>
    <t>1. Махкамова Наргиза</t>
  </si>
  <si>
    <t>Юниоры 20 - 23 (04.07.1995)/22</t>
  </si>
  <si>
    <t>48,00</t>
  </si>
  <si>
    <t>Забитов Бийарслан</t>
  </si>
  <si>
    <t>1. Забитов Бийарслан</t>
  </si>
  <si>
    <t>Юноши 16 - 17 (20.12.2001)/16</t>
  </si>
  <si>
    <t>58,10</t>
  </si>
  <si>
    <t xml:space="preserve">Губжев Б.Р. </t>
  </si>
  <si>
    <t>Открытая (20.12.2001)/16</t>
  </si>
  <si>
    <t>Кандохов Мухамед</t>
  </si>
  <si>
    <t>1. Кандохов Мухамед</t>
  </si>
  <si>
    <t>Юниоры 20 - 23 (18.10.1997)/20</t>
  </si>
  <si>
    <t>61,40</t>
  </si>
  <si>
    <t xml:space="preserve">Олимп нальчик </t>
  </si>
  <si>
    <t>92,5</t>
  </si>
  <si>
    <t>Пахучий Даниил</t>
  </si>
  <si>
    <t>1. Пахучий Даниил</t>
  </si>
  <si>
    <t>Юноши 16 - 17 (12.09.2001)/16</t>
  </si>
  <si>
    <t>69,40</t>
  </si>
  <si>
    <t>Хакунов Аслан</t>
  </si>
  <si>
    <t>1. Хакунов Аслан</t>
  </si>
  <si>
    <t>Юноши 18 - 19 (16.08.1999)/18</t>
  </si>
  <si>
    <t>72,30</t>
  </si>
  <si>
    <t>Канамготов Алим</t>
  </si>
  <si>
    <t>2. Канамготов Алим</t>
  </si>
  <si>
    <t>Юноши 18 - 19 (09.09.1999)/18</t>
  </si>
  <si>
    <t>Черняев Игорь</t>
  </si>
  <si>
    <t>1. Черняев Игорь</t>
  </si>
  <si>
    <t>Открытая (05.04.1984)/33</t>
  </si>
  <si>
    <t>72,80</t>
  </si>
  <si>
    <t xml:space="preserve">Скорпион </t>
  </si>
  <si>
    <t xml:space="preserve">Нет </t>
  </si>
  <si>
    <t>Вильчевский Дмитрий</t>
  </si>
  <si>
    <t>2. Вильчевский Дмитрий</t>
  </si>
  <si>
    <t>Открытая (27.10.1992)/25</t>
  </si>
  <si>
    <t xml:space="preserve">Карат спортивный клуб </t>
  </si>
  <si>
    <t xml:space="preserve">Ленск/Якутия </t>
  </si>
  <si>
    <t>Попов Константин</t>
  </si>
  <si>
    <t>3. Попов Константин</t>
  </si>
  <si>
    <t>Открытая (11.01.1991)/26</t>
  </si>
  <si>
    <t>74,10</t>
  </si>
  <si>
    <t xml:space="preserve">GELENDGYM </t>
  </si>
  <si>
    <t xml:space="preserve">Геленджик/Краснодарский край </t>
  </si>
  <si>
    <t>152,5</t>
  </si>
  <si>
    <t>Рафайлиди Григорий</t>
  </si>
  <si>
    <t>4. Рафайлиди Григорий</t>
  </si>
  <si>
    <t>Открытая (25.11.1979)/38</t>
  </si>
  <si>
    <t>72,10</t>
  </si>
  <si>
    <t>5. Пахучий Даниил</t>
  </si>
  <si>
    <t>Открытая (12.09.2001)/16</t>
  </si>
  <si>
    <t>6. Хакунов Аслан</t>
  </si>
  <si>
    <t>Открытая (16.08.1999)/18</t>
  </si>
  <si>
    <t>7. Канамготов Алим</t>
  </si>
  <si>
    <t>Открытая (09.09.1999)/18</t>
  </si>
  <si>
    <t>Хекало Алексей</t>
  </si>
  <si>
    <t>1. Хекало Алексей</t>
  </si>
  <si>
    <t>Открытая (28.08.2000)/17</t>
  </si>
  <si>
    <t>78,90</t>
  </si>
  <si>
    <t xml:space="preserve">Анапа/Краснодарский край </t>
  </si>
  <si>
    <t>247,5</t>
  </si>
  <si>
    <t>Бойцевский Дмитрий</t>
  </si>
  <si>
    <t>1. Бойцевский Дмитрий</t>
  </si>
  <si>
    <t>Юноши 14 - 15 (16.06.2003)/14</t>
  </si>
  <si>
    <t>83,00</t>
  </si>
  <si>
    <t>Тубаев Имран</t>
  </si>
  <si>
    <t>1. Тубаев Имран</t>
  </si>
  <si>
    <t>Юниоры 20 - 23 (03.12.1994)/23</t>
  </si>
  <si>
    <t>90,00</t>
  </si>
  <si>
    <t>142,5</t>
  </si>
  <si>
    <t xml:space="preserve">самостоятельно </t>
  </si>
  <si>
    <t>Мацегоров Евгений</t>
  </si>
  <si>
    <t>1. Мацегоров Евгений</t>
  </si>
  <si>
    <t>Открытая (06.05.1986)/31</t>
  </si>
  <si>
    <t>87,60</t>
  </si>
  <si>
    <t>227,5</t>
  </si>
  <si>
    <t>Кармирьян Михаил</t>
  </si>
  <si>
    <t>2. Кармирьян Михаил</t>
  </si>
  <si>
    <t>Открытая (09.08.1982)/35</t>
  </si>
  <si>
    <t>88,00</t>
  </si>
  <si>
    <t xml:space="preserve">Туапсе/Краснодарский край </t>
  </si>
  <si>
    <t>127,5</t>
  </si>
  <si>
    <t>-. Шляхов Семён</t>
  </si>
  <si>
    <t>Юниоры 20 - 23 (04.07.1997)/20</t>
  </si>
  <si>
    <t>93,60</t>
  </si>
  <si>
    <t>Зубакин Александр</t>
  </si>
  <si>
    <t>1. Зубакин Александр</t>
  </si>
  <si>
    <t>Открытая (13.01.1985)/32</t>
  </si>
  <si>
    <t>96,50</t>
  </si>
  <si>
    <t>Житник Павел</t>
  </si>
  <si>
    <t>2. Житник Павел</t>
  </si>
  <si>
    <t>Открытая (17.05.1992)/25</t>
  </si>
  <si>
    <t>257,5</t>
  </si>
  <si>
    <t>-. Антоненко Валерий</t>
  </si>
  <si>
    <t>Открытая (06.01.1987)/30</t>
  </si>
  <si>
    <t>-. Серкуш Аслан</t>
  </si>
  <si>
    <t>Открытая (24.09.1987)/30</t>
  </si>
  <si>
    <t>97,60</t>
  </si>
  <si>
    <t>242,5</t>
  </si>
  <si>
    <t>Мкртчян Акоп</t>
  </si>
  <si>
    <t>1. Мкртчян Акоп</t>
  </si>
  <si>
    <t>Открытая (23.03.1987)/30</t>
  </si>
  <si>
    <t>105,60</t>
  </si>
  <si>
    <t>Сарьян Арсен</t>
  </si>
  <si>
    <t>2. Сарьян Арсен</t>
  </si>
  <si>
    <t>Открытая (11.04.1978)/39</t>
  </si>
  <si>
    <t>105,30</t>
  </si>
  <si>
    <t xml:space="preserve">Девушки </t>
  </si>
  <si>
    <t xml:space="preserve">Юноши 14 - 15 </t>
  </si>
  <si>
    <t>48,0</t>
  </si>
  <si>
    <t>280,6211</t>
  </si>
  <si>
    <t>169,0943</t>
  </si>
  <si>
    <t>52,0</t>
  </si>
  <si>
    <t>327,5</t>
  </si>
  <si>
    <t>318,9523</t>
  </si>
  <si>
    <t>279,7605</t>
  </si>
  <si>
    <t>307,5</t>
  </si>
  <si>
    <t>270,8152</t>
  </si>
  <si>
    <t>337,5</t>
  </si>
  <si>
    <t>269,8312</t>
  </si>
  <si>
    <t>56,0</t>
  </si>
  <si>
    <t>285,0</t>
  </si>
  <si>
    <t>263,7960</t>
  </si>
  <si>
    <t>44,0</t>
  </si>
  <si>
    <t>254,5725</t>
  </si>
  <si>
    <t>246,6000</t>
  </si>
  <si>
    <t>231,1837</t>
  </si>
  <si>
    <t>228,1472</t>
  </si>
  <si>
    <t>237,5</t>
  </si>
  <si>
    <t>212,8119</t>
  </si>
  <si>
    <t>137,4750</t>
  </si>
  <si>
    <t>407,5</t>
  </si>
  <si>
    <t>326,1544</t>
  </si>
  <si>
    <t>294,4622</t>
  </si>
  <si>
    <t>387,5</t>
  </si>
  <si>
    <t>293,9346</t>
  </si>
  <si>
    <t>253,8753</t>
  </si>
  <si>
    <t>209,8927</t>
  </si>
  <si>
    <t>602,5</t>
  </si>
  <si>
    <t>352,6433</t>
  </si>
  <si>
    <t>360,0</t>
  </si>
  <si>
    <t>294,4152</t>
  </si>
  <si>
    <t>166,5356</t>
  </si>
  <si>
    <t>662,5</t>
  </si>
  <si>
    <t>373,1863</t>
  </si>
  <si>
    <t>647,5</t>
  </si>
  <si>
    <t>362,9238</t>
  </si>
  <si>
    <t>665,0</t>
  </si>
  <si>
    <t>360,8955</t>
  </si>
  <si>
    <t>605,0</t>
  </si>
  <si>
    <t>360,0960</t>
  </si>
  <si>
    <t>560,0</t>
  </si>
  <si>
    <t>358,0640</t>
  </si>
  <si>
    <t>525,0</t>
  </si>
  <si>
    <t>357,2625</t>
  </si>
  <si>
    <t>505,0</t>
  </si>
  <si>
    <t>344,8140</t>
  </si>
  <si>
    <t>465,0</t>
  </si>
  <si>
    <t>318,9435</t>
  </si>
  <si>
    <t>470,0</t>
  </si>
  <si>
    <t>315,2760</t>
  </si>
  <si>
    <t>288,6322</t>
  </si>
  <si>
    <t>482,5</t>
  </si>
  <si>
    <t>286,3638</t>
  </si>
  <si>
    <t>485,0</t>
  </si>
  <si>
    <t>263,4520</t>
  </si>
  <si>
    <t>260,5860</t>
  </si>
  <si>
    <t>239,5050</t>
  </si>
  <si>
    <t>198,0120</t>
  </si>
  <si>
    <t>Кубок Силы 5 НАП
Любители жим лежа без экипировки
Краснодар/Краснодарский край 22 - 24 декабря 2017 г.</t>
  </si>
  <si>
    <t>-. Гуськова Елена</t>
  </si>
  <si>
    <t>Открытая (07.04.1986)/31</t>
  </si>
  <si>
    <t>46,90</t>
  </si>
  <si>
    <t xml:space="preserve">тайфун </t>
  </si>
  <si>
    <t xml:space="preserve">Екатеринбург/Свердловская область </t>
  </si>
  <si>
    <t>Лупиногина Светлана</t>
  </si>
  <si>
    <t>1. Лупиногина Светлана</t>
  </si>
  <si>
    <t>Открытая (05.01.1982)/35</t>
  </si>
  <si>
    <t>51,80</t>
  </si>
  <si>
    <t>Мешкова Юлия</t>
  </si>
  <si>
    <t>3. Мешкова Юлия</t>
  </si>
  <si>
    <t>Открытая (24.02.1981)/36</t>
  </si>
  <si>
    <t>51,20</t>
  </si>
  <si>
    <t xml:space="preserve">SPORT LIFE </t>
  </si>
  <si>
    <t xml:space="preserve">Кропоткин/Краснодарский край </t>
  </si>
  <si>
    <t>Димова Надежда</t>
  </si>
  <si>
    <t>1. Димова Надежда</t>
  </si>
  <si>
    <t>Открытая (01.04.1982)/35</t>
  </si>
  <si>
    <t>54,20</t>
  </si>
  <si>
    <t>Незнамова Ирина</t>
  </si>
  <si>
    <t>2. Незнамова Ирина</t>
  </si>
  <si>
    <t>Открытая (16.12.1983)/34</t>
  </si>
  <si>
    <t>54,00</t>
  </si>
  <si>
    <t xml:space="preserve">ск Арена </t>
  </si>
  <si>
    <t>Симдянкина Кристина</t>
  </si>
  <si>
    <t>3. Симдянкина Кристина</t>
  </si>
  <si>
    <t>Открытая (01.08.1980)/37</t>
  </si>
  <si>
    <t>53,50</t>
  </si>
  <si>
    <t>42,5</t>
  </si>
  <si>
    <t>Эрм Оксана</t>
  </si>
  <si>
    <t>1. Эрм Оксана</t>
  </si>
  <si>
    <t>Открытая (30.10.1988)/29</t>
  </si>
  <si>
    <t>58,00</t>
  </si>
  <si>
    <t xml:space="preserve">парк горького </t>
  </si>
  <si>
    <t>2. Будаковская Екатерина</t>
  </si>
  <si>
    <t>Лукьянова Екатерина</t>
  </si>
  <si>
    <t>3. Лукьянова Екатерина</t>
  </si>
  <si>
    <t>Открытая (13.03.1987)/30</t>
  </si>
  <si>
    <t>59,80</t>
  </si>
  <si>
    <t>Семенец Елизавета</t>
  </si>
  <si>
    <t>1. Семенец Елизавета</t>
  </si>
  <si>
    <t>Девушки 14 - 15 (02.06.2005)/12</t>
  </si>
  <si>
    <t>86,40</t>
  </si>
  <si>
    <t xml:space="preserve">пгт Тульский[4]/Адыгея </t>
  </si>
  <si>
    <t>Ичетовкин Михаил</t>
  </si>
  <si>
    <t>1. Ичетовкин Михаил</t>
  </si>
  <si>
    <t>Юноши 14 - 15 (22.09.2004)/13</t>
  </si>
  <si>
    <t>45,20</t>
  </si>
  <si>
    <t>Безиров Алим</t>
  </si>
  <si>
    <t>1. Безиров Алим</t>
  </si>
  <si>
    <t>Юниоры 20 - 23 (26.12.1996)/20</t>
  </si>
  <si>
    <t>55,80</t>
  </si>
  <si>
    <t>Рожков Илья</t>
  </si>
  <si>
    <t>1. Рожков Илья</t>
  </si>
  <si>
    <t>Юноши 16 - 17 (17.12.2000)/17</t>
  </si>
  <si>
    <t>57,70</t>
  </si>
  <si>
    <t>Усенко Александр</t>
  </si>
  <si>
    <t>1. Усенко Александр</t>
  </si>
  <si>
    <t>Открытая (30.06.1986)/31</t>
  </si>
  <si>
    <t>59,30</t>
  </si>
  <si>
    <t>Шитько Богдан</t>
  </si>
  <si>
    <t>1. Шитько Богдан</t>
  </si>
  <si>
    <t>65,70</t>
  </si>
  <si>
    <t xml:space="preserve">динамит </t>
  </si>
  <si>
    <t>1. Косарев Илья</t>
  </si>
  <si>
    <t>Открытая (14.02.1991)/26</t>
  </si>
  <si>
    <t>67,00</t>
  </si>
  <si>
    <t>Гусаков Виталий</t>
  </si>
  <si>
    <t>1. Гусаков Виталий</t>
  </si>
  <si>
    <t>Юноши 18 - 19 (14.11.1999)/18</t>
  </si>
  <si>
    <t>73,50</t>
  </si>
  <si>
    <t xml:space="preserve">Солнышко </t>
  </si>
  <si>
    <t xml:space="preserve">Темрюк/Краснодарский край </t>
  </si>
  <si>
    <t>Александров Дмитрий</t>
  </si>
  <si>
    <t>1. Александров Дмитрий</t>
  </si>
  <si>
    <t>Юниоры 20 - 23 (11.05.1994)/23</t>
  </si>
  <si>
    <t>71,80</t>
  </si>
  <si>
    <t xml:space="preserve">Rino don </t>
  </si>
  <si>
    <t>Гапон Антон</t>
  </si>
  <si>
    <t>2. Гапон Антон</t>
  </si>
  <si>
    <t>Юниоры 20 - 23 (19.01.1996)/21</t>
  </si>
  <si>
    <t>74,00</t>
  </si>
  <si>
    <t xml:space="preserve">авраменко </t>
  </si>
  <si>
    <t>Шогенов Азамат</t>
  </si>
  <si>
    <t>3. Шогенов Азамат</t>
  </si>
  <si>
    <t>Юниоры 20 - 23 (24.10.1996)/21</t>
  </si>
  <si>
    <t>73,90</t>
  </si>
  <si>
    <t>Кудрявцев Вадим</t>
  </si>
  <si>
    <t>1. Кудрявцев Вадим</t>
  </si>
  <si>
    <t>Открытая (02.12.1987)/30</t>
  </si>
  <si>
    <t xml:space="preserve">восход </t>
  </si>
  <si>
    <t xml:space="preserve">ст. Старовеличковская </t>
  </si>
  <si>
    <t>Абрамов Алексей</t>
  </si>
  <si>
    <t>2. Абрамов Алексей</t>
  </si>
  <si>
    <t>Открытая (25.03.1984)/33</t>
  </si>
  <si>
    <t>73,20</t>
  </si>
  <si>
    <t xml:space="preserve">ск МЕДВЕДЬ став </t>
  </si>
  <si>
    <t>147,5</t>
  </si>
  <si>
    <t>Нагорный Андрей</t>
  </si>
  <si>
    <t>3. Нагорный Андрей</t>
  </si>
  <si>
    <t>Открытая (01.09.1990)/27</t>
  </si>
  <si>
    <t>75,00</t>
  </si>
  <si>
    <t>Карданов Ислам</t>
  </si>
  <si>
    <t>4. Карданов Ислам</t>
  </si>
  <si>
    <t>Открытая (15.10.1987)/30</t>
  </si>
  <si>
    <t>73,10</t>
  </si>
  <si>
    <t>5. Попов Константин</t>
  </si>
  <si>
    <t>6. Шогенов Азамат</t>
  </si>
  <si>
    <t>Открытая (24.10.1996)/21</t>
  </si>
  <si>
    <t>Мельников Александр</t>
  </si>
  <si>
    <t>1. Мельников Александр</t>
  </si>
  <si>
    <t>Юноши 14 - 15 (30.08.2003)/14</t>
  </si>
  <si>
    <t>82,40</t>
  </si>
  <si>
    <t>Морозов Борис</t>
  </si>
  <si>
    <t>1. Морозов Борис</t>
  </si>
  <si>
    <t>Открытая (10.04.1987)/30</t>
  </si>
  <si>
    <t>79,10</t>
  </si>
  <si>
    <t>Ткаченко Александр</t>
  </si>
  <si>
    <t>2. Ткаченко Александр</t>
  </si>
  <si>
    <t>Открытая (22.08.1989)/28</t>
  </si>
  <si>
    <t>81,60</t>
  </si>
  <si>
    <t>Китов Борис</t>
  </si>
  <si>
    <t>3. Китов Борис</t>
  </si>
  <si>
    <t>Открытая (26.10.1989)/28</t>
  </si>
  <si>
    <t>78,50</t>
  </si>
  <si>
    <t>Пикулев Владимир</t>
  </si>
  <si>
    <t>1. Пикулев Владимир</t>
  </si>
  <si>
    <t>Юниоры 20 - 23 (19.07.1994)/23</t>
  </si>
  <si>
    <t>87,10</t>
  </si>
  <si>
    <t xml:space="preserve">екатеринодар </t>
  </si>
  <si>
    <t>167,5</t>
  </si>
  <si>
    <t>Серкин Илья</t>
  </si>
  <si>
    <t>2. Серкин Илья</t>
  </si>
  <si>
    <t>Юниоры 20 - 23 (14.05.1995)/22</t>
  </si>
  <si>
    <t>85,40</t>
  </si>
  <si>
    <t xml:space="preserve">тз железяка </t>
  </si>
  <si>
    <t xml:space="preserve">Армавир/Краснодарский край </t>
  </si>
  <si>
    <t>3. Тубаев Имран</t>
  </si>
  <si>
    <t>Клименко Сергей</t>
  </si>
  <si>
    <t>1. Клименко Сергей</t>
  </si>
  <si>
    <t>Открытая (01.09.1989)/28</t>
  </si>
  <si>
    <t xml:space="preserve">дом физкультурника </t>
  </si>
  <si>
    <t>Карпухин Дмитрий</t>
  </si>
  <si>
    <t>2. Карпухин Дмитрий</t>
  </si>
  <si>
    <t>Открытая (30.07.1993)/24</t>
  </si>
  <si>
    <t xml:space="preserve">энерджи новороссийск </t>
  </si>
  <si>
    <t xml:space="preserve">Новороссийск/Краснодарский край </t>
  </si>
  <si>
    <t>Матвеев Дмитрий</t>
  </si>
  <si>
    <t>3. Матвеев Дмитрий</t>
  </si>
  <si>
    <t>Открытая (02.12.1985)/32</t>
  </si>
  <si>
    <t>89,20</t>
  </si>
  <si>
    <t>Садовников Георгий</t>
  </si>
  <si>
    <t>4. Садовников Георгий</t>
  </si>
  <si>
    <t>Открытая (18.09.1990)/27</t>
  </si>
  <si>
    <t>Эрдманн Владимир</t>
  </si>
  <si>
    <t>5. Эрдманн Владимир</t>
  </si>
  <si>
    <t>Открытая (28.02.1986)/31</t>
  </si>
  <si>
    <t>87,30</t>
  </si>
  <si>
    <t>Кан Евгений</t>
  </si>
  <si>
    <t>1. Кан Евгений</t>
  </si>
  <si>
    <t>Мастера 45 - 49 (05.04.1972)/45</t>
  </si>
  <si>
    <t>87,80</t>
  </si>
  <si>
    <t xml:space="preserve">ферум </t>
  </si>
  <si>
    <t>Галдин Олег</t>
  </si>
  <si>
    <t>2. Галдин Олег</t>
  </si>
  <si>
    <t>Мастера 45 - 49 (25.09.1971)/46</t>
  </si>
  <si>
    <t>86,70</t>
  </si>
  <si>
    <t>Шапаров Кирилл</t>
  </si>
  <si>
    <t>1. Шапаров Кирилл</t>
  </si>
  <si>
    <t>Юноши 16 - 17 (28.06.2001)/16</t>
  </si>
  <si>
    <t>Рыков Степан</t>
  </si>
  <si>
    <t>2. Рыков Степан</t>
  </si>
  <si>
    <t>Юноши 16 - 17 (05.02.2000)/17</t>
  </si>
  <si>
    <t>99,80</t>
  </si>
  <si>
    <t xml:space="preserve">Real Profit </t>
  </si>
  <si>
    <t>Захаров Владимир</t>
  </si>
  <si>
    <t>1. Захаров Владимир</t>
  </si>
  <si>
    <t>Открытая (07.07.1955)/62</t>
  </si>
  <si>
    <t>Кобилинский Демьян</t>
  </si>
  <si>
    <t>2. Кобилинский Демьян</t>
  </si>
  <si>
    <t>Открытая (12.03.1991)/26</t>
  </si>
  <si>
    <t>98,80</t>
  </si>
  <si>
    <t>Дух Михаил</t>
  </si>
  <si>
    <t>3. Дух Михаил</t>
  </si>
  <si>
    <t>Открытая (15.01.1987)/30</t>
  </si>
  <si>
    <t>95,80</t>
  </si>
  <si>
    <t xml:space="preserve">сш Ника </t>
  </si>
  <si>
    <t xml:space="preserve">Кореновск/Краснодарский край </t>
  </si>
  <si>
    <t>Гришечко Владислав</t>
  </si>
  <si>
    <t>4. Гришечко Владислав</t>
  </si>
  <si>
    <t>Открытая (12.08.1989)/28</t>
  </si>
  <si>
    <t>98,00</t>
  </si>
  <si>
    <t xml:space="preserve">Цезарь </t>
  </si>
  <si>
    <t>Шаламай Игорь</t>
  </si>
  <si>
    <t>5. Шаламай Игорь</t>
  </si>
  <si>
    <t>Открытая (23.08.1989)/28</t>
  </si>
  <si>
    <t>95,00</t>
  </si>
  <si>
    <t>Симонов Андрей</t>
  </si>
  <si>
    <t>1. Симонов Андрей</t>
  </si>
  <si>
    <t>Мастера 45 - 49 (06.03.1972)/45</t>
  </si>
  <si>
    <t>Мастера 60 - 64 (07.07.1955)/62</t>
  </si>
  <si>
    <t>Пахучий Александр</t>
  </si>
  <si>
    <t>1. Пахучий Александр</t>
  </si>
  <si>
    <t>Открытая (24.04.1978)/39</t>
  </si>
  <si>
    <t>108,60</t>
  </si>
  <si>
    <t>Власов Максим</t>
  </si>
  <si>
    <t>2. Власов Максим</t>
  </si>
  <si>
    <t>Открытая (13.10.1983)/34</t>
  </si>
  <si>
    <t>106,20</t>
  </si>
  <si>
    <t xml:space="preserve">Крымск/Краснодарский край </t>
  </si>
  <si>
    <t>Олифир Андрей</t>
  </si>
  <si>
    <t>1. Олифир Андрей</t>
  </si>
  <si>
    <t>Мастера 40 - 44 (15.06.1975)/42</t>
  </si>
  <si>
    <t>108,10</t>
  </si>
  <si>
    <t>Гулян Артур</t>
  </si>
  <si>
    <t>1. Гулян Артур</t>
  </si>
  <si>
    <t>Открытая (23.01.1982)/35</t>
  </si>
  <si>
    <t>119,60</t>
  </si>
  <si>
    <t xml:space="preserve">ПЕЛИКАН </t>
  </si>
  <si>
    <t>Литвинов Евгений</t>
  </si>
  <si>
    <t>2. Литвинов Евгений</t>
  </si>
  <si>
    <t>Открытая (16.05.1991)/26</t>
  </si>
  <si>
    <t xml:space="preserve">антал </t>
  </si>
  <si>
    <t xml:space="preserve">ТАЛОВАСОВ а </t>
  </si>
  <si>
    <t>Меликов Михаил</t>
  </si>
  <si>
    <t>3. Меликов Михаил</t>
  </si>
  <si>
    <t>Открытая (28.10.1981)/36</t>
  </si>
  <si>
    <t>121,30</t>
  </si>
  <si>
    <t xml:space="preserve">Графит </t>
  </si>
  <si>
    <t>Вагнер Игорь</t>
  </si>
  <si>
    <t>1. Вагнер Игорь</t>
  </si>
  <si>
    <t>Мастера 40 - 44 (14.10.1977)/40</t>
  </si>
  <si>
    <t>111,60</t>
  </si>
  <si>
    <t>187,5</t>
  </si>
  <si>
    <t>Хорошаев Геннадий</t>
  </si>
  <si>
    <t>1. Хорошаев Геннадий</t>
  </si>
  <si>
    <t>Мастера 50 - 54 (07.03.1963)/54</t>
  </si>
  <si>
    <t>113,70</t>
  </si>
  <si>
    <t>30,0112</t>
  </si>
  <si>
    <t>62,0670</t>
  </si>
  <si>
    <t>60,8985</t>
  </si>
  <si>
    <t>55,9101</t>
  </si>
  <si>
    <t>55,3562</t>
  </si>
  <si>
    <t>46,2367</t>
  </si>
  <si>
    <t>44,3880</t>
  </si>
  <si>
    <t>44,1765</t>
  </si>
  <si>
    <t>42,2888</t>
  </si>
  <si>
    <t>37,8780</t>
  </si>
  <si>
    <t>30,2190</t>
  </si>
  <si>
    <t>96,6211</t>
  </si>
  <si>
    <t>96,0271</t>
  </si>
  <si>
    <t>80,3412</t>
  </si>
  <si>
    <t>74,7732</t>
  </si>
  <si>
    <t>55,4632</t>
  </si>
  <si>
    <t>53,8974</t>
  </si>
  <si>
    <t>45,7412</t>
  </si>
  <si>
    <t>95,5680</t>
  </si>
  <si>
    <t>94,9773</t>
  </si>
  <si>
    <t>94,7128</t>
  </si>
  <si>
    <t>87,7455</t>
  </si>
  <si>
    <t>83,4053</t>
  </si>
  <si>
    <t>77,0661</t>
  </si>
  <si>
    <t>75,4321</t>
  </si>
  <si>
    <t>69,5147</t>
  </si>
  <si>
    <t>133,1685</t>
  </si>
  <si>
    <t>121,2580</t>
  </si>
  <si>
    <t>105,4775</t>
  </si>
  <si>
    <t>105,2600</t>
  </si>
  <si>
    <t>104,9490</t>
  </si>
  <si>
    <t>98,1255</t>
  </si>
  <si>
    <t>97,4750</t>
  </si>
  <si>
    <t>96,5295</t>
  </si>
  <si>
    <t>95,6880</t>
  </si>
  <si>
    <t>93,0300</t>
  </si>
  <si>
    <t>91,9975</t>
  </si>
  <si>
    <t>91,8775</t>
  </si>
  <si>
    <t>91,5570</t>
  </si>
  <si>
    <t>90,8537</t>
  </si>
  <si>
    <t>88,9343</t>
  </si>
  <si>
    <t>88,2475</t>
  </si>
  <si>
    <t>88,0427</t>
  </si>
  <si>
    <t>86,6720</t>
  </si>
  <si>
    <t>85,3325</t>
  </si>
  <si>
    <t>85,1700</t>
  </si>
  <si>
    <t>82,2800</t>
  </si>
  <si>
    <t>82,1975</t>
  </si>
  <si>
    <t>80,5275</t>
  </si>
  <si>
    <t>80,4960</t>
  </si>
  <si>
    <t xml:space="preserve">Мастера 60 - 64 </t>
  </si>
  <si>
    <t>184,7313</t>
  </si>
  <si>
    <t xml:space="preserve">Мастера 40 - 44 </t>
  </si>
  <si>
    <t>100,2562</t>
  </si>
  <si>
    <t xml:space="preserve">Мастера 45 - 49 </t>
  </si>
  <si>
    <t>99,6522</t>
  </si>
  <si>
    <t>95,9811</t>
  </si>
  <si>
    <t xml:space="preserve">Мастера 50 - 54 </t>
  </si>
  <si>
    <t>95,6283</t>
  </si>
  <si>
    <t>88,3594</t>
  </si>
  <si>
    <t>86,4591</t>
  </si>
  <si>
    <t>Кубок Силы 5 НАП
Любители становая тяга без экипировки
Краснодар/Краснодарский край 22 - 24 декабря 2017 г.</t>
  </si>
  <si>
    <t>Самохвалова Юлия</t>
  </si>
  <si>
    <t>2. Самохвалова Юлия</t>
  </si>
  <si>
    <t>Открытая (01.09.1987)/30</t>
  </si>
  <si>
    <t>46,40</t>
  </si>
  <si>
    <t>Гетажеева Асана</t>
  </si>
  <si>
    <t>1. Гетажеева Асана</t>
  </si>
  <si>
    <t>Девушки 18 - 19 (31.12.1998)/18</t>
  </si>
  <si>
    <t>51,50</t>
  </si>
  <si>
    <t>2. Гетажеева Асана</t>
  </si>
  <si>
    <t>Открытая (31.12.1998)/18</t>
  </si>
  <si>
    <t>3. Чабанная Юлия</t>
  </si>
  <si>
    <t>Борискина Инга</t>
  </si>
  <si>
    <t>1. Борискина Инга</t>
  </si>
  <si>
    <t>Мастера 40 - 44 (18.04.1976)/41</t>
  </si>
  <si>
    <t>51,10</t>
  </si>
  <si>
    <t xml:space="preserve">авангард </t>
  </si>
  <si>
    <t>Скляр Кристина</t>
  </si>
  <si>
    <t>2. Скляр Кристина</t>
  </si>
  <si>
    <t>Открытая (25.05.1988)/29</t>
  </si>
  <si>
    <t>57,80</t>
  </si>
  <si>
    <t xml:space="preserve">Витязь </t>
  </si>
  <si>
    <t>3. Акимова Анна</t>
  </si>
  <si>
    <t>4. Лавриненко Божена</t>
  </si>
  <si>
    <t>Игнатенко Юлия</t>
  </si>
  <si>
    <t>5. Игнатенко Юлия</t>
  </si>
  <si>
    <t>Открытая (17.09.1985)/32</t>
  </si>
  <si>
    <t>56,70</t>
  </si>
  <si>
    <t>Макоев Астемир</t>
  </si>
  <si>
    <t>1. Макоев Астемир</t>
  </si>
  <si>
    <t>Юниоры 20 - 23 (04.06.1994)/23</t>
  </si>
  <si>
    <t>59,40</t>
  </si>
  <si>
    <t>Ачмизов Руслан</t>
  </si>
  <si>
    <t>1. Ачмизов Руслан</t>
  </si>
  <si>
    <t>66,00</t>
  </si>
  <si>
    <t xml:space="preserve">Житник </t>
  </si>
  <si>
    <t>Шаврин Борис</t>
  </si>
  <si>
    <t>2. Шаврин Борис</t>
  </si>
  <si>
    <t>Открытая (12.03.1951)/66</t>
  </si>
  <si>
    <t>65,60</t>
  </si>
  <si>
    <t>1. Шаврин Борис</t>
  </si>
  <si>
    <t>Мастера 65 - 69 (12.03.1951)/66</t>
  </si>
  <si>
    <t>Шогенов Ибрагим</t>
  </si>
  <si>
    <t>1. Шогенов Ибрагим</t>
  </si>
  <si>
    <t>Юноши 18 - 19 (05.04.1998)/19</t>
  </si>
  <si>
    <t>Лампежев Алим</t>
  </si>
  <si>
    <t>2. Лампежев Алим</t>
  </si>
  <si>
    <t>Юноши 18 - 19 (28.10.1998)/19</t>
  </si>
  <si>
    <t>Карданов Тимур</t>
  </si>
  <si>
    <t>1. Карданов Тимур</t>
  </si>
  <si>
    <t>Юниоры 20 - 23 (29.06.1995)/22</t>
  </si>
  <si>
    <t>71,70</t>
  </si>
  <si>
    <t>Максидов Артур</t>
  </si>
  <si>
    <t>2. Максидов Артур</t>
  </si>
  <si>
    <t>Юниоры 20 - 23 (10.02.1997)/20</t>
  </si>
  <si>
    <t>Арамисов Мухамед</t>
  </si>
  <si>
    <t>3. Арамисов Мухамед</t>
  </si>
  <si>
    <t>Юниоры 20 - 23 (09.10.1995)/22</t>
  </si>
  <si>
    <t>4. Гапон Антон</t>
  </si>
  <si>
    <t>Григорьев Артем</t>
  </si>
  <si>
    <t>1. Григорьев Артем</t>
  </si>
  <si>
    <t>Открытая (18.07.1982)/35</t>
  </si>
  <si>
    <t xml:space="preserve">Титан таганрог </t>
  </si>
  <si>
    <t xml:space="preserve">Таганрог/Ростовская область </t>
  </si>
  <si>
    <t>2. Карданов Тимур</t>
  </si>
  <si>
    <t>Открытая (29.06.1995)/22</t>
  </si>
  <si>
    <t>3. Рафайлиди Григорий</t>
  </si>
  <si>
    <t>4. Шогенов Ибрагим</t>
  </si>
  <si>
    <t>Открытая (05.04.1998)/19</t>
  </si>
  <si>
    <t>5. Лампежев Алим</t>
  </si>
  <si>
    <t>Открытая (28.10.1998)/19</t>
  </si>
  <si>
    <t>Король Ярослав</t>
  </si>
  <si>
    <t>6. Король Ярослав</t>
  </si>
  <si>
    <t>Открытая (15.05.1990)/27</t>
  </si>
  <si>
    <t>70,10</t>
  </si>
  <si>
    <t>-. Вильчевский Дмитрий</t>
  </si>
  <si>
    <t>Юноши 16 - 17 (28.08.2000)/17</t>
  </si>
  <si>
    <t>Андрюхин Денис</t>
  </si>
  <si>
    <t>2. Андрюхин Денис</t>
  </si>
  <si>
    <t>Юноши 16 - 17 (16.10.2000)/17</t>
  </si>
  <si>
    <t>80,70</t>
  </si>
  <si>
    <t>Тлямитхачев Беслан</t>
  </si>
  <si>
    <t>1. Тлямитхачев Беслан</t>
  </si>
  <si>
    <t>Юниоры 20 - 23 (01.06.1995)/22</t>
  </si>
  <si>
    <t>82,00</t>
  </si>
  <si>
    <t>-. Бекшоков Тимур</t>
  </si>
  <si>
    <t>Юниоры 20 - 23 (04.01.1994)/23</t>
  </si>
  <si>
    <t>81,00</t>
  </si>
  <si>
    <t>Лянгузов Дмитрий</t>
  </si>
  <si>
    <t>2. Лянгузов Дмитрий</t>
  </si>
  <si>
    <t>Открытая (15.11.1988)/29</t>
  </si>
  <si>
    <t>80,40</t>
  </si>
  <si>
    <t xml:space="preserve">Геленджик </t>
  </si>
  <si>
    <t>Козлов Александр</t>
  </si>
  <si>
    <t>3. Козлов Александр</t>
  </si>
  <si>
    <t>Открытая (01.07.1983)/34</t>
  </si>
  <si>
    <t>77,40</t>
  </si>
  <si>
    <t>Акопян Артур</t>
  </si>
  <si>
    <t>4. Акопян Артур</t>
  </si>
  <si>
    <t>Открытая (14.12.1993)/24</t>
  </si>
  <si>
    <t>80,20</t>
  </si>
  <si>
    <t>5. Тлямитхачев Беслан</t>
  </si>
  <si>
    <t>Открытая (01.06.1995)/22</t>
  </si>
  <si>
    <t>Открытая (04.01.1994)/23</t>
  </si>
  <si>
    <t>Баканов Артем</t>
  </si>
  <si>
    <t>1. Баканов Артем</t>
  </si>
  <si>
    <t>Открытая (26.10.1984)/33</t>
  </si>
  <si>
    <t>88,20</t>
  </si>
  <si>
    <t>2. Матвеев Дмитрий</t>
  </si>
  <si>
    <t>1. Галдин Олег</t>
  </si>
  <si>
    <t>Мирзоев Элсевар</t>
  </si>
  <si>
    <t>1. Мирзоев Элсевар</t>
  </si>
  <si>
    <t>Юниоры 20 - 23 (27.11.1994)/23</t>
  </si>
  <si>
    <t>Лупиногин Александр</t>
  </si>
  <si>
    <t>1. Лупиногин Александр</t>
  </si>
  <si>
    <t>Открытая (25.01.1982)/35</t>
  </si>
  <si>
    <t>98,10</t>
  </si>
  <si>
    <t>277,5</t>
  </si>
  <si>
    <t>Шеховцов Артем</t>
  </si>
  <si>
    <t>2. Шеховцов Артем</t>
  </si>
  <si>
    <t>Открытая (25.01.1985)/32</t>
  </si>
  <si>
    <t>97,00</t>
  </si>
  <si>
    <t>3. Мирзоев Элсевар</t>
  </si>
  <si>
    <t>Открытая (27.11.1994)/23</t>
  </si>
  <si>
    <t>Иванилов Павел</t>
  </si>
  <si>
    <t>4. Иванилов Павел</t>
  </si>
  <si>
    <t>Открытая (07.04.1988)/29</t>
  </si>
  <si>
    <t>96,70</t>
  </si>
  <si>
    <t xml:space="preserve">Седнев Д.Э. </t>
  </si>
  <si>
    <t>Чернобровый Вячеслав</t>
  </si>
  <si>
    <t>5. Чернобровый Вячеслав</t>
  </si>
  <si>
    <t>Открытая (20.01.1984)/33</t>
  </si>
  <si>
    <t>93,70</t>
  </si>
  <si>
    <t xml:space="preserve">краснодар </t>
  </si>
  <si>
    <t xml:space="preserve">Терещенко Виталий Николаевич </t>
  </si>
  <si>
    <t>Махнычев Виталий</t>
  </si>
  <si>
    <t>6. Махнычев Виталий</t>
  </si>
  <si>
    <t>Открытая (31.01.1982)/35</t>
  </si>
  <si>
    <t>Утов Азамат</t>
  </si>
  <si>
    <t>7. Утов Азамат</t>
  </si>
  <si>
    <t>Открытая (06.03.1991)/26</t>
  </si>
  <si>
    <t>99,00</t>
  </si>
  <si>
    <t>305,0</t>
  </si>
  <si>
    <t>Гергов Анзор</t>
  </si>
  <si>
    <t>1. Гергов Анзор</t>
  </si>
  <si>
    <t>Юниоры 20 - 23 (25.03.1994)/23</t>
  </si>
  <si>
    <t>Открытая (25.03.1994)/23</t>
  </si>
  <si>
    <t>126,8634</t>
  </si>
  <si>
    <t>64,0240</t>
  </si>
  <si>
    <t>136,5085</t>
  </si>
  <si>
    <t>134,2120</t>
  </si>
  <si>
    <t>131,9625</t>
  </si>
  <si>
    <t>126,4055</t>
  </si>
  <si>
    <t>119,6825</t>
  </si>
  <si>
    <t>115,4725</t>
  </si>
  <si>
    <t>113,4360</t>
  </si>
  <si>
    <t>106,3000</t>
  </si>
  <si>
    <t>105,6840</t>
  </si>
  <si>
    <t>103,3725</t>
  </si>
  <si>
    <t>100,8056</t>
  </si>
  <si>
    <t>92,5114</t>
  </si>
  <si>
    <t>88,7580</t>
  </si>
  <si>
    <t>174,3644</t>
  </si>
  <si>
    <t>145,8928</t>
  </si>
  <si>
    <t>143,1851</t>
  </si>
  <si>
    <t>115,4844</t>
  </si>
  <si>
    <t>160,5569</t>
  </si>
  <si>
    <t>152,1780</t>
  </si>
  <si>
    <t>149,6164</t>
  </si>
  <si>
    <t>147,2076</t>
  </si>
  <si>
    <t>143,6876</t>
  </si>
  <si>
    <t>139,1110</t>
  </si>
  <si>
    <t>135,5145</t>
  </si>
  <si>
    <t>126,7510</t>
  </si>
  <si>
    <t>123,0460</t>
  </si>
  <si>
    <t>122,4832</t>
  </si>
  <si>
    <t>119,8806</t>
  </si>
  <si>
    <t>164,1510</t>
  </si>
  <si>
    <t>162,9760</t>
  </si>
  <si>
    <t>161,4485</t>
  </si>
  <si>
    <t>157,9905</t>
  </si>
  <si>
    <t>150,9030</t>
  </si>
  <si>
    <t>148,9035</t>
  </si>
  <si>
    <t>148,2145</t>
  </si>
  <si>
    <t>148,1350</t>
  </si>
  <si>
    <t>147,4685</t>
  </si>
  <si>
    <t>142,6920</t>
  </si>
  <si>
    <t>140,2815</t>
  </si>
  <si>
    <t>139,2610</t>
  </si>
  <si>
    <t>137,6780</t>
  </si>
  <si>
    <t>137,4165</t>
  </si>
  <si>
    <t>132,4125</t>
  </si>
  <si>
    <t>132,2345</t>
  </si>
  <si>
    <t>128,7000</t>
  </si>
  <si>
    <t>123,7940</t>
  </si>
  <si>
    <t>121,2705</t>
  </si>
  <si>
    <t>119,2000</t>
  </si>
  <si>
    <t>116,8650</t>
  </si>
  <si>
    <t>107,0855</t>
  </si>
  <si>
    <t xml:space="preserve">Мастера 65 - 69 </t>
  </si>
  <si>
    <t>234,8240</t>
  </si>
  <si>
    <t>128,0876</t>
  </si>
  <si>
    <t>Кубок Силы 5 НАП
Любители пауэрлифтинг в однослойной экипировке
Краснодар/Краснодарский край 22 - 24 декабря 2017 г.</t>
  </si>
  <si>
    <t>Кубок Силы 5 НАП
Любители жим лежа в однослойной экипировке
Краснодар/Краснодарский край 22 - 24 декабря 2017 г.</t>
  </si>
  <si>
    <t>Оглы Александр</t>
  </si>
  <si>
    <t>1. Оглы Александр</t>
  </si>
  <si>
    <t>Открытая (31.03.1986)/31</t>
  </si>
  <si>
    <t>71,90</t>
  </si>
  <si>
    <t xml:space="preserve">Космынин В. П. </t>
  </si>
  <si>
    <t>116,8580</t>
  </si>
  <si>
    <t>Кубок Силы 5 НАП
Любители военный жим
Краснодар/Краснодарский край 22 - 24 декабря 2017 г.</t>
  </si>
  <si>
    <t>Кубок Силы 5 НАП
Любители пауэрлифтинг в многослойной экипировке
Краснодар/Краснодарский край 22 - 24 декабря 2017 г.</t>
  </si>
  <si>
    <t>Кубок Силы 5 НАП
Любители жим лежа в многослойной экипировке
Краснодар/Краснодарский край 22 - 24 декабря 2017 г.</t>
  </si>
  <si>
    <t>Кубок Силы 5 НАП
Любители присед без экипировки
Краснодар/Краснодарский край 22 - 24 декабря 2017 г.</t>
  </si>
  <si>
    <t>2. Полянская Ксения</t>
  </si>
  <si>
    <t>1. Чабанная Юлия</t>
  </si>
  <si>
    <t>Магеря Валентина</t>
  </si>
  <si>
    <t>2. Магеря Валентина</t>
  </si>
  <si>
    <t>Открытая (11.09.1986)/31</t>
  </si>
  <si>
    <t>58,20</t>
  </si>
  <si>
    <t>Муковнина Алена</t>
  </si>
  <si>
    <t>1. Муковнина Алена</t>
  </si>
  <si>
    <t>Девушки 18 - 19 (18.02.1998)/19</t>
  </si>
  <si>
    <t>Читаия Анатолий</t>
  </si>
  <si>
    <t>1. Читаия Анатолий</t>
  </si>
  <si>
    <t>Юниоры 20 - 23 (05.12.1997)/20</t>
  </si>
  <si>
    <t>76,9119</t>
  </si>
  <si>
    <t>90,1977</t>
  </si>
  <si>
    <t>89,7345</t>
  </si>
  <si>
    <t>88,7760</t>
  </si>
  <si>
    <t>88,0700</t>
  </si>
  <si>
    <t>83,3040</t>
  </si>
  <si>
    <t>64,0284</t>
  </si>
  <si>
    <t>135,2666</t>
  </si>
  <si>
    <t>102,7035</t>
  </si>
  <si>
    <t>Кубок Силы 5 НАП
Любители становая тяга в однослойной экипировке
Краснодар/Краснодарский край 22 - 24 декабря 2017 г.</t>
  </si>
  <si>
    <t>Осипов Роман</t>
  </si>
  <si>
    <t>1. Осипов Роман</t>
  </si>
  <si>
    <t>Юноши 16 - 17 (25.03.2000)/17</t>
  </si>
  <si>
    <t>95,40</t>
  </si>
  <si>
    <t>Дрожко Павел</t>
  </si>
  <si>
    <t>1. Дрожко Павел</t>
  </si>
  <si>
    <t>Открытая (02.07.1982)/35</t>
  </si>
  <si>
    <t>117,60</t>
  </si>
  <si>
    <t>128,5049</t>
  </si>
  <si>
    <t>137,5660</t>
  </si>
  <si>
    <t>Кубок Силы 5 НАП
Любители становая тяга в многослойной экипировке
Краснодар/Краснодарский край 22 - 24 декабря 2017 г.</t>
  </si>
  <si>
    <t>Кубок Силы 5 НАП
Любители присед в однослойной экипировке
Краснодар/Краснодарский край 22 - 24 декабря 2017 г.</t>
  </si>
  <si>
    <t>Кубок Силы 5 НАП
Любители пауэрлифтинг в софт экипировке
Краснодар/Краснодарский край 22 - 24 декабря 2017 г.</t>
  </si>
  <si>
    <t>Лукьяненко Иван</t>
  </si>
  <si>
    <t>1. Лукьяненко Иван</t>
  </si>
  <si>
    <t>Юноши 16 - 17 (28.03.2001)/16</t>
  </si>
  <si>
    <t>ВЕСОВАЯ КАТЕГОРИЯ   140+</t>
  </si>
  <si>
    <t>Нечушкин Артем</t>
  </si>
  <si>
    <t>1. Нечушкин Артем</t>
  </si>
  <si>
    <t>Открытая (09.07.1999)/18</t>
  </si>
  <si>
    <t>156,30</t>
  </si>
  <si>
    <t>520,0</t>
  </si>
  <si>
    <t>349,7395</t>
  </si>
  <si>
    <t>810,0</t>
  </si>
  <si>
    <t>394,3323</t>
  </si>
  <si>
    <t>Кубок Силы 5 НАП
Любители жим лежа в софт экипировке
Краснодар/Краснодарский край 22 - 24 декабря 2017 г.</t>
  </si>
  <si>
    <t>-. Ильяшенко Екатерина</t>
  </si>
  <si>
    <t>Открытая (26.03.1989)/28</t>
  </si>
  <si>
    <t>-. Родичкина Валентина</t>
  </si>
  <si>
    <t>Открытая (23.08.1986)/31</t>
  </si>
  <si>
    <t>63,70</t>
  </si>
  <si>
    <t>Асланян Руслан</t>
  </si>
  <si>
    <t>1. Асланян Руслан</t>
  </si>
  <si>
    <t>Юниоры 20 - 23 (14.10.1995)/22</t>
  </si>
  <si>
    <t>Открытая (14.10.1995)/22</t>
  </si>
  <si>
    <t>1. Нагорный Андрей</t>
  </si>
  <si>
    <t>-. Хатламаджиев Мкртич</t>
  </si>
  <si>
    <t>Открытая (12.02.1982)/35</t>
  </si>
  <si>
    <t>74,90</t>
  </si>
  <si>
    <t>Хачатурян Армен</t>
  </si>
  <si>
    <t>1. Хачатурян Армен</t>
  </si>
  <si>
    <t>Открытая (18.07.1978)/39</t>
  </si>
  <si>
    <t xml:space="preserve">анна тураева </t>
  </si>
  <si>
    <t>-. Ткаченко Александр</t>
  </si>
  <si>
    <t>-. Бойцевский Дмитрий</t>
  </si>
  <si>
    <t>Сафонов Александр</t>
  </si>
  <si>
    <t>1. Сафонов Александр</t>
  </si>
  <si>
    <t>Открытая (18.02.1976)/41</t>
  </si>
  <si>
    <t>88,50</t>
  </si>
  <si>
    <t>Мастера 40 - 44 (18.02.1976)/41</t>
  </si>
  <si>
    <t>-. Щеколкин Антон</t>
  </si>
  <si>
    <t>Юниоры 20 - 23 (26.05.1995)/22</t>
  </si>
  <si>
    <t>97,20</t>
  </si>
  <si>
    <t>232,5</t>
  </si>
  <si>
    <t>Открытая (26.05.1995)/22</t>
  </si>
  <si>
    <t>-. Осипов Карлен</t>
  </si>
  <si>
    <t>Открытая (26.08.1972)/45</t>
  </si>
  <si>
    <t>107,40</t>
  </si>
  <si>
    <t xml:space="preserve">Ростов-на-дону </t>
  </si>
  <si>
    <t xml:space="preserve">Осипов карлен петрович </t>
  </si>
  <si>
    <t>Мастера 45 - 49 (26.08.1972)/45</t>
  </si>
  <si>
    <t>123,2778</t>
  </si>
  <si>
    <t>138,9790</t>
  </si>
  <si>
    <t>130,9350</t>
  </si>
  <si>
    <t>122,9325</t>
  </si>
  <si>
    <t>122,0572</t>
  </si>
  <si>
    <t>113,7565</t>
  </si>
  <si>
    <t>139,3959</t>
  </si>
  <si>
    <t>119,6250</t>
  </si>
  <si>
    <t>Кубок Силы 5 НАП
Любители присед в многослойной экипировке
Краснодар/Краснодарский край 22 - 24 декабря 2017 г.</t>
  </si>
  <si>
    <t>Кубок Силы 5 НАП
Любители становая тяга в софт экипировке
Краснодар/Краснодарский край 22 - 24 декабря 2017 г.</t>
  </si>
  <si>
    <t>Кубок Силы 5 НАП
Любители присед в софт экипировке
Краснодар/Краснодарский край 22 - 24 декабря 2017 г.</t>
  </si>
  <si>
    <t>Космынин Владимир</t>
  </si>
  <si>
    <t>Мастера 55- 59 1960 57</t>
  </si>
  <si>
    <t>71,7</t>
  </si>
  <si>
    <t>Коэфф</t>
  </si>
  <si>
    <t>0.6890</t>
  </si>
  <si>
    <t>SPORT LIFE</t>
  </si>
  <si>
    <t>Кропоткин</t>
  </si>
  <si>
    <t>120</t>
  </si>
  <si>
    <t>125</t>
  </si>
  <si>
    <t>Алхазов Алихан</t>
  </si>
  <si>
    <t>Мастера 45-49 1968 49</t>
  </si>
  <si>
    <t>109,3</t>
  </si>
  <si>
    <t>0.5373</t>
  </si>
  <si>
    <t>Рус Фит</t>
  </si>
  <si>
    <t>Карачаевск</t>
  </si>
  <si>
    <t>155</t>
  </si>
  <si>
    <t>160</t>
  </si>
  <si>
    <t>165</t>
  </si>
  <si>
    <t>Ваагнер Игорь</t>
  </si>
  <si>
    <t>Мастера 40-44 1977 40</t>
  </si>
  <si>
    <t>111,6</t>
  </si>
  <si>
    <t>0.5347</t>
  </si>
  <si>
    <t>Графит</t>
  </si>
  <si>
    <t>Сочи</t>
  </si>
  <si>
    <t>140</t>
  </si>
  <si>
    <t>150</t>
  </si>
  <si>
    <t>130</t>
  </si>
  <si>
    <t>Кубок силы 5 народный жим
Профессионалы народный жим (1/2 вес)
Краснодар/Краснодарский край 22 - 24 декабря 2017 г.</t>
  </si>
  <si>
    <t>НАП Н.Ж.</t>
  </si>
  <si>
    <t>Жим мн. повт.</t>
  </si>
  <si>
    <t>Тоннаж</t>
  </si>
  <si>
    <t>Вес</t>
  </si>
  <si>
    <t>Повторы</t>
  </si>
  <si>
    <t>1. Скляр Наталья</t>
  </si>
  <si>
    <t>Мастера 50 - 54 (28.01.1967)/50</t>
  </si>
  <si>
    <t>54,10</t>
  </si>
  <si>
    <t>38,0</t>
  </si>
  <si>
    <t xml:space="preserve">НАП Н.Ж. </t>
  </si>
  <si>
    <t>Скляр Наталья</t>
  </si>
  <si>
    <t>1045,0</t>
  </si>
  <si>
    <t>991,6005</t>
  </si>
  <si>
    <t>Кубок силы 5 народный жим
Профессионалы народный жим (1 вес)
Краснодар/Краснодарский край 22 - 24 декабря 2017 г.</t>
  </si>
  <si>
    <t>1. Язев Станислав</t>
  </si>
  <si>
    <t>19,0</t>
  </si>
  <si>
    <t>1. Хуршудян Багдасар</t>
  </si>
  <si>
    <t>Открытая (13.03.1990)/27</t>
  </si>
  <si>
    <t>87,50</t>
  </si>
  <si>
    <t>87,5</t>
  </si>
  <si>
    <t>21,0</t>
  </si>
  <si>
    <t>1. Миннеахметов Рафаил</t>
  </si>
  <si>
    <t>Мастера 50 - 54 (23.02.1965)/52</t>
  </si>
  <si>
    <t>23,0</t>
  </si>
  <si>
    <t>1. Кошкин Виктор</t>
  </si>
  <si>
    <t>Открытая (26.02.1979)/38</t>
  </si>
  <si>
    <t>108,70</t>
  </si>
  <si>
    <t xml:space="preserve">форма </t>
  </si>
  <si>
    <t>1. Скляр Олег</t>
  </si>
  <si>
    <t>Мастера 50 - 54 (21.06.1966)/51</t>
  </si>
  <si>
    <t>111,20</t>
  </si>
  <si>
    <t>Кошкин Виктор</t>
  </si>
  <si>
    <t>2530,0</t>
  </si>
  <si>
    <t>1639,6930</t>
  </si>
  <si>
    <t>Хуршудян Багдасар</t>
  </si>
  <si>
    <t>1837,5</t>
  </si>
  <si>
    <t>1348,9087</t>
  </si>
  <si>
    <t>1377,5</t>
  </si>
  <si>
    <t>1121,5605</t>
  </si>
  <si>
    <t>Скляр Олег</t>
  </si>
  <si>
    <t>2812,5</t>
  </si>
  <si>
    <t>1972,6874</t>
  </si>
  <si>
    <t>Миннеахметов Рафаил</t>
  </si>
  <si>
    <t>2070,0</t>
  </si>
  <si>
    <t>1490,6070</t>
  </si>
  <si>
    <t>Кубок силы 5 народный жим
Любители народный жим (1/2 вес)
Краснодар/Краснодарский край 22 - 24 декабря 2017 г.</t>
  </si>
  <si>
    <t>1. Тимощенко Ирина</t>
  </si>
  <si>
    <t>Открытая (17.12.1991)/26</t>
  </si>
  <si>
    <t>45,40</t>
  </si>
  <si>
    <t>36,0</t>
  </si>
  <si>
    <t xml:space="preserve">Скляр </t>
  </si>
  <si>
    <t>Тимощенко Ирина</t>
  </si>
  <si>
    <t>900,0</t>
  </si>
  <si>
    <t>915,8401</t>
  </si>
  <si>
    <t>Кубок силы 5 народный жим
Любители народный жим (1 вес)
Краснодар/Краснодарский край 22 - 24 декабря 2017 г.</t>
  </si>
  <si>
    <t>1. Рафайлиди Григорий</t>
  </si>
  <si>
    <t>1. Ткаченко Александр</t>
  </si>
  <si>
    <t>34,0</t>
  </si>
  <si>
    <t>14,0</t>
  </si>
  <si>
    <t>1. Власов Максим</t>
  </si>
  <si>
    <t>22,0</t>
  </si>
  <si>
    <t>2975,0</t>
  </si>
  <si>
    <t>2194,0625</t>
  </si>
  <si>
    <t>2700,0</t>
  </si>
  <si>
    <t>1977,4800</t>
  </si>
  <si>
    <t>2365,0</t>
  </si>
  <si>
    <t>1568,9410</t>
  </si>
  <si>
    <t>1732,5</t>
  </si>
  <si>
    <t>1324,8427</t>
  </si>
  <si>
    <t>1522,5</t>
  </si>
  <si>
    <t>1246,4708</t>
  </si>
  <si>
    <t>2242,5</t>
  </si>
  <si>
    <t>1539,4763</t>
  </si>
  <si>
    <t>1260,0</t>
  </si>
  <si>
    <t>921,8160</t>
  </si>
  <si>
    <t>Кубок силы 5 пауэрспорт
Профессионалы
Краснодар/Краснодарский край 22 - 24 декабря 2017 г.</t>
  </si>
  <si>
    <t>Соб.
вес</t>
  </si>
  <si>
    <t>Армейский жим</t>
  </si>
  <si>
    <t>Подъем на бицес</t>
  </si>
  <si>
    <t>1. Жданов Дмитрий</t>
  </si>
  <si>
    <t>112,0607</t>
  </si>
  <si>
    <t>Кубок Силы 5 Русский жим
Профессионалы 100 кг.
Краснодар/Краснодарский край 22 - 24 декабря 2017 г.</t>
  </si>
  <si>
    <t>ВЕСОВАЯ КАТЕГОРИЯ   All</t>
  </si>
  <si>
    <t>1. Пархоменко Владислав</t>
  </si>
  <si>
    <t>33,0</t>
  </si>
  <si>
    <t>3300,0</t>
  </si>
  <si>
    <t>1847,0100</t>
  </si>
  <si>
    <t>Кубок Силы 5 Русский жим
Любители 75 кг.
Краснодар/Краснодарский край 22 - 24 декабря 2017 г.</t>
  </si>
  <si>
    <t>1. Кобилинский Демьян</t>
  </si>
  <si>
    <t>1838,0999</t>
  </si>
  <si>
    <t>Кубок Силы 5 Русский жим
Любители 55 кг.
Краснодар/Краснодарский край 22 - 24 декабря 2017 г.</t>
  </si>
  <si>
    <t>Мастера 40 - 49 (18.02.1976)/41</t>
  </si>
  <si>
    <t>Мастера 50 - 59 (07.03.1963)/54</t>
  </si>
  <si>
    <t xml:space="preserve">Мастера 50 - 59 </t>
  </si>
  <si>
    <t>3025,0</t>
  </si>
  <si>
    <t>2142,7829</t>
  </si>
  <si>
    <t xml:space="preserve">Мастера 40 - 49 </t>
  </si>
  <si>
    <t>3575,0</t>
  </si>
  <si>
    <t>2120,5979</t>
  </si>
  <si>
    <t>Кубок Силы 5 Русский жим
Любители 35 кг.
Краснодар/Краснодарский край 22 - 24 декабря 2017 г.</t>
  </si>
  <si>
    <t>56,00</t>
  </si>
  <si>
    <t>735,0</t>
  </si>
  <si>
    <t>670,6140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</si>
</sst>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1"/>
      <name val="Arial Cyr"/>
      <charset val="204"/>
    </font>
    <font>
      <sz val="24"/>
      <name val="Arial Cyr"/>
      <family val="2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/>
    </xf>
    <xf numFmtId="49" fontId="3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left"/>
    </xf>
    <xf numFmtId="49" fontId="7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left"/>
    </xf>
    <xf numFmtId="49" fontId="0" fillId="0" borderId="13" xfId="0" applyNumberForma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"/>
  <sheetViews>
    <sheetView workbookViewId="0">
      <selection sqref="A1:IV65536"/>
    </sheetView>
  </sheetViews>
  <sheetFormatPr defaultRowHeight="12.75"/>
  <cols>
    <col min="1" max="1" width="25.85546875" style="5" bestFit="1" customWidth="1"/>
    <col min="2" max="2" width="25.28515625" style="5" bestFit="1" customWidth="1"/>
    <col min="3" max="3" width="6.85546875" style="5" bestFit="1" customWidth="1"/>
    <col min="4" max="4" width="6.5703125" style="6" bestFit="1" customWidth="1"/>
    <col min="5" max="5" width="23.7109375" style="5" bestFit="1" customWidth="1"/>
    <col min="6" max="6" width="21.140625" style="5" bestFit="1" customWidth="1"/>
    <col min="7" max="7" width="5.5703125" style="4" bestFit="1" customWidth="1"/>
    <col min="8" max="8" width="7" style="4" customWidth="1"/>
    <col min="9" max="9" width="6.28515625" style="4" bestFit="1" customWidth="1"/>
    <col min="10" max="10" width="5.5703125" style="4" bestFit="1" customWidth="1"/>
    <col min="11" max="13" width="7" style="4" bestFit="1" customWidth="1"/>
    <col min="14" max="14" width="5.5703125" style="4" bestFit="1" customWidth="1"/>
    <col min="15" max="16" width="7" style="4" bestFit="1" customWidth="1"/>
    <col min="17" max="17" width="6.28515625" style="4" bestFit="1" customWidth="1"/>
    <col min="18" max="18" width="5.5703125" style="4" bestFit="1" customWidth="1"/>
    <col min="19" max="19" width="7.85546875" style="6" bestFit="1" customWidth="1"/>
    <col min="20" max="20" width="8.5703125" style="7" bestFit="1" customWidth="1"/>
    <col min="21" max="21" width="23" style="5" bestFit="1" customWidth="1"/>
    <col min="22" max="16384" width="9.140625" style="4"/>
  </cols>
  <sheetData>
    <row r="1" spans="1:21" s="3" customFormat="1" ht="15" customHeight="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3" customFormat="1" ht="66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0</v>
      </c>
      <c r="B3" s="47" t="s">
        <v>9</v>
      </c>
      <c r="C3" s="47" t="s">
        <v>12</v>
      </c>
      <c r="D3" s="35" t="s">
        <v>10</v>
      </c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35" t="s">
        <v>4</v>
      </c>
      <c r="T3" s="35" t="s">
        <v>6</v>
      </c>
      <c r="U3" s="37" t="s">
        <v>5</v>
      </c>
    </row>
    <row r="4" spans="1:21" s="1" customFormat="1" ht="21" customHeight="1" thickBot="1">
      <c r="A4" s="46"/>
      <c r="B4" s="48"/>
      <c r="C4" s="48"/>
      <c r="D4" s="36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6"/>
      <c r="T4" s="36"/>
      <c r="U4" s="38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9"/>
  <sheetViews>
    <sheetView topLeftCell="A7"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3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1207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456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12" t="s">
        <v>458</v>
      </c>
      <c r="B6" s="12" t="s">
        <v>483</v>
      </c>
      <c r="C6" s="12" t="s">
        <v>460</v>
      </c>
      <c r="D6" s="12" t="str">
        <f>"1,0611"</f>
        <v>1,0611</v>
      </c>
      <c r="E6" s="12" t="s">
        <v>461</v>
      </c>
      <c r="F6" s="12" t="s">
        <v>462</v>
      </c>
      <c r="G6" s="13" t="s">
        <v>195</v>
      </c>
      <c r="H6" s="13" t="s">
        <v>176</v>
      </c>
      <c r="I6" s="14" t="s">
        <v>98</v>
      </c>
      <c r="J6" s="14"/>
      <c r="K6" s="12" t="str">
        <f>"85,0"</f>
        <v>85,0</v>
      </c>
      <c r="L6" s="13" t="str">
        <f>"90,1977"</f>
        <v>90,1977</v>
      </c>
      <c r="M6" s="12" t="s">
        <v>43</v>
      </c>
    </row>
    <row r="7" spans="1:13">
      <c r="A7" s="15" t="s">
        <v>1208</v>
      </c>
      <c r="B7" s="15" t="s">
        <v>478</v>
      </c>
      <c r="C7" s="15" t="s">
        <v>479</v>
      </c>
      <c r="D7" s="15" t="str">
        <f>"1,0557"</f>
        <v>1,0557</v>
      </c>
      <c r="E7" s="15" t="s">
        <v>461</v>
      </c>
      <c r="F7" s="15" t="s">
        <v>462</v>
      </c>
      <c r="G7" s="16" t="s">
        <v>176</v>
      </c>
      <c r="H7" s="17" t="s">
        <v>480</v>
      </c>
      <c r="I7" s="17" t="s">
        <v>93</v>
      </c>
      <c r="J7" s="17"/>
      <c r="K7" s="15" t="str">
        <f>"85,0"</f>
        <v>85,0</v>
      </c>
      <c r="L7" s="16" t="str">
        <f>"89,7345"</f>
        <v>89,7345</v>
      </c>
      <c r="M7" s="15" t="s">
        <v>43</v>
      </c>
    </row>
    <row r="9" spans="1:13" ht="15">
      <c r="A9" s="51" t="s">
        <v>485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3">
      <c r="A10" s="8" t="s">
        <v>1209</v>
      </c>
      <c r="B10" s="8" t="s">
        <v>495</v>
      </c>
      <c r="C10" s="8" t="s">
        <v>496</v>
      </c>
      <c r="D10" s="8" t="str">
        <f>"0,9864"</f>
        <v>0,9864</v>
      </c>
      <c r="E10" s="8" t="s">
        <v>461</v>
      </c>
      <c r="F10" s="8" t="s">
        <v>462</v>
      </c>
      <c r="G10" s="9" t="s">
        <v>175</v>
      </c>
      <c r="H10" s="9" t="s">
        <v>176</v>
      </c>
      <c r="I10" s="9" t="s">
        <v>98</v>
      </c>
      <c r="J10" s="10"/>
      <c r="K10" s="8" t="str">
        <f>"90,0"</f>
        <v>90,0</v>
      </c>
      <c r="L10" s="9" t="str">
        <f>"88,7760"</f>
        <v>88,7760</v>
      </c>
      <c r="M10" s="8" t="s">
        <v>43</v>
      </c>
    </row>
    <row r="12" spans="1:13" ht="15">
      <c r="A12" s="51" t="s">
        <v>497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3">
      <c r="A13" s="8" t="s">
        <v>499</v>
      </c>
      <c r="B13" s="8" t="s">
        <v>188</v>
      </c>
      <c r="C13" s="8" t="s">
        <v>500</v>
      </c>
      <c r="D13" s="8" t="str">
        <f>"0,9256"</f>
        <v>0,9256</v>
      </c>
      <c r="E13" s="8" t="s">
        <v>461</v>
      </c>
      <c r="F13" s="8" t="s">
        <v>462</v>
      </c>
      <c r="G13" s="9" t="s">
        <v>175</v>
      </c>
      <c r="H13" s="9" t="s">
        <v>98</v>
      </c>
      <c r="I13" s="10" t="s">
        <v>480</v>
      </c>
      <c r="J13" s="10"/>
      <c r="K13" s="8" t="str">
        <f>"90,0"</f>
        <v>90,0</v>
      </c>
      <c r="L13" s="9" t="str">
        <f>"83,3040"</f>
        <v>83,3040</v>
      </c>
      <c r="M13" s="8" t="s">
        <v>43</v>
      </c>
    </row>
    <row r="15" spans="1:13" ht="15">
      <c r="A15" s="51" t="s">
        <v>416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3">
      <c r="A16" s="12" t="s">
        <v>502</v>
      </c>
      <c r="B16" s="12" t="s">
        <v>503</v>
      </c>
      <c r="C16" s="12" t="s">
        <v>504</v>
      </c>
      <c r="D16" s="12" t="str">
        <f>"0,8807"</f>
        <v>0,8807</v>
      </c>
      <c r="E16" s="12" t="s">
        <v>461</v>
      </c>
      <c r="F16" s="12" t="s">
        <v>462</v>
      </c>
      <c r="G16" s="13" t="s">
        <v>98</v>
      </c>
      <c r="H16" s="13" t="s">
        <v>93</v>
      </c>
      <c r="I16" s="14" t="s">
        <v>443</v>
      </c>
      <c r="J16" s="14"/>
      <c r="K16" s="12" t="str">
        <f>"100,0"</f>
        <v>100,0</v>
      </c>
      <c r="L16" s="13" t="str">
        <f>"88,0700"</f>
        <v>88,0700</v>
      </c>
      <c r="M16" s="12" t="s">
        <v>43</v>
      </c>
    </row>
    <row r="17" spans="1:13">
      <c r="A17" s="15" t="s">
        <v>1211</v>
      </c>
      <c r="B17" s="15" t="s">
        <v>1212</v>
      </c>
      <c r="C17" s="15" t="s">
        <v>1213</v>
      </c>
      <c r="D17" s="15" t="str">
        <f>"0,8831"</f>
        <v>0,8831</v>
      </c>
      <c r="E17" s="15" t="s">
        <v>869</v>
      </c>
      <c r="F17" s="15" t="s">
        <v>21</v>
      </c>
      <c r="G17" s="16" t="s">
        <v>450</v>
      </c>
      <c r="H17" s="17"/>
      <c r="I17" s="17"/>
      <c r="J17" s="17"/>
      <c r="K17" s="15" t="str">
        <f>"72,5"</f>
        <v>72,5</v>
      </c>
      <c r="L17" s="16" t="str">
        <f>"64,0284"</f>
        <v>64,0284</v>
      </c>
      <c r="M17" s="15" t="s">
        <v>43</v>
      </c>
    </row>
    <row r="19" spans="1:13" ht="15">
      <c r="A19" s="51" t="s">
        <v>15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>
      <c r="A20" s="8" t="s">
        <v>1215</v>
      </c>
      <c r="B20" s="8" t="s">
        <v>1216</v>
      </c>
      <c r="C20" s="8" t="s">
        <v>517</v>
      </c>
      <c r="D20" s="8" t="str">
        <f>"0,7995"</f>
        <v>0,7995</v>
      </c>
      <c r="E20" s="8" t="s">
        <v>772</v>
      </c>
      <c r="F20" s="8" t="s">
        <v>374</v>
      </c>
      <c r="G20" s="9" t="s">
        <v>175</v>
      </c>
      <c r="H20" s="9" t="s">
        <v>98</v>
      </c>
      <c r="I20" s="9" t="s">
        <v>540</v>
      </c>
      <c r="J20" s="10"/>
      <c r="K20" s="8" t="str">
        <f>"92,5"</f>
        <v>92,5</v>
      </c>
      <c r="L20" s="9" t="str">
        <f>"76,9119"</f>
        <v>76,9119</v>
      </c>
      <c r="M20" s="8" t="s">
        <v>43</v>
      </c>
    </row>
    <row r="22" spans="1:13" ht="15">
      <c r="A22" s="51" t="s">
        <v>102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3">
      <c r="A23" s="8" t="s">
        <v>542</v>
      </c>
      <c r="B23" s="8" t="s">
        <v>575</v>
      </c>
      <c r="C23" s="8" t="s">
        <v>544</v>
      </c>
      <c r="D23" s="8" t="str">
        <f>"0,7083"</f>
        <v>0,7083</v>
      </c>
      <c r="E23" s="8" t="s">
        <v>461</v>
      </c>
      <c r="F23" s="8" t="s">
        <v>462</v>
      </c>
      <c r="G23" s="9" t="s">
        <v>114</v>
      </c>
      <c r="H23" s="9" t="s">
        <v>186</v>
      </c>
      <c r="I23" s="10" t="s">
        <v>39</v>
      </c>
      <c r="J23" s="10"/>
      <c r="K23" s="8" t="str">
        <f>"145,0"</f>
        <v>145,0</v>
      </c>
      <c r="L23" s="9" t="str">
        <f>"102,7035"</f>
        <v>102,7035</v>
      </c>
      <c r="M23" s="8" t="s">
        <v>43</v>
      </c>
    </row>
    <row r="25" spans="1:13" ht="15">
      <c r="A25" s="51" t="s">
        <v>122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6" spans="1:13">
      <c r="A26" s="8" t="s">
        <v>1218</v>
      </c>
      <c r="B26" s="8" t="s">
        <v>1219</v>
      </c>
      <c r="C26" s="8" t="s">
        <v>425</v>
      </c>
      <c r="D26" s="8" t="str">
        <f>"0,6329"</f>
        <v>0,6329</v>
      </c>
      <c r="E26" s="8" t="s">
        <v>718</v>
      </c>
      <c r="F26" s="8" t="s">
        <v>21</v>
      </c>
      <c r="G26" s="9" t="s">
        <v>38</v>
      </c>
      <c r="H26" s="9" t="s">
        <v>218</v>
      </c>
      <c r="I26" s="10" t="s">
        <v>23</v>
      </c>
      <c r="J26" s="10"/>
      <c r="K26" s="8" t="str">
        <f>"207,5"</f>
        <v>207,5</v>
      </c>
      <c r="L26" s="9" t="str">
        <f>"135,2666"</f>
        <v>135,2666</v>
      </c>
      <c r="M26" s="8" t="s">
        <v>43</v>
      </c>
    </row>
    <row r="28" spans="1:13" ht="15">
      <c r="E28" s="18" t="s">
        <v>74</v>
      </c>
    </row>
    <row r="29" spans="1:13" ht="15">
      <c r="E29" s="18" t="s">
        <v>75</v>
      </c>
    </row>
    <row r="30" spans="1:13" ht="15">
      <c r="E30" s="18" t="s">
        <v>76</v>
      </c>
    </row>
    <row r="31" spans="1:13" ht="15">
      <c r="E31" s="18" t="s">
        <v>77</v>
      </c>
    </row>
    <row r="32" spans="1:13" ht="15">
      <c r="E32" s="18" t="s">
        <v>77</v>
      </c>
    </row>
    <row r="33" spans="1:5" ht="15">
      <c r="E33" s="18" t="s">
        <v>78</v>
      </c>
    </row>
    <row r="34" spans="1:5" ht="15">
      <c r="E34" s="18"/>
    </row>
    <row r="36" spans="1:5" ht="18">
      <c r="A36" s="19" t="s">
        <v>79</v>
      </c>
      <c r="B36" s="19"/>
    </row>
    <row r="37" spans="1:5" ht="15">
      <c r="A37" s="20" t="s">
        <v>254</v>
      </c>
      <c r="B37" s="20"/>
    </row>
    <row r="38" spans="1:5" ht="14.25">
      <c r="A38" s="22"/>
      <c r="B38" s="23" t="s">
        <v>632</v>
      </c>
    </row>
    <row r="39" spans="1:5" ht="15">
      <c r="A39" s="24" t="s">
        <v>82</v>
      </c>
      <c r="B39" s="24" t="s">
        <v>83</v>
      </c>
      <c r="C39" s="24" t="s">
        <v>84</v>
      </c>
      <c r="D39" s="24" t="s">
        <v>85</v>
      </c>
      <c r="E39" s="24" t="s">
        <v>86</v>
      </c>
    </row>
    <row r="40" spans="1:5">
      <c r="A40" s="21" t="s">
        <v>1214</v>
      </c>
      <c r="B40" s="5" t="s">
        <v>258</v>
      </c>
      <c r="C40" s="5" t="s">
        <v>87</v>
      </c>
      <c r="D40" s="5" t="s">
        <v>540</v>
      </c>
      <c r="E40" s="25" t="s">
        <v>1220</v>
      </c>
    </row>
    <row r="42" spans="1:5" ht="14.25">
      <c r="A42" s="22"/>
      <c r="B42" s="23" t="s">
        <v>81</v>
      </c>
    </row>
    <row r="43" spans="1:5" ht="15">
      <c r="A43" s="24" t="s">
        <v>82</v>
      </c>
      <c r="B43" s="24" t="s">
        <v>83</v>
      </c>
      <c r="C43" s="24" t="s">
        <v>84</v>
      </c>
      <c r="D43" s="24" t="s">
        <v>85</v>
      </c>
      <c r="E43" s="24" t="s">
        <v>86</v>
      </c>
    </row>
    <row r="44" spans="1:5">
      <c r="A44" s="21" t="s">
        <v>457</v>
      </c>
      <c r="B44" s="5" t="s">
        <v>81</v>
      </c>
      <c r="C44" s="5" t="s">
        <v>634</v>
      </c>
      <c r="D44" s="5" t="s">
        <v>176</v>
      </c>
      <c r="E44" s="25" t="s">
        <v>1221</v>
      </c>
    </row>
    <row r="45" spans="1:5">
      <c r="A45" s="21" t="s">
        <v>476</v>
      </c>
      <c r="B45" s="5" t="s">
        <v>81</v>
      </c>
      <c r="C45" s="5" t="s">
        <v>634</v>
      </c>
      <c r="D45" s="5" t="s">
        <v>176</v>
      </c>
      <c r="E45" s="25" t="s">
        <v>1222</v>
      </c>
    </row>
    <row r="46" spans="1:5">
      <c r="A46" s="21" t="s">
        <v>493</v>
      </c>
      <c r="B46" s="5" t="s">
        <v>81</v>
      </c>
      <c r="C46" s="5" t="s">
        <v>637</v>
      </c>
      <c r="D46" s="5" t="s">
        <v>98</v>
      </c>
      <c r="E46" s="25" t="s">
        <v>1223</v>
      </c>
    </row>
    <row r="47" spans="1:5">
      <c r="A47" s="21" t="s">
        <v>501</v>
      </c>
      <c r="B47" s="5" t="s">
        <v>81</v>
      </c>
      <c r="C47" s="5" t="s">
        <v>438</v>
      </c>
      <c r="D47" s="5" t="s">
        <v>93</v>
      </c>
      <c r="E47" s="25" t="s">
        <v>1224</v>
      </c>
    </row>
    <row r="48" spans="1:5">
      <c r="A48" s="21" t="s">
        <v>498</v>
      </c>
      <c r="B48" s="5" t="s">
        <v>81</v>
      </c>
      <c r="C48" s="5" t="s">
        <v>645</v>
      </c>
      <c r="D48" s="5" t="s">
        <v>98</v>
      </c>
      <c r="E48" s="25" t="s">
        <v>1225</v>
      </c>
    </row>
    <row r="49" spans="1:5">
      <c r="A49" s="21" t="s">
        <v>1210</v>
      </c>
      <c r="B49" s="5" t="s">
        <v>81</v>
      </c>
      <c r="C49" s="5" t="s">
        <v>438</v>
      </c>
      <c r="D49" s="5" t="s">
        <v>450</v>
      </c>
      <c r="E49" s="25" t="s">
        <v>1226</v>
      </c>
    </row>
    <row r="52" spans="1:5" ht="15">
      <c r="A52" s="20" t="s">
        <v>80</v>
      </c>
      <c r="B52" s="20"/>
    </row>
    <row r="53" spans="1:5" ht="14.25">
      <c r="A53" s="22"/>
      <c r="B53" s="23" t="s">
        <v>357</v>
      </c>
    </row>
    <row r="54" spans="1:5" ht="15">
      <c r="A54" s="24" t="s">
        <v>82</v>
      </c>
      <c r="B54" s="24" t="s">
        <v>83</v>
      </c>
      <c r="C54" s="24" t="s">
        <v>84</v>
      </c>
      <c r="D54" s="24" t="s">
        <v>85</v>
      </c>
      <c r="E54" s="24" t="s">
        <v>86</v>
      </c>
    </row>
    <row r="55" spans="1:5">
      <c r="A55" s="21" t="s">
        <v>1217</v>
      </c>
      <c r="B55" s="5" t="s">
        <v>256</v>
      </c>
      <c r="C55" s="5" t="s">
        <v>204</v>
      </c>
      <c r="D55" s="5" t="s">
        <v>218</v>
      </c>
      <c r="E55" s="25" t="s">
        <v>1227</v>
      </c>
    </row>
    <row r="57" spans="1:5" ht="14.25">
      <c r="A57" s="22"/>
      <c r="B57" s="23" t="s">
        <v>81</v>
      </c>
    </row>
    <row r="58" spans="1:5" ht="15">
      <c r="A58" s="24" t="s">
        <v>82</v>
      </c>
      <c r="B58" s="24" t="s">
        <v>83</v>
      </c>
      <c r="C58" s="24" t="s">
        <v>84</v>
      </c>
      <c r="D58" s="24" t="s">
        <v>85</v>
      </c>
      <c r="E58" s="24" t="s">
        <v>86</v>
      </c>
    </row>
    <row r="59" spans="1:5">
      <c r="A59" s="21" t="s">
        <v>541</v>
      </c>
      <c r="B59" s="5" t="s">
        <v>81</v>
      </c>
      <c r="C59" s="5" t="s">
        <v>195</v>
      </c>
      <c r="D59" s="5" t="s">
        <v>186</v>
      </c>
      <c r="E59" s="25" t="s">
        <v>1228</v>
      </c>
    </row>
  </sheetData>
  <mergeCells count="18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A22:L22"/>
    <mergeCell ref="A25:L25"/>
    <mergeCell ref="A9:L9"/>
    <mergeCell ref="A12:L12"/>
    <mergeCell ref="A15:L15"/>
    <mergeCell ref="A19:L19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1206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0" t="s">
        <v>1205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6</v>
      </c>
      <c r="U3" s="37" t="s">
        <v>5</v>
      </c>
    </row>
    <row r="4" spans="1:2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8"/>
      <c r="T4" s="48"/>
      <c r="U4" s="38"/>
    </row>
    <row r="6" spans="1:21" ht="15">
      <c r="E6" s="18" t="s">
        <v>74</v>
      </c>
    </row>
    <row r="7" spans="1:21" ht="15">
      <c r="E7" s="18" t="s">
        <v>75</v>
      </c>
    </row>
    <row r="8" spans="1:21" ht="15">
      <c r="E8" s="18" t="s">
        <v>76</v>
      </c>
    </row>
    <row r="9" spans="1:21" ht="15">
      <c r="E9" s="18" t="s">
        <v>77</v>
      </c>
    </row>
    <row r="10" spans="1:21" ht="15">
      <c r="E10" s="18" t="s">
        <v>77</v>
      </c>
    </row>
    <row r="11" spans="1:21" ht="15">
      <c r="E11" s="18" t="s">
        <v>78</v>
      </c>
    </row>
    <row r="12" spans="1:21" ht="15">
      <c r="E12" s="18"/>
    </row>
    <row r="14" spans="1:21" ht="18">
      <c r="A14" s="19" t="s">
        <v>79</v>
      </c>
      <c r="B14" s="19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F18" sqref="F18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6.85546875" style="4" customWidth="1"/>
    <col min="8" max="8" width="6.28515625" style="29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1204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1305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</row>
    <row r="5" spans="1:11" s="1" customFormat="1" ht="21" customHeight="1">
      <c r="A5" s="1" t="s">
        <v>1302</v>
      </c>
      <c r="B5" s="1" t="s">
        <v>1303</v>
      </c>
      <c r="C5" s="1" t="s">
        <v>1304</v>
      </c>
      <c r="D5" s="1" t="s">
        <v>1306</v>
      </c>
      <c r="E5" s="1" t="s">
        <v>1307</v>
      </c>
      <c r="F5" s="1" t="s">
        <v>1308</v>
      </c>
      <c r="G5" s="1" t="s">
        <v>1309</v>
      </c>
      <c r="H5" s="30" t="s">
        <v>1310</v>
      </c>
      <c r="K5" s="1" t="s">
        <v>1309</v>
      </c>
    </row>
    <row r="6" spans="1:11" s="1" customFormat="1" ht="21" customHeight="1">
      <c r="A6" s="1" t="s">
        <v>1311</v>
      </c>
      <c r="B6" s="1" t="s">
        <v>1312</v>
      </c>
      <c r="C6" s="1" t="s">
        <v>1313</v>
      </c>
      <c r="D6" s="1" t="s">
        <v>1314</v>
      </c>
      <c r="E6" s="1" t="s">
        <v>1315</v>
      </c>
      <c r="F6" s="1" t="s">
        <v>1316</v>
      </c>
      <c r="G6" s="1" t="s">
        <v>1317</v>
      </c>
      <c r="H6" s="1" t="s">
        <v>1318</v>
      </c>
      <c r="I6" s="30" t="s">
        <v>1319</v>
      </c>
      <c r="K6" s="1" t="s">
        <v>1318</v>
      </c>
    </row>
    <row r="7" spans="1:11" ht="15">
      <c r="A7" s="1" t="s">
        <v>1320</v>
      </c>
      <c r="B7" s="1" t="s">
        <v>1321</v>
      </c>
      <c r="C7" s="1" t="s">
        <v>1322</v>
      </c>
      <c r="D7" s="1" t="s">
        <v>1323</v>
      </c>
      <c r="E7" s="1" t="s">
        <v>1324</v>
      </c>
      <c r="F7" s="1" t="s">
        <v>1325</v>
      </c>
      <c r="G7" s="1" t="s">
        <v>1326</v>
      </c>
      <c r="H7" s="1" t="s">
        <v>569</v>
      </c>
      <c r="I7" s="1" t="s">
        <v>26</v>
      </c>
      <c r="J7" s="1"/>
      <c r="K7" s="1" t="s">
        <v>26</v>
      </c>
    </row>
    <row r="8" spans="1:11" ht="15">
      <c r="E8" s="18" t="s">
        <v>74</v>
      </c>
    </row>
    <row r="9" spans="1:11" ht="15">
      <c r="E9" s="18" t="s">
        <v>75</v>
      </c>
    </row>
    <row r="10" spans="1:11" ht="15">
      <c r="E10" s="18" t="s">
        <v>76</v>
      </c>
    </row>
    <row r="11" spans="1:11" ht="15">
      <c r="E11" s="18" t="s">
        <v>77</v>
      </c>
    </row>
    <row r="12" spans="1:11" ht="15">
      <c r="E12" s="18" t="s">
        <v>77</v>
      </c>
    </row>
    <row r="13" spans="1:11" ht="15">
      <c r="E13" s="18" t="s">
        <v>78</v>
      </c>
    </row>
    <row r="14" spans="1:11" ht="15">
      <c r="E14" s="18"/>
    </row>
    <row r="16" spans="1:11" ht="18">
      <c r="A16" s="19"/>
      <c r="B16" s="19"/>
    </row>
  </sheetData>
  <mergeCells count="9">
    <mergeCell ref="K3:K4"/>
    <mergeCell ref="A1:K2"/>
    <mergeCell ref="A3:A4"/>
    <mergeCell ref="B3:B4"/>
    <mergeCell ref="C3:C4"/>
    <mergeCell ref="D3:D4"/>
    <mergeCell ref="E3:E4"/>
    <mergeCell ref="F3:F4"/>
    <mergeCell ref="G3:J3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G3" sqref="G3:M4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28515625" style="5" bestFit="1" customWidth="1"/>
    <col min="14" max="16384" width="9.140625" style="4"/>
  </cols>
  <sheetData>
    <row r="1" spans="1:13" s="3" customFormat="1" ht="29.1" customHeight="1">
      <c r="A1" s="50" t="s">
        <v>1197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102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1199</v>
      </c>
      <c r="B6" s="8" t="s">
        <v>1200</v>
      </c>
      <c r="C6" s="8" t="s">
        <v>1201</v>
      </c>
      <c r="D6" s="8" t="str">
        <f>"0,6874"</f>
        <v>0,6874</v>
      </c>
      <c r="E6" s="8" t="s">
        <v>708</v>
      </c>
      <c r="F6" s="8" t="s">
        <v>709</v>
      </c>
      <c r="G6" s="9" t="s">
        <v>40</v>
      </c>
      <c r="H6" s="9" t="s">
        <v>53</v>
      </c>
      <c r="I6" s="10" t="s">
        <v>54</v>
      </c>
      <c r="J6" s="10"/>
      <c r="K6" s="8" t="str">
        <f>"170,0"</f>
        <v>170,0</v>
      </c>
      <c r="L6" s="9" t="str">
        <f>"116,8580"</f>
        <v>116,8580</v>
      </c>
      <c r="M6" s="8" t="s">
        <v>1202</v>
      </c>
    </row>
    <row r="8" spans="1:13" ht="15">
      <c r="E8" s="18" t="s">
        <v>74</v>
      </c>
    </row>
    <row r="9" spans="1:13" ht="15">
      <c r="E9" s="18" t="s">
        <v>75</v>
      </c>
    </row>
    <row r="10" spans="1:13" ht="15">
      <c r="E10" s="18" t="s">
        <v>76</v>
      </c>
    </row>
    <row r="11" spans="1:13" ht="15">
      <c r="E11" s="18" t="s">
        <v>77</v>
      </c>
    </row>
    <row r="12" spans="1:13" ht="15">
      <c r="E12" s="18" t="s">
        <v>77</v>
      </c>
    </row>
    <row r="13" spans="1:13" ht="15">
      <c r="E13" s="18" t="s">
        <v>78</v>
      </c>
    </row>
    <row r="14" spans="1:13" ht="15">
      <c r="E14" s="18"/>
    </row>
    <row r="16" spans="1:13" ht="18">
      <c r="A16" s="19" t="s">
        <v>79</v>
      </c>
      <c r="B16" s="19"/>
    </row>
    <row r="17" spans="1:5" ht="15">
      <c r="A17" s="20" t="s">
        <v>80</v>
      </c>
      <c r="B17" s="20"/>
    </row>
    <row r="18" spans="1:5" ht="14.25">
      <c r="A18" s="22"/>
      <c r="B18" s="23" t="s">
        <v>81</v>
      </c>
    </row>
    <row r="19" spans="1:5" ht="15">
      <c r="A19" s="24" t="s">
        <v>82</v>
      </c>
      <c r="B19" s="24" t="s">
        <v>83</v>
      </c>
      <c r="C19" s="24" t="s">
        <v>84</v>
      </c>
      <c r="D19" s="24" t="s">
        <v>85</v>
      </c>
      <c r="E19" s="24" t="s">
        <v>86</v>
      </c>
    </row>
    <row r="20" spans="1:5">
      <c r="A20" s="21" t="s">
        <v>1198</v>
      </c>
      <c r="B20" s="5" t="s">
        <v>81</v>
      </c>
      <c r="C20" s="5" t="s">
        <v>195</v>
      </c>
      <c r="D20" s="5" t="s">
        <v>53</v>
      </c>
      <c r="E20" s="25" t="s">
        <v>1203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0" t="s">
        <v>1196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6</v>
      </c>
      <c r="U3" s="37" t="s">
        <v>5</v>
      </c>
    </row>
    <row r="4" spans="1:2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8"/>
      <c r="T4" s="48"/>
      <c r="U4" s="38"/>
    </row>
    <row r="6" spans="1:21" ht="15">
      <c r="E6" s="18" t="s">
        <v>74</v>
      </c>
    </row>
    <row r="7" spans="1:21" ht="15">
      <c r="E7" s="18" t="s">
        <v>75</v>
      </c>
    </row>
    <row r="8" spans="1:21" ht="15">
      <c r="E8" s="18" t="s">
        <v>76</v>
      </c>
    </row>
    <row r="9" spans="1:21" ht="15">
      <c r="E9" s="18" t="s">
        <v>77</v>
      </c>
    </row>
    <row r="10" spans="1:21" ht="15">
      <c r="E10" s="18" t="s">
        <v>77</v>
      </c>
    </row>
    <row r="11" spans="1:21" ht="15">
      <c r="E11" s="18" t="s">
        <v>78</v>
      </c>
    </row>
    <row r="12" spans="1:21" ht="15">
      <c r="E12" s="18"/>
    </row>
    <row r="14" spans="1:21" ht="18">
      <c r="A14" s="19" t="s">
        <v>79</v>
      </c>
      <c r="B14" s="19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79"/>
  <sheetViews>
    <sheetView topLeftCell="A7"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30.140625" style="5" bestFit="1" customWidth="1"/>
    <col min="14" max="16384" width="9.140625" style="4"/>
  </cols>
  <sheetData>
    <row r="1" spans="1:13" s="3" customFormat="1" ht="29.1" customHeight="1">
      <c r="A1" s="50" t="s">
        <v>994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3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456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12" t="s">
        <v>477</v>
      </c>
      <c r="B6" s="12" t="s">
        <v>478</v>
      </c>
      <c r="C6" s="12" t="s">
        <v>479</v>
      </c>
      <c r="D6" s="12" t="str">
        <f>"1,0557"</f>
        <v>1,0557</v>
      </c>
      <c r="E6" s="12" t="s">
        <v>461</v>
      </c>
      <c r="F6" s="12" t="s">
        <v>462</v>
      </c>
      <c r="G6" s="13" t="s">
        <v>90</v>
      </c>
      <c r="H6" s="14" t="s">
        <v>114</v>
      </c>
      <c r="I6" s="14" t="s">
        <v>114</v>
      </c>
      <c r="J6" s="14"/>
      <c r="K6" s="12" t="str">
        <f>"125,0"</f>
        <v>125,0</v>
      </c>
      <c r="L6" s="13" t="str">
        <f>"131,9625"</f>
        <v>131,9625</v>
      </c>
      <c r="M6" s="12" t="s">
        <v>43</v>
      </c>
    </row>
    <row r="7" spans="1:13">
      <c r="A7" s="15" t="s">
        <v>996</v>
      </c>
      <c r="B7" s="15" t="s">
        <v>997</v>
      </c>
      <c r="C7" s="15" t="s">
        <v>998</v>
      </c>
      <c r="D7" s="15" t="str">
        <f>"1,0630"</f>
        <v>1,0630</v>
      </c>
      <c r="E7" s="15" t="s">
        <v>37</v>
      </c>
      <c r="F7" s="15" t="s">
        <v>21</v>
      </c>
      <c r="G7" s="16" t="s">
        <v>98</v>
      </c>
      <c r="H7" s="16" t="s">
        <v>93</v>
      </c>
      <c r="I7" s="17"/>
      <c r="J7" s="17"/>
      <c r="K7" s="15" t="str">
        <f>"100,0"</f>
        <v>100,0</v>
      </c>
      <c r="L7" s="16" t="str">
        <f>"106,3000"</f>
        <v>106,3000</v>
      </c>
      <c r="M7" s="15" t="s">
        <v>43</v>
      </c>
    </row>
    <row r="9" spans="1:13" ht="15">
      <c r="A9" s="51" t="s">
        <v>485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3">
      <c r="A10" s="12" t="s">
        <v>1000</v>
      </c>
      <c r="B10" s="12" t="s">
        <v>1001</v>
      </c>
      <c r="C10" s="12" t="s">
        <v>1002</v>
      </c>
      <c r="D10" s="12" t="str">
        <f>"0,9770"</f>
        <v>0,9770</v>
      </c>
      <c r="E10" s="12" t="s">
        <v>469</v>
      </c>
      <c r="F10" s="12" t="s">
        <v>470</v>
      </c>
      <c r="G10" s="13" t="s">
        <v>336</v>
      </c>
      <c r="H10" s="13" t="s">
        <v>490</v>
      </c>
      <c r="I10" s="13" t="s">
        <v>518</v>
      </c>
      <c r="J10" s="14"/>
      <c r="K10" s="12" t="str">
        <f>"122,5"</f>
        <v>122,5</v>
      </c>
      <c r="L10" s="13" t="str">
        <f>"126,8634"</f>
        <v>126,8634</v>
      </c>
      <c r="M10" s="12" t="s">
        <v>43</v>
      </c>
    </row>
    <row r="11" spans="1:13">
      <c r="A11" s="26" t="s">
        <v>701</v>
      </c>
      <c r="B11" s="26" t="s">
        <v>702</v>
      </c>
      <c r="C11" s="26" t="s">
        <v>703</v>
      </c>
      <c r="D11" s="26" t="str">
        <f>"0,9724"</f>
        <v>0,9724</v>
      </c>
      <c r="E11" s="26" t="s">
        <v>461</v>
      </c>
      <c r="F11" s="26" t="s">
        <v>462</v>
      </c>
      <c r="G11" s="28" t="s">
        <v>305</v>
      </c>
      <c r="H11" s="28" t="s">
        <v>133</v>
      </c>
      <c r="I11" s="27" t="s">
        <v>114</v>
      </c>
      <c r="J11" s="27"/>
      <c r="K11" s="26" t="str">
        <f>"130,0"</f>
        <v>130,0</v>
      </c>
      <c r="L11" s="28" t="str">
        <f>"126,4055"</f>
        <v>126,4055</v>
      </c>
      <c r="M11" s="26" t="s">
        <v>43</v>
      </c>
    </row>
    <row r="12" spans="1:13">
      <c r="A12" s="26" t="s">
        <v>1003</v>
      </c>
      <c r="B12" s="26" t="s">
        <v>1004</v>
      </c>
      <c r="C12" s="26" t="s">
        <v>1002</v>
      </c>
      <c r="D12" s="26" t="str">
        <f>"0,9770"</f>
        <v>0,9770</v>
      </c>
      <c r="E12" s="26" t="s">
        <v>469</v>
      </c>
      <c r="F12" s="26" t="s">
        <v>470</v>
      </c>
      <c r="G12" s="28" t="s">
        <v>336</v>
      </c>
      <c r="H12" s="28" t="s">
        <v>490</v>
      </c>
      <c r="I12" s="28" t="s">
        <v>518</v>
      </c>
      <c r="J12" s="27"/>
      <c r="K12" s="26" t="str">
        <f>"122,5"</f>
        <v>122,5</v>
      </c>
      <c r="L12" s="28" t="str">
        <f>"119,6825"</f>
        <v>119,6825</v>
      </c>
      <c r="M12" s="26" t="s">
        <v>43</v>
      </c>
    </row>
    <row r="13" spans="1:13">
      <c r="A13" s="26" t="s">
        <v>1005</v>
      </c>
      <c r="B13" s="26" t="s">
        <v>495</v>
      </c>
      <c r="C13" s="26" t="s">
        <v>496</v>
      </c>
      <c r="D13" s="26" t="str">
        <f>"0,9864"</f>
        <v>0,9864</v>
      </c>
      <c r="E13" s="26" t="s">
        <v>461</v>
      </c>
      <c r="F13" s="26" t="s">
        <v>462</v>
      </c>
      <c r="G13" s="28" t="s">
        <v>336</v>
      </c>
      <c r="H13" s="28" t="s">
        <v>490</v>
      </c>
      <c r="I13" s="27"/>
      <c r="J13" s="27"/>
      <c r="K13" s="26" t="str">
        <f>"115,0"</f>
        <v>115,0</v>
      </c>
      <c r="L13" s="28" t="str">
        <f>"113,4360"</f>
        <v>113,4360</v>
      </c>
      <c r="M13" s="26" t="s">
        <v>43</v>
      </c>
    </row>
    <row r="14" spans="1:13">
      <c r="A14" s="15" t="s">
        <v>1007</v>
      </c>
      <c r="B14" s="15" t="s">
        <v>1008</v>
      </c>
      <c r="C14" s="15" t="s">
        <v>1009</v>
      </c>
      <c r="D14" s="15" t="str">
        <f>"0,9833"</f>
        <v>0,9833</v>
      </c>
      <c r="E14" s="15" t="s">
        <v>1010</v>
      </c>
      <c r="F14" s="15" t="s">
        <v>380</v>
      </c>
      <c r="G14" s="16" t="s">
        <v>176</v>
      </c>
      <c r="H14" s="16" t="s">
        <v>98</v>
      </c>
      <c r="I14" s="17" t="s">
        <v>480</v>
      </c>
      <c r="J14" s="17"/>
      <c r="K14" s="15" t="str">
        <f>"90,0"</f>
        <v>90,0</v>
      </c>
      <c r="L14" s="16" t="str">
        <f>"88,7580"</f>
        <v>88,7580</v>
      </c>
      <c r="M14" s="15" t="s">
        <v>43</v>
      </c>
    </row>
    <row r="16" spans="1:13" ht="15">
      <c r="A16" s="51" t="s">
        <v>497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3">
      <c r="A17" s="12" t="s">
        <v>499</v>
      </c>
      <c r="B17" s="12" t="s">
        <v>188</v>
      </c>
      <c r="C17" s="12" t="s">
        <v>500</v>
      </c>
      <c r="D17" s="12" t="str">
        <f>"0,9256"</f>
        <v>0,9256</v>
      </c>
      <c r="E17" s="12" t="s">
        <v>461</v>
      </c>
      <c r="F17" s="12" t="s">
        <v>462</v>
      </c>
      <c r="G17" s="13" t="s">
        <v>133</v>
      </c>
      <c r="H17" s="13" t="s">
        <v>115</v>
      </c>
      <c r="I17" s="13" t="s">
        <v>186</v>
      </c>
      <c r="J17" s="14"/>
      <c r="K17" s="12" t="str">
        <f>"145,0"</f>
        <v>145,0</v>
      </c>
      <c r="L17" s="13" t="str">
        <f>"134,2120"</f>
        <v>134,2120</v>
      </c>
      <c r="M17" s="12" t="s">
        <v>43</v>
      </c>
    </row>
    <row r="18" spans="1:13">
      <c r="A18" s="15" t="s">
        <v>715</v>
      </c>
      <c r="B18" s="15" t="s">
        <v>716</v>
      </c>
      <c r="C18" s="15" t="s">
        <v>717</v>
      </c>
      <c r="D18" s="15" t="str">
        <f>"0,9398"</f>
        <v>0,9398</v>
      </c>
      <c r="E18" s="15" t="s">
        <v>718</v>
      </c>
      <c r="F18" s="15" t="s">
        <v>21</v>
      </c>
      <c r="G18" s="16" t="s">
        <v>93</v>
      </c>
      <c r="H18" s="16" t="s">
        <v>443</v>
      </c>
      <c r="I18" s="16" t="s">
        <v>199</v>
      </c>
      <c r="J18" s="17"/>
      <c r="K18" s="15" t="str">
        <f>"110,0"</f>
        <v>110,0</v>
      </c>
      <c r="L18" s="16" t="str">
        <f>"103,3725"</f>
        <v>103,3725</v>
      </c>
      <c r="M18" s="15" t="s">
        <v>43</v>
      </c>
    </row>
    <row r="20" spans="1:13" ht="15">
      <c r="A20" s="51" t="s">
        <v>416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3">
      <c r="A21" s="12" t="s">
        <v>502</v>
      </c>
      <c r="B21" s="12" t="s">
        <v>503</v>
      </c>
      <c r="C21" s="12" t="s">
        <v>504</v>
      </c>
      <c r="D21" s="12" t="str">
        <f>"0,8807"</f>
        <v>0,8807</v>
      </c>
      <c r="E21" s="12" t="s">
        <v>461</v>
      </c>
      <c r="F21" s="12" t="s">
        <v>462</v>
      </c>
      <c r="G21" s="13" t="s">
        <v>115</v>
      </c>
      <c r="H21" s="13" t="s">
        <v>25</v>
      </c>
      <c r="I21" s="14"/>
      <c r="J21" s="14"/>
      <c r="K21" s="12" t="str">
        <f>"155,0"</f>
        <v>155,0</v>
      </c>
      <c r="L21" s="13" t="str">
        <f>"136,5085"</f>
        <v>136,5085</v>
      </c>
      <c r="M21" s="12" t="s">
        <v>43</v>
      </c>
    </row>
    <row r="22" spans="1:13">
      <c r="A22" s="26" t="s">
        <v>1012</v>
      </c>
      <c r="B22" s="26" t="s">
        <v>1013</v>
      </c>
      <c r="C22" s="26" t="s">
        <v>1014</v>
      </c>
      <c r="D22" s="26" t="str">
        <f>"0,8882"</f>
        <v>0,8882</v>
      </c>
      <c r="E22" s="26" t="s">
        <v>1015</v>
      </c>
      <c r="F22" s="26" t="s">
        <v>21</v>
      </c>
      <c r="G22" s="28" t="s">
        <v>90</v>
      </c>
      <c r="H22" s="27" t="s">
        <v>133</v>
      </c>
      <c r="I22" s="28" t="s">
        <v>133</v>
      </c>
      <c r="J22" s="27"/>
      <c r="K22" s="26" t="str">
        <f>"130,0"</f>
        <v>130,0</v>
      </c>
      <c r="L22" s="28" t="str">
        <f>"115,4725"</f>
        <v>115,4725</v>
      </c>
      <c r="M22" s="26" t="s">
        <v>43</v>
      </c>
    </row>
    <row r="23" spans="1:13">
      <c r="A23" s="26" t="s">
        <v>1016</v>
      </c>
      <c r="B23" s="26" t="s">
        <v>509</v>
      </c>
      <c r="C23" s="26" t="s">
        <v>504</v>
      </c>
      <c r="D23" s="26" t="str">
        <f>"0,8807"</f>
        <v>0,8807</v>
      </c>
      <c r="E23" s="26" t="s">
        <v>37</v>
      </c>
      <c r="F23" s="26" t="s">
        <v>21</v>
      </c>
      <c r="G23" s="28" t="s">
        <v>305</v>
      </c>
      <c r="H23" s="27" t="s">
        <v>133</v>
      </c>
      <c r="I23" s="27" t="s">
        <v>133</v>
      </c>
      <c r="J23" s="27"/>
      <c r="K23" s="26" t="str">
        <f>"120,0"</f>
        <v>120,0</v>
      </c>
      <c r="L23" s="28" t="str">
        <f>"105,6840"</f>
        <v>105,6840</v>
      </c>
      <c r="M23" s="26" t="s">
        <v>43</v>
      </c>
    </row>
    <row r="24" spans="1:13">
      <c r="A24" s="26" t="s">
        <v>1017</v>
      </c>
      <c r="B24" s="26" t="s">
        <v>512</v>
      </c>
      <c r="C24" s="26" t="s">
        <v>513</v>
      </c>
      <c r="D24" s="26" t="str">
        <f>"0,8960"</f>
        <v>0,8960</v>
      </c>
      <c r="E24" s="26" t="s">
        <v>461</v>
      </c>
      <c r="F24" s="26" t="s">
        <v>462</v>
      </c>
      <c r="G24" s="28" t="s">
        <v>93</v>
      </c>
      <c r="H24" s="28" t="s">
        <v>199</v>
      </c>
      <c r="I24" s="28" t="s">
        <v>421</v>
      </c>
      <c r="J24" s="27"/>
      <c r="K24" s="26" t="str">
        <f>"112,5"</f>
        <v>112,5</v>
      </c>
      <c r="L24" s="28" t="str">
        <f>"100,8056"</f>
        <v>100,8056</v>
      </c>
      <c r="M24" s="26" t="s">
        <v>43</v>
      </c>
    </row>
    <row r="25" spans="1:13">
      <c r="A25" s="15" t="s">
        <v>1019</v>
      </c>
      <c r="B25" s="15" t="s">
        <v>1020</v>
      </c>
      <c r="C25" s="15" t="s">
        <v>1021</v>
      </c>
      <c r="D25" s="15" t="str">
        <f>"0,9025"</f>
        <v>0,9025</v>
      </c>
      <c r="E25" s="15" t="s">
        <v>1010</v>
      </c>
      <c r="F25" s="15" t="s">
        <v>380</v>
      </c>
      <c r="G25" s="16" t="s">
        <v>540</v>
      </c>
      <c r="H25" s="16" t="s">
        <v>523</v>
      </c>
      <c r="I25" s="16" t="s">
        <v>524</v>
      </c>
      <c r="J25" s="17"/>
      <c r="K25" s="15" t="str">
        <f>"102,5"</f>
        <v>102,5</v>
      </c>
      <c r="L25" s="16" t="str">
        <f>"92,5114"</f>
        <v>92,5114</v>
      </c>
      <c r="M25" s="15" t="s">
        <v>43</v>
      </c>
    </row>
    <row r="27" spans="1:13" ht="15">
      <c r="A27" s="51" t="s">
        <v>32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3">
      <c r="A28" s="8" t="s">
        <v>735</v>
      </c>
      <c r="B28" s="8" t="s">
        <v>736</v>
      </c>
      <c r="C28" s="8" t="s">
        <v>737</v>
      </c>
      <c r="D28" s="8" t="str">
        <f>"0,6507"</f>
        <v>0,6507</v>
      </c>
      <c r="E28" s="8" t="s">
        <v>917</v>
      </c>
      <c r="F28" s="8" t="s">
        <v>738</v>
      </c>
      <c r="G28" s="9" t="s">
        <v>438</v>
      </c>
      <c r="H28" s="10" t="s">
        <v>465</v>
      </c>
      <c r="I28" s="9" t="s">
        <v>175</v>
      </c>
      <c r="J28" s="10"/>
      <c r="K28" s="8" t="str">
        <f>"80,0"</f>
        <v>80,0</v>
      </c>
      <c r="L28" s="9" t="str">
        <f>"64,0240"</f>
        <v>64,0240</v>
      </c>
      <c r="M28" s="8" t="s">
        <v>43</v>
      </c>
    </row>
    <row r="30" spans="1:13" ht="15">
      <c r="A30" s="51" t="s">
        <v>497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3">
      <c r="A31" s="8" t="s">
        <v>744</v>
      </c>
      <c r="B31" s="8" t="s">
        <v>745</v>
      </c>
      <c r="C31" s="8" t="s">
        <v>746</v>
      </c>
      <c r="D31" s="8" t="str">
        <f>"0,8782"</f>
        <v>0,8782</v>
      </c>
      <c r="E31" s="8" t="s">
        <v>539</v>
      </c>
      <c r="F31" s="8" t="s">
        <v>470</v>
      </c>
      <c r="G31" s="9" t="s">
        <v>25</v>
      </c>
      <c r="H31" s="9" t="s">
        <v>27</v>
      </c>
      <c r="I31" s="9" t="s">
        <v>64</v>
      </c>
      <c r="J31" s="10"/>
      <c r="K31" s="8" t="str">
        <f>"177,5"</f>
        <v>177,5</v>
      </c>
      <c r="L31" s="9" t="str">
        <f>"160,5569"</f>
        <v>160,5569</v>
      </c>
      <c r="M31" s="8" t="s">
        <v>43</v>
      </c>
    </row>
    <row r="33" spans="1:13" ht="15">
      <c r="A33" s="51" t="s">
        <v>416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1:13">
      <c r="A34" s="8" t="s">
        <v>1023</v>
      </c>
      <c r="B34" s="8" t="s">
        <v>1024</v>
      </c>
      <c r="C34" s="8" t="s">
        <v>1025</v>
      </c>
      <c r="D34" s="8" t="str">
        <f>"0,8213"</f>
        <v>0,8213</v>
      </c>
      <c r="E34" s="8" t="s">
        <v>539</v>
      </c>
      <c r="F34" s="8" t="s">
        <v>470</v>
      </c>
      <c r="G34" s="9" t="s">
        <v>27</v>
      </c>
      <c r="H34" s="10" t="s">
        <v>306</v>
      </c>
      <c r="I34" s="10" t="s">
        <v>306</v>
      </c>
      <c r="J34" s="10"/>
      <c r="K34" s="8" t="str">
        <f>"165,0"</f>
        <v>165,0</v>
      </c>
      <c r="L34" s="9" t="str">
        <f>"135,5145"</f>
        <v>135,5145</v>
      </c>
      <c r="M34" s="8" t="s">
        <v>43</v>
      </c>
    </row>
    <row r="36" spans="1:13" ht="15">
      <c r="A36" s="51" t="s">
        <v>15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  <row r="37" spans="1:13">
      <c r="A37" s="12" t="s">
        <v>536</v>
      </c>
      <c r="B37" s="12" t="s">
        <v>537</v>
      </c>
      <c r="C37" s="12" t="s">
        <v>538</v>
      </c>
      <c r="D37" s="12" t="str">
        <f>"0,7940"</f>
        <v>0,7940</v>
      </c>
      <c r="E37" s="12" t="s">
        <v>539</v>
      </c>
      <c r="F37" s="12" t="s">
        <v>470</v>
      </c>
      <c r="G37" s="13" t="s">
        <v>27</v>
      </c>
      <c r="H37" s="13" t="s">
        <v>306</v>
      </c>
      <c r="I37" s="13" t="s">
        <v>54</v>
      </c>
      <c r="J37" s="14"/>
      <c r="K37" s="12" t="str">
        <f>"180,0"</f>
        <v>180,0</v>
      </c>
      <c r="L37" s="13" t="str">
        <f>"147,2076"</f>
        <v>147,2076</v>
      </c>
      <c r="M37" s="12" t="s">
        <v>43</v>
      </c>
    </row>
    <row r="38" spans="1:13">
      <c r="A38" s="26" t="s">
        <v>1027</v>
      </c>
      <c r="B38" s="26" t="s">
        <v>169</v>
      </c>
      <c r="C38" s="26" t="s">
        <v>1028</v>
      </c>
      <c r="D38" s="26" t="str">
        <f>"0,7408"</f>
        <v>0,7408</v>
      </c>
      <c r="E38" s="26" t="s">
        <v>37</v>
      </c>
      <c r="F38" s="26" t="s">
        <v>21</v>
      </c>
      <c r="G38" s="28" t="s">
        <v>38</v>
      </c>
      <c r="H38" s="27" t="s">
        <v>63</v>
      </c>
      <c r="I38" s="28" t="s">
        <v>253</v>
      </c>
      <c r="J38" s="27"/>
      <c r="K38" s="26" t="str">
        <f>"220,0"</f>
        <v>220,0</v>
      </c>
      <c r="L38" s="28" t="str">
        <f>"162,9760"</f>
        <v>162,9760</v>
      </c>
      <c r="M38" s="26" t="s">
        <v>1029</v>
      </c>
    </row>
    <row r="39" spans="1:13">
      <c r="A39" s="26" t="s">
        <v>1031</v>
      </c>
      <c r="B39" s="26" t="s">
        <v>1032</v>
      </c>
      <c r="C39" s="26" t="s">
        <v>1033</v>
      </c>
      <c r="D39" s="26" t="str">
        <f>"0,7450"</f>
        <v>0,7450</v>
      </c>
      <c r="E39" s="26" t="s">
        <v>917</v>
      </c>
      <c r="F39" s="26" t="s">
        <v>738</v>
      </c>
      <c r="G39" s="28" t="s">
        <v>40</v>
      </c>
      <c r="H39" s="27" t="s">
        <v>306</v>
      </c>
      <c r="I39" s="27" t="s">
        <v>306</v>
      </c>
      <c r="J39" s="27"/>
      <c r="K39" s="26" t="str">
        <f>"160,0"</f>
        <v>160,0</v>
      </c>
      <c r="L39" s="28" t="str">
        <f>"119,2000"</f>
        <v>119,2000</v>
      </c>
      <c r="M39" s="26" t="s">
        <v>43</v>
      </c>
    </row>
    <row r="40" spans="1:13">
      <c r="A40" s="15" t="s">
        <v>1034</v>
      </c>
      <c r="B40" s="15" t="s">
        <v>1035</v>
      </c>
      <c r="C40" s="15" t="s">
        <v>1033</v>
      </c>
      <c r="D40" s="15" t="str">
        <f>"0,7450"</f>
        <v>0,7450</v>
      </c>
      <c r="E40" s="15" t="s">
        <v>917</v>
      </c>
      <c r="F40" s="15" t="s">
        <v>738</v>
      </c>
      <c r="G40" s="16" t="s">
        <v>40</v>
      </c>
      <c r="H40" s="17" t="s">
        <v>306</v>
      </c>
      <c r="I40" s="17" t="s">
        <v>306</v>
      </c>
      <c r="J40" s="17"/>
      <c r="K40" s="15" t="str">
        <f>"160,0"</f>
        <v>160,0</v>
      </c>
      <c r="L40" s="16" t="str">
        <f>"234,8240"</f>
        <v>234,8240</v>
      </c>
      <c r="M40" s="15" t="s">
        <v>43</v>
      </c>
    </row>
    <row r="42" spans="1:13" ht="15">
      <c r="A42" s="51" t="s">
        <v>102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>
      <c r="A43" s="12" t="s">
        <v>1037</v>
      </c>
      <c r="B43" s="12" t="s">
        <v>1038</v>
      </c>
      <c r="C43" s="12" t="s">
        <v>548</v>
      </c>
      <c r="D43" s="12" t="str">
        <f>"0,6843"</f>
        <v>0,6843</v>
      </c>
      <c r="E43" s="12" t="s">
        <v>469</v>
      </c>
      <c r="F43" s="12" t="s">
        <v>470</v>
      </c>
      <c r="G43" s="13" t="s">
        <v>157</v>
      </c>
      <c r="H43" s="13" t="s">
        <v>22</v>
      </c>
      <c r="I43" s="14" t="s">
        <v>63</v>
      </c>
      <c r="J43" s="14"/>
      <c r="K43" s="12" t="str">
        <f>"205,0"</f>
        <v>205,0</v>
      </c>
      <c r="L43" s="13" t="str">
        <f>"145,8928"</f>
        <v>145,8928</v>
      </c>
      <c r="M43" s="12" t="s">
        <v>43</v>
      </c>
    </row>
    <row r="44" spans="1:13">
      <c r="A44" s="26" t="s">
        <v>1040</v>
      </c>
      <c r="B44" s="26" t="s">
        <v>1041</v>
      </c>
      <c r="C44" s="26" t="s">
        <v>776</v>
      </c>
      <c r="D44" s="26" t="str">
        <f>"0,6716"</f>
        <v>0,6716</v>
      </c>
      <c r="E44" s="26" t="s">
        <v>469</v>
      </c>
      <c r="F44" s="26" t="s">
        <v>470</v>
      </c>
      <c r="G44" s="28" t="s">
        <v>27</v>
      </c>
      <c r="H44" s="28" t="s">
        <v>54</v>
      </c>
      <c r="I44" s="28" t="s">
        <v>22</v>
      </c>
      <c r="J44" s="27"/>
      <c r="K44" s="26" t="str">
        <f>"205,0"</f>
        <v>205,0</v>
      </c>
      <c r="L44" s="28" t="str">
        <f>"143,1851"</f>
        <v>143,1851</v>
      </c>
      <c r="M44" s="26" t="s">
        <v>43</v>
      </c>
    </row>
    <row r="45" spans="1:13">
      <c r="A45" s="26" t="s">
        <v>1043</v>
      </c>
      <c r="B45" s="26" t="s">
        <v>1044</v>
      </c>
      <c r="C45" s="26" t="s">
        <v>1045</v>
      </c>
      <c r="D45" s="26" t="str">
        <f>"0,6890"</f>
        <v>0,6890</v>
      </c>
      <c r="E45" s="26" t="s">
        <v>469</v>
      </c>
      <c r="F45" s="26" t="s">
        <v>470</v>
      </c>
      <c r="G45" s="28" t="s">
        <v>157</v>
      </c>
      <c r="H45" s="28" t="s">
        <v>22</v>
      </c>
      <c r="I45" s="28" t="s">
        <v>23</v>
      </c>
      <c r="J45" s="27"/>
      <c r="K45" s="26" t="str">
        <f>"215,0"</f>
        <v>215,0</v>
      </c>
      <c r="L45" s="28" t="str">
        <f>"149,6164"</f>
        <v>149,6164</v>
      </c>
      <c r="M45" s="26" t="s">
        <v>533</v>
      </c>
    </row>
    <row r="46" spans="1:13">
      <c r="A46" s="26" t="s">
        <v>1047</v>
      </c>
      <c r="B46" s="26" t="s">
        <v>1048</v>
      </c>
      <c r="C46" s="26" t="s">
        <v>555</v>
      </c>
      <c r="D46" s="26" t="str">
        <f>"0,6805"</f>
        <v>0,6805</v>
      </c>
      <c r="E46" s="26" t="s">
        <v>539</v>
      </c>
      <c r="F46" s="26" t="s">
        <v>470</v>
      </c>
      <c r="G46" s="28" t="s">
        <v>159</v>
      </c>
      <c r="H46" s="27" t="s">
        <v>22</v>
      </c>
      <c r="I46" s="28" t="s">
        <v>22</v>
      </c>
      <c r="J46" s="27"/>
      <c r="K46" s="26" t="str">
        <f>"205,0"</f>
        <v>205,0</v>
      </c>
      <c r="L46" s="28" t="str">
        <f>"143,6876"</f>
        <v>143,6876</v>
      </c>
      <c r="M46" s="26" t="s">
        <v>43</v>
      </c>
    </row>
    <row r="47" spans="1:13">
      <c r="A47" s="26" t="s">
        <v>1050</v>
      </c>
      <c r="B47" s="26" t="s">
        <v>1051</v>
      </c>
      <c r="C47" s="26" t="s">
        <v>275</v>
      </c>
      <c r="D47" s="26" t="str">
        <f>"0,6972"</f>
        <v>0,6972</v>
      </c>
      <c r="E47" s="26" t="s">
        <v>539</v>
      </c>
      <c r="F47" s="26" t="s">
        <v>470</v>
      </c>
      <c r="G47" s="28" t="s">
        <v>27</v>
      </c>
      <c r="H47" s="28" t="s">
        <v>54</v>
      </c>
      <c r="I47" s="27" t="s">
        <v>22</v>
      </c>
      <c r="J47" s="27"/>
      <c r="K47" s="26" t="str">
        <f>"180,0"</f>
        <v>180,0</v>
      </c>
      <c r="L47" s="28" t="str">
        <f>"126,7510"</f>
        <v>126,7510</v>
      </c>
      <c r="M47" s="26" t="s">
        <v>43</v>
      </c>
    </row>
    <row r="48" spans="1:13">
      <c r="A48" s="26" t="s">
        <v>1052</v>
      </c>
      <c r="B48" s="26" t="s">
        <v>775</v>
      </c>
      <c r="C48" s="26" t="s">
        <v>776</v>
      </c>
      <c r="D48" s="26" t="str">
        <f>"0,6716"</f>
        <v>0,6716</v>
      </c>
      <c r="E48" s="26" t="s">
        <v>20</v>
      </c>
      <c r="F48" s="26" t="s">
        <v>21</v>
      </c>
      <c r="G48" s="28" t="s">
        <v>53</v>
      </c>
      <c r="H48" s="28" t="s">
        <v>306</v>
      </c>
      <c r="I48" s="27" t="s">
        <v>54</v>
      </c>
      <c r="J48" s="27"/>
      <c r="K48" s="26" t="str">
        <f>"175,0"</f>
        <v>175,0</v>
      </c>
      <c r="L48" s="28" t="str">
        <f>"119,8806"</f>
        <v>119,8806</v>
      </c>
      <c r="M48" s="26" t="s">
        <v>777</v>
      </c>
    </row>
    <row r="49" spans="1:13">
      <c r="A49" s="26" t="s">
        <v>1054</v>
      </c>
      <c r="B49" s="26" t="s">
        <v>1055</v>
      </c>
      <c r="C49" s="26" t="s">
        <v>781</v>
      </c>
      <c r="D49" s="26" t="str">
        <f>"0,6723"</f>
        <v>0,6723</v>
      </c>
      <c r="E49" s="26" t="s">
        <v>1056</v>
      </c>
      <c r="F49" s="26" t="s">
        <v>1057</v>
      </c>
      <c r="G49" s="28" t="s">
        <v>22</v>
      </c>
      <c r="H49" s="28" t="s">
        <v>354</v>
      </c>
      <c r="I49" s="27" t="s">
        <v>29</v>
      </c>
      <c r="J49" s="27"/>
      <c r="K49" s="26" t="str">
        <f>"235,0"</f>
        <v>235,0</v>
      </c>
      <c r="L49" s="28" t="str">
        <f>"157,9905"</f>
        <v>157,9905</v>
      </c>
      <c r="M49" s="26" t="s">
        <v>43</v>
      </c>
    </row>
    <row r="50" spans="1:13">
      <c r="A50" s="26" t="s">
        <v>1058</v>
      </c>
      <c r="B50" s="26" t="s">
        <v>1059</v>
      </c>
      <c r="C50" s="26" t="s">
        <v>1045</v>
      </c>
      <c r="D50" s="26" t="str">
        <f>"0,6890"</f>
        <v>0,6890</v>
      </c>
      <c r="E50" s="26" t="s">
        <v>469</v>
      </c>
      <c r="F50" s="26" t="s">
        <v>470</v>
      </c>
      <c r="G50" s="28" t="s">
        <v>157</v>
      </c>
      <c r="H50" s="28" t="s">
        <v>22</v>
      </c>
      <c r="I50" s="28" t="s">
        <v>23</v>
      </c>
      <c r="J50" s="27"/>
      <c r="K50" s="26" t="str">
        <f>"215,0"</f>
        <v>215,0</v>
      </c>
      <c r="L50" s="28" t="str">
        <f>"148,1350"</f>
        <v>148,1350</v>
      </c>
      <c r="M50" s="26" t="s">
        <v>533</v>
      </c>
    </row>
    <row r="51" spans="1:13">
      <c r="A51" s="26" t="s">
        <v>1060</v>
      </c>
      <c r="B51" s="26" t="s">
        <v>572</v>
      </c>
      <c r="C51" s="26" t="s">
        <v>573</v>
      </c>
      <c r="D51" s="26" t="str">
        <f>"0,6859"</f>
        <v>0,6859</v>
      </c>
      <c r="E51" s="26" t="s">
        <v>37</v>
      </c>
      <c r="F51" s="26" t="s">
        <v>121</v>
      </c>
      <c r="G51" s="28" t="s">
        <v>158</v>
      </c>
      <c r="H51" s="28" t="s">
        <v>22</v>
      </c>
      <c r="I51" s="28" t="s">
        <v>23</v>
      </c>
      <c r="J51" s="27"/>
      <c r="K51" s="26" t="str">
        <f>"215,0"</f>
        <v>215,0</v>
      </c>
      <c r="L51" s="28" t="str">
        <f>"147,4685"</f>
        <v>147,4685</v>
      </c>
      <c r="M51" s="26" t="s">
        <v>43</v>
      </c>
    </row>
    <row r="52" spans="1:13">
      <c r="A52" s="26" t="s">
        <v>1061</v>
      </c>
      <c r="B52" s="26" t="s">
        <v>1062</v>
      </c>
      <c r="C52" s="26" t="s">
        <v>548</v>
      </c>
      <c r="D52" s="26" t="str">
        <f>"0,6843"</f>
        <v>0,6843</v>
      </c>
      <c r="E52" s="26" t="s">
        <v>469</v>
      </c>
      <c r="F52" s="26" t="s">
        <v>470</v>
      </c>
      <c r="G52" s="28" t="s">
        <v>157</v>
      </c>
      <c r="H52" s="28" t="s">
        <v>22</v>
      </c>
      <c r="I52" s="27" t="s">
        <v>63</v>
      </c>
      <c r="J52" s="27"/>
      <c r="K52" s="26" t="str">
        <f>"205,0"</f>
        <v>205,0</v>
      </c>
      <c r="L52" s="28" t="str">
        <f>"140,2815"</f>
        <v>140,2815</v>
      </c>
      <c r="M52" s="26" t="s">
        <v>43</v>
      </c>
    </row>
    <row r="53" spans="1:13">
      <c r="A53" s="26" t="s">
        <v>1063</v>
      </c>
      <c r="B53" s="26" t="s">
        <v>1064</v>
      </c>
      <c r="C53" s="26" t="s">
        <v>776</v>
      </c>
      <c r="D53" s="26" t="str">
        <f>"0,6716"</f>
        <v>0,6716</v>
      </c>
      <c r="E53" s="26" t="s">
        <v>469</v>
      </c>
      <c r="F53" s="26" t="s">
        <v>470</v>
      </c>
      <c r="G53" s="28" t="s">
        <v>27</v>
      </c>
      <c r="H53" s="28" t="s">
        <v>54</v>
      </c>
      <c r="I53" s="28" t="s">
        <v>22</v>
      </c>
      <c r="J53" s="27"/>
      <c r="K53" s="26" t="str">
        <f>"205,0"</f>
        <v>205,0</v>
      </c>
      <c r="L53" s="28" t="str">
        <f>"137,6780"</f>
        <v>137,6780</v>
      </c>
      <c r="M53" s="26" t="s">
        <v>43</v>
      </c>
    </row>
    <row r="54" spans="1:13">
      <c r="A54" s="26" t="s">
        <v>1066</v>
      </c>
      <c r="B54" s="26" t="s">
        <v>1067</v>
      </c>
      <c r="C54" s="26" t="s">
        <v>1068</v>
      </c>
      <c r="D54" s="26" t="str">
        <f>"0,7022"</f>
        <v>0,7022</v>
      </c>
      <c r="E54" s="26" t="s">
        <v>567</v>
      </c>
      <c r="F54" s="26" t="s">
        <v>568</v>
      </c>
      <c r="G54" s="28" t="s">
        <v>115</v>
      </c>
      <c r="H54" s="28" t="s">
        <v>792</v>
      </c>
      <c r="I54" s="28" t="s">
        <v>569</v>
      </c>
      <c r="J54" s="27"/>
      <c r="K54" s="26" t="str">
        <f>"152,5"</f>
        <v>152,5</v>
      </c>
      <c r="L54" s="28" t="str">
        <f>"107,0855"</f>
        <v>107,0855</v>
      </c>
      <c r="M54" s="26" t="s">
        <v>43</v>
      </c>
    </row>
    <row r="55" spans="1:13">
      <c r="A55" s="15" t="s">
        <v>1069</v>
      </c>
      <c r="B55" s="15" t="s">
        <v>560</v>
      </c>
      <c r="C55" s="15" t="s">
        <v>119</v>
      </c>
      <c r="D55" s="15" t="str">
        <f>"0,6828"</f>
        <v>0,6828</v>
      </c>
      <c r="E55" s="15" t="s">
        <v>561</v>
      </c>
      <c r="F55" s="15" t="s">
        <v>562</v>
      </c>
      <c r="G55" s="17" t="s">
        <v>354</v>
      </c>
      <c r="H55" s="17" t="s">
        <v>354</v>
      </c>
      <c r="I55" s="17" t="s">
        <v>354</v>
      </c>
      <c r="J55" s="17"/>
      <c r="K55" s="15" t="str">
        <f>"0,0"</f>
        <v>0,0</v>
      </c>
      <c r="L55" s="16" t="str">
        <f>"0,0000"</f>
        <v>0,0000</v>
      </c>
      <c r="M55" s="15" t="s">
        <v>43</v>
      </c>
    </row>
    <row r="57" spans="1:13" ht="15">
      <c r="A57" s="51" t="s">
        <v>122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1:13">
      <c r="A58" s="12" t="s">
        <v>581</v>
      </c>
      <c r="B58" s="12" t="s">
        <v>1070</v>
      </c>
      <c r="C58" s="12" t="s">
        <v>583</v>
      </c>
      <c r="D58" s="12" t="str">
        <f>"0,6394"</f>
        <v>0,6394</v>
      </c>
      <c r="E58" s="12" t="s">
        <v>37</v>
      </c>
      <c r="F58" s="12" t="s">
        <v>584</v>
      </c>
      <c r="G58" s="13" t="s">
        <v>51</v>
      </c>
      <c r="H58" s="13" t="s">
        <v>585</v>
      </c>
      <c r="I58" s="13" t="s">
        <v>390</v>
      </c>
      <c r="J58" s="14"/>
      <c r="K58" s="12" t="str">
        <f>"252,5"</f>
        <v>252,5</v>
      </c>
      <c r="L58" s="13" t="str">
        <f>"174,3644"</f>
        <v>174,3644</v>
      </c>
      <c r="M58" s="12" t="s">
        <v>43</v>
      </c>
    </row>
    <row r="59" spans="1:13">
      <c r="A59" s="26" t="s">
        <v>1072</v>
      </c>
      <c r="B59" s="26" t="s">
        <v>1073</v>
      </c>
      <c r="C59" s="26" t="s">
        <v>1074</v>
      </c>
      <c r="D59" s="26" t="str">
        <f>"0,6290"</f>
        <v>0,6290</v>
      </c>
      <c r="E59" s="26" t="s">
        <v>772</v>
      </c>
      <c r="F59" s="26" t="s">
        <v>374</v>
      </c>
      <c r="G59" s="28" t="s">
        <v>53</v>
      </c>
      <c r="H59" s="27" t="s">
        <v>54</v>
      </c>
      <c r="I59" s="27" t="s">
        <v>54</v>
      </c>
      <c r="J59" s="27"/>
      <c r="K59" s="26" t="str">
        <f>"170,0"</f>
        <v>170,0</v>
      </c>
      <c r="L59" s="28" t="str">
        <f>"115,4844"</f>
        <v>115,4844</v>
      </c>
      <c r="M59" s="26" t="s">
        <v>43</v>
      </c>
    </row>
    <row r="60" spans="1:13">
      <c r="A60" s="26" t="s">
        <v>1076</v>
      </c>
      <c r="B60" s="26" t="s">
        <v>1077</v>
      </c>
      <c r="C60" s="26" t="s">
        <v>1078</v>
      </c>
      <c r="D60" s="26" t="str">
        <f>"0,6219"</f>
        <v>0,6219</v>
      </c>
      <c r="E60" s="26" t="s">
        <v>469</v>
      </c>
      <c r="F60" s="26" t="s">
        <v>470</v>
      </c>
      <c r="G60" s="28" t="s">
        <v>159</v>
      </c>
      <c r="H60" s="27" t="s">
        <v>151</v>
      </c>
      <c r="I60" s="27" t="s">
        <v>151</v>
      </c>
      <c r="J60" s="27"/>
      <c r="K60" s="26" t="str">
        <f>"195,0"</f>
        <v>195,0</v>
      </c>
      <c r="L60" s="28" t="str">
        <f>"122,4832"</f>
        <v>122,4832</v>
      </c>
      <c r="M60" s="26" t="s">
        <v>533</v>
      </c>
    </row>
    <row r="61" spans="1:13">
      <c r="A61" s="26" t="s">
        <v>1079</v>
      </c>
      <c r="B61" s="26" t="s">
        <v>1080</v>
      </c>
      <c r="C61" s="26" t="s">
        <v>1081</v>
      </c>
      <c r="D61" s="26" t="str">
        <f>"0,6273"</f>
        <v>0,6273</v>
      </c>
      <c r="E61" s="26" t="s">
        <v>469</v>
      </c>
      <c r="F61" s="26" t="s">
        <v>470</v>
      </c>
      <c r="G61" s="27" t="s">
        <v>40</v>
      </c>
      <c r="H61" s="27" t="s">
        <v>928</v>
      </c>
      <c r="I61" s="27" t="s">
        <v>928</v>
      </c>
      <c r="J61" s="27"/>
      <c r="K61" s="26" t="str">
        <f>"0,0"</f>
        <v>0,0</v>
      </c>
      <c r="L61" s="28" t="str">
        <f>"0,0000"</f>
        <v>0,0000</v>
      </c>
      <c r="M61" s="26" t="s">
        <v>43</v>
      </c>
    </row>
    <row r="62" spans="1:13">
      <c r="A62" s="26" t="s">
        <v>581</v>
      </c>
      <c r="B62" s="26" t="s">
        <v>582</v>
      </c>
      <c r="C62" s="26" t="s">
        <v>583</v>
      </c>
      <c r="D62" s="26" t="str">
        <f>"0,6394"</f>
        <v>0,6394</v>
      </c>
      <c r="E62" s="26" t="s">
        <v>37</v>
      </c>
      <c r="F62" s="26" t="s">
        <v>584</v>
      </c>
      <c r="G62" s="28" t="s">
        <v>51</v>
      </c>
      <c r="H62" s="28" t="s">
        <v>585</v>
      </c>
      <c r="I62" s="28" t="s">
        <v>390</v>
      </c>
      <c r="J62" s="27"/>
      <c r="K62" s="26" t="str">
        <f>"252,5"</f>
        <v>252,5</v>
      </c>
      <c r="L62" s="28" t="str">
        <f>"161,4485"</f>
        <v>161,4485</v>
      </c>
      <c r="M62" s="26" t="s">
        <v>43</v>
      </c>
    </row>
    <row r="63" spans="1:13">
      <c r="A63" s="26" t="s">
        <v>1083</v>
      </c>
      <c r="B63" s="26" t="s">
        <v>1084</v>
      </c>
      <c r="C63" s="26" t="s">
        <v>1085</v>
      </c>
      <c r="D63" s="26" t="str">
        <f>"0,6307"</f>
        <v>0,6307</v>
      </c>
      <c r="E63" s="26" t="s">
        <v>567</v>
      </c>
      <c r="F63" s="26" t="s">
        <v>1086</v>
      </c>
      <c r="G63" s="27" t="s">
        <v>22</v>
      </c>
      <c r="H63" s="27" t="s">
        <v>24</v>
      </c>
      <c r="I63" s="28" t="s">
        <v>354</v>
      </c>
      <c r="J63" s="27"/>
      <c r="K63" s="26" t="str">
        <f>"235,0"</f>
        <v>235,0</v>
      </c>
      <c r="L63" s="28" t="str">
        <f>"148,2145"</f>
        <v>148,2145</v>
      </c>
      <c r="M63" s="26" t="s">
        <v>43</v>
      </c>
    </row>
    <row r="64" spans="1:13">
      <c r="A64" s="26" t="s">
        <v>1088</v>
      </c>
      <c r="B64" s="26" t="s">
        <v>1089</v>
      </c>
      <c r="C64" s="26" t="s">
        <v>1090</v>
      </c>
      <c r="D64" s="26" t="str">
        <f>"0,6486"</f>
        <v>0,6486</v>
      </c>
      <c r="E64" s="26" t="s">
        <v>1010</v>
      </c>
      <c r="F64" s="26" t="s">
        <v>380</v>
      </c>
      <c r="G64" s="28" t="s">
        <v>253</v>
      </c>
      <c r="H64" s="27" t="s">
        <v>354</v>
      </c>
      <c r="I64" s="27" t="s">
        <v>354</v>
      </c>
      <c r="J64" s="27"/>
      <c r="K64" s="26" t="str">
        <f>"220,0"</f>
        <v>220,0</v>
      </c>
      <c r="L64" s="28" t="str">
        <f>"142,6920"</f>
        <v>142,6920</v>
      </c>
      <c r="M64" s="26" t="s">
        <v>43</v>
      </c>
    </row>
    <row r="65" spans="1:13">
      <c r="A65" s="26" t="s">
        <v>1092</v>
      </c>
      <c r="B65" s="26" t="s">
        <v>1093</v>
      </c>
      <c r="C65" s="26" t="s">
        <v>1094</v>
      </c>
      <c r="D65" s="26" t="str">
        <f>"0,6318"</f>
        <v>0,6318</v>
      </c>
      <c r="E65" s="26" t="s">
        <v>718</v>
      </c>
      <c r="F65" s="26" t="s">
        <v>21</v>
      </c>
      <c r="G65" s="28" t="s">
        <v>38</v>
      </c>
      <c r="H65" s="28" t="s">
        <v>63</v>
      </c>
      <c r="I65" s="28" t="s">
        <v>151</v>
      </c>
      <c r="J65" s="27"/>
      <c r="K65" s="26" t="str">
        <f>"217,5"</f>
        <v>217,5</v>
      </c>
      <c r="L65" s="28" t="str">
        <f>"137,4165"</f>
        <v>137,4165</v>
      </c>
      <c r="M65" s="26" t="s">
        <v>43</v>
      </c>
    </row>
    <row r="66" spans="1:13">
      <c r="A66" s="26" t="s">
        <v>1095</v>
      </c>
      <c r="B66" s="26" t="s">
        <v>1096</v>
      </c>
      <c r="C66" s="26" t="s">
        <v>1078</v>
      </c>
      <c r="D66" s="26" t="str">
        <f>"0,6219"</f>
        <v>0,6219</v>
      </c>
      <c r="E66" s="26" t="s">
        <v>469</v>
      </c>
      <c r="F66" s="26" t="s">
        <v>470</v>
      </c>
      <c r="G66" s="28" t="s">
        <v>159</v>
      </c>
      <c r="H66" s="27" t="s">
        <v>151</v>
      </c>
      <c r="I66" s="27" t="s">
        <v>151</v>
      </c>
      <c r="J66" s="27"/>
      <c r="K66" s="26" t="str">
        <f>"195,0"</f>
        <v>195,0</v>
      </c>
      <c r="L66" s="28" t="str">
        <f>"121,2705"</f>
        <v>121,2705</v>
      </c>
      <c r="M66" s="26" t="s">
        <v>533</v>
      </c>
    </row>
    <row r="67" spans="1:13">
      <c r="A67" s="15" t="s">
        <v>1079</v>
      </c>
      <c r="B67" s="15" t="s">
        <v>1097</v>
      </c>
      <c r="C67" s="15" t="s">
        <v>1081</v>
      </c>
      <c r="D67" s="15" t="str">
        <f>"0,6273"</f>
        <v>0,6273</v>
      </c>
      <c r="E67" s="15" t="s">
        <v>469</v>
      </c>
      <c r="F67" s="15" t="s">
        <v>470</v>
      </c>
      <c r="G67" s="17" t="s">
        <v>40</v>
      </c>
      <c r="H67" s="17" t="s">
        <v>928</v>
      </c>
      <c r="I67" s="17" t="s">
        <v>928</v>
      </c>
      <c r="J67" s="17"/>
      <c r="K67" s="15" t="str">
        <f>"0,0"</f>
        <v>0,0</v>
      </c>
      <c r="L67" s="16" t="str">
        <f>"0,0000"</f>
        <v>0,0000</v>
      </c>
      <c r="M67" s="15" t="s">
        <v>43</v>
      </c>
    </row>
    <row r="69" spans="1:13" ht="15">
      <c r="A69" s="51" t="s">
        <v>32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3">
      <c r="A70" s="12" t="s">
        <v>591</v>
      </c>
      <c r="B70" s="12" t="s">
        <v>592</v>
      </c>
      <c r="C70" s="12" t="s">
        <v>593</v>
      </c>
      <c r="D70" s="12" t="str">
        <f>"0,5853"</f>
        <v>0,5853</v>
      </c>
      <c r="E70" s="12" t="s">
        <v>539</v>
      </c>
      <c r="F70" s="12" t="s">
        <v>470</v>
      </c>
      <c r="G70" s="13" t="s">
        <v>28</v>
      </c>
      <c r="H70" s="14" t="s">
        <v>56</v>
      </c>
      <c r="I70" s="14" t="s">
        <v>56</v>
      </c>
      <c r="J70" s="14"/>
      <c r="K70" s="12" t="str">
        <f>"260,0"</f>
        <v>260,0</v>
      </c>
      <c r="L70" s="13" t="str">
        <f>"152,1780"</f>
        <v>152,1780</v>
      </c>
      <c r="M70" s="12" t="s">
        <v>595</v>
      </c>
    </row>
    <row r="71" spans="1:13">
      <c r="A71" s="26" t="s">
        <v>1099</v>
      </c>
      <c r="B71" s="26" t="s">
        <v>1100</v>
      </c>
      <c r="C71" s="26" t="s">
        <v>1101</v>
      </c>
      <c r="D71" s="26" t="str">
        <f>"0,5926"</f>
        <v>0,5926</v>
      </c>
      <c r="E71" s="26" t="s">
        <v>276</v>
      </c>
      <c r="F71" s="26" t="s">
        <v>374</v>
      </c>
      <c r="G71" s="28" t="s">
        <v>23</v>
      </c>
      <c r="H71" s="28" t="s">
        <v>24</v>
      </c>
      <c r="I71" s="28" t="s">
        <v>354</v>
      </c>
      <c r="J71" s="27"/>
      <c r="K71" s="26" t="str">
        <f>"235,0"</f>
        <v>235,0</v>
      </c>
      <c r="L71" s="28" t="str">
        <f>"139,2610"</f>
        <v>139,2610</v>
      </c>
      <c r="M71" s="26" t="s">
        <v>43</v>
      </c>
    </row>
    <row r="72" spans="1:13">
      <c r="A72" s="26" t="s">
        <v>1102</v>
      </c>
      <c r="B72" s="26" t="s">
        <v>844</v>
      </c>
      <c r="C72" s="26" t="s">
        <v>845</v>
      </c>
      <c r="D72" s="26" t="str">
        <f>"0,5885"</f>
        <v>0,5885</v>
      </c>
      <c r="E72" s="26" t="s">
        <v>461</v>
      </c>
      <c r="F72" s="26" t="s">
        <v>462</v>
      </c>
      <c r="G72" s="28" t="s">
        <v>22</v>
      </c>
      <c r="H72" s="28" t="s">
        <v>24</v>
      </c>
      <c r="I72" s="27" t="s">
        <v>354</v>
      </c>
      <c r="J72" s="27"/>
      <c r="K72" s="26" t="str">
        <f>"225,0"</f>
        <v>225,0</v>
      </c>
      <c r="L72" s="28" t="str">
        <f>"132,4125"</f>
        <v>132,4125</v>
      </c>
      <c r="M72" s="26" t="s">
        <v>43</v>
      </c>
    </row>
    <row r="73" spans="1:13">
      <c r="A73" s="15" t="s">
        <v>1103</v>
      </c>
      <c r="B73" s="15" t="s">
        <v>860</v>
      </c>
      <c r="C73" s="15" t="s">
        <v>861</v>
      </c>
      <c r="D73" s="15" t="str">
        <f>"0,5991"</f>
        <v>0,5991</v>
      </c>
      <c r="E73" s="15" t="s">
        <v>37</v>
      </c>
      <c r="F73" s="15" t="s">
        <v>121</v>
      </c>
      <c r="G73" s="16" t="s">
        <v>39</v>
      </c>
      <c r="H73" s="16" t="s">
        <v>53</v>
      </c>
      <c r="I73" s="16" t="s">
        <v>38</v>
      </c>
      <c r="J73" s="17"/>
      <c r="K73" s="15" t="str">
        <f>"200,0"</f>
        <v>200,0</v>
      </c>
      <c r="L73" s="16" t="str">
        <f>"128,0876"</f>
        <v>128,0876</v>
      </c>
      <c r="M73" s="15" t="s">
        <v>43</v>
      </c>
    </row>
    <row r="75" spans="1:13" ht="15">
      <c r="A75" s="51" t="s">
        <v>44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13">
      <c r="A76" s="12" t="s">
        <v>1105</v>
      </c>
      <c r="B76" s="12" t="s">
        <v>1106</v>
      </c>
      <c r="C76" s="12" t="s">
        <v>891</v>
      </c>
      <c r="D76" s="12" t="str">
        <f>"0,5678"</f>
        <v>0,5678</v>
      </c>
      <c r="E76" s="12" t="s">
        <v>469</v>
      </c>
      <c r="F76" s="12" t="s">
        <v>470</v>
      </c>
      <c r="G76" s="14" t="s">
        <v>24</v>
      </c>
      <c r="H76" s="13" t="s">
        <v>354</v>
      </c>
      <c r="I76" s="13" t="s">
        <v>52</v>
      </c>
      <c r="J76" s="14"/>
      <c r="K76" s="12" t="str">
        <f>"245,0"</f>
        <v>245,0</v>
      </c>
      <c r="L76" s="13" t="str">
        <f>"139,1110"</f>
        <v>139,1110</v>
      </c>
      <c r="M76" s="12" t="s">
        <v>533</v>
      </c>
    </row>
    <row r="77" spans="1:13">
      <c r="A77" s="26" t="s">
        <v>1108</v>
      </c>
      <c r="B77" s="26" t="s">
        <v>1109</v>
      </c>
      <c r="C77" s="26" t="s">
        <v>1110</v>
      </c>
      <c r="D77" s="26" t="str">
        <f>"0,5589"</f>
        <v>0,5589</v>
      </c>
      <c r="E77" s="26" t="s">
        <v>461</v>
      </c>
      <c r="F77" s="26" t="s">
        <v>462</v>
      </c>
      <c r="G77" s="28" t="s">
        <v>42</v>
      </c>
      <c r="H77" s="28" t="s">
        <v>29</v>
      </c>
      <c r="I77" s="27" t="s">
        <v>1111</v>
      </c>
      <c r="J77" s="27"/>
      <c r="K77" s="26" t="str">
        <f>"270,0"</f>
        <v>270,0</v>
      </c>
      <c r="L77" s="28" t="str">
        <f>"150,9030"</f>
        <v>150,9030</v>
      </c>
      <c r="M77" s="26" t="s">
        <v>43</v>
      </c>
    </row>
    <row r="78" spans="1:13">
      <c r="A78" s="26" t="s">
        <v>1113</v>
      </c>
      <c r="B78" s="26" t="s">
        <v>1114</v>
      </c>
      <c r="C78" s="26" t="s">
        <v>1115</v>
      </c>
      <c r="D78" s="26" t="str">
        <f>"0,5619"</f>
        <v>0,5619</v>
      </c>
      <c r="E78" s="26" t="s">
        <v>1010</v>
      </c>
      <c r="F78" s="26" t="s">
        <v>380</v>
      </c>
      <c r="G78" s="28" t="s">
        <v>42</v>
      </c>
      <c r="H78" s="28" t="s">
        <v>56</v>
      </c>
      <c r="I78" s="27" t="s">
        <v>57</v>
      </c>
      <c r="J78" s="27"/>
      <c r="K78" s="26" t="str">
        <f>"265,0"</f>
        <v>265,0</v>
      </c>
      <c r="L78" s="28" t="str">
        <f>"148,9035"</f>
        <v>148,9035</v>
      </c>
      <c r="M78" s="26" t="s">
        <v>43</v>
      </c>
    </row>
    <row r="79" spans="1:13">
      <c r="A79" s="26" t="s">
        <v>1116</v>
      </c>
      <c r="B79" s="26" t="s">
        <v>1117</v>
      </c>
      <c r="C79" s="26" t="s">
        <v>891</v>
      </c>
      <c r="D79" s="26" t="str">
        <f>"0,5678"</f>
        <v>0,5678</v>
      </c>
      <c r="E79" s="26" t="s">
        <v>469</v>
      </c>
      <c r="F79" s="26" t="s">
        <v>470</v>
      </c>
      <c r="G79" s="27" t="s">
        <v>24</v>
      </c>
      <c r="H79" s="28" t="s">
        <v>354</v>
      </c>
      <c r="I79" s="28" t="s">
        <v>52</v>
      </c>
      <c r="J79" s="27"/>
      <c r="K79" s="26" t="str">
        <f>"245,0"</f>
        <v>245,0</v>
      </c>
      <c r="L79" s="28" t="str">
        <f>"139,1110"</f>
        <v>139,1110</v>
      </c>
      <c r="M79" s="26" t="s">
        <v>533</v>
      </c>
    </row>
    <row r="80" spans="1:13">
      <c r="A80" s="26" t="s">
        <v>1119</v>
      </c>
      <c r="B80" s="26" t="s">
        <v>1120</v>
      </c>
      <c r="C80" s="26" t="s">
        <v>1121</v>
      </c>
      <c r="D80" s="26" t="str">
        <f>"0,5627"</f>
        <v>0,5627</v>
      </c>
      <c r="E80" s="26" t="s">
        <v>728</v>
      </c>
      <c r="F80" s="26" t="s">
        <v>121</v>
      </c>
      <c r="G80" s="28" t="s">
        <v>354</v>
      </c>
      <c r="H80" s="27" t="s">
        <v>42</v>
      </c>
      <c r="I80" s="27" t="s">
        <v>42</v>
      </c>
      <c r="J80" s="27"/>
      <c r="K80" s="26" t="str">
        <f>"235,0"</f>
        <v>235,0</v>
      </c>
      <c r="L80" s="28" t="str">
        <f>"132,2345"</f>
        <v>132,2345</v>
      </c>
      <c r="M80" s="26" t="s">
        <v>1122</v>
      </c>
    </row>
    <row r="81" spans="1:13">
      <c r="A81" s="26" t="s">
        <v>1124</v>
      </c>
      <c r="B81" s="26" t="s">
        <v>1125</v>
      </c>
      <c r="C81" s="26" t="s">
        <v>1126</v>
      </c>
      <c r="D81" s="26" t="str">
        <f>"0,5720"</f>
        <v>0,5720</v>
      </c>
      <c r="E81" s="26" t="s">
        <v>20</v>
      </c>
      <c r="F81" s="26" t="s">
        <v>1127</v>
      </c>
      <c r="G81" s="28" t="s">
        <v>24</v>
      </c>
      <c r="H81" s="27" t="s">
        <v>354</v>
      </c>
      <c r="I81" s="27" t="s">
        <v>354</v>
      </c>
      <c r="J81" s="27"/>
      <c r="K81" s="26" t="str">
        <f>"225,0"</f>
        <v>225,0</v>
      </c>
      <c r="L81" s="28" t="str">
        <f>"128,7000"</f>
        <v>128,7000</v>
      </c>
      <c r="M81" s="26" t="s">
        <v>1128</v>
      </c>
    </row>
    <row r="82" spans="1:13">
      <c r="A82" s="26" t="s">
        <v>1130</v>
      </c>
      <c r="B82" s="26" t="s">
        <v>1131</v>
      </c>
      <c r="C82" s="26" t="s">
        <v>1121</v>
      </c>
      <c r="D82" s="26" t="str">
        <f>"0,5627"</f>
        <v>0,5627</v>
      </c>
      <c r="E82" s="26" t="s">
        <v>461</v>
      </c>
      <c r="F82" s="26" t="s">
        <v>462</v>
      </c>
      <c r="G82" s="28" t="s">
        <v>63</v>
      </c>
      <c r="H82" s="28" t="s">
        <v>253</v>
      </c>
      <c r="I82" s="27" t="s">
        <v>354</v>
      </c>
      <c r="J82" s="27"/>
      <c r="K82" s="26" t="str">
        <f>"220,0"</f>
        <v>220,0</v>
      </c>
      <c r="L82" s="28" t="str">
        <f>"123,7940"</f>
        <v>123,7940</v>
      </c>
      <c r="M82" s="26" t="s">
        <v>43</v>
      </c>
    </row>
    <row r="83" spans="1:13">
      <c r="A83" s="15" t="s">
        <v>1133</v>
      </c>
      <c r="B83" s="15" t="s">
        <v>1134</v>
      </c>
      <c r="C83" s="15" t="s">
        <v>1135</v>
      </c>
      <c r="D83" s="15" t="str">
        <f>"0,5565"</f>
        <v>0,5565</v>
      </c>
      <c r="E83" s="15" t="s">
        <v>469</v>
      </c>
      <c r="F83" s="15" t="s">
        <v>470</v>
      </c>
      <c r="G83" s="16" t="s">
        <v>63</v>
      </c>
      <c r="H83" s="17" t="s">
        <v>354</v>
      </c>
      <c r="I83" s="17" t="s">
        <v>354</v>
      </c>
      <c r="J83" s="17"/>
      <c r="K83" s="15" t="str">
        <f>"210,0"</f>
        <v>210,0</v>
      </c>
      <c r="L83" s="16" t="str">
        <f>"116,8650"</f>
        <v>116,8650</v>
      </c>
      <c r="M83" s="15" t="s">
        <v>43</v>
      </c>
    </row>
    <row r="85" spans="1:13" ht="15">
      <c r="A85" s="51" t="s">
        <v>166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</row>
    <row r="86" spans="1:13">
      <c r="A86" s="8" t="s">
        <v>897</v>
      </c>
      <c r="B86" s="8" t="s">
        <v>898</v>
      </c>
      <c r="C86" s="8" t="s">
        <v>899</v>
      </c>
      <c r="D86" s="8" t="str">
        <f>"0,5382"</f>
        <v>0,5382</v>
      </c>
      <c r="E86" s="8" t="s">
        <v>461</v>
      </c>
      <c r="F86" s="8" t="s">
        <v>462</v>
      </c>
      <c r="G86" s="9" t="s">
        <v>646</v>
      </c>
      <c r="H86" s="9" t="s">
        <v>1136</v>
      </c>
      <c r="I86" s="10" t="s">
        <v>73</v>
      </c>
      <c r="J86" s="10"/>
      <c r="K86" s="8" t="str">
        <f>"305,0"</f>
        <v>305,0</v>
      </c>
      <c r="L86" s="9" t="str">
        <f>"164,1510"</f>
        <v>164,1510</v>
      </c>
      <c r="M86" s="8" t="s">
        <v>43</v>
      </c>
    </row>
    <row r="88" spans="1:13" ht="15">
      <c r="A88" s="51" t="s">
        <v>65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</row>
    <row r="89" spans="1:13">
      <c r="A89" s="12" t="s">
        <v>1138</v>
      </c>
      <c r="B89" s="12" t="s">
        <v>1139</v>
      </c>
      <c r="C89" s="12" t="s">
        <v>185</v>
      </c>
      <c r="D89" s="12" t="str">
        <f>"0,5236"</f>
        <v>0,5236</v>
      </c>
      <c r="E89" s="12" t="s">
        <v>469</v>
      </c>
      <c r="F89" s="12" t="s">
        <v>470</v>
      </c>
      <c r="G89" s="13" t="s">
        <v>24</v>
      </c>
      <c r="H89" s="13" t="s">
        <v>354</v>
      </c>
      <c r="I89" s="14" t="s">
        <v>42</v>
      </c>
      <c r="J89" s="14"/>
      <c r="K89" s="12" t="str">
        <f>"235,0"</f>
        <v>235,0</v>
      </c>
      <c r="L89" s="13" t="str">
        <f>"123,0460"</f>
        <v>123,0460</v>
      </c>
      <c r="M89" s="12" t="s">
        <v>533</v>
      </c>
    </row>
    <row r="90" spans="1:13">
      <c r="A90" s="15" t="s">
        <v>1138</v>
      </c>
      <c r="B90" s="15" t="s">
        <v>1140</v>
      </c>
      <c r="C90" s="15" t="s">
        <v>185</v>
      </c>
      <c r="D90" s="15" t="str">
        <f>"0,5236"</f>
        <v>0,5236</v>
      </c>
      <c r="E90" s="15" t="s">
        <v>469</v>
      </c>
      <c r="F90" s="15" t="s">
        <v>470</v>
      </c>
      <c r="G90" s="16" t="s">
        <v>24</v>
      </c>
      <c r="H90" s="16" t="s">
        <v>354</v>
      </c>
      <c r="I90" s="17" t="s">
        <v>42</v>
      </c>
      <c r="J90" s="17"/>
      <c r="K90" s="15" t="str">
        <f>"235,0"</f>
        <v>235,0</v>
      </c>
      <c r="L90" s="16" t="str">
        <f>"123,0460"</f>
        <v>123,0460</v>
      </c>
      <c r="M90" s="15" t="s">
        <v>533</v>
      </c>
    </row>
    <row r="92" spans="1:13" ht="15">
      <c r="E92" s="18" t="s">
        <v>74</v>
      </c>
    </row>
    <row r="93" spans="1:13" ht="15">
      <c r="E93" s="18" t="s">
        <v>75</v>
      </c>
    </row>
    <row r="94" spans="1:13" ht="15">
      <c r="E94" s="18" t="s">
        <v>76</v>
      </c>
    </row>
    <row r="95" spans="1:13" ht="15">
      <c r="E95" s="18" t="s">
        <v>77</v>
      </c>
    </row>
    <row r="96" spans="1:13" ht="15">
      <c r="E96" s="18" t="s">
        <v>77</v>
      </c>
    </row>
    <row r="97" spans="1:5" ht="15">
      <c r="E97" s="18" t="s">
        <v>78</v>
      </c>
    </row>
    <row r="98" spans="1:5" ht="15">
      <c r="E98" s="18"/>
    </row>
    <row r="100" spans="1:5" ht="18">
      <c r="A100" s="19" t="s">
        <v>79</v>
      </c>
      <c r="B100" s="19"/>
    </row>
    <row r="101" spans="1:5" ht="15">
      <c r="A101" s="20" t="s">
        <v>254</v>
      </c>
      <c r="B101" s="20"/>
    </row>
    <row r="102" spans="1:5" ht="14.25">
      <c r="A102" s="22"/>
      <c r="B102" s="23" t="s">
        <v>632</v>
      </c>
    </row>
    <row r="103" spans="1:5" ht="15">
      <c r="A103" s="24" t="s">
        <v>82</v>
      </c>
      <c r="B103" s="24" t="s">
        <v>83</v>
      </c>
      <c r="C103" s="24" t="s">
        <v>84</v>
      </c>
      <c r="D103" s="24" t="s">
        <v>85</v>
      </c>
      <c r="E103" s="24" t="s">
        <v>86</v>
      </c>
    </row>
    <row r="104" spans="1:5">
      <c r="A104" s="21" t="s">
        <v>999</v>
      </c>
      <c r="B104" s="5" t="s">
        <v>258</v>
      </c>
      <c r="C104" s="5" t="s">
        <v>637</v>
      </c>
      <c r="D104" s="5" t="s">
        <v>518</v>
      </c>
      <c r="E104" s="25" t="s">
        <v>1141</v>
      </c>
    </row>
    <row r="105" spans="1:5">
      <c r="A105" s="21" t="s">
        <v>734</v>
      </c>
      <c r="B105" s="5" t="s">
        <v>633</v>
      </c>
      <c r="C105" s="5" t="s">
        <v>98</v>
      </c>
      <c r="D105" s="5" t="s">
        <v>175</v>
      </c>
      <c r="E105" s="25" t="s">
        <v>1142</v>
      </c>
    </row>
    <row r="107" spans="1:5" ht="14.25">
      <c r="A107" s="22"/>
      <c r="B107" s="23" t="s">
        <v>81</v>
      </c>
    </row>
    <row r="108" spans="1:5" ht="15">
      <c r="A108" s="24" t="s">
        <v>82</v>
      </c>
      <c r="B108" s="24" t="s">
        <v>83</v>
      </c>
      <c r="C108" s="24" t="s">
        <v>84</v>
      </c>
      <c r="D108" s="24" t="s">
        <v>85</v>
      </c>
      <c r="E108" s="24" t="s">
        <v>86</v>
      </c>
    </row>
    <row r="109" spans="1:5">
      <c r="A109" s="21" t="s">
        <v>501</v>
      </c>
      <c r="B109" s="5" t="s">
        <v>81</v>
      </c>
      <c r="C109" s="5" t="s">
        <v>438</v>
      </c>
      <c r="D109" s="5" t="s">
        <v>25</v>
      </c>
      <c r="E109" s="25" t="s">
        <v>1143</v>
      </c>
    </row>
    <row r="110" spans="1:5">
      <c r="A110" s="21" t="s">
        <v>498</v>
      </c>
      <c r="B110" s="5" t="s">
        <v>81</v>
      </c>
      <c r="C110" s="5" t="s">
        <v>645</v>
      </c>
      <c r="D110" s="5" t="s">
        <v>186</v>
      </c>
      <c r="E110" s="25" t="s">
        <v>1144</v>
      </c>
    </row>
    <row r="111" spans="1:5">
      <c r="A111" s="21" t="s">
        <v>476</v>
      </c>
      <c r="B111" s="5" t="s">
        <v>81</v>
      </c>
      <c r="C111" s="5" t="s">
        <v>634</v>
      </c>
      <c r="D111" s="5" t="s">
        <v>90</v>
      </c>
      <c r="E111" s="25" t="s">
        <v>1145</v>
      </c>
    </row>
    <row r="112" spans="1:5">
      <c r="A112" s="21" t="s">
        <v>700</v>
      </c>
      <c r="B112" s="5" t="s">
        <v>81</v>
      </c>
      <c r="C112" s="5" t="s">
        <v>637</v>
      </c>
      <c r="D112" s="5" t="s">
        <v>133</v>
      </c>
      <c r="E112" s="25" t="s">
        <v>1146</v>
      </c>
    </row>
    <row r="113" spans="1:5">
      <c r="A113" s="21" t="s">
        <v>999</v>
      </c>
      <c r="B113" s="5" t="s">
        <v>81</v>
      </c>
      <c r="C113" s="5" t="s">
        <v>637</v>
      </c>
      <c r="D113" s="5" t="s">
        <v>518</v>
      </c>
      <c r="E113" s="25" t="s">
        <v>1147</v>
      </c>
    </row>
    <row r="114" spans="1:5">
      <c r="A114" s="21" t="s">
        <v>1011</v>
      </c>
      <c r="B114" s="5" t="s">
        <v>81</v>
      </c>
      <c r="C114" s="5" t="s">
        <v>438</v>
      </c>
      <c r="D114" s="5" t="s">
        <v>133</v>
      </c>
      <c r="E114" s="25" t="s">
        <v>1148</v>
      </c>
    </row>
    <row r="115" spans="1:5">
      <c r="A115" s="21" t="s">
        <v>493</v>
      </c>
      <c r="B115" s="5" t="s">
        <v>81</v>
      </c>
      <c r="C115" s="5" t="s">
        <v>637</v>
      </c>
      <c r="D115" s="5" t="s">
        <v>490</v>
      </c>
      <c r="E115" s="25" t="s">
        <v>1149</v>
      </c>
    </row>
    <row r="116" spans="1:5">
      <c r="A116" s="21" t="s">
        <v>995</v>
      </c>
      <c r="B116" s="5" t="s">
        <v>81</v>
      </c>
      <c r="C116" s="5" t="s">
        <v>634</v>
      </c>
      <c r="D116" s="5" t="s">
        <v>93</v>
      </c>
      <c r="E116" s="25" t="s">
        <v>1150</v>
      </c>
    </row>
    <row r="117" spans="1:5">
      <c r="A117" s="21" t="s">
        <v>507</v>
      </c>
      <c r="B117" s="5" t="s">
        <v>81</v>
      </c>
      <c r="C117" s="5" t="s">
        <v>438</v>
      </c>
      <c r="D117" s="5" t="s">
        <v>305</v>
      </c>
      <c r="E117" s="25" t="s">
        <v>1151</v>
      </c>
    </row>
    <row r="118" spans="1:5">
      <c r="A118" s="21" t="s">
        <v>714</v>
      </c>
      <c r="B118" s="5" t="s">
        <v>81</v>
      </c>
      <c r="C118" s="5" t="s">
        <v>645</v>
      </c>
      <c r="D118" s="5" t="s">
        <v>199</v>
      </c>
      <c r="E118" s="25" t="s">
        <v>1152</v>
      </c>
    </row>
    <row r="119" spans="1:5">
      <c r="A119" s="21" t="s">
        <v>510</v>
      </c>
      <c r="B119" s="5" t="s">
        <v>81</v>
      </c>
      <c r="C119" s="5" t="s">
        <v>438</v>
      </c>
      <c r="D119" s="5" t="s">
        <v>421</v>
      </c>
      <c r="E119" s="25" t="s">
        <v>1153</v>
      </c>
    </row>
    <row r="120" spans="1:5">
      <c r="A120" s="21" t="s">
        <v>1018</v>
      </c>
      <c r="B120" s="5" t="s">
        <v>81</v>
      </c>
      <c r="C120" s="5" t="s">
        <v>438</v>
      </c>
      <c r="D120" s="5" t="s">
        <v>524</v>
      </c>
      <c r="E120" s="25" t="s">
        <v>1154</v>
      </c>
    </row>
    <row r="122" spans="1:5" ht="14.25">
      <c r="A122" s="22"/>
      <c r="B122" s="23" t="s">
        <v>267</v>
      </c>
    </row>
    <row r="123" spans="1:5" ht="15">
      <c r="A123" s="24" t="s">
        <v>82</v>
      </c>
      <c r="B123" s="24" t="s">
        <v>83</v>
      </c>
      <c r="C123" s="24" t="s">
        <v>84</v>
      </c>
      <c r="D123" s="24" t="s">
        <v>85</v>
      </c>
      <c r="E123" s="24" t="s">
        <v>86</v>
      </c>
    </row>
    <row r="124" spans="1:5">
      <c r="A124" s="21" t="s">
        <v>1006</v>
      </c>
      <c r="B124" s="5" t="s">
        <v>985</v>
      </c>
      <c r="C124" s="5" t="s">
        <v>637</v>
      </c>
      <c r="D124" s="5" t="s">
        <v>98</v>
      </c>
      <c r="E124" s="25" t="s">
        <v>1155</v>
      </c>
    </row>
    <row r="127" spans="1:5" ht="15">
      <c r="A127" s="20" t="s">
        <v>80</v>
      </c>
      <c r="B127" s="20"/>
    </row>
    <row r="128" spans="1:5" ht="14.25">
      <c r="A128" s="22"/>
      <c r="B128" s="23" t="s">
        <v>190</v>
      </c>
    </row>
    <row r="129" spans="1:5" ht="15">
      <c r="A129" s="24" t="s">
        <v>82</v>
      </c>
      <c r="B129" s="24" t="s">
        <v>83</v>
      </c>
      <c r="C129" s="24" t="s">
        <v>84</v>
      </c>
      <c r="D129" s="24" t="s">
        <v>85</v>
      </c>
      <c r="E129" s="24" t="s">
        <v>86</v>
      </c>
    </row>
    <row r="130" spans="1:5">
      <c r="A130" s="21" t="s">
        <v>580</v>
      </c>
      <c r="B130" s="5" t="s">
        <v>191</v>
      </c>
      <c r="C130" s="5" t="s">
        <v>204</v>
      </c>
      <c r="D130" s="5" t="s">
        <v>390</v>
      </c>
      <c r="E130" s="25" t="s">
        <v>1156</v>
      </c>
    </row>
    <row r="131" spans="1:5">
      <c r="A131" s="21" t="s">
        <v>1036</v>
      </c>
      <c r="B131" s="5" t="s">
        <v>258</v>
      </c>
      <c r="C131" s="5" t="s">
        <v>195</v>
      </c>
      <c r="D131" s="5" t="s">
        <v>22</v>
      </c>
      <c r="E131" s="25" t="s">
        <v>1157</v>
      </c>
    </row>
    <row r="132" spans="1:5">
      <c r="A132" s="21" t="s">
        <v>1039</v>
      </c>
      <c r="B132" s="5" t="s">
        <v>258</v>
      </c>
      <c r="C132" s="5" t="s">
        <v>195</v>
      </c>
      <c r="D132" s="5" t="s">
        <v>22</v>
      </c>
      <c r="E132" s="25" t="s">
        <v>1158</v>
      </c>
    </row>
    <row r="133" spans="1:5">
      <c r="A133" s="21" t="s">
        <v>1071</v>
      </c>
      <c r="B133" s="5" t="s">
        <v>191</v>
      </c>
      <c r="C133" s="5" t="s">
        <v>204</v>
      </c>
      <c r="D133" s="5" t="s">
        <v>53</v>
      </c>
      <c r="E133" s="25" t="s">
        <v>1159</v>
      </c>
    </row>
    <row r="135" spans="1:5" ht="14.25">
      <c r="A135" s="22"/>
      <c r="B135" s="23" t="s">
        <v>357</v>
      </c>
    </row>
    <row r="136" spans="1:5" ht="15">
      <c r="A136" s="24" t="s">
        <v>82</v>
      </c>
      <c r="B136" s="24" t="s">
        <v>83</v>
      </c>
      <c r="C136" s="24" t="s">
        <v>84</v>
      </c>
      <c r="D136" s="24" t="s">
        <v>85</v>
      </c>
      <c r="E136" s="24" t="s">
        <v>86</v>
      </c>
    </row>
    <row r="137" spans="1:5">
      <c r="A137" s="21" t="s">
        <v>743</v>
      </c>
      <c r="B137" s="5" t="s">
        <v>256</v>
      </c>
      <c r="C137" s="5" t="s">
        <v>645</v>
      </c>
      <c r="D137" s="5" t="s">
        <v>64</v>
      </c>
      <c r="E137" s="25" t="s">
        <v>1160</v>
      </c>
    </row>
    <row r="138" spans="1:5">
      <c r="A138" s="21" t="s">
        <v>590</v>
      </c>
      <c r="B138" s="5" t="s">
        <v>256</v>
      </c>
      <c r="C138" s="5" t="s">
        <v>98</v>
      </c>
      <c r="D138" s="5" t="s">
        <v>28</v>
      </c>
      <c r="E138" s="25" t="s">
        <v>1161</v>
      </c>
    </row>
    <row r="139" spans="1:5">
      <c r="A139" s="21" t="s">
        <v>1042</v>
      </c>
      <c r="B139" s="5" t="s">
        <v>256</v>
      </c>
      <c r="C139" s="5" t="s">
        <v>195</v>
      </c>
      <c r="D139" s="5" t="s">
        <v>23</v>
      </c>
      <c r="E139" s="25" t="s">
        <v>1162</v>
      </c>
    </row>
    <row r="140" spans="1:5">
      <c r="A140" s="21" t="s">
        <v>535</v>
      </c>
      <c r="B140" s="5" t="s">
        <v>256</v>
      </c>
      <c r="C140" s="5" t="s">
        <v>87</v>
      </c>
      <c r="D140" s="5" t="s">
        <v>54</v>
      </c>
      <c r="E140" s="25" t="s">
        <v>1163</v>
      </c>
    </row>
    <row r="141" spans="1:5">
      <c r="A141" s="21" t="s">
        <v>1046</v>
      </c>
      <c r="B141" s="5" t="s">
        <v>256</v>
      </c>
      <c r="C141" s="5" t="s">
        <v>195</v>
      </c>
      <c r="D141" s="5" t="s">
        <v>22</v>
      </c>
      <c r="E141" s="25" t="s">
        <v>1164</v>
      </c>
    </row>
    <row r="142" spans="1:5">
      <c r="A142" s="21" t="s">
        <v>1104</v>
      </c>
      <c r="B142" s="5" t="s">
        <v>256</v>
      </c>
      <c r="C142" s="5" t="s">
        <v>93</v>
      </c>
      <c r="D142" s="5" t="s">
        <v>52</v>
      </c>
      <c r="E142" s="25" t="s">
        <v>1165</v>
      </c>
    </row>
    <row r="143" spans="1:5">
      <c r="A143" s="21" t="s">
        <v>1022</v>
      </c>
      <c r="B143" s="5" t="s">
        <v>256</v>
      </c>
      <c r="C143" s="5" t="s">
        <v>438</v>
      </c>
      <c r="D143" s="5" t="s">
        <v>27</v>
      </c>
      <c r="E143" s="25" t="s">
        <v>1166</v>
      </c>
    </row>
    <row r="144" spans="1:5">
      <c r="A144" s="21" t="s">
        <v>1049</v>
      </c>
      <c r="B144" s="5" t="s">
        <v>256</v>
      </c>
      <c r="C144" s="5" t="s">
        <v>195</v>
      </c>
      <c r="D144" s="5" t="s">
        <v>54</v>
      </c>
      <c r="E144" s="25" t="s">
        <v>1167</v>
      </c>
    </row>
    <row r="145" spans="1:5">
      <c r="A145" s="21" t="s">
        <v>1137</v>
      </c>
      <c r="B145" s="5" t="s">
        <v>256</v>
      </c>
      <c r="C145" s="5" t="s">
        <v>90</v>
      </c>
      <c r="D145" s="5" t="s">
        <v>354</v>
      </c>
      <c r="E145" s="25" t="s">
        <v>1168</v>
      </c>
    </row>
    <row r="146" spans="1:5">
      <c r="A146" s="21" t="s">
        <v>1075</v>
      </c>
      <c r="B146" s="5" t="s">
        <v>256</v>
      </c>
      <c r="C146" s="5" t="s">
        <v>204</v>
      </c>
      <c r="D146" s="5" t="s">
        <v>159</v>
      </c>
      <c r="E146" s="25" t="s">
        <v>1169</v>
      </c>
    </row>
    <row r="147" spans="1:5">
      <c r="A147" s="21" t="s">
        <v>773</v>
      </c>
      <c r="B147" s="5" t="s">
        <v>256</v>
      </c>
      <c r="C147" s="5" t="s">
        <v>195</v>
      </c>
      <c r="D147" s="5" t="s">
        <v>306</v>
      </c>
      <c r="E147" s="25" t="s">
        <v>1170</v>
      </c>
    </row>
    <row r="149" spans="1:5" ht="14.25">
      <c r="A149" s="22"/>
      <c r="B149" s="23" t="s">
        <v>81</v>
      </c>
    </row>
    <row r="150" spans="1:5" ht="15">
      <c r="A150" s="24" t="s">
        <v>82</v>
      </c>
      <c r="B150" s="24" t="s">
        <v>83</v>
      </c>
      <c r="C150" s="24" t="s">
        <v>84</v>
      </c>
      <c r="D150" s="24" t="s">
        <v>85</v>
      </c>
      <c r="E150" s="24" t="s">
        <v>86</v>
      </c>
    </row>
    <row r="151" spans="1:5">
      <c r="A151" s="21" t="s">
        <v>896</v>
      </c>
      <c r="B151" s="5" t="s">
        <v>81</v>
      </c>
      <c r="C151" s="5" t="s">
        <v>199</v>
      </c>
      <c r="D151" s="5" t="s">
        <v>1136</v>
      </c>
      <c r="E151" s="25" t="s">
        <v>1171</v>
      </c>
    </row>
    <row r="152" spans="1:5">
      <c r="A152" s="21" t="s">
        <v>1026</v>
      </c>
      <c r="B152" s="5" t="s">
        <v>81</v>
      </c>
      <c r="C152" s="5" t="s">
        <v>87</v>
      </c>
      <c r="D152" s="5" t="s">
        <v>253</v>
      </c>
      <c r="E152" s="25" t="s">
        <v>1172</v>
      </c>
    </row>
    <row r="153" spans="1:5">
      <c r="A153" s="21" t="s">
        <v>580</v>
      </c>
      <c r="B153" s="5" t="s">
        <v>81</v>
      </c>
      <c r="C153" s="5" t="s">
        <v>204</v>
      </c>
      <c r="D153" s="5" t="s">
        <v>390</v>
      </c>
      <c r="E153" s="25" t="s">
        <v>1173</v>
      </c>
    </row>
    <row r="154" spans="1:5">
      <c r="A154" s="21" t="s">
        <v>1053</v>
      </c>
      <c r="B154" s="5" t="s">
        <v>81</v>
      </c>
      <c r="C154" s="5" t="s">
        <v>195</v>
      </c>
      <c r="D154" s="5" t="s">
        <v>354</v>
      </c>
      <c r="E154" s="25" t="s">
        <v>1174</v>
      </c>
    </row>
    <row r="155" spans="1:5">
      <c r="A155" s="21" t="s">
        <v>1107</v>
      </c>
      <c r="B155" s="5" t="s">
        <v>81</v>
      </c>
      <c r="C155" s="5" t="s">
        <v>93</v>
      </c>
      <c r="D155" s="5" t="s">
        <v>29</v>
      </c>
      <c r="E155" s="25" t="s">
        <v>1175</v>
      </c>
    </row>
    <row r="156" spans="1:5">
      <c r="A156" s="21" t="s">
        <v>1112</v>
      </c>
      <c r="B156" s="5" t="s">
        <v>81</v>
      </c>
      <c r="C156" s="5" t="s">
        <v>93</v>
      </c>
      <c r="D156" s="5" t="s">
        <v>56</v>
      </c>
      <c r="E156" s="25" t="s">
        <v>1176</v>
      </c>
    </row>
    <row r="157" spans="1:5">
      <c r="A157" s="21" t="s">
        <v>1082</v>
      </c>
      <c r="B157" s="5" t="s">
        <v>81</v>
      </c>
      <c r="C157" s="5" t="s">
        <v>204</v>
      </c>
      <c r="D157" s="5" t="s">
        <v>354</v>
      </c>
      <c r="E157" s="25" t="s">
        <v>1177</v>
      </c>
    </row>
    <row r="158" spans="1:5">
      <c r="A158" s="21" t="s">
        <v>1042</v>
      </c>
      <c r="B158" s="5" t="s">
        <v>81</v>
      </c>
      <c r="C158" s="5" t="s">
        <v>195</v>
      </c>
      <c r="D158" s="5" t="s">
        <v>23</v>
      </c>
      <c r="E158" s="25" t="s">
        <v>1178</v>
      </c>
    </row>
    <row r="159" spans="1:5">
      <c r="A159" s="21" t="s">
        <v>570</v>
      </c>
      <c r="B159" s="5" t="s">
        <v>81</v>
      </c>
      <c r="C159" s="5" t="s">
        <v>195</v>
      </c>
      <c r="D159" s="5" t="s">
        <v>23</v>
      </c>
      <c r="E159" s="25" t="s">
        <v>1179</v>
      </c>
    </row>
    <row r="160" spans="1:5">
      <c r="A160" s="21" t="s">
        <v>1087</v>
      </c>
      <c r="B160" s="5" t="s">
        <v>81</v>
      </c>
      <c r="C160" s="5" t="s">
        <v>204</v>
      </c>
      <c r="D160" s="5" t="s">
        <v>253</v>
      </c>
      <c r="E160" s="25" t="s">
        <v>1180</v>
      </c>
    </row>
    <row r="161" spans="1:5">
      <c r="A161" s="21" t="s">
        <v>1036</v>
      </c>
      <c r="B161" s="5" t="s">
        <v>81</v>
      </c>
      <c r="C161" s="5" t="s">
        <v>195</v>
      </c>
      <c r="D161" s="5" t="s">
        <v>22</v>
      </c>
      <c r="E161" s="25" t="s">
        <v>1181</v>
      </c>
    </row>
    <row r="162" spans="1:5">
      <c r="A162" s="21" t="s">
        <v>1098</v>
      </c>
      <c r="B162" s="5" t="s">
        <v>81</v>
      </c>
      <c r="C162" s="5" t="s">
        <v>98</v>
      </c>
      <c r="D162" s="5" t="s">
        <v>354</v>
      </c>
      <c r="E162" s="25" t="s">
        <v>1182</v>
      </c>
    </row>
    <row r="163" spans="1:5">
      <c r="A163" s="21" t="s">
        <v>1104</v>
      </c>
      <c r="B163" s="5" t="s">
        <v>81</v>
      </c>
      <c r="C163" s="5" t="s">
        <v>93</v>
      </c>
      <c r="D163" s="5" t="s">
        <v>52</v>
      </c>
      <c r="E163" s="25" t="s">
        <v>1165</v>
      </c>
    </row>
    <row r="164" spans="1:5">
      <c r="A164" s="21" t="s">
        <v>1039</v>
      </c>
      <c r="B164" s="5" t="s">
        <v>81</v>
      </c>
      <c r="C164" s="5" t="s">
        <v>195</v>
      </c>
      <c r="D164" s="5" t="s">
        <v>22</v>
      </c>
      <c r="E164" s="25" t="s">
        <v>1183</v>
      </c>
    </row>
    <row r="165" spans="1:5">
      <c r="A165" s="21" t="s">
        <v>1091</v>
      </c>
      <c r="B165" s="5" t="s">
        <v>81</v>
      </c>
      <c r="C165" s="5" t="s">
        <v>204</v>
      </c>
      <c r="D165" s="5" t="s">
        <v>151</v>
      </c>
      <c r="E165" s="25" t="s">
        <v>1184</v>
      </c>
    </row>
    <row r="166" spans="1:5">
      <c r="A166" s="21" t="s">
        <v>842</v>
      </c>
      <c r="B166" s="5" t="s">
        <v>81</v>
      </c>
      <c r="C166" s="5" t="s">
        <v>98</v>
      </c>
      <c r="D166" s="5" t="s">
        <v>24</v>
      </c>
      <c r="E166" s="25" t="s">
        <v>1185</v>
      </c>
    </row>
    <row r="167" spans="1:5">
      <c r="A167" s="21" t="s">
        <v>1118</v>
      </c>
      <c r="B167" s="5" t="s">
        <v>81</v>
      </c>
      <c r="C167" s="5" t="s">
        <v>93</v>
      </c>
      <c r="D167" s="5" t="s">
        <v>354</v>
      </c>
      <c r="E167" s="25" t="s">
        <v>1186</v>
      </c>
    </row>
    <row r="168" spans="1:5">
      <c r="A168" s="21" t="s">
        <v>1123</v>
      </c>
      <c r="B168" s="5" t="s">
        <v>81</v>
      </c>
      <c r="C168" s="5" t="s">
        <v>93</v>
      </c>
      <c r="D168" s="5" t="s">
        <v>24</v>
      </c>
      <c r="E168" s="25" t="s">
        <v>1187</v>
      </c>
    </row>
    <row r="169" spans="1:5">
      <c r="A169" s="21" t="s">
        <v>1129</v>
      </c>
      <c r="B169" s="5" t="s">
        <v>81</v>
      </c>
      <c r="C169" s="5" t="s">
        <v>93</v>
      </c>
      <c r="D169" s="5" t="s">
        <v>253</v>
      </c>
      <c r="E169" s="25" t="s">
        <v>1188</v>
      </c>
    </row>
    <row r="170" spans="1:5">
      <c r="A170" s="21" t="s">
        <v>1137</v>
      </c>
      <c r="B170" s="5" t="s">
        <v>81</v>
      </c>
      <c r="C170" s="5" t="s">
        <v>90</v>
      </c>
      <c r="D170" s="5" t="s">
        <v>354</v>
      </c>
      <c r="E170" s="25" t="s">
        <v>1168</v>
      </c>
    </row>
    <row r="171" spans="1:5">
      <c r="A171" s="21" t="s">
        <v>1075</v>
      </c>
      <c r="B171" s="5" t="s">
        <v>81</v>
      </c>
      <c r="C171" s="5" t="s">
        <v>204</v>
      </c>
      <c r="D171" s="5" t="s">
        <v>159</v>
      </c>
      <c r="E171" s="25" t="s">
        <v>1189</v>
      </c>
    </row>
    <row r="172" spans="1:5">
      <c r="A172" s="21" t="s">
        <v>1030</v>
      </c>
      <c r="B172" s="5" t="s">
        <v>81</v>
      </c>
      <c r="C172" s="5" t="s">
        <v>87</v>
      </c>
      <c r="D172" s="5" t="s">
        <v>40</v>
      </c>
      <c r="E172" s="25" t="s">
        <v>1190</v>
      </c>
    </row>
    <row r="173" spans="1:5">
      <c r="A173" s="21" t="s">
        <v>1132</v>
      </c>
      <c r="B173" s="5" t="s">
        <v>81</v>
      </c>
      <c r="C173" s="5" t="s">
        <v>93</v>
      </c>
      <c r="D173" s="5" t="s">
        <v>63</v>
      </c>
      <c r="E173" s="25" t="s">
        <v>1191</v>
      </c>
    </row>
    <row r="174" spans="1:5">
      <c r="A174" s="21" t="s">
        <v>1065</v>
      </c>
      <c r="B174" s="5" t="s">
        <v>81</v>
      </c>
      <c r="C174" s="5" t="s">
        <v>195</v>
      </c>
      <c r="D174" s="5" t="s">
        <v>569</v>
      </c>
      <c r="E174" s="25" t="s">
        <v>1192</v>
      </c>
    </row>
    <row r="176" spans="1:5" ht="14.25">
      <c r="A176" s="22"/>
      <c r="B176" s="23" t="s">
        <v>267</v>
      </c>
    </row>
    <row r="177" spans="1:5" ht="15">
      <c r="A177" s="24" t="s">
        <v>82</v>
      </c>
      <c r="B177" s="24" t="s">
        <v>83</v>
      </c>
      <c r="C177" s="24" t="s">
        <v>84</v>
      </c>
      <c r="D177" s="24" t="s">
        <v>85</v>
      </c>
      <c r="E177" s="24" t="s">
        <v>86</v>
      </c>
    </row>
    <row r="178" spans="1:5">
      <c r="A178" s="21" t="s">
        <v>1030</v>
      </c>
      <c r="B178" s="5" t="s">
        <v>1193</v>
      </c>
      <c r="C178" s="5" t="s">
        <v>87</v>
      </c>
      <c r="D178" s="5" t="s">
        <v>40</v>
      </c>
      <c r="E178" s="25" t="s">
        <v>1194</v>
      </c>
    </row>
    <row r="179" spans="1:5">
      <c r="A179" s="21" t="s">
        <v>858</v>
      </c>
      <c r="B179" s="5" t="s">
        <v>987</v>
      </c>
      <c r="C179" s="5" t="s">
        <v>98</v>
      </c>
      <c r="D179" s="5" t="s">
        <v>38</v>
      </c>
      <c r="E179" s="25" t="s">
        <v>1195</v>
      </c>
    </row>
  </sheetData>
  <mergeCells count="25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9:L9"/>
    <mergeCell ref="A16:L16"/>
    <mergeCell ref="A20:L20"/>
    <mergeCell ref="A27:L27"/>
    <mergeCell ref="K3:K4"/>
    <mergeCell ref="L3:L4"/>
    <mergeCell ref="A88:L88"/>
    <mergeCell ref="A57:L57"/>
    <mergeCell ref="A69:L69"/>
    <mergeCell ref="A75:L75"/>
    <mergeCell ref="A85:L85"/>
    <mergeCell ref="A30:L30"/>
    <mergeCell ref="A33:L33"/>
    <mergeCell ref="A36:L36"/>
    <mergeCell ref="A42:L42"/>
  </mergeCells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80"/>
  <sheetViews>
    <sheetView workbookViewId="0">
      <selection activeCell="G3" sqref="G3:K4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4.140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6.28515625" style="5" bestFit="1" customWidth="1"/>
    <col min="14" max="16384" width="9.140625" style="4"/>
  </cols>
  <sheetData>
    <row r="1" spans="1:13" s="3" customFormat="1" ht="29.1" customHeight="1">
      <c r="A1" s="50" t="s">
        <v>694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456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12" t="s">
        <v>477</v>
      </c>
      <c r="B6" s="12" t="s">
        <v>478</v>
      </c>
      <c r="C6" s="12" t="s">
        <v>528</v>
      </c>
      <c r="D6" s="12" t="str">
        <f>"1,0345"</f>
        <v>1,0345</v>
      </c>
      <c r="E6" s="12" t="s">
        <v>461</v>
      </c>
      <c r="F6" s="12" t="s">
        <v>462</v>
      </c>
      <c r="G6" s="13" t="s">
        <v>505</v>
      </c>
      <c r="H6" s="13" t="s">
        <v>506</v>
      </c>
      <c r="I6" s="13" t="s">
        <v>438</v>
      </c>
      <c r="J6" s="14"/>
      <c r="K6" s="12" t="str">
        <f>"60,0"</f>
        <v>60,0</v>
      </c>
      <c r="L6" s="13" t="str">
        <f>"62,0670"</f>
        <v>62,0670</v>
      </c>
      <c r="M6" s="12" t="s">
        <v>43</v>
      </c>
    </row>
    <row r="7" spans="1:13">
      <c r="A7" s="15" t="s">
        <v>695</v>
      </c>
      <c r="B7" s="15" t="s">
        <v>696</v>
      </c>
      <c r="C7" s="15" t="s">
        <v>697</v>
      </c>
      <c r="D7" s="15" t="str">
        <f>"1,0539"</f>
        <v>1,0539</v>
      </c>
      <c r="E7" s="15" t="s">
        <v>698</v>
      </c>
      <c r="F7" s="15" t="s">
        <v>699</v>
      </c>
      <c r="G7" s="17" t="s">
        <v>463</v>
      </c>
      <c r="H7" s="17" t="s">
        <v>464</v>
      </c>
      <c r="I7" s="17" t="s">
        <v>464</v>
      </c>
      <c r="J7" s="17"/>
      <c r="K7" s="15" t="str">
        <f>"0,0"</f>
        <v>0,0</v>
      </c>
      <c r="L7" s="16" t="str">
        <f>"0,0000"</f>
        <v>0,0000</v>
      </c>
      <c r="M7" s="15" t="s">
        <v>43</v>
      </c>
    </row>
    <row r="9" spans="1:13" ht="15">
      <c r="A9" s="51" t="s">
        <v>485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3">
      <c r="A10" s="12" t="s">
        <v>701</v>
      </c>
      <c r="B10" s="12" t="s">
        <v>702</v>
      </c>
      <c r="C10" s="12" t="s">
        <v>703</v>
      </c>
      <c r="D10" s="12" t="str">
        <f>"0,9724"</f>
        <v>0,9724</v>
      </c>
      <c r="E10" s="12" t="s">
        <v>461</v>
      </c>
      <c r="F10" s="12" t="s">
        <v>462</v>
      </c>
      <c r="G10" s="13" t="s">
        <v>505</v>
      </c>
      <c r="H10" s="13" t="s">
        <v>506</v>
      </c>
      <c r="I10" s="14" t="s">
        <v>438</v>
      </c>
      <c r="J10" s="14"/>
      <c r="K10" s="12" t="str">
        <f>"57,5"</f>
        <v>57,5</v>
      </c>
      <c r="L10" s="13" t="str">
        <f>"55,9101"</f>
        <v>55,9101</v>
      </c>
      <c r="M10" s="12" t="s">
        <v>43</v>
      </c>
    </row>
    <row r="11" spans="1:13">
      <c r="A11" s="26" t="s">
        <v>494</v>
      </c>
      <c r="B11" s="26" t="s">
        <v>495</v>
      </c>
      <c r="C11" s="26" t="s">
        <v>496</v>
      </c>
      <c r="D11" s="26" t="str">
        <f>"0,9864"</f>
        <v>0,9864</v>
      </c>
      <c r="E11" s="26" t="s">
        <v>461</v>
      </c>
      <c r="F11" s="26" t="s">
        <v>462</v>
      </c>
      <c r="G11" s="28" t="s">
        <v>463</v>
      </c>
      <c r="H11" s="27" t="s">
        <v>474</v>
      </c>
      <c r="I11" s="27" t="s">
        <v>474</v>
      </c>
      <c r="J11" s="27"/>
      <c r="K11" s="26" t="str">
        <f>"45,0"</f>
        <v>45,0</v>
      </c>
      <c r="L11" s="28" t="str">
        <f>"44,3880"</f>
        <v>44,3880</v>
      </c>
      <c r="M11" s="26" t="s">
        <v>43</v>
      </c>
    </row>
    <row r="12" spans="1:13">
      <c r="A12" s="15" t="s">
        <v>705</v>
      </c>
      <c r="B12" s="15" t="s">
        <v>706</v>
      </c>
      <c r="C12" s="15" t="s">
        <v>707</v>
      </c>
      <c r="D12" s="15" t="str">
        <f>"0,9817"</f>
        <v>0,9817</v>
      </c>
      <c r="E12" s="15" t="s">
        <v>708</v>
      </c>
      <c r="F12" s="15" t="s">
        <v>709</v>
      </c>
      <c r="G12" s="16" t="s">
        <v>454</v>
      </c>
      <c r="H12" s="16" t="s">
        <v>463</v>
      </c>
      <c r="I12" s="17" t="s">
        <v>505</v>
      </c>
      <c r="J12" s="17"/>
      <c r="K12" s="15" t="str">
        <f>"45,0"</f>
        <v>45,0</v>
      </c>
      <c r="L12" s="16" t="str">
        <f>"44,1765"</f>
        <v>44,1765</v>
      </c>
      <c r="M12" s="15" t="s">
        <v>43</v>
      </c>
    </row>
    <row r="14" spans="1:13" ht="15">
      <c r="A14" s="51" t="s">
        <v>497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3">
      <c r="A15" s="12" t="s">
        <v>711</v>
      </c>
      <c r="B15" s="12" t="s">
        <v>712</v>
      </c>
      <c r="C15" s="12" t="s">
        <v>713</v>
      </c>
      <c r="D15" s="12" t="str">
        <f>"0,9369"</f>
        <v>0,9369</v>
      </c>
      <c r="E15" s="12" t="s">
        <v>20</v>
      </c>
      <c r="F15" s="12" t="s">
        <v>21</v>
      </c>
      <c r="G15" s="13" t="s">
        <v>438</v>
      </c>
      <c r="H15" s="14" t="s">
        <v>475</v>
      </c>
      <c r="I15" s="13" t="s">
        <v>475</v>
      </c>
      <c r="J15" s="14"/>
      <c r="K15" s="12" t="str">
        <f>"65,0"</f>
        <v>65,0</v>
      </c>
      <c r="L15" s="13" t="str">
        <f>"60,8985"</f>
        <v>60,8985</v>
      </c>
      <c r="M15" s="12" t="s">
        <v>43</v>
      </c>
    </row>
    <row r="16" spans="1:13">
      <c r="A16" s="26" t="s">
        <v>715</v>
      </c>
      <c r="B16" s="26" t="s">
        <v>716</v>
      </c>
      <c r="C16" s="26" t="s">
        <v>717</v>
      </c>
      <c r="D16" s="26" t="str">
        <f>"0,9398"</f>
        <v>0,9398</v>
      </c>
      <c r="E16" s="26" t="s">
        <v>718</v>
      </c>
      <c r="F16" s="26" t="s">
        <v>21</v>
      </c>
      <c r="G16" s="28" t="s">
        <v>463</v>
      </c>
      <c r="H16" s="27" t="s">
        <v>474</v>
      </c>
      <c r="I16" s="27" t="s">
        <v>474</v>
      </c>
      <c r="J16" s="27"/>
      <c r="K16" s="26" t="str">
        <f>"45,0"</f>
        <v>45,0</v>
      </c>
      <c r="L16" s="28" t="str">
        <f>"42,2888"</f>
        <v>42,2888</v>
      </c>
      <c r="M16" s="26" t="s">
        <v>43</v>
      </c>
    </row>
    <row r="17" spans="1:13">
      <c r="A17" s="15" t="s">
        <v>720</v>
      </c>
      <c r="B17" s="15" t="s">
        <v>721</v>
      </c>
      <c r="C17" s="15" t="s">
        <v>722</v>
      </c>
      <c r="D17" s="15" t="str">
        <f>"0,9470"</f>
        <v>0,9470</v>
      </c>
      <c r="E17" s="15" t="s">
        <v>567</v>
      </c>
      <c r="F17" s="15" t="s">
        <v>568</v>
      </c>
      <c r="G17" s="16" t="s">
        <v>452</v>
      </c>
      <c r="H17" s="16" t="s">
        <v>454</v>
      </c>
      <c r="I17" s="17" t="s">
        <v>723</v>
      </c>
      <c r="J17" s="17"/>
      <c r="K17" s="15" t="str">
        <f>"40,0"</f>
        <v>40,0</v>
      </c>
      <c r="L17" s="16" t="str">
        <f>"37,8780"</f>
        <v>37,8780</v>
      </c>
      <c r="M17" s="15" t="s">
        <v>43</v>
      </c>
    </row>
    <row r="19" spans="1:13" ht="15">
      <c r="A19" s="51" t="s">
        <v>416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>
      <c r="A20" s="12" t="s">
        <v>725</v>
      </c>
      <c r="B20" s="12" t="s">
        <v>726</v>
      </c>
      <c r="C20" s="12" t="s">
        <v>727</v>
      </c>
      <c r="D20" s="12" t="str">
        <f>"0,8857"</f>
        <v>0,8857</v>
      </c>
      <c r="E20" s="12" t="s">
        <v>728</v>
      </c>
      <c r="F20" s="12" t="s">
        <v>121</v>
      </c>
      <c r="G20" s="13" t="s">
        <v>438</v>
      </c>
      <c r="H20" s="13" t="s">
        <v>491</v>
      </c>
      <c r="I20" s="14" t="s">
        <v>475</v>
      </c>
      <c r="J20" s="14"/>
      <c r="K20" s="12" t="str">
        <f>"62,5"</f>
        <v>62,5</v>
      </c>
      <c r="L20" s="13" t="str">
        <f>"55,3562"</f>
        <v>55,3562</v>
      </c>
      <c r="M20" s="12" t="s">
        <v>43</v>
      </c>
    </row>
    <row r="21" spans="1:13">
      <c r="A21" s="26" t="s">
        <v>729</v>
      </c>
      <c r="B21" s="26" t="s">
        <v>503</v>
      </c>
      <c r="C21" s="26" t="s">
        <v>504</v>
      </c>
      <c r="D21" s="26" t="str">
        <f>"0,8807"</f>
        <v>0,8807</v>
      </c>
      <c r="E21" s="26" t="s">
        <v>461</v>
      </c>
      <c r="F21" s="26" t="s">
        <v>462</v>
      </c>
      <c r="G21" s="28" t="s">
        <v>464</v>
      </c>
      <c r="H21" s="28" t="s">
        <v>505</v>
      </c>
      <c r="I21" s="27" t="s">
        <v>506</v>
      </c>
      <c r="J21" s="27"/>
      <c r="K21" s="26" t="str">
        <f>"52,5"</f>
        <v>52,5</v>
      </c>
      <c r="L21" s="28" t="str">
        <f>"46,2367"</f>
        <v>46,2367</v>
      </c>
      <c r="M21" s="26" t="s">
        <v>43</v>
      </c>
    </row>
    <row r="22" spans="1:13">
      <c r="A22" s="15" t="s">
        <v>731</v>
      </c>
      <c r="B22" s="15" t="s">
        <v>732</v>
      </c>
      <c r="C22" s="15" t="s">
        <v>733</v>
      </c>
      <c r="D22" s="15" t="str">
        <f>"0,8634"</f>
        <v>0,8634</v>
      </c>
      <c r="E22" s="15" t="s">
        <v>567</v>
      </c>
      <c r="F22" s="15" t="s">
        <v>568</v>
      </c>
      <c r="G22" s="16" t="s">
        <v>452</v>
      </c>
      <c r="H22" s="17" t="s">
        <v>454</v>
      </c>
      <c r="I22" s="17" t="s">
        <v>454</v>
      </c>
      <c r="J22" s="17"/>
      <c r="K22" s="15" t="str">
        <f>"35,0"</f>
        <v>35,0</v>
      </c>
      <c r="L22" s="16" t="str">
        <f>"30,2190"</f>
        <v>30,2190</v>
      </c>
      <c r="M22" s="15" t="s">
        <v>43</v>
      </c>
    </row>
    <row r="24" spans="1:13" ht="15">
      <c r="A24" s="51" t="s">
        <v>32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3">
      <c r="A25" s="8" t="s">
        <v>735</v>
      </c>
      <c r="B25" s="8" t="s">
        <v>736</v>
      </c>
      <c r="C25" s="8" t="s">
        <v>737</v>
      </c>
      <c r="D25" s="8" t="str">
        <f>"0,6507"</f>
        <v>0,6507</v>
      </c>
      <c r="E25" s="26" t="s">
        <v>917</v>
      </c>
      <c r="F25" s="8" t="s">
        <v>738</v>
      </c>
      <c r="G25" s="9" t="s">
        <v>471</v>
      </c>
      <c r="H25" s="9" t="s">
        <v>452</v>
      </c>
      <c r="I25" s="9" t="s">
        <v>453</v>
      </c>
      <c r="J25" s="10"/>
      <c r="K25" s="8" t="str">
        <f>"37,5"</f>
        <v>37,5</v>
      </c>
      <c r="L25" s="9" t="str">
        <f>"30,0112"</f>
        <v>30,0112</v>
      </c>
      <c r="M25" s="8" t="s">
        <v>43</v>
      </c>
    </row>
    <row r="27" spans="1:13" ht="15">
      <c r="A27" s="51" t="s">
        <v>456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3">
      <c r="A28" s="8" t="s">
        <v>740</v>
      </c>
      <c r="B28" s="8" t="s">
        <v>741</v>
      </c>
      <c r="C28" s="8" t="s">
        <v>742</v>
      </c>
      <c r="D28" s="8" t="str">
        <f>"1,1273"</f>
        <v>1,1273</v>
      </c>
      <c r="E28" s="8" t="s">
        <v>155</v>
      </c>
      <c r="F28" s="8" t="s">
        <v>156</v>
      </c>
      <c r="G28" s="9" t="s">
        <v>471</v>
      </c>
      <c r="H28" s="9" t="s">
        <v>452</v>
      </c>
      <c r="I28" s="9" t="s">
        <v>454</v>
      </c>
      <c r="J28" s="10"/>
      <c r="K28" s="8" t="str">
        <f>"40,0"</f>
        <v>40,0</v>
      </c>
      <c r="L28" s="9" t="str">
        <f>"55,4632"</f>
        <v>55,4632</v>
      </c>
      <c r="M28" s="8" t="s">
        <v>43</v>
      </c>
    </row>
    <row r="30" spans="1:13" ht="15">
      <c r="A30" s="51" t="s">
        <v>497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3">
      <c r="A31" s="8" t="s">
        <v>744</v>
      </c>
      <c r="B31" s="8" t="s">
        <v>745</v>
      </c>
      <c r="C31" s="8" t="s">
        <v>746</v>
      </c>
      <c r="D31" s="8" t="str">
        <f>"0,8782"</f>
        <v>0,8782</v>
      </c>
      <c r="E31" s="8" t="s">
        <v>539</v>
      </c>
      <c r="F31" s="8" t="s">
        <v>470</v>
      </c>
      <c r="G31" s="9" t="s">
        <v>523</v>
      </c>
      <c r="H31" s="9" t="s">
        <v>336</v>
      </c>
      <c r="I31" s="10" t="s">
        <v>443</v>
      </c>
      <c r="J31" s="10"/>
      <c r="K31" s="8" t="str">
        <f>"105,0"</f>
        <v>105,0</v>
      </c>
      <c r="L31" s="9" t="str">
        <f>"94,9773"</f>
        <v>94,9773</v>
      </c>
      <c r="M31" s="8" t="s">
        <v>43</v>
      </c>
    </row>
    <row r="33" spans="1:13" ht="15">
      <c r="A33" s="51" t="s">
        <v>416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1:13">
      <c r="A34" s="12" t="s">
        <v>748</v>
      </c>
      <c r="B34" s="12" t="s">
        <v>749</v>
      </c>
      <c r="C34" s="12" t="s">
        <v>750</v>
      </c>
      <c r="D34" s="12" t="str">
        <f>"0,8468"</f>
        <v>0,8468</v>
      </c>
      <c r="E34" s="12" t="s">
        <v>155</v>
      </c>
      <c r="F34" s="12" t="s">
        <v>156</v>
      </c>
      <c r="G34" s="13" t="s">
        <v>98</v>
      </c>
      <c r="H34" s="13" t="s">
        <v>93</v>
      </c>
      <c r="I34" s="13" t="s">
        <v>336</v>
      </c>
      <c r="J34" s="14"/>
      <c r="K34" s="12" t="str">
        <f>"105,0"</f>
        <v>105,0</v>
      </c>
      <c r="L34" s="13" t="str">
        <f>"96,0271"</f>
        <v>96,0271</v>
      </c>
      <c r="M34" s="12" t="s">
        <v>43</v>
      </c>
    </row>
    <row r="35" spans="1:13">
      <c r="A35" s="15" t="s">
        <v>752</v>
      </c>
      <c r="B35" s="15" t="s">
        <v>753</v>
      </c>
      <c r="C35" s="15" t="s">
        <v>754</v>
      </c>
      <c r="D35" s="15" t="str">
        <f>"0,8228"</f>
        <v>0,8228</v>
      </c>
      <c r="E35" s="15" t="s">
        <v>37</v>
      </c>
      <c r="F35" s="15" t="s">
        <v>21</v>
      </c>
      <c r="G35" s="16" t="s">
        <v>98</v>
      </c>
      <c r="H35" s="16" t="s">
        <v>93</v>
      </c>
      <c r="I35" s="17" t="s">
        <v>524</v>
      </c>
      <c r="J35" s="17"/>
      <c r="K35" s="15" t="str">
        <f>"100,0"</f>
        <v>100,0</v>
      </c>
      <c r="L35" s="16" t="str">
        <f>"82,2800"</f>
        <v>82,2800</v>
      </c>
      <c r="M35" s="15" t="s">
        <v>43</v>
      </c>
    </row>
    <row r="37" spans="1:13" ht="15">
      <c r="A37" s="51" t="s">
        <v>15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</row>
    <row r="38" spans="1:13">
      <c r="A38" s="12" t="s">
        <v>756</v>
      </c>
      <c r="B38" s="12" t="s">
        <v>749</v>
      </c>
      <c r="C38" s="12" t="s">
        <v>757</v>
      </c>
      <c r="D38" s="12" t="str">
        <f>"0,7439"</f>
        <v>0,7439</v>
      </c>
      <c r="E38" s="12" t="s">
        <v>758</v>
      </c>
      <c r="F38" s="12" t="s">
        <v>738</v>
      </c>
      <c r="G38" s="13" t="s">
        <v>93</v>
      </c>
      <c r="H38" s="14" t="s">
        <v>336</v>
      </c>
      <c r="I38" s="14" t="s">
        <v>199</v>
      </c>
      <c r="J38" s="14"/>
      <c r="K38" s="12" t="str">
        <f>"100,0"</f>
        <v>100,0</v>
      </c>
      <c r="L38" s="13" t="str">
        <f>"80,3412"</f>
        <v>80,3412</v>
      </c>
      <c r="M38" s="12" t="s">
        <v>43</v>
      </c>
    </row>
    <row r="39" spans="1:13">
      <c r="A39" s="26" t="s">
        <v>536</v>
      </c>
      <c r="B39" s="26" t="s">
        <v>537</v>
      </c>
      <c r="C39" s="26" t="s">
        <v>538</v>
      </c>
      <c r="D39" s="26" t="str">
        <f>"0,7940"</f>
        <v>0,7940</v>
      </c>
      <c r="E39" s="26" t="s">
        <v>539</v>
      </c>
      <c r="F39" s="26" t="s">
        <v>470</v>
      </c>
      <c r="G39" s="28" t="s">
        <v>195</v>
      </c>
      <c r="H39" s="28" t="s">
        <v>176</v>
      </c>
      <c r="I39" s="27" t="s">
        <v>540</v>
      </c>
      <c r="J39" s="27"/>
      <c r="K39" s="26" t="str">
        <f>"85,0"</f>
        <v>85,0</v>
      </c>
      <c r="L39" s="28" t="str">
        <f>"69,5147"</f>
        <v>69,5147</v>
      </c>
      <c r="M39" s="26" t="s">
        <v>43</v>
      </c>
    </row>
    <row r="40" spans="1:13">
      <c r="A40" s="15" t="s">
        <v>759</v>
      </c>
      <c r="B40" s="15" t="s">
        <v>760</v>
      </c>
      <c r="C40" s="15" t="s">
        <v>761</v>
      </c>
      <c r="D40" s="15" t="str">
        <f>"0,7307"</f>
        <v>0,7307</v>
      </c>
      <c r="E40" s="15" t="s">
        <v>120</v>
      </c>
      <c r="F40" s="15" t="s">
        <v>121</v>
      </c>
      <c r="G40" s="16" t="s">
        <v>523</v>
      </c>
      <c r="H40" s="16" t="s">
        <v>93</v>
      </c>
      <c r="I40" s="16" t="s">
        <v>524</v>
      </c>
      <c r="J40" s="17"/>
      <c r="K40" s="15" t="str">
        <f>"102,5"</f>
        <v>102,5</v>
      </c>
      <c r="L40" s="16" t="str">
        <f>"74,8968"</f>
        <v>74,8968</v>
      </c>
      <c r="M40" s="15" t="s">
        <v>43</v>
      </c>
    </row>
    <row r="42" spans="1:13" ht="15">
      <c r="A42" s="51" t="s">
        <v>102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>
      <c r="A43" s="12" t="s">
        <v>763</v>
      </c>
      <c r="B43" s="12" t="s">
        <v>764</v>
      </c>
      <c r="C43" s="12" t="s">
        <v>765</v>
      </c>
      <c r="D43" s="12" t="str">
        <f>"0,6752"</f>
        <v>0,6752</v>
      </c>
      <c r="E43" s="12" t="s">
        <v>766</v>
      </c>
      <c r="F43" s="12" t="s">
        <v>767</v>
      </c>
      <c r="G43" s="13" t="s">
        <v>133</v>
      </c>
      <c r="H43" s="13" t="s">
        <v>114</v>
      </c>
      <c r="I43" s="14" t="s">
        <v>134</v>
      </c>
      <c r="J43" s="14"/>
      <c r="K43" s="12" t="str">
        <f>"135,0"</f>
        <v>135,0</v>
      </c>
      <c r="L43" s="13" t="str">
        <f>"96,6211"</f>
        <v>96,6211</v>
      </c>
      <c r="M43" s="12" t="s">
        <v>43</v>
      </c>
    </row>
    <row r="44" spans="1:13">
      <c r="A44" s="26" t="s">
        <v>769</v>
      </c>
      <c r="B44" s="26" t="s">
        <v>770</v>
      </c>
      <c r="C44" s="26" t="s">
        <v>771</v>
      </c>
      <c r="D44" s="26" t="str">
        <f>"0,6882"</f>
        <v>0,6882</v>
      </c>
      <c r="E44" s="26" t="s">
        <v>772</v>
      </c>
      <c r="F44" s="26" t="s">
        <v>374</v>
      </c>
      <c r="G44" s="28" t="s">
        <v>606</v>
      </c>
      <c r="H44" s="27" t="s">
        <v>519</v>
      </c>
      <c r="I44" s="27" t="s">
        <v>519</v>
      </c>
      <c r="J44" s="27"/>
      <c r="K44" s="26" t="str">
        <f>"127,5"</f>
        <v>127,5</v>
      </c>
      <c r="L44" s="28" t="str">
        <f>"87,7455"</f>
        <v>87,7455</v>
      </c>
      <c r="M44" s="26" t="s">
        <v>43</v>
      </c>
    </row>
    <row r="45" spans="1:13">
      <c r="A45" s="26" t="s">
        <v>774</v>
      </c>
      <c r="B45" s="26" t="s">
        <v>775</v>
      </c>
      <c r="C45" s="26" t="s">
        <v>776</v>
      </c>
      <c r="D45" s="26" t="str">
        <f>"0,6716"</f>
        <v>0,6716</v>
      </c>
      <c r="E45" s="26" t="s">
        <v>20</v>
      </c>
      <c r="F45" s="26" t="s">
        <v>21</v>
      </c>
      <c r="G45" s="28" t="s">
        <v>336</v>
      </c>
      <c r="H45" s="28" t="s">
        <v>421</v>
      </c>
      <c r="I45" s="27" t="s">
        <v>455</v>
      </c>
      <c r="J45" s="27"/>
      <c r="K45" s="26" t="str">
        <f>"112,5"</f>
        <v>112,5</v>
      </c>
      <c r="L45" s="28" t="str">
        <f>"77,0661"</f>
        <v>77,0661</v>
      </c>
      <c r="M45" s="26" t="s">
        <v>777</v>
      </c>
    </row>
    <row r="46" spans="1:13">
      <c r="A46" s="26" t="s">
        <v>779</v>
      </c>
      <c r="B46" s="26" t="s">
        <v>780</v>
      </c>
      <c r="C46" s="26" t="s">
        <v>781</v>
      </c>
      <c r="D46" s="26" t="str">
        <f>"0,6723"</f>
        <v>0,6723</v>
      </c>
      <c r="E46" s="26" t="s">
        <v>469</v>
      </c>
      <c r="F46" s="26" t="s">
        <v>470</v>
      </c>
      <c r="G46" s="28" t="s">
        <v>523</v>
      </c>
      <c r="H46" s="28" t="s">
        <v>336</v>
      </c>
      <c r="I46" s="28" t="s">
        <v>199</v>
      </c>
      <c r="J46" s="27"/>
      <c r="K46" s="26" t="str">
        <f>"110,0"</f>
        <v>110,0</v>
      </c>
      <c r="L46" s="28" t="str">
        <f>"75,4321"</f>
        <v>75,4321</v>
      </c>
      <c r="M46" s="26" t="s">
        <v>533</v>
      </c>
    </row>
    <row r="47" spans="1:13">
      <c r="A47" s="26" t="s">
        <v>783</v>
      </c>
      <c r="B47" s="26" t="s">
        <v>784</v>
      </c>
      <c r="C47" s="26" t="s">
        <v>555</v>
      </c>
      <c r="D47" s="26" t="str">
        <f>"0,6805"</f>
        <v>0,6805</v>
      </c>
      <c r="E47" s="26" t="s">
        <v>785</v>
      </c>
      <c r="F47" s="26" t="s">
        <v>786</v>
      </c>
      <c r="G47" s="28" t="s">
        <v>39</v>
      </c>
      <c r="H47" s="28" t="s">
        <v>25</v>
      </c>
      <c r="I47" s="27" t="s">
        <v>27</v>
      </c>
      <c r="J47" s="27"/>
      <c r="K47" s="26" t="str">
        <f>"155,0"</f>
        <v>155,0</v>
      </c>
      <c r="L47" s="28" t="str">
        <f>"105,4775"</f>
        <v>105,4775</v>
      </c>
      <c r="M47" s="26" t="s">
        <v>219</v>
      </c>
    </row>
    <row r="48" spans="1:13">
      <c r="A48" s="26" t="s">
        <v>788</v>
      </c>
      <c r="B48" s="26" t="s">
        <v>789</v>
      </c>
      <c r="C48" s="26" t="s">
        <v>790</v>
      </c>
      <c r="D48" s="26" t="str">
        <f>"0,6774"</f>
        <v>0,6774</v>
      </c>
      <c r="E48" s="26" t="s">
        <v>791</v>
      </c>
      <c r="F48" s="26" t="s">
        <v>50</v>
      </c>
      <c r="G48" s="28" t="s">
        <v>594</v>
      </c>
      <c r="H48" s="27" t="s">
        <v>792</v>
      </c>
      <c r="I48" s="27" t="s">
        <v>792</v>
      </c>
      <c r="J48" s="27"/>
      <c r="K48" s="26" t="str">
        <f>"142,5"</f>
        <v>142,5</v>
      </c>
      <c r="L48" s="28" t="str">
        <f>"96,5295"</f>
        <v>96,5295</v>
      </c>
      <c r="M48" s="26" t="s">
        <v>219</v>
      </c>
    </row>
    <row r="49" spans="1:13">
      <c r="A49" s="26" t="s">
        <v>794</v>
      </c>
      <c r="B49" s="26" t="s">
        <v>795</v>
      </c>
      <c r="C49" s="26" t="s">
        <v>796</v>
      </c>
      <c r="D49" s="26" t="str">
        <f>"0,6645"</f>
        <v>0,6645</v>
      </c>
      <c r="E49" s="26" t="s">
        <v>37</v>
      </c>
      <c r="F49" s="26" t="s">
        <v>21</v>
      </c>
      <c r="G49" s="28" t="s">
        <v>606</v>
      </c>
      <c r="H49" s="28" t="s">
        <v>114</v>
      </c>
      <c r="I49" s="28" t="s">
        <v>115</v>
      </c>
      <c r="J49" s="27"/>
      <c r="K49" s="26" t="str">
        <f>"140,0"</f>
        <v>140,0</v>
      </c>
      <c r="L49" s="28" t="str">
        <f>"93,0300"</f>
        <v>93,0300</v>
      </c>
      <c r="M49" s="26" t="s">
        <v>43</v>
      </c>
    </row>
    <row r="50" spans="1:13">
      <c r="A50" s="26" t="s">
        <v>798</v>
      </c>
      <c r="B50" s="26" t="s">
        <v>799</v>
      </c>
      <c r="C50" s="26" t="s">
        <v>800</v>
      </c>
      <c r="D50" s="26" t="str">
        <f>"0,6782"</f>
        <v>0,6782</v>
      </c>
      <c r="E50" s="26" t="s">
        <v>539</v>
      </c>
      <c r="F50" s="26" t="s">
        <v>470</v>
      </c>
      <c r="G50" s="28" t="s">
        <v>305</v>
      </c>
      <c r="H50" s="28" t="s">
        <v>114</v>
      </c>
      <c r="I50" s="27" t="s">
        <v>134</v>
      </c>
      <c r="J50" s="27"/>
      <c r="K50" s="26" t="str">
        <f>"135,0"</f>
        <v>135,0</v>
      </c>
      <c r="L50" s="28" t="str">
        <f>"91,5570"</f>
        <v>91,5570</v>
      </c>
      <c r="M50" s="26" t="s">
        <v>43</v>
      </c>
    </row>
    <row r="51" spans="1:13">
      <c r="A51" s="26" t="s">
        <v>801</v>
      </c>
      <c r="B51" s="26" t="s">
        <v>565</v>
      </c>
      <c r="C51" s="26" t="s">
        <v>566</v>
      </c>
      <c r="D51" s="26" t="str">
        <f>"0,6708"</f>
        <v>0,6708</v>
      </c>
      <c r="E51" s="26" t="s">
        <v>567</v>
      </c>
      <c r="F51" s="26" t="s">
        <v>568</v>
      </c>
      <c r="G51" s="28" t="s">
        <v>199</v>
      </c>
      <c r="H51" s="27" t="s">
        <v>305</v>
      </c>
      <c r="I51" s="28" t="s">
        <v>305</v>
      </c>
      <c r="J51" s="27"/>
      <c r="K51" s="26" t="str">
        <f>"120,0"</f>
        <v>120,0</v>
      </c>
      <c r="L51" s="28" t="str">
        <f>"80,4960"</f>
        <v>80,4960</v>
      </c>
      <c r="M51" s="26" t="s">
        <v>43</v>
      </c>
    </row>
    <row r="52" spans="1:13">
      <c r="A52" s="15" t="s">
        <v>802</v>
      </c>
      <c r="B52" s="15" t="s">
        <v>803</v>
      </c>
      <c r="C52" s="15" t="s">
        <v>781</v>
      </c>
      <c r="D52" s="15" t="str">
        <f>"0,6723"</f>
        <v>0,6723</v>
      </c>
      <c r="E52" s="15" t="s">
        <v>469</v>
      </c>
      <c r="F52" s="15" t="s">
        <v>470</v>
      </c>
      <c r="G52" s="16" t="s">
        <v>523</v>
      </c>
      <c r="H52" s="16" t="s">
        <v>336</v>
      </c>
      <c r="I52" s="16" t="s">
        <v>199</v>
      </c>
      <c r="J52" s="17"/>
      <c r="K52" s="15" t="str">
        <f>"110,0"</f>
        <v>110,0</v>
      </c>
      <c r="L52" s="16" t="str">
        <f>"73,9530"</f>
        <v>73,9530</v>
      </c>
      <c r="M52" s="15" t="s">
        <v>533</v>
      </c>
    </row>
    <row r="54" spans="1:13" ht="15">
      <c r="A54" s="51" t="s">
        <v>122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1:13">
      <c r="A55" s="12" t="s">
        <v>805</v>
      </c>
      <c r="B55" s="12" t="s">
        <v>806</v>
      </c>
      <c r="C55" s="12" t="s">
        <v>807</v>
      </c>
      <c r="D55" s="12" t="str">
        <f>"0,6198"</f>
        <v>0,6198</v>
      </c>
      <c r="E55" s="12" t="s">
        <v>20</v>
      </c>
      <c r="F55" s="12" t="s">
        <v>21</v>
      </c>
      <c r="G55" s="13" t="s">
        <v>474</v>
      </c>
      <c r="H55" s="13" t="s">
        <v>481</v>
      </c>
      <c r="I55" s="13" t="s">
        <v>438</v>
      </c>
      <c r="J55" s="14"/>
      <c r="K55" s="12" t="str">
        <f>"60,0"</f>
        <v>60,0</v>
      </c>
      <c r="L55" s="13" t="str">
        <f>"45,7412"</f>
        <v>45,7412</v>
      </c>
      <c r="M55" s="12" t="s">
        <v>43</v>
      </c>
    </row>
    <row r="56" spans="1:13">
      <c r="A56" s="26" t="s">
        <v>809</v>
      </c>
      <c r="B56" s="26" t="s">
        <v>810</v>
      </c>
      <c r="C56" s="26" t="s">
        <v>811</v>
      </c>
      <c r="D56" s="26" t="str">
        <f>"0,6382"</f>
        <v>0,6382</v>
      </c>
      <c r="E56" s="26" t="s">
        <v>728</v>
      </c>
      <c r="F56" s="26" t="s">
        <v>121</v>
      </c>
      <c r="G56" s="28" t="s">
        <v>54</v>
      </c>
      <c r="H56" s="28" t="s">
        <v>158</v>
      </c>
      <c r="I56" s="27" t="s">
        <v>159</v>
      </c>
      <c r="J56" s="27"/>
      <c r="K56" s="26" t="str">
        <f>"190,0"</f>
        <v>190,0</v>
      </c>
      <c r="L56" s="28" t="str">
        <f>"121,2580"</f>
        <v>121,2580</v>
      </c>
      <c r="M56" s="26" t="s">
        <v>43</v>
      </c>
    </row>
    <row r="57" spans="1:13">
      <c r="A57" s="26" t="s">
        <v>813</v>
      </c>
      <c r="B57" s="26" t="s">
        <v>814</v>
      </c>
      <c r="C57" s="26" t="s">
        <v>815</v>
      </c>
      <c r="D57" s="26" t="str">
        <f>"0,6241"</f>
        <v>0,6241</v>
      </c>
      <c r="E57" s="26" t="s">
        <v>37</v>
      </c>
      <c r="F57" s="26" t="s">
        <v>21</v>
      </c>
      <c r="G57" s="28" t="s">
        <v>134</v>
      </c>
      <c r="H57" s="28" t="s">
        <v>594</v>
      </c>
      <c r="I57" s="27" t="s">
        <v>186</v>
      </c>
      <c r="J57" s="27"/>
      <c r="K57" s="26" t="str">
        <f>"142,5"</f>
        <v>142,5</v>
      </c>
      <c r="L57" s="28" t="str">
        <f>"88,9343"</f>
        <v>88,9343</v>
      </c>
      <c r="M57" s="26" t="s">
        <v>43</v>
      </c>
    </row>
    <row r="58" spans="1:13">
      <c r="A58" s="15" t="s">
        <v>817</v>
      </c>
      <c r="B58" s="15" t="s">
        <v>818</v>
      </c>
      <c r="C58" s="15" t="s">
        <v>819</v>
      </c>
      <c r="D58" s="15" t="str">
        <f>"0,6418"</f>
        <v>0,6418</v>
      </c>
      <c r="E58" s="15" t="s">
        <v>37</v>
      </c>
      <c r="F58" s="15" t="s">
        <v>121</v>
      </c>
      <c r="G58" s="16" t="s">
        <v>114</v>
      </c>
      <c r="H58" s="16" t="s">
        <v>134</v>
      </c>
      <c r="I58" s="17" t="s">
        <v>594</v>
      </c>
      <c r="J58" s="17"/>
      <c r="K58" s="15" t="str">
        <f>"137,5"</f>
        <v>137,5</v>
      </c>
      <c r="L58" s="16" t="str">
        <f>"88,2475"</f>
        <v>88,2475</v>
      </c>
      <c r="M58" s="15" t="s">
        <v>43</v>
      </c>
    </row>
    <row r="60" spans="1:13" ht="15">
      <c r="A60" s="51" t="s">
        <v>32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</row>
    <row r="61" spans="1:13">
      <c r="A61" s="12" t="s">
        <v>821</v>
      </c>
      <c r="B61" s="12" t="s">
        <v>822</v>
      </c>
      <c r="C61" s="12" t="s">
        <v>823</v>
      </c>
      <c r="D61" s="12" t="str">
        <f>"0,5973"</f>
        <v>0,5973</v>
      </c>
      <c r="E61" s="12" t="s">
        <v>824</v>
      </c>
      <c r="F61" s="12" t="s">
        <v>21</v>
      </c>
      <c r="G61" s="13" t="s">
        <v>40</v>
      </c>
      <c r="H61" s="14" t="s">
        <v>27</v>
      </c>
      <c r="I61" s="14" t="s">
        <v>825</v>
      </c>
      <c r="J61" s="14"/>
      <c r="K61" s="12" t="str">
        <f>"160,0"</f>
        <v>160,0</v>
      </c>
      <c r="L61" s="13" t="str">
        <f>"95,5680"</f>
        <v>95,5680</v>
      </c>
      <c r="M61" s="12" t="s">
        <v>43</v>
      </c>
    </row>
    <row r="62" spans="1:13">
      <c r="A62" s="26" t="s">
        <v>827</v>
      </c>
      <c r="B62" s="26" t="s">
        <v>828</v>
      </c>
      <c r="C62" s="26" t="s">
        <v>829</v>
      </c>
      <c r="D62" s="26" t="str">
        <f>"0,6050"</f>
        <v>0,6050</v>
      </c>
      <c r="E62" s="26" t="s">
        <v>830</v>
      </c>
      <c r="F62" s="26" t="s">
        <v>831</v>
      </c>
      <c r="G62" s="28" t="s">
        <v>39</v>
      </c>
      <c r="H62" s="28" t="s">
        <v>25</v>
      </c>
      <c r="I62" s="27" t="s">
        <v>40</v>
      </c>
      <c r="J62" s="27"/>
      <c r="K62" s="26" t="str">
        <f>"155,0"</f>
        <v>155,0</v>
      </c>
      <c r="L62" s="28" t="str">
        <f>"94,7128"</f>
        <v>94,7128</v>
      </c>
      <c r="M62" s="26" t="s">
        <v>43</v>
      </c>
    </row>
    <row r="63" spans="1:13">
      <c r="A63" s="26" t="s">
        <v>832</v>
      </c>
      <c r="B63" s="26" t="s">
        <v>592</v>
      </c>
      <c r="C63" s="26" t="s">
        <v>593</v>
      </c>
      <c r="D63" s="26" t="str">
        <f>"0,5853"</f>
        <v>0,5853</v>
      </c>
      <c r="E63" s="26" t="s">
        <v>539</v>
      </c>
      <c r="F63" s="26" t="s">
        <v>470</v>
      </c>
      <c r="G63" s="28" t="s">
        <v>114</v>
      </c>
      <c r="H63" s="28" t="s">
        <v>594</v>
      </c>
      <c r="I63" s="27" t="s">
        <v>186</v>
      </c>
      <c r="J63" s="27"/>
      <c r="K63" s="26" t="str">
        <f>"142,5"</f>
        <v>142,5</v>
      </c>
      <c r="L63" s="28" t="str">
        <f>"83,4053"</f>
        <v>83,4053</v>
      </c>
      <c r="M63" s="26" t="s">
        <v>595</v>
      </c>
    </row>
    <row r="64" spans="1:13">
      <c r="A64" s="26" t="s">
        <v>834</v>
      </c>
      <c r="B64" s="26" t="s">
        <v>835</v>
      </c>
      <c r="C64" s="26" t="s">
        <v>141</v>
      </c>
      <c r="D64" s="26" t="str">
        <f>"0,5947"</f>
        <v>0,5947</v>
      </c>
      <c r="E64" s="26" t="s">
        <v>836</v>
      </c>
      <c r="F64" s="26" t="s">
        <v>21</v>
      </c>
      <c r="G64" s="28" t="s">
        <v>25</v>
      </c>
      <c r="H64" s="28" t="s">
        <v>40</v>
      </c>
      <c r="I64" s="28" t="s">
        <v>27</v>
      </c>
      <c r="J64" s="27"/>
      <c r="K64" s="26" t="str">
        <f>"165,0"</f>
        <v>165,0</v>
      </c>
      <c r="L64" s="28" t="str">
        <f>"98,1255"</f>
        <v>98,1255</v>
      </c>
      <c r="M64" s="26" t="s">
        <v>43</v>
      </c>
    </row>
    <row r="65" spans="1:13">
      <c r="A65" s="26" t="s">
        <v>838</v>
      </c>
      <c r="B65" s="26" t="s">
        <v>839</v>
      </c>
      <c r="C65" s="26" t="s">
        <v>342</v>
      </c>
      <c r="D65" s="26" t="str">
        <f>"0,5969"</f>
        <v>0,5969</v>
      </c>
      <c r="E65" s="26" t="s">
        <v>840</v>
      </c>
      <c r="F65" s="26" t="s">
        <v>841</v>
      </c>
      <c r="G65" s="28" t="s">
        <v>115</v>
      </c>
      <c r="H65" s="28" t="s">
        <v>792</v>
      </c>
      <c r="I65" s="27" t="s">
        <v>25</v>
      </c>
      <c r="J65" s="27"/>
      <c r="K65" s="26" t="str">
        <f>"147,5"</f>
        <v>147,5</v>
      </c>
      <c r="L65" s="28" t="str">
        <f>"88,0427"</f>
        <v>88,0427</v>
      </c>
      <c r="M65" s="26" t="s">
        <v>43</v>
      </c>
    </row>
    <row r="66" spans="1:13">
      <c r="A66" s="26" t="s">
        <v>843</v>
      </c>
      <c r="B66" s="26" t="s">
        <v>844</v>
      </c>
      <c r="C66" s="26" t="s">
        <v>845</v>
      </c>
      <c r="D66" s="26" t="str">
        <f>"0,5885"</f>
        <v>0,5885</v>
      </c>
      <c r="E66" s="26" t="s">
        <v>461</v>
      </c>
      <c r="F66" s="26" t="s">
        <v>462</v>
      </c>
      <c r="G66" s="28" t="s">
        <v>186</v>
      </c>
      <c r="H66" s="27" t="s">
        <v>25</v>
      </c>
      <c r="I66" s="27" t="s">
        <v>25</v>
      </c>
      <c r="J66" s="27"/>
      <c r="K66" s="26" t="str">
        <f>"145,0"</f>
        <v>145,0</v>
      </c>
      <c r="L66" s="28" t="str">
        <f>"85,3325"</f>
        <v>85,3325</v>
      </c>
      <c r="M66" s="26" t="s">
        <v>43</v>
      </c>
    </row>
    <row r="67" spans="1:13">
      <c r="A67" s="26" t="s">
        <v>847</v>
      </c>
      <c r="B67" s="26" t="s">
        <v>848</v>
      </c>
      <c r="C67" s="26" t="s">
        <v>281</v>
      </c>
      <c r="D67" s="26" t="str">
        <f>"0,5978"</f>
        <v>0,5978</v>
      </c>
      <c r="E67" s="26" t="s">
        <v>836</v>
      </c>
      <c r="F67" s="26" t="s">
        <v>21</v>
      </c>
      <c r="G67" s="28" t="s">
        <v>114</v>
      </c>
      <c r="H67" s="28" t="s">
        <v>134</v>
      </c>
      <c r="I67" s="27" t="s">
        <v>594</v>
      </c>
      <c r="J67" s="27"/>
      <c r="K67" s="26" t="str">
        <f>"137,5"</f>
        <v>137,5</v>
      </c>
      <c r="L67" s="28" t="str">
        <f>"82,1975"</f>
        <v>82,1975</v>
      </c>
      <c r="M67" s="26" t="s">
        <v>43</v>
      </c>
    </row>
    <row r="68" spans="1:13">
      <c r="A68" s="26" t="s">
        <v>850</v>
      </c>
      <c r="B68" s="26" t="s">
        <v>851</v>
      </c>
      <c r="C68" s="26" t="s">
        <v>852</v>
      </c>
      <c r="D68" s="26" t="str">
        <f>"0,5965"</f>
        <v>0,5965</v>
      </c>
      <c r="E68" s="26" t="s">
        <v>20</v>
      </c>
      <c r="F68" s="26" t="s">
        <v>21</v>
      </c>
      <c r="G68" s="27" t="s">
        <v>90</v>
      </c>
      <c r="H68" s="27" t="s">
        <v>114</v>
      </c>
      <c r="I68" s="28" t="s">
        <v>114</v>
      </c>
      <c r="J68" s="27"/>
      <c r="K68" s="26" t="str">
        <f>"135,0"</f>
        <v>135,0</v>
      </c>
      <c r="L68" s="28" t="str">
        <f>"80,5275"</f>
        <v>80,5275</v>
      </c>
      <c r="M68" s="26" t="s">
        <v>43</v>
      </c>
    </row>
    <row r="69" spans="1:13">
      <c r="A69" s="26" t="s">
        <v>854</v>
      </c>
      <c r="B69" s="26" t="s">
        <v>855</v>
      </c>
      <c r="C69" s="26" t="s">
        <v>856</v>
      </c>
      <c r="D69" s="26" t="str">
        <f>"0,5943"</f>
        <v>0,5943</v>
      </c>
      <c r="E69" s="26" t="s">
        <v>857</v>
      </c>
      <c r="F69" s="26" t="s">
        <v>21</v>
      </c>
      <c r="G69" s="27" t="s">
        <v>40</v>
      </c>
      <c r="H69" s="28" t="s">
        <v>40</v>
      </c>
      <c r="I69" s="27"/>
      <c r="J69" s="27"/>
      <c r="K69" s="26" t="str">
        <f>"160,0"</f>
        <v>160,0</v>
      </c>
      <c r="L69" s="28" t="str">
        <f>"99,6522"</f>
        <v>99,6522</v>
      </c>
      <c r="M69" s="26" t="s">
        <v>43</v>
      </c>
    </row>
    <row r="70" spans="1:13">
      <c r="A70" s="15" t="s">
        <v>859</v>
      </c>
      <c r="B70" s="15" t="s">
        <v>860</v>
      </c>
      <c r="C70" s="15" t="s">
        <v>861</v>
      </c>
      <c r="D70" s="15" t="str">
        <f>"0,5991"</f>
        <v>0,5991</v>
      </c>
      <c r="E70" s="15" t="s">
        <v>37</v>
      </c>
      <c r="F70" s="15" t="s">
        <v>121</v>
      </c>
      <c r="G70" s="16" t="s">
        <v>305</v>
      </c>
      <c r="H70" s="16" t="s">
        <v>133</v>
      </c>
      <c r="I70" s="16" t="s">
        <v>114</v>
      </c>
      <c r="J70" s="17"/>
      <c r="K70" s="15" t="str">
        <f>"135,0"</f>
        <v>135,0</v>
      </c>
      <c r="L70" s="16" t="str">
        <f>"86,4591"</f>
        <v>86,4591</v>
      </c>
      <c r="M70" s="15" t="s">
        <v>43</v>
      </c>
    </row>
    <row r="72" spans="1:13" ht="15">
      <c r="A72" s="51" t="s">
        <v>44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1:13">
      <c r="A73" s="12" t="s">
        <v>863</v>
      </c>
      <c r="B73" s="12" t="s">
        <v>864</v>
      </c>
      <c r="C73" s="12" t="s">
        <v>62</v>
      </c>
      <c r="D73" s="12" t="str">
        <f>"0,5754"</f>
        <v>0,5754</v>
      </c>
      <c r="E73" s="12" t="s">
        <v>155</v>
      </c>
      <c r="F73" s="12" t="s">
        <v>156</v>
      </c>
      <c r="G73" s="13" t="s">
        <v>336</v>
      </c>
      <c r="H73" s="13" t="s">
        <v>490</v>
      </c>
      <c r="I73" s="14" t="s">
        <v>90</v>
      </c>
      <c r="J73" s="14"/>
      <c r="K73" s="12" t="str">
        <f>"115,0"</f>
        <v>115,0</v>
      </c>
      <c r="L73" s="13" t="str">
        <f>"74,7732"</f>
        <v>74,7732</v>
      </c>
      <c r="M73" s="12" t="s">
        <v>43</v>
      </c>
    </row>
    <row r="74" spans="1:13">
      <c r="A74" s="26" t="s">
        <v>866</v>
      </c>
      <c r="B74" s="26" t="s">
        <v>867</v>
      </c>
      <c r="C74" s="26" t="s">
        <v>868</v>
      </c>
      <c r="D74" s="26" t="str">
        <f>"0,5545"</f>
        <v>0,5545</v>
      </c>
      <c r="E74" s="26" t="s">
        <v>869</v>
      </c>
      <c r="F74" s="26" t="s">
        <v>21</v>
      </c>
      <c r="G74" s="27" t="s">
        <v>98</v>
      </c>
      <c r="H74" s="28" t="s">
        <v>98</v>
      </c>
      <c r="I74" s="27" t="s">
        <v>480</v>
      </c>
      <c r="J74" s="27"/>
      <c r="K74" s="26" t="str">
        <f>"90,0"</f>
        <v>90,0</v>
      </c>
      <c r="L74" s="28" t="str">
        <f>"53,8974"</f>
        <v>53,8974</v>
      </c>
      <c r="M74" s="26" t="s">
        <v>43</v>
      </c>
    </row>
    <row r="75" spans="1:13">
      <c r="A75" s="26" t="s">
        <v>871</v>
      </c>
      <c r="B75" s="26" t="s">
        <v>872</v>
      </c>
      <c r="C75" s="26" t="s">
        <v>163</v>
      </c>
      <c r="D75" s="26" t="str">
        <f>"0,5540"</f>
        <v>0,5540</v>
      </c>
      <c r="E75" s="26" t="s">
        <v>840</v>
      </c>
      <c r="F75" s="26" t="s">
        <v>841</v>
      </c>
      <c r="G75" s="28" t="s">
        <v>54</v>
      </c>
      <c r="H75" s="28" t="s">
        <v>157</v>
      </c>
      <c r="I75" s="28" t="s">
        <v>158</v>
      </c>
      <c r="J75" s="27"/>
      <c r="K75" s="26" t="str">
        <f>"190,0"</f>
        <v>190,0</v>
      </c>
      <c r="L75" s="28" t="str">
        <f>"105,2600"</f>
        <v>105,2600</v>
      </c>
      <c r="M75" s="26" t="s">
        <v>43</v>
      </c>
    </row>
    <row r="76" spans="1:13">
      <c r="A76" s="26" t="s">
        <v>874</v>
      </c>
      <c r="B76" s="26" t="s">
        <v>875</v>
      </c>
      <c r="C76" s="26" t="s">
        <v>876</v>
      </c>
      <c r="D76" s="26" t="str">
        <f>"0,5570"</f>
        <v>0,5570</v>
      </c>
      <c r="E76" s="26" t="s">
        <v>772</v>
      </c>
      <c r="F76" s="26" t="s">
        <v>374</v>
      </c>
      <c r="G76" s="28" t="s">
        <v>27</v>
      </c>
      <c r="H76" s="28" t="s">
        <v>306</v>
      </c>
      <c r="I76" s="27" t="s">
        <v>54</v>
      </c>
      <c r="J76" s="27"/>
      <c r="K76" s="26" t="str">
        <f>"175,0"</f>
        <v>175,0</v>
      </c>
      <c r="L76" s="28" t="str">
        <f>"97,4750"</f>
        <v>97,4750</v>
      </c>
      <c r="M76" s="26" t="s">
        <v>43</v>
      </c>
    </row>
    <row r="77" spans="1:13">
      <c r="A77" s="26" t="s">
        <v>878</v>
      </c>
      <c r="B77" s="26" t="s">
        <v>879</v>
      </c>
      <c r="C77" s="26" t="s">
        <v>880</v>
      </c>
      <c r="D77" s="26" t="str">
        <f>"0,5654"</f>
        <v>0,5654</v>
      </c>
      <c r="E77" s="26" t="s">
        <v>881</v>
      </c>
      <c r="F77" s="26" t="s">
        <v>882</v>
      </c>
      <c r="G77" s="28" t="s">
        <v>39</v>
      </c>
      <c r="H77" s="28" t="s">
        <v>26</v>
      </c>
      <c r="I77" s="27" t="s">
        <v>53</v>
      </c>
      <c r="J77" s="27"/>
      <c r="K77" s="26" t="str">
        <f>"162,5"</f>
        <v>162,5</v>
      </c>
      <c r="L77" s="28" t="str">
        <f>"91,8775"</f>
        <v>91,8775</v>
      </c>
      <c r="M77" s="26" t="s">
        <v>43</v>
      </c>
    </row>
    <row r="78" spans="1:13">
      <c r="A78" s="26" t="s">
        <v>884</v>
      </c>
      <c r="B78" s="26" t="s">
        <v>885</v>
      </c>
      <c r="C78" s="26" t="s">
        <v>886</v>
      </c>
      <c r="D78" s="26" t="str">
        <f>"0,5591"</f>
        <v>0,5591</v>
      </c>
      <c r="E78" s="26" t="s">
        <v>887</v>
      </c>
      <c r="F78" s="26" t="s">
        <v>304</v>
      </c>
      <c r="G78" s="28" t="s">
        <v>26</v>
      </c>
      <c r="H78" s="27" t="s">
        <v>825</v>
      </c>
      <c r="I78" s="27" t="s">
        <v>825</v>
      </c>
      <c r="J78" s="27"/>
      <c r="K78" s="26" t="str">
        <f>"162,5"</f>
        <v>162,5</v>
      </c>
      <c r="L78" s="28" t="str">
        <f>"90,8537"</f>
        <v>90,8537</v>
      </c>
      <c r="M78" s="26" t="s">
        <v>43</v>
      </c>
    </row>
    <row r="79" spans="1:13">
      <c r="A79" s="26" t="s">
        <v>889</v>
      </c>
      <c r="B79" s="26" t="s">
        <v>890</v>
      </c>
      <c r="C79" s="26" t="s">
        <v>891</v>
      </c>
      <c r="D79" s="26" t="str">
        <f>"0,5678"</f>
        <v>0,5678</v>
      </c>
      <c r="E79" s="26" t="s">
        <v>132</v>
      </c>
      <c r="F79" s="26" t="s">
        <v>21</v>
      </c>
      <c r="G79" s="28" t="s">
        <v>115</v>
      </c>
      <c r="H79" s="28" t="s">
        <v>186</v>
      </c>
      <c r="I79" s="28" t="s">
        <v>39</v>
      </c>
      <c r="J79" s="27"/>
      <c r="K79" s="26" t="str">
        <f>"150,0"</f>
        <v>150,0</v>
      </c>
      <c r="L79" s="28" t="str">
        <f>"85,1700"</f>
        <v>85,1700</v>
      </c>
      <c r="M79" s="26" t="s">
        <v>43</v>
      </c>
    </row>
    <row r="80" spans="1:13">
      <c r="A80" s="26" t="s">
        <v>893</v>
      </c>
      <c r="B80" s="26" t="s">
        <v>894</v>
      </c>
      <c r="C80" s="26" t="s">
        <v>233</v>
      </c>
      <c r="D80" s="26" t="str">
        <f>"0,5636"</f>
        <v>0,5636</v>
      </c>
      <c r="E80" s="26" t="s">
        <v>20</v>
      </c>
      <c r="F80" s="26" t="s">
        <v>21</v>
      </c>
      <c r="G80" s="27" t="s">
        <v>25</v>
      </c>
      <c r="H80" s="28" t="s">
        <v>337</v>
      </c>
      <c r="I80" s="28" t="s">
        <v>26</v>
      </c>
      <c r="J80" s="27"/>
      <c r="K80" s="26" t="str">
        <f>"162,5"</f>
        <v>162,5</v>
      </c>
      <c r="L80" s="28" t="str">
        <f>"95,9811"</f>
        <v>95,9811</v>
      </c>
      <c r="M80" s="26" t="s">
        <v>43</v>
      </c>
    </row>
    <row r="81" spans="1:13">
      <c r="A81" s="15" t="s">
        <v>871</v>
      </c>
      <c r="B81" s="15" t="s">
        <v>895</v>
      </c>
      <c r="C81" s="15" t="s">
        <v>163</v>
      </c>
      <c r="D81" s="15" t="str">
        <f>"0,5540"</f>
        <v>0,5540</v>
      </c>
      <c r="E81" s="15" t="s">
        <v>840</v>
      </c>
      <c r="F81" s="15" t="s">
        <v>841</v>
      </c>
      <c r="G81" s="16" t="s">
        <v>54</v>
      </c>
      <c r="H81" s="16" t="s">
        <v>157</v>
      </c>
      <c r="I81" s="16" t="s">
        <v>158</v>
      </c>
      <c r="J81" s="17"/>
      <c r="K81" s="15" t="str">
        <f>"190,0"</f>
        <v>190,0</v>
      </c>
      <c r="L81" s="16" t="str">
        <f>"184,7313"</f>
        <v>184,7313</v>
      </c>
      <c r="M81" s="15" t="s">
        <v>43</v>
      </c>
    </row>
    <row r="83" spans="1:13" ht="15">
      <c r="A83" s="51" t="s">
        <v>166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</row>
    <row r="84" spans="1:13">
      <c r="A84" s="12" t="s">
        <v>897</v>
      </c>
      <c r="B84" s="12" t="s">
        <v>898</v>
      </c>
      <c r="C84" s="12" t="s">
        <v>899</v>
      </c>
      <c r="D84" s="12" t="str">
        <f>"0,5382"</f>
        <v>0,5382</v>
      </c>
      <c r="E84" s="12" t="s">
        <v>461</v>
      </c>
      <c r="F84" s="12" t="s">
        <v>462</v>
      </c>
      <c r="G84" s="13" t="s">
        <v>157</v>
      </c>
      <c r="H84" s="13" t="s">
        <v>159</v>
      </c>
      <c r="I84" s="14" t="s">
        <v>38</v>
      </c>
      <c r="J84" s="14"/>
      <c r="K84" s="12" t="str">
        <f>"195,0"</f>
        <v>195,0</v>
      </c>
      <c r="L84" s="13" t="str">
        <f>"104,9490"</f>
        <v>104,9490</v>
      </c>
      <c r="M84" s="12" t="s">
        <v>43</v>
      </c>
    </row>
    <row r="85" spans="1:13">
      <c r="A85" s="26" t="s">
        <v>901</v>
      </c>
      <c r="B85" s="26" t="s">
        <v>902</v>
      </c>
      <c r="C85" s="26" t="s">
        <v>903</v>
      </c>
      <c r="D85" s="26" t="str">
        <f>"0,5417"</f>
        <v>0,5417</v>
      </c>
      <c r="E85" s="26" t="s">
        <v>37</v>
      </c>
      <c r="F85" s="26" t="s">
        <v>904</v>
      </c>
      <c r="G85" s="28" t="s">
        <v>40</v>
      </c>
      <c r="H85" s="27" t="s">
        <v>825</v>
      </c>
      <c r="I85" s="27" t="s">
        <v>825</v>
      </c>
      <c r="J85" s="27"/>
      <c r="K85" s="26" t="str">
        <f>"160,0"</f>
        <v>160,0</v>
      </c>
      <c r="L85" s="28" t="str">
        <f>"86,6720"</f>
        <v>86,6720</v>
      </c>
      <c r="M85" s="26" t="s">
        <v>43</v>
      </c>
    </row>
    <row r="86" spans="1:13">
      <c r="A86" s="15" t="s">
        <v>906</v>
      </c>
      <c r="B86" s="15" t="s">
        <v>907</v>
      </c>
      <c r="C86" s="15" t="s">
        <v>908</v>
      </c>
      <c r="D86" s="15" t="str">
        <f>"0,5389"</f>
        <v>0,5389</v>
      </c>
      <c r="E86" s="15" t="s">
        <v>37</v>
      </c>
      <c r="F86" s="15" t="s">
        <v>21</v>
      </c>
      <c r="G86" s="16" t="s">
        <v>40</v>
      </c>
      <c r="H86" s="16" t="s">
        <v>26</v>
      </c>
      <c r="I86" s="17" t="s">
        <v>27</v>
      </c>
      <c r="J86" s="17"/>
      <c r="K86" s="15" t="str">
        <f>"162,5"</f>
        <v>162,5</v>
      </c>
      <c r="L86" s="16" t="str">
        <f>"88,3594"</f>
        <v>88,3594</v>
      </c>
      <c r="M86" s="15" t="s">
        <v>43</v>
      </c>
    </row>
    <row r="88" spans="1:13" ht="15">
      <c r="A88" s="51" t="s">
        <v>65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</row>
    <row r="89" spans="1:13">
      <c r="A89" s="12" t="s">
        <v>910</v>
      </c>
      <c r="B89" s="12" t="s">
        <v>911</v>
      </c>
      <c r="C89" s="12" t="s">
        <v>912</v>
      </c>
      <c r="D89" s="12" t="str">
        <f>"0,5274"</f>
        <v>0,5274</v>
      </c>
      <c r="E89" s="12" t="s">
        <v>913</v>
      </c>
      <c r="F89" s="12" t="s">
        <v>50</v>
      </c>
      <c r="G89" s="13" t="s">
        <v>41</v>
      </c>
      <c r="H89" s="13" t="s">
        <v>42</v>
      </c>
      <c r="I89" s="13" t="s">
        <v>390</v>
      </c>
      <c r="J89" s="14"/>
      <c r="K89" s="12" t="str">
        <f>"252,5"</f>
        <v>252,5</v>
      </c>
      <c r="L89" s="13" t="str">
        <f>"133,1685"</f>
        <v>133,1685</v>
      </c>
      <c r="M89" s="12" t="s">
        <v>492</v>
      </c>
    </row>
    <row r="90" spans="1:13">
      <c r="A90" s="26" t="s">
        <v>915</v>
      </c>
      <c r="B90" s="26" t="s">
        <v>916</v>
      </c>
      <c r="C90" s="26" t="s">
        <v>189</v>
      </c>
      <c r="D90" s="26" t="str">
        <f>"0,5316"</f>
        <v>0,5316</v>
      </c>
      <c r="E90" s="26" t="s">
        <v>917</v>
      </c>
      <c r="F90" s="26" t="s">
        <v>738</v>
      </c>
      <c r="G90" s="28" t="s">
        <v>306</v>
      </c>
      <c r="H90" s="28" t="s">
        <v>54</v>
      </c>
      <c r="I90" s="27" t="s">
        <v>157</v>
      </c>
      <c r="J90" s="27"/>
      <c r="K90" s="26" t="str">
        <f>"180,0"</f>
        <v>180,0</v>
      </c>
      <c r="L90" s="28" t="str">
        <f>"95,6880"</f>
        <v>95,6880</v>
      </c>
      <c r="M90" s="26" t="s">
        <v>918</v>
      </c>
    </row>
    <row r="91" spans="1:13">
      <c r="A91" s="26" t="s">
        <v>920</v>
      </c>
      <c r="B91" s="26" t="s">
        <v>921</v>
      </c>
      <c r="C91" s="26" t="s">
        <v>922</v>
      </c>
      <c r="D91" s="26" t="str">
        <f>"0,5257"</f>
        <v>0,5257</v>
      </c>
      <c r="E91" s="26" t="s">
        <v>923</v>
      </c>
      <c r="F91" s="26" t="s">
        <v>121</v>
      </c>
      <c r="G91" s="28" t="s">
        <v>27</v>
      </c>
      <c r="H91" s="27" t="s">
        <v>306</v>
      </c>
      <c r="I91" s="28" t="s">
        <v>306</v>
      </c>
      <c r="J91" s="27"/>
      <c r="K91" s="26" t="str">
        <f>"175,0"</f>
        <v>175,0</v>
      </c>
      <c r="L91" s="28" t="str">
        <f>"91,9975"</f>
        <v>91,9975</v>
      </c>
      <c r="M91" s="26" t="s">
        <v>43</v>
      </c>
    </row>
    <row r="92" spans="1:13">
      <c r="A92" s="26" t="s">
        <v>925</v>
      </c>
      <c r="B92" s="26" t="s">
        <v>926</v>
      </c>
      <c r="C92" s="26" t="s">
        <v>927</v>
      </c>
      <c r="D92" s="26" t="str">
        <f>"0,5347"</f>
        <v>0,5347</v>
      </c>
      <c r="E92" s="26" t="s">
        <v>923</v>
      </c>
      <c r="F92" s="26" t="s">
        <v>121</v>
      </c>
      <c r="G92" s="28" t="s">
        <v>53</v>
      </c>
      <c r="H92" s="28" t="s">
        <v>54</v>
      </c>
      <c r="I92" s="28" t="s">
        <v>928</v>
      </c>
      <c r="J92" s="27"/>
      <c r="K92" s="26" t="str">
        <f>"187,5"</f>
        <v>187,5</v>
      </c>
      <c r="L92" s="28" t="str">
        <f>"100,2562"</f>
        <v>100,2562</v>
      </c>
      <c r="M92" s="26" t="s">
        <v>43</v>
      </c>
    </row>
    <row r="93" spans="1:13">
      <c r="A93" s="15" t="s">
        <v>930</v>
      </c>
      <c r="B93" s="15" t="s">
        <v>931</v>
      </c>
      <c r="C93" s="15" t="s">
        <v>932</v>
      </c>
      <c r="D93" s="15" t="str">
        <f>"0,5326"</f>
        <v>0,5326</v>
      </c>
      <c r="E93" s="15" t="s">
        <v>155</v>
      </c>
      <c r="F93" s="15" t="s">
        <v>156</v>
      </c>
      <c r="G93" s="16" t="s">
        <v>305</v>
      </c>
      <c r="H93" s="16" t="s">
        <v>133</v>
      </c>
      <c r="I93" s="16" t="s">
        <v>114</v>
      </c>
      <c r="J93" s="17"/>
      <c r="K93" s="15" t="str">
        <f>"135,0"</f>
        <v>135,0</v>
      </c>
      <c r="L93" s="16" t="str">
        <f>"95,6283"</f>
        <v>95,6283</v>
      </c>
      <c r="M93" s="15" t="s">
        <v>43</v>
      </c>
    </row>
    <row r="95" spans="1:13" ht="15">
      <c r="E95" s="18" t="s">
        <v>74</v>
      </c>
    </row>
    <row r="96" spans="1:13" ht="15">
      <c r="E96" s="18" t="s">
        <v>75</v>
      </c>
    </row>
    <row r="97" spans="1:5" ht="15">
      <c r="E97" s="18" t="s">
        <v>76</v>
      </c>
    </row>
    <row r="98" spans="1:5" ht="15">
      <c r="E98" s="18" t="s">
        <v>77</v>
      </c>
    </row>
    <row r="99" spans="1:5" ht="15">
      <c r="E99" s="18" t="s">
        <v>77</v>
      </c>
    </row>
    <row r="100" spans="1:5" ht="15">
      <c r="E100" s="18" t="s">
        <v>78</v>
      </c>
    </row>
    <row r="101" spans="1:5" ht="15">
      <c r="E101" s="18"/>
    </row>
    <row r="103" spans="1:5" ht="18">
      <c r="A103" s="19" t="s">
        <v>79</v>
      </c>
      <c r="B103" s="19"/>
    </row>
    <row r="104" spans="1:5" ht="15">
      <c r="A104" s="20" t="s">
        <v>254</v>
      </c>
      <c r="B104" s="20"/>
    </row>
    <row r="105" spans="1:5" ht="14.25">
      <c r="A105" s="22"/>
      <c r="B105" s="23" t="s">
        <v>632</v>
      </c>
    </row>
    <row r="106" spans="1:5" ht="15">
      <c r="A106" s="24" t="s">
        <v>82</v>
      </c>
      <c r="B106" s="24" t="s">
        <v>83</v>
      </c>
      <c r="C106" s="24" t="s">
        <v>84</v>
      </c>
      <c r="D106" s="24" t="s">
        <v>85</v>
      </c>
      <c r="E106" s="24" t="s">
        <v>86</v>
      </c>
    </row>
    <row r="107" spans="1:5">
      <c r="A107" s="21" t="s">
        <v>734</v>
      </c>
      <c r="B107" s="5" t="s">
        <v>633</v>
      </c>
      <c r="C107" s="5" t="s">
        <v>98</v>
      </c>
      <c r="D107" s="5" t="s">
        <v>453</v>
      </c>
      <c r="E107" s="25" t="s">
        <v>933</v>
      </c>
    </row>
    <row r="109" spans="1:5" ht="14.25">
      <c r="A109" s="22"/>
      <c r="B109" s="23" t="s">
        <v>81</v>
      </c>
    </row>
    <row r="110" spans="1:5" ht="15">
      <c r="A110" s="24" t="s">
        <v>82</v>
      </c>
      <c r="B110" s="24" t="s">
        <v>83</v>
      </c>
      <c r="C110" s="24" t="s">
        <v>84</v>
      </c>
      <c r="D110" s="24" t="s">
        <v>85</v>
      </c>
      <c r="E110" s="24" t="s">
        <v>86</v>
      </c>
    </row>
    <row r="111" spans="1:5">
      <c r="A111" s="21" t="s">
        <v>476</v>
      </c>
      <c r="B111" s="5" t="s">
        <v>81</v>
      </c>
      <c r="C111" s="5" t="s">
        <v>634</v>
      </c>
      <c r="D111" s="5" t="s">
        <v>438</v>
      </c>
      <c r="E111" s="25" t="s">
        <v>934</v>
      </c>
    </row>
    <row r="112" spans="1:5">
      <c r="A112" s="21" t="s">
        <v>710</v>
      </c>
      <c r="B112" s="5" t="s">
        <v>81</v>
      </c>
      <c r="C112" s="5" t="s">
        <v>645</v>
      </c>
      <c r="D112" s="5" t="s">
        <v>475</v>
      </c>
      <c r="E112" s="25" t="s">
        <v>935</v>
      </c>
    </row>
    <row r="113" spans="1:5">
      <c r="A113" s="21" t="s">
        <v>700</v>
      </c>
      <c r="B113" s="5" t="s">
        <v>81</v>
      </c>
      <c r="C113" s="5" t="s">
        <v>637</v>
      </c>
      <c r="D113" s="5" t="s">
        <v>506</v>
      </c>
      <c r="E113" s="25" t="s">
        <v>936</v>
      </c>
    </row>
    <row r="114" spans="1:5">
      <c r="A114" s="21" t="s">
        <v>724</v>
      </c>
      <c r="B114" s="5" t="s">
        <v>81</v>
      </c>
      <c r="C114" s="5" t="s">
        <v>438</v>
      </c>
      <c r="D114" s="5" t="s">
        <v>491</v>
      </c>
      <c r="E114" s="25" t="s">
        <v>937</v>
      </c>
    </row>
    <row r="115" spans="1:5">
      <c r="A115" s="21" t="s">
        <v>501</v>
      </c>
      <c r="B115" s="5" t="s">
        <v>81</v>
      </c>
      <c r="C115" s="5" t="s">
        <v>438</v>
      </c>
      <c r="D115" s="5" t="s">
        <v>505</v>
      </c>
      <c r="E115" s="25" t="s">
        <v>938</v>
      </c>
    </row>
    <row r="116" spans="1:5">
      <c r="A116" s="21" t="s">
        <v>493</v>
      </c>
      <c r="B116" s="5" t="s">
        <v>81</v>
      </c>
      <c r="C116" s="5" t="s">
        <v>637</v>
      </c>
      <c r="D116" s="5" t="s">
        <v>463</v>
      </c>
      <c r="E116" s="25" t="s">
        <v>939</v>
      </c>
    </row>
    <row r="117" spans="1:5">
      <c r="A117" s="21" t="s">
        <v>704</v>
      </c>
      <c r="B117" s="5" t="s">
        <v>81</v>
      </c>
      <c r="C117" s="5" t="s">
        <v>637</v>
      </c>
      <c r="D117" s="5" t="s">
        <v>463</v>
      </c>
      <c r="E117" s="25" t="s">
        <v>940</v>
      </c>
    </row>
    <row r="118" spans="1:5">
      <c r="A118" s="21" t="s">
        <v>714</v>
      </c>
      <c r="B118" s="5" t="s">
        <v>81</v>
      </c>
      <c r="C118" s="5" t="s">
        <v>645</v>
      </c>
      <c r="D118" s="5" t="s">
        <v>463</v>
      </c>
      <c r="E118" s="25" t="s">
        <v>941</v>
      </c>
    </row>
    <row r="119" spans="1:5">
      <c r="A119" s="21" t="s">
        <v>719</v>
      </c>
      <c r="B119" s="5" t="s">
        <v>81</v>
      </c>
      <c r="C119" s="5" t="s">
        <v>645</v>
      </c>
      <c r="D119" s="5" t="s">
        <v>454</v>
      </c>
      <c r="E119" s="25" t="s">
        <v>942</v>
      </c>
    </row>
    <row r="120" spans="1:5">
      <c r="A120" s="21" t="s">
        <v>730</v>
      </c>
      <c r="B120" s="5" t="s">
        <v>81</v>
      </c>
      <c r="C120" s="5" t="s">
        <v>438</v>
      </c>
      <c r="D120" s="5" t="s">
        <v>452</v>
      </c>
      <c r="E120" s="25" t="s">
        <v>943</v>
      </c>
    </row>
    <row r="123" spans="1:5" ht="15">
      <c r="A123" s="20" t="s">
        <v>80</v>
      </c>
      <c r="B123" s="20"/>
    </row>
    <row r="124" spans="1:5" ht="14.25">
      <c r="A124" s="22"/>
      <c r="B124" s="23" t="s">
        <v>190</v>
      </c>
    </row>
    <row r="125" spans="1:5" ht="15">
      <c r="A125" s="24" t="s">
        <v>82</v>
      </c>
      <c r="B125" s="24" t="s">
        <v>83</v>
      </c>
      <c r="C125" s="24" t="s">
        <v>84</v>
      </c>
      <c r="D125" s="24" t="s">
        <v>85</v>
      </c>
      <c r="E125" s="24" t="s">
        <v>86</v>
      </c>
    </row>
    <row r="126" spans="1:5">
      <c r="A126" s="21" t="s">
        <v>762</v>
      </c>
      <c r="B126" s="5" t="s">
        <v>258</v>
      </c>
      <c r="C126" s="5" t="s">
        <v>195</v>
      </c>
      <c r="D126" s="5" t="s">
        <v>114</v>
      </c>
      <c r="E126" s="25" t="s">
        <v>944</v>
      </c>
    </row>
    <row r="127" spans="1:5">
      <c r="A127" s="21" t="s">
        <v>747</v>
      </c>
      <c r="B127" s="5" t="s">
        <v>191</v>
      </c>
      <c r="C127" s="5" t="s">
        <v>438</v>
      </c>
      <c r="D127" s="5" t="s">
        <v>336</v>
      </c>
      <c r="E127" s="25" t="s">
        <v>945</v>
      </c>
    </row>
    <row r="128" spans="1:5">
      <c r="A128" s="21" t="s">
        <v>755</v>
      </c>
      <c r="B128" s="5" t="s">
        <v>191</v>
      </c>
      <c r="C128" s="5" t="s">
        <v>87</v>
      </c>
      <c r="D128" s="5" t="s">
        <v>93</v>
      </c>
      <c r="E128" s="25" t="s">
        <v>946</v>
      </c>
    </row>
    <row r="129" spans="1:5">
      <c r="A129" s="21" t="s">
        <v>862</v>
      </c>
      <c r="B129" s="5" t="s">
        <v>191</v>
      </c>
      <c r="C129" s="5" t="s">
        <v>93</v>
      </c>
      <c r="D129" s="5" t="s">
        <v>490</v>
      </c>
      <c r="E129" s="25" t="s">
        <v>947</v>
      </c>
    </row>
    <row r="130" spans="1:5">
      <c r="A130" s="21" t="s">
        <v>739</v>
      </c>
      <c r="B130" s="5" t="s">
        <v>633</v>
      </c>
      <c r="C130" s="5" t="s">
        <v>634</v>
      </c>
      <c r="D130" s="5" t="s">
        <v>454</v>
      </c>
      <c r="E130" s="25" t="s">
        <v>948</v>
      </c>
    </row>
    <row r="131" spans="1:5">
      <c r="A131" s="21" t="s">
        <v>865</v>
      </c>
      <c r="B131" s="5" t="s">
        <v>191</v>
      </c>
      <c r="C131" s="5" t="s">
        <v>93</v>
      </c>
      <c r="D131" s="5" t="s">
        <v>98</v>
      </c>
      <c r="E131" s="25" t="s">
        <v>949</v>
      </c>
    </row>
    <row r="132" spans="1:5">
      <c r="A132" s="21" t="s">
        <v>804</v>
      </c>
      <c r="B132" s="5" t="s">
        <v>633</v>
      </c>
      <c r="C132" s="5" t="s">
        <v>204</v>
      </c>
      <c r="D132" s="5" t="s">
        <v>438</v>
      </c>
      <c r="E132" s="25" t="s">
        <v>950</v>
      </c>
    </row>
    <row r="134" spans="1:5" ht="14.25">
      <c r="A134" s="22"/>
      <c r="B134" s="23" t="s">
        <v>357</v>
      </c>
    </row>
    <row r="135" spans="1:5" ht="15">
      <c r="A135" s="24" t="s">
        <v>82</v>
      </c>
      <c r="B135" s="24" t="s">
        <v>83</v>
      </c>
      <c r="C135" s="24" t="s">
        <v>84</v>
      </c>
      <c r="D135" s="24" t="s">
        <v>85</v>
      </c>
      <c r="E135" s="24" t="s">
        <v>86</v>
      </c>
    </row>
    <row r="136" spans="1:5">
      <c r="A136" s="21" t="s">
        <v>820</v>
      </c>
      <c r="B136" s="5" t="s">
        <v>256</v>
      </c>
      <c r="C136" s="5" t="s">
        <v>98</v>
      </c>
      <c r="D136" s="5" t="s">
        <v>40</v>
      </c>
      <c r="E136" s="25" t="s">
        <v>951</v>
      </c>
    </row>
    <row r="137" spans="1:5">
      <c r="A137" s="21" t="s">
        <v>743</v>
      </c>
      <c r="B137" s="5" t="s">
        <v>256</v>
      </c>
      <c r="C137" s="5" t="s">
        <v>645</v>
      </c>
      <c r="D137" s="5" t="s">
        <v>336</v>
      </c>
      <c r="E137" s="25" t="s">
        <v>952</v>
      </c>
    </row>
    <row r="138" spans="1:5">
      <c r="A138" s="21" t="s">
        <v>826</v>
      </c>
      <c r="B138" s="5" t="s">
        <v>256</v>
      </c>
      <c r="C138" s="5" t="s">
        <v>98</v>
      </c>
      <c r="D138" s="5" t="s">
        <v>25</v>
      </c>
      <c r="E138" s="25" t="s">
        <v>953</v>
      </c>
    </row>
    <row r="139" spans="1:5">
      <c r="A139" s="21" t="s">
        <v>768</v>
      </c>
      <c r="B139" s="5" t="s">
        <v>256</v>
      </c>
      <c r="C139" s="5" t="s">
        <v>195</v>
      </c>
      <c r="D139" s="5" t="s">
        <v>606</v>
      </c>
      <c r="E139" s="25" t="s">
        <v>954</v>
      </c>
    </row>
    <row r="140" spans="1:5">
      <c r="A140" s="21" t="s">
        <v>590</v>
      </c>
      <c r="B140" s="5" t="s">
        <v>256</v>
      </c>
      <c r="C140" s="5" t="s">
        <v>98</v>
      </c>
      <c r="D140" s="5" t="s">
        <v>594</v>
      </c>
      <c r="E140" s="25" t="s">
        <v>955</v>
      </c>
    </row>
    <row r="141" spans="1:5">
      <c r="A141" s="21" t="s">
        <v>773</v>
      </c>
      <c r="B141" s="5" t="s">
        <v>256</v>
      </c>
      <c r="C141" s="5" t="s">
        <v>195</v>
      </c>
      <c r="D141" s="5" t="s">
        <v>421</v>
      </c>
      <c r="E141" s="25" t="s">
        <v>956</v>
      </c>
    </row>
    <row r="142" spans="1:5">
      <c r="A142" s="21" t="s">
        <v>778</v>
      </c>
      <c r="B142" s="5" t="s">
        <v>256</v>
      </c>
      <c r="C142" s="5" t="s">
        <v>195</v>
      </c>
      <c r="D142" s="5" t="s">
        <v>199</v>
      </c>
      <c r="E142" s="25" t="s">
        <v>957</v>
      </c>
    </row>
    <row r="143" spans="1:5">
      <c r="A143" s="21" t="s">
        <v>535</v>
      </c>
      <c r="B143" s="5" t="s">
        <v>256</v>
      </c>
      <c r="C143" s="5" t="s">
        <v>87</v>
      </c>
      <c r="D143" s="5" t="s">
        <v>176</v>
      </c>
      <c r="E143" s="25" t="s">
        <v>958</v>
      </c>
    </row>
    <row r="145" spans="1:5" ht="14.25">
      <c r="A145" s="22"/>
      <c r="B145" s="23" t="s">
        <v>81</v>
      </c>
    </row>
    <row r="146" spans="1:5" ht="15">
      <c r="A146" s="24" t="s">
        <v>82</v>
      </c>
      <c r="B146" s="24" t="s">
        <v>83</v>
      </c>
      <c r="C146" s="24" t="s">
        <v>84</v>
      </c>
      <c r="D146" s="24" t="s">
        <v>85</v>
      </c>
      <c r="E146" s="24" t="s">
        <v>86</v>
      </c>
    </row>
    <row r="147" spans="1:5">
      <c r="A147" s="21" t="s">
        <v>909</v>
      </c>
      <c r="B147" s="5" t="s">
        <v>81</v>
      </c>
      <c r="C147" s="5" t="s">
        <v>90</v>
      </c>
      <c r="D147" s="5" t="s">
        <v>390</v>
      </c>
      <c r="E147" s="25" t="s">
        <v>959</v>
      </c>
    </row>
    <row r="148" spans="1:5">
      <c r="A148" s="21" t="s">
        <v>808</v>
      </c>
      <c r="B148" s="5" t="s">
        <v>81</v>
      </c>
      <c r="C148" s="5" t="s">
        <v>204</v>
      </c>
      <c r="D148" s="5" t="s">
        <v>158</v>
      </c>
      <c r="E148" s="25" t="s">
        <v>960</v>
      </c>
    </row>
    <row r="149" spans="1:5">
      <c r="A149" s="21" t="s">
        <v>782</v>
      </c>
      <c r="B149" s="5" t="s">
        <v>81</v>
      </c>
      <c r="C149" s="5" t="s">
        <v>195</v>
      </c>
      <c r="D149" s="5" t="s">
        <v>25</v>
      </c>
      <c r="E149" s="25" t="s">
        <v>961</v>
      </c>
    </row>
    <row r="150" spans="1:5">
      <c r="A150" s="21" t="s">
        <v>870</v>
      </c>
      <c r="B150" s="5" t="s">
        <v>81</v>
      </c>
      <c r="C150" s="5" t="s">
        <v>93</v>
      </c>
      <c r="D150" s="5" t="s">
        <v>158</v>
      </c>
      <c r="E150" s="25" t="s">
        <v>962</v>
      </c>
    </row>
    <row r="151" spans="1:5">
      <c r="A151" s="21" t="s">
        <v>896</v>
      </c>
      <c r="B151" s="5" t="s">
        <v>81</v>
      </c>
      <c r="C151" s="5" t="s">
        <v>199</v>
      </c>
      <c r="D151" s="5" t="s">
        <v>159</v>
      </c>
      <c r="E151" s="25" t="s">
        <v>963</v>
      </c>
    </row>
    <row r="152" spans="1:5">
      <c r="A152" s="21" t="s">
        <v>833</v>
      </c>
      <c r="B152" s="5" t="s">
        <v>81</v>
      </c>
      <c r="C152" s="5" t="s">
        <v>98</v>
      </c>
      <c r="D152" s="5" t="s">
        <v>27</v>
      </c>
      <c r="E152" s="25" t="s">
        <v>964</v>
      </c>
    </row>
    <row r="153" spans="1:5">
      <c r="A153" s="21" t="s">
        <v>873</v>
      </c>
      <c r="B153" s="5" t="s">
        <v>81</v>
      </c>
      <c r="C153" s="5" t="s">
        <v>93</v>
      </c>
      <c r="D153" s="5" t="s">
        <v>306</v>
      </c>
      <c r="E153" s="25" t="s">
        <v>965</v>
      </c>
    </row>
    <row r="154" spans="1:5">
      <c r="A154" s="21" t="s">
        <v>787</v>
      </c>
      <c r="B154" s="5" t="s">
        <v>81</v>
      </c>
      <c r="C154" s="5" t="s">
        <v>195</v>
      </c>
      <c r="D154" s="5" t="s">
        <v>594</v>
      </c>
      <c r="E154" s="25" t="s">
        <v>966</v>
      </c>
    </row>
    <row r="155" spans="1:5">
      <c r="A155" s="21" t="s">
        <v>914</v>
      </c>
      <c r="B155" s="5" t="s">
        <v>81</v>
      </c>
      <c r="C155" s="5" t="s">
        <v>90</v>
      </c>
      <c r="D155" s="5" t="s">
        <v>54</v>
      </c>
      <c r="E155" s="25" t="s">
        <v>967</v>
      </c>
    </row>
    <row r="156" spans="1:5">
      <c r="A156" s="21" t="s">
        <v>793</v>
      </c>
      <c r="B156" s="5" t="s">
        <v>81</v>
      </c>
      <c r="C156" s="5" t="s">
        <v>195</v>
      </c>
      <c r="D156" s="5" t="s">
        <v>115</v>
      </c>
      <c r="E156" s="25" t="s">
        <v>968</v>
      </c>
    </row>
    <row r="157" spans="1:5">
      <c r="A157" s="21" t="s">
        <v>919</v>
      </c>
      <c r="B157" s="5" t="s">
        <v>81</v>
      </c>
      <c r="C157" s="5" t="s">
        <v>90</v>
      </c>
      <c r="D157" s="5" t="s">
        <v>306</v>
      </c>
      <c r="E157" s="25" t="s">
        <v>969</v>
      </c>
    </row>
    <row r="158" spans="1:5">
      <c r="A158" s="21" t="s">
        <v>877</v>
      </c>
      <c r="B158" s="5" t="s">
        <v>81</v>
      </c>
      <c r="C158" s="5" t="s">
        <v>93</v>
      </c>
      <c r="D158" s="5" t="s">
        <v>26</v>
      </c>
      <c r="E158" s="25" t="s">
        <v>970</v>
      </c>
    </row>
    <row r="159" spans="1:5">
      <c r="A159" s="21" t="s">
        <v>797</v>
      </c>
      <c r="B159" s="5" t="s">
        <v>81</v>
      </c>
      <c r="C159" s="5" t="s">
        <v>195</v>
      </c>
      <c r="D159" s="5" t="s">
        <v>114</v>
      </c>
      <c r="E159" s="25" t="s">
        <v>971</v>
      </c>
    </row>
    <row r="160" spans="1:5">
      <c r="A160" s="21" t="s">
        <v>883</v>
      </c>
      <c r="B160" s="5" t="s">
        <v>81</v>
      </c>
      <c r="C160" s="5" t="s">
        <v>93</v>
      </c>
      <c r="D160" s="5" t="s">
        <v>26</v>
      </c>
      <c r="E160" s="25" t="s">
        <v>972</v>
      </c>
    </row>
    <row r="161" spans="1:5">
      <c r="A161" s="21" t="s">
        <v>812</v>
      </c>
      <c r="B161" s="5" t="s">
        <v>81</v>
      </c>
      <c r="C161" s="5" t="s">
        <v>204</v>
      </c>
      <c r="D161" s="5" t="s">
        <v>594</v>
      </c>
      <c r="E161" s="25" t="s">
        <v>973</v>
      </c>
    </row>
    <row r="162" spans="1:5">
      <c r="A162" s="21" t="s">
        <v>816</v>
      </c>
      <c r="B162" s="5" t="s">
        <v>81</v>
      </c>
      <c r="C162" s="5" t="s">
        <v>204</v>
      </c>
      <c r="D162" s="5" t="s">
        <v>134</v>
      </c>
      <c r="E162" s="25" t="s">
        <v>974</v>
      </c>
    </row>
    <row r="163" spans="1:5">
      <c r="A163" s="21" t="s">
        <v>837</v>
      </c>
      <c r="B163" s="5" t="s">
        <v>81</v>
      </c>
      <c r="C163" s="5" t="s">
        <v>98</v>
      </c>
      <c r="D163" s="5" t="s">
        <v>792</v>
      </c>
      <c r="E163" s="25" t="s">
        <v>975</v>
      </c>
    </row>
    <row r="164" spans="1:5">
      <c r="A164" s="21" t="s">
        <v>900</v>
      </c>
      <c r="B164" s="5" t="s">
        <v>81</v>
      </c>
      <c r="C164" s="5" t="s">
        <v>199</v>
      </c>
      <c r="D164" s="5" t="s">
        <v>40</v>
      </c>
      <c r="E164" s="25" t="s">
        <v>976</v>
      </c>
    </row>
    <row r="165" spans="1:5">
      <c r="A165" s="21" t="s">
        <v>842</v>
      </c>
      <c r="B165" s="5" t="s">
        <v>81</v>
      </c>
      <c r="C165" s="5" t="s">
        <v>98</v>
      </c>
      <c r="D165" s="5" t="s">
        <v>186</v>
      </c>
      <c r="E165" s="25" t="s">
        <v>977</v>
      </c>
    </row>
    <row r="166" spans="1:5">
      <c r="A166" s="21" t="s">
        <v>888</v>
      </c>
      <c r="B166" s="5" t="s">
        <v>81</v>
      </c>
      <c r="C166" s="5" t="s">
        <v>93</v>
      </c>
      <c r="D166" s="5" t="s">
        <v>39</v>
      </c>
      <c r="E166" s="25" t="s">
        <v>978</v>
      </c>
    </row>
    <row r="167" spans="1:5">
      <c r="A167" s="21" t="s">
        <v>751</v>
      </c>
      <c r="B167" s="5" t="s">
        <v>81</v>
      </c>
      <c r="C167" s="5" t="s">
        <v>438</v>
      </c>
      <c r="D167" s="5" t="s">
        <v>93</v>
      </c>
      <c r="E167" s="25" t="s">
        <v>979</v>
      </c>
    </row>
    <row r="168" spans="1:5">
      <c r="A168" s="21" t="s">
        <v>846</v>
      </c>
      <c r="B168" s="5" t="s">
        <v>81</v>
      </c>
      <c r="C168" s="5" t="s">
        <v>98</v>
      </c>
      <c r="D168" s="5" t="s">
        <v>134</v>
      </c>
      <c r="E168" s="25" t="s">
        <v>980</v>
      </c>
    </row>
    <row r="169" spans="1:5">
      <c r="A169" s="21" t="s">
        <v>849</v>
      </c>
      <c r="B169" s="5" t="s">
        <v>81</v>
      </c>
      <c r="C169" s="5" t="s">
        <v>98</v>
      </c>
      <c r="D169" s="5" t="s">
        <v>114</v>
      </c>
      <c r="E169" s="25" t="s">
        <v>981</v>
      </c>
    </row>
    <row r="170" spans="1:5">
      <c r="A170" s="21" t="s">
        <v>563</v>
      </c>
      <c r="B170" s="5" t="s">
        <v>81</v>
      </c>
      <c r="C170" s="5" t="s">
        <v>195</v>
      </c>
      <c r="D170" s="5" t="s">
        <v>305</v>
      </c>
      <c r="E170" s="25" t="s">
        <v>982</v>
      </c>
    </row>
    <row r="172" spans="1:5" ht="14.25">
      <c r="A172" s="22"/>
      <c r="B172" s="23" t="s">
        <v>267</v>
      </c>
    </row>
    <row r="173" spans="1:5" ht="15">
      <c r="A173" s="24" t="s">
        <v>82</v>
      </c>
      <c r="B173" s="24" t="s">
        <v>83</v>
      </c>
      <c r="C173" s="24" t="s">
        <v>84</v>
      </c>
      <c r="D173" s="24" t="s">
        <v>85</v>
      </c>
      <c r="E173" s="24" t="s">
        <v>86</v>
      </c>
    </row>
    <row r="174" spans="1:5">
      <c r="A174" s="21" t="s">
        <v>870</v>
      </c>
      <c r="B174" s="5" t="s">
        <v>983</v>
      </c>
      <c r="C174" s="5" t="s">
        <v>93</v>
      </c>
      <c r="D174" s="5" t="s">
        <v>158</v>
      </c>
      <c r="E174" s="25" t="s">
        <v>984</v>
      </c>
    </row>
    <row r="175" spans="1:5">
      <c r="A175" s="21" t="s">
        <v>924</v>
      </c>
      <c r="B175" s="5" t="s">
        <v>985</v>
      </c>
      <c r="C175" s="5" t="s">
        <v>90</v>
      </c>
      <c r="D175" s="5" t="s">
        <v>928</v>
      </c>
      <c r="E175" s="25" t="s">
        <v>986</v>
      </c>
    </row>
    <row r="176" spans="1:5">
      <c r="A176" s="21" t="s">
        <v>853</v>
      </c>
      <c r="B176" s="5" t="s">
        <v>987</v>
      </c>
      <c r="C176" s="5" t="s">
        <v>98</v>
      </c>
      <c r="D176" s="5" t="s">
        <v>40</v>
      </c>
      <c r="E176" s="25" t="s">
        <v>988</v>
      </c>
    </row>
    <row r="177" spans="1:5">
      <c r="A177" s="21" t="s">
        <v>892</v>
      </c>
      <c r="B177" s="5" t="s">
        <v>987</v>
      </c>
      <c r="C177" s="5" t="s">
        <v>93</v>
      </c>
      <c r="D177" s="5" t="s">
        <v>26</v>
      </c>
      <c r="E177" s="25" t="s">
        <v>989</v>
      </c>
    </row>
    <row r="178" spans="1:5">
      <c r="A178" s="21" t="s">
        <v>929</v>
      </c>
      <c r="B178" s="5" t="s">
        <v>990</v>
      </c>
      <c r="C178" s="5" t="s">
        <v>90</v>
      </c>
      <c r="D178" s="5" t="s">
        <v>114</v>
      </c>
      <c r="E178" s="25" t="s">
        <v>991</v>
      </c>
    </row>
    <row r="179" spans="1:5">
      <c r="A179" s="21" t="s">
        <v>905</v>
      </c>
      <c r="B179" s="5" t="s">
        <v>985</v>
      </c>
      <c r="C179" s="5" t="s">
        <v>199</v>
      </c>
      <c r="D179" s="5" t="s">
        <v>26</v>
      </c>
      <c r="E179" s="25" t="s">
        <v>992</v>
      </c>
    </row>
    <row r="180" spans="1:5">
      <c r="A180" s="21" t="s">
        <v>858</v>
      </c>
      <c r="B180" s="5" t="s">
        <v>987</v>
      </c>
      <c r="C180" s="5" t="s">
        <v>98</v>
      </c>
      <c r="D180" s="5" t="s">
        <v>114</v>
      </c>
      <c r="E180" s="25" t="s">
        <v>993</v>
      </c>
    </row>
  </sheetData>
  <mergeCells count="26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A27:L27"/>
    <mergeCell ref="A30:L30"/>
    <mergeCell ref="A33:L33"/>
    <mergeCell ref="A37:L37"/>
    <mergeCell ref="A9:L9"/>
    <mergeCell ref="A14:L14"/>
    <mergeCell ref="A19:L19"/>
    <mergeCell ref="A24:L24"/>
    <mergeCell ref="A83:L83"/>
    <mergeCell ref="A88:L88"/>
    <mergeCell ref="A42:L42"/>
    <mergeCell ref="A54:L54"/>
    <mergeCell ref="A60:L60"/>
    <mergeCell ref="A72:L72"/>
  </mergeCells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136"/>
  <sheetViews>
    <sheetView topLeftCell="A49" workbookViewId="0">
      <selection activeCell="F53" sqref="F53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6.28515625" style="5" bestFit="1" customWidth="1"/>
    <col min="22" max="16384" width="9.140625" style="4"/>
  </cols>
  <sheetData>
    <row r="1" spans="1:21" s="3" customFormat="1" ht="29.1" customHeight="1">
      <c r="A1" s="50" t="s">
        <v>444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6</v>
      </c>
      <c r="U3" s="37" t="s">
        <v>5</v>
      </c>
    </row>
    <row r="4" spans="1:2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8"/>
      <c r="T4" s="48"/>
      <c r="U4" s="38"/>
    </row>
    <row r="5" spans="1:21" ht="15">
      <c r="A5" s="53" t="s">
        <v>445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447</v>
      </c>
      <c r="B6" s="8" t="s">
        <v>448</v>
      </c>
      <c r="C6" s="8" t="s">
        <v>449</v>
      </c>
      <c r="D6" s="8" t="str">
        <f>"1,1190"</f>
        <v>1,1190</v>
      </c>
      <c r="E6" s="8" t="s">
        <v>20</v>
      </c>
      <c r="F6" s="8" t="s">
        <v>21</v>
      </c>
      <c r="G6" s="9" t="s">
        <v>450</v>
      </c>
      <c r="H6" s="9" t="s">
        <v>451</v>
      </c>
      <c r="I6" s="10" t="s">
        <v>175</v>
      </c>
      <c r="J6" s="10"/>
      <c r="K6" s="9" t="s">
        <v>452</v>
      </c>
      <c r="L6" s="9" t="s">
        <v>453</v>
      </c>
      <c r="M6" s="10" t="s">
        <v>454</v>
      </c>
      <c r="N6" s="10"/>
      <c r="O6" s="9" t="s">
        <v>336</v>
      </c>
      <c r="P6" s="9" t="s">
        <v>421</v>
      </c>
      <c r="Q6" s="10" t="s">
        <v>455</v>
      </c>
      <c r="R6" s="10"/>
      <c r="S6" s="8" t="str">
        <f>"227,5"</f>
        <v>227,5</v>
      </c>
      <c r="T6" s="9" t="str">
        <f>"254,5725"</f>
        <v>254,5725</v>
      </c>
      <c r="U6" s="8" t="s">
        <v>43</v>
      </c>
    </row>
    <row r="8" spans="1:21" ht="15">
      <c r="A8" s="51" t="s">
        <v>456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1">
      <c r="A9" s="12" t="s">
        <v>458</v>
      </c>
      <c r="B9" s="12" t="s">
        <v>459</v>
      </c>
      <c r="C9" s="12" t="s">
        <v>460</v>
      </c>
      <c r="D9" s="12" t="str">
        <f>"1,0611"</f>
        <v>1,0611</v>
      </c>
      <c r="E9" s="12" t="s">
        <v>461</v>
      </c>
      <c r="F9" s="12" t="s">
        <v>462</v>
      </c>
      <c r="G9" s="13" t="s">
        <v>195</v>
      </c>
      <c r="H9" s="13" t="s">
        <v>176</v>
      </c>
      <c r="I9" s="14" t="s">
        <v>98</v>
      </c>
      <c r="J9" s="14"/>
      <c r="K9" s="13" t="s">
        <v>454</v>
      </c>
      <c r="L9" s="13" t="s">
        <v>463</v>
      </c>
      <c r="M9" s="14" t="s">
        <v>464</v>
      </c>
      <c r="N9" s="14"/>
      <c r="O9" s="13" t="s">
        <v>465</v>
      </c>
      <c r="P9" s="13" t="s">
        <v>175</v>
      </c>
      <c r="Q9" s="13" t="s">
        <v>176</v>
      </c>
      <c r="R9" s="14"/>
      <c r="S9" s="12" t="str">
        <f>"215,0"</f>
        <v>215,0</v>
      </c>
      <c r="T9" s="13" t="str">
        <f>"280,6211"</f>
        <v>280,6211</v>
      </c>
      <c r="U9" s="12" t="s">
        <v>43</v>
      </c>
    </row>
    <row r="10" spans="1:21">
      <c r="A10" s="26" t="s">
        <v>467</v>
      </c>
      <c r="B10" s="26" t="s">
        <v>459</v>
      </c>
      <c r="C10" s="26" t="s">
        <v>468</v>
      </c>
      <c r="D10" s="26" t="str">
        <f>"1,0575"</f>
        <v>1,0575</v>
      </c>
      <c r="E10" s="26" t="s">
        <v>469</v>
      </c>
      <c r="F10" s="26" t="s">
        <v>470</v>
      </c>
      <c r="G10" s="28" t="s">
        <v>471</v>
      </c>
      <c r="H10" s="28" t="s">
        <v>454</v>
      </c>
      <c r="I10" s="27" t="s">
        <v>463</v>
      </c>
      <c r="J10" s="27"/>
      <c r="K10" s="27" t="s">
        <v>472</v>
      </c>
      <c r="L10" s="28" t="s">
        <v>472</v>
      </c>
      <c r="M10" s="27" t="s">
        <v>473</v>
      </c>
      <c r="N10" s="27"/>
      <c r="O10" s="28" t="s">
        <v>474</v>
      </c>
      <c r="P10" s="28" t="s">
        <v>438</v>
      </c>
      <c r="Q10" s="28" t="s">
        <v>475</v>
      </c>
      <c r="R10" s="27"/>
      <c r="S10" s="26" t="str">
        <f>"130,0"</f>
        <v>130,0</v>
      </c>
      <c r="T10" s="28" t="str">
        <f>"169,0943"</f>
        <v>169,0943</v>
      </c>
      <c r="U10" s="26" t="s">
        <v>43</v>
      </c>
    </row>
    <row r="11" spans="1:21">
      <c r="A11" s="26" t="s">
        <v>477</v>
      </c>
      <c r="B11" s="26" t="s">
        <v>478</v>
      </c>
      <c r="C11" s="26" t="s">
        <v>479</v>
      </c>
      <c r="D11" s="26" t="str">
        <f>"1,0557"</f>
        <v>1,0557</v>
      </c>
      <c r="E11" s="26" t="s">
        <v>461</v>
      </c>
      <c r="F11" s="26" t="s">
        <v>462</v>
      </c>
      <c r="G11" s="28" t="s">
        <v>176</v>
      </c>
      <c r="H11" s="27" t="s">
        <v>480</v>
      </c>
      <c r="I11" s="27" t="s">
        <v>93</v>
      </c>
      <c r="J11" s="27"/>
      <c r="K11" s="28" t="s">
        <v>474</v>
      </c>
      <c r="L11" s="28" t="s">
        <v>481</v>
      </c>
      <c r="M11" s="27" t="s">
        <v>438</v>
      </c>
      <c r="N11" s="27"/>
      <c r="O11" s="28" t="s">
        <v>90</v>
      </c>
      <c r="P11" s="27" t="s">
        <v>114</v>
      </c>
      <c r="Q11" s="27" t="s">
        <v>114</v>
      </c>
      <c r="R11" s="27"/>
      <c r="S11" s="26" t="str">
        <f>"265,0"</f>
        <v>265,0</v>
      </c>
      <c r="T11" s="28" t="str">
        <f>"279,7605"</f>
        <v>279,7605</v>
      </c>
      <c r="U11" s="26" t="s">
        <v>43</v>
      </c>
    </row>
    <row r="12" spans="1:21">
      <c r="A12" s="26" t="s">
        <v>482</v>
      </c>
      <c r="B12" s="26" t="s">
        <v>483</v>
      </c>
      <c r="C12" s="26" t="s">
        <v>460</v>
      </c>
      <c r="D12" s="26" t="str">
        <f>"1,0611"</f>
        <v>1,0611</v>
      </c>
      <c r="E12" s="26" t="s">
        <v>461</v>
      </c>
      <c r="F12" s="26" t="s">
        <v>462</v>
      </c>
      <c r="G12" s="28" t="s">
        <v>195</v>
      </c>
      <c r="H12" s="28" t="s">
        <v>176</v>
      </c>
      <c r="I12" s="27" t="s">
        <v>98</v>
      </c>
      <c r="J12" s="27"/>
      <c r="K12" s="28" t="s">
        <v>454</v>
      </c>
      <c r="L12" s="28" t="s">
        <v>463</v>
      </c>
      <c r="M12" s="27" t="s">
        <v>464</v>
      </c>
      <c r="N12" s="27"/>
      <c r="O12" s="28" t="s">
        <v>465</v>
      </c>
      <c r="P12" s="28" t="s">
        <v>175</v>
      </c>
      <c r="Q12" s="28" t="s">
        <v>176</v>
      </c>
      <c r="R12" s="27"/>
      <c r="S12" s="26" t="str">
        <f>"215,0"</f>
        <v>215,0</v>
      </c>
      <c r="T12" s="28" t="str">
        <f>"228,1472"</f>
        <v>228,1472</v>
      </c>
      <c r="U12" s="26" t="s">
        <v>43</v>
      </c>
    </row>
    <row r="13" spans="1:21">
      <c r="A13" s="15" t="s">
        <v>484</v>
      </c>
      <c r="B13" s="15" t="s">
        <v>483</v>
      </c>
      <c r="C13" s="15" t="s">
        <v>468</v>
      </c>
      <c r="D13" s="15" t="str">
        <f>"1,0575"</f>
        <v>1,0575</v>
      </c>
      <c r="E13" s="15" t="s">
        <v>469</v>
      </c>
      <c r="F13" s="15" t="s">
        <v>470</v>
      </c>
      <c r="G13" s="16" t="s">
        <v>471</v>
      </c>
      <c r="H13" s="16" t="s">
        <v>454</v>
      </c>
      <c r="I13" s="17" t="s">
        <v>463</v>
      </c>
      <c r="J13" s="17"/>
      <c r="K13" s="17" t="s">
        <v>472</v>
      </c>
      <c r="L13" s="16" t="s">
        <v>472</v>
      </c>
      <c r="M13" s="17" t="s">
        <v>473</v>
      </c>
      <c r="N13" s="17"/>
      <c r="O13" s="16" t="s">
        <v>474</v>
      </c>
      <c r="P13" s="16" t="s">
        <v>438</v>
      </c>
      <c r="Q13" s="16" t="s">
        <v>475</v>
      </c>
      <c r="R13" s="17"/>
      <c r="S13" s="15" t="str">
        <f>"130,0"</f>
        <v>130,0</v>
      </c>
      <c r="T13" s="16" t="str">
        <f>"137,4750"</f>
        <v>137,4750</v>
      </c>
      <c r="U13" s="15" t="s">
        <v>43</v>
      </c>
    </row>
    <row r="15" spans="1:21" ht="15">
      <c r="A15" s="51" t="s">
        <v>485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1">
      <c r="A16" s="12" t="s">
        <v>487</v>
      </c>
      <c r="B16" s="12" t="s">
        <v>488</v>
      </c>
      <c r="C16" s="12" t="s">
        <v>489</v>
      </c>
      <c r="D16" s="12" t="str">
        <f>"0,9739"</f>
        <v>0,9739</v>
      </c>
      <c r="E16" s="12" t="s">
        <v>20</v>
      </c>
      <c r="F16" s="12" t="s">
        <v>21</v>
      </c>
      <c r="G16" s="13" t="s">
        <v>490</v>
      </c>
      <c r="H16" s="13" t="s">
        <v>305</v>
      </c>
      <c r="I16" s="13" t="s">
        <v>90</v>
      </c>
      <c r="J16" s="14"/>
      <c r="K16" s="13" t="s">
        <v>438</v>
      </c>
      <c r="L16" s="13" t="s">
        <v>491</v>
      </c>
      <c r="M16" s="14"/>
      <c r="N16" s="14"/>
      <c r="O16" s="13" t="s">
        <v>133</v>
      </c>
      <c r="P16" s="13" t="s">
        <v>115</v>
      </c>
      <c r="Q16" s="14" t="s">
        <v>186</v>
      </c>
      <c r="R16" s="14"/>
      <c r="S16" s="12" t="str">
        <f>"327,5"</f>
        <v>327,5</v>
      </c>
      <c r="T16" s="13" t="str">
        <f>"318,9523"</f>
        <v>318,9523</v>
      </c>
      <c r="U16" s="12" t="s">
        <v>492</v>
      </c>
    </row>
    <row r="17" spans="1:21">
      <c r="A17" s="15" t="s">
        <v>494</v>
      </c>
      <c r="B17" s="15" t="s">
        <v>495</v>
      </c>
      <c r="C17" s="15" t="s">
        <v>496</v>
      </c>
      <c r="D17" s="15" t="str">
        <f>"0,9864"</f>
        <v>0,9864</v>
      </c>
      <c r="E17" s="15" t="s">
        <v>461</v>
      </c>
      <c r="F17" s="15" t="s">
        <v>462</v>
      </c>
      <c r="G17" s="16" t="s">
        <v>175</v>
      </c>
      <c r="H17" s="16" t="s">
        <v>176</v>
      </c>
      <c r="I17" s="16" t="s">
        <v>98</v>
      </c>
      <c r="J17" s="17"/>
      <c r="K17" s="16" t="s">
        <v>463</v>
      </c>
      <c r="L17" s="17" t="s">
        <v>474</v>
      </c>
      <c r="M17" s="17" t="s">
        <v>474</v>
      </c>
      <c r="N17" s="17"/>
      <c r="O17" s="16" t="s">
        <v>336</v>
      </c>
      <c r="P17" s="16" t="s">
        <v>490</v>
      </c>
      <c r="Q17" s="17"/>
      <c r="R17" s="17"/>
      <c r="S17" s="15" t="str">
        <f>"250,0"</f>
        <v>250,0</v>
      </c>
      <c r="T17" s="16" t="str">
        <f>"246,6000"</f>
        <v>246,6000</v>
      </c>
      <c r="U17" s="15" t="s">
        <v>43</v>
      </c>
    </row>
    <row r="19" spans="1:21" ht="15">
      <c r="A19" s="51" t="s">
        <v>497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spans="1:21">
      <c r="A20" s="8" t="s">
        <v>499</v>
      </c>
      <c r="B20" s="8" t="s">
        <v>188</v>
      </c>
      <c r="C20" s="8" t="s">
        <v>500</v>
      </c>
      <c r="D20" s="8" t="str">
        <f>"0,9256"</f>
        <v>0,9256</v>
      </c>
      <c r="E20" s="8" t="s">
        <v>461</v>
      </c>
      <c r="F20" s="8" t="s">
        <v>462</v>
      </c>
      <c r="G20" s="9" t="s">
        <v>175</v>
      </c>
      <c r="H20" s="9" t="s">
        <v>98</v>
      </c>
      <c r="I20" s="10" t="s">
        <v>480</v>
      </c>
      <c r="J20" s="10"/>
      <c r="K20" s="9" t="s">
        <v>463</v>
      </c>
      <c r="L20" s="9" t="s">
        <v>474</v>
      </c>
      <c r="M20" s="10" t="s">
        <v>481</v>
      </c>
      <c r="N20" s="10"/>
      <c r="O20" s="9" t="s">
        <v>133</v>
      </c>
      <c r="P20" s="9" t="s">
        <v>115</v>
      </c>
      <c r="Q20" s="9" t="s">
        <v>186</v>
      </c>
      <c r="R20" s="10"/>
      <c r="S20" s="8" t="str">
        <f>"285,0"</f>
        <v>285,0</v>
      </c>
      <c r="T20" s="9" t="str">
        <f>"263,7960"</f>
        <v>263,7960</v>
      </c>
      <c r="U20" s="8" t="s">
        <v>43</v>
      </c>
    </row>
    <row r="22" spans="1:21" ht="15">
      <c r="A22" s="51" t="s">
        <v>416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1:21">
      <c r="A23" s="12" t="s">
        <v>502</v>
      </c>
      <c r="B23" s="12" t="s">
        <v>503</v>
      </c>
      <c r="C23" s="12" t="s">
        <v>504</v>
      </c>
      <c r="D23" s="12" t="str">
        <f>"0,8807"</f>
        <v>0,8807</v>
      </c>
      <c r="E23" s="12" t="s">
        <v>461</v>
      </c>
      <c r="F23" s="12" t="s">
        <v>462</v>
      </c>
      <c r="G23" s="13" t="s">
        <v>98</v>
      </c>
      <c r="H23" s="13" t="s">
        <v>93</v>
      </c>
      <c r="I23" s="14" t="s">
        <v>443</v>
      </c>
      <c r="J23" s="14"/>
      <c r="K23" s="13" t="s">
        <v>464</v>
      </c>
      <c r="L23" s="13" t="s">
        <v>505</v>
      </c>
      <c r="M23" s="14" t="s">
        <v>506</v>
      </c>
      <c r="N23" s="14"/>
      <c r="O23" s="13" t="s">
        <v>115</v>
      </c>
      <c r="P23" s="13" t="s">
        <v>25</v>
      </c>
      <c r="Q23" s="14"/>
      <c r="R23" s="14"/>
      <c r="S23" s="12" t="str">
        <f>"307,5"</f>
        <v>307,5</v>
      </c>
      <c r="T23" s="13" t="str">
        <f>"270,8152"</f>
        <v>270,8152</v>
      </c>
      <c r="U23" s="12" t="s">
        <v>43</v>
      </c>
    </row>
    <row r="24" spans="1:21">
      <c r="A24" s="26" t="s">
        <v>508</v>
      </c>
      <c r="B24" s="26" t="s">
        <v>509</v>
      </c>
      <c r="C24" s="26" t="s">
        <v>504</v>
      </c>
      <c r="D24" s="26" t="str">
        <f>"0,8807"</f>
        <v>0,8807</v>
      </c>
      <c r="E24" s="26" t="s">
        <v>37</v>
      </c>
      <c r="F24" s="26" t="s">
        <v>21</v>
      </c>
      <c r="G24" s="28" t="s">
        <v>175</v>
      </c>
      <c r="H24" s="27" t="s">
        <v>98</v>
      </c>
      <c r="I24" s="28" t="s">
        <v>480</v>
      </c>
      <c r="J24" s="27"/>
      <c r="K24" s="28" t="s">
        <v>464</v>
      </c>
      <c r="L24" s="27" t="s">
        <v>438</v>
      </c>
      <c r="M24" s="27" t="s">
        <v>438</v>
      </c>
      <c r="N24" s="27"/>
      <c r="O24" s="28" t="s">
        <v>305</v>
      </c>
      <c r="P24" s="27" t="s">
        <v>133</v>
      </c>
      <c r="Q24" s="27" t="s">
        <v>133</v>
      </c>
      <c r="R24" s="27"/>
      <c r="S24" s="26" t="str">
        <f>"262,5"</f>
        <v>262,5</v>
      </c>
      <c r="T24" s="28" t="str">
        <f>"231,1837"</f>
        <v>231,1837</v>
      </c>
      <c r="U24" s="26" t="s">
        <v>43</v>
      </c>
    </row>
    <row r="25" spans="1:21">
      <c r="A25" s="15" t="s">
        <v>511</v>
      </c>
      <c r="B25" s="15" t="s">
        <v>512</v>
      </c>
      <c r="C25" s="15" t="s">
        <v>513</v>
      </c>
      <c r="D25" s="15" t="str">
        <f>"0,8960"</f>
        <v>0,8960</v>
      </c>
      <c r="E25" s="15" t="s">
        <v>461</v>
      </c>
      <c r="F25" s="15" t="s">
        <v>462</v>
      </c>
      <c r="G25" s="16" t="s">
        <v>465</v>
      </c>
      <c r="H25" s="16" t="s">
        <v>175</v>
      </c>
      <c r="I25" s="17" t="s">
        <v>176</v>
      </c>
      <c r="J25" s="17"/>
      <c r="K25" s="16" t="s">
        <v>454</v>
      </c>
      <c r="L25" s="16" t="s">
        <v>463</v>
      </c>
      <c r="M25" s="17" t="s">
        <v>464</v>
      </c>
      <c r="N25" s="17"/>
      <c r="O25" s="16" t="s">
        <v>93</v>
      </c>
      <c r="P25" s="16" t="s">
        <v>199</v>
      </c>
      <c r="Q25" s="16" t="s">
        <v>421</v>
      </c>
      <c r="R25" s="17"/>
      <c r="S25" s="15" t="str">
        <f>"237,5"</f>
        <v>237,5</v>
      </c>
      <c r="T25" s="16" t="str">
        <f>"212,8119"</f>
        <v>212,8119</v>
      </c>
      <c r="U25" s="15" t="s">
        <v>43</v>
      </c>
    </row>
    <row r="27" spans="1:21" ht="15">
      <c r="A27" s="51" t="s">
        <v>15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1:21">
      <c r="A28" s="8" t="s">
        <v>515</v>
      </c>
      <c r="B28" s="8" t="s">
        <v>516</v>
      </c>
      <c r="C28" s="8" t="s">
        <v>517</v>
      </c>
      <c r="D28" s="8" t="str">
        <f>"0,7995"</f>
        <v>0,7995</v>
      </c>
      <c r="E28" s="8" t="s">
        <v>469</v>
      </c>
      <c r="F28" s="8" t="s">
        <v>470</v>
      </c>
      <c r="G28" s="10" t="s">
        <v>518</v>
      </c>
      <c r="H28" s="9" t="s">
        <v>90</v>
      </c>
      <c r="I28" s="9" t="s">
        <v>133</v>
      </c>
      <c r="J28" s="10"/>
      <c r="K28" s="9" t="s">
        <v>475</v>
      </c>
      <c r="L28" s="9" t="s">
        <v>465</v>
      </c>
      <c r="M28" s="10" t="s">
        <v>195</v>
      </c>
      <c r="N28" s="10"/>
      <c r="O28" s="9" t="s">
        <v>518</v>
      </c>
      <c r="P28" s="9" t="s">
        <v>519</v>
      </c>
      <c r="Q28" s="9" t="s">
        <v>134</v>
      </c>
      <c r="R28" s="10"/>
      <c r="S28" s="8" t="str">
        <f>"337,5"</f>
        <v>337,5</v>
      </c>
      <c r="T28" s="9" t="str">
        <f>"269,8312"</f>
        <v>269,8312</v>
      </c>
      <c r="U28" s="8" t="s">
        <v>43</v>
      </c>
    </row>
    <row r="30" spans="1:21" ht="15">
      <c r="A30" s="51" t="s">
        <v>102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1">
      <c r="A31" s="8" t="s">
        <v>520</v>
      </c>
      <c r="B31" s="8" t="s">
        <v>521</v>
      </c>
      <c r="C31" s="8" t="s">
        <v>522</v>
      </c>
      <c r="D31" s="8" t="str">
        <f>"0,7486"</f>
        <v>0,7486</v>
      </c>
      <c r="E31" s="8" t="s">
        <v>107</v>
      </c>
      <c r="F31" s="8" t="s">
        <v>108</v>
      </c>
      <c r="G31" s="10" t="s">
        <v>523</v>
      </c>
      <c r="H31" s="9" t="s">
        <v>524</v>
      </c>
      <c r="I31" s="9" t="s">
        <v>336</v>
      </c>
      <c r="J31" s="10"/>
      <c r="K31" s="10" t="s">
        <v>491</v>
      </c>
      <c r="L31" s="10" t="s">
        <v>491</v>
      </c>
      <c r="M31" s="10" t="s">
        <v>491</v>
      </c>
      <c r="N31" s="10"/>
      <c r="O31" s="10" t="s">
        <v>115</v>
      </c>
      <c r="P31" s="10"/>
      <c r="Q31" s="10"/>
      <c r="R31" s="10"/>
      <c r="S31" s="8" t="str">
        <f>"0,0"</f>
        <v>0,0</v>
      </c>
      <c r="T31" s="9" t="str">
        <f>"0,0000"</f>
        <v>0,0000</v>
      </c>
      <c r="U31" s="8" t="s">
        <v>43</v>
      </c>
    </row>
    <row r="33" spans="1:21" ht="15">
      <c r="A33" s="51" t="s">
        <v>485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</row>
    <row r="34" spans="1:21">
      <c r="A34" s="8" t="s">
        <v>526</v>
      </c>
      <c r="B34" s="8" t="s">
        <v>527</v>
      </c>
      <c r="C34" s="8" t="s">
        <v>528</v>
      </c>
      <c r="D34" s="8" t="str">
        <f>"1,0469"</f>
        <v>1,0469</v>
      </c>
      <c r="E34" s="8" t="s">
        <v>20</v>
      </c>
      <c r="F34" s="8" t="s">
        <v>21</v>
      </c>
      <c r="G34" s="9" t="s">
        <v>463</v>
      </c>
      <c r="H34" s="9" t="s">
        <v>474</v>
      </c>
      <c r="I34" s="9" t="s">
        <v>505</v>
      </c>
      <c r="J34" s="10"/>
      <c r="K34" s="9" t="s">
        <v>472</v>
      </c>
      <c r="L34" s="9" t="s">
        <v>471</v>
      </c>
      <c r="M34" s="9" t="s">
        <v>452</v>
      </c>
      <c r="N34" s="10"/>
      <c r="O34" s="9" t="s">
        <v>481</v>
      </c>
      <c r="P34" s="9" t="s">
        <v>491</v>
      </c>
      <c r="Q34" s="9" t="s">
        <v>465</v>
      </c>
      <c r="R34" s="10"/>
      <c r="S34" s="8" t="str">
        <f>"157,5"</f>
        <v>157,5</v>
      </c>
      <c r="T34" s="9" t="str">
        <f>"166,5356"</f>
        <v>166,5356</v>
      </c>
      <c r="U34" s="8" t="s">
        <v>43</v>
      </c>
    </row>
    <row r="36" spans="1:21" ht="15">
      <c r="A36" s="51" t="s">
        <v>416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1:21">
      <c r="A37" s="12" t="s">
        <v>530</v>
      </c>
      <c r="B37" s="12" t="s">
        <v>531</v>
      </c>
      <c r="C37" s="12" t="s">
        <v>532</v>
      </c>
      <c r="D37" s="12" t="str">
        <f>"0,8406"</f>
        <v>0,8406</v>
      </c>
      <c r="E37" s="12" t="s">
        <v>469</v>
      </c>
      <c r="F37" s="12" t="s">
        <v>470</v>
      </c>
      <c r="G37" s="13" t="s">
        <v>175</v>
      </c>
      <c r="H37" s="14" t="s">
        <v>480</v>
      </c>
      <c r="I37" s="13" t="s">
        <v>480</v>
      </c>
      <c r="J37" s="14"/>
      <c r="K37" s="13" t="s">
        <v>474</v>
      </c>
      <c r="L37" s="13" t="s">
        <v>506</v>
      </c>
      <c r="M37" s="13" t="s">
        <v>475</v>
      </c>
      <c r="N37" s="14"/>
      <c r="O37" s="13" t="s">
        <v>133</v>
      </c>
      <c r="P37" s="13" t="s">
        <v>39</v>
      </c>
      <c r="Q37" s="14" t="s">
        <v>40</v>
      </c>
      <c r="R37" s="14"/>
      <c r="S37" s="12" t="str">
        <f>"310,0"</f>
        <v>310,0</v>
      </c>
      <c r="T37" s="13" t="str">
        <f>"294,4622"</f>
        <v>294,4622</v>
      </c>
      <c r="U37" s="12" t="s">
        <v>533</v>
      </c>
    </row>
    <row r="38" spans="1:21">
      <c r="A38" s="15" t="s">
        <v>530</v>
      </c>
      <c r="B38" s="15" t="s">
        <v>534</v>
      </c>
      <c r="C38" s="15" t="s">
        <v>532</v>
      </c>
      <c r="D38" s="15" t="str">
        <f>"0,8406"</f>
        <v>0,8406</v>
      </c>
      <c r="E38" s="15" t="s">
        <v>469</v>
      </c>
      <c r="F38" s="15" t="s">
        <v>470</v>
      </c>
      <c r="G38" s="16" t="s">
        <v>175</v>
      </c>
      <c r="H38" s="17" t="s">
        <v>480</v>
      </c>
      <c r="I38" s="16" t="s">
        <v>480</v>
      </c>
      <c r="J38" s="17"/>
      <c r="K38" s="16" t="s">
        <v>474</v>
      </c>
      <c r="L38" s="16" t="s">
        <v>506</v>
      </c>
      <c r="M38" s="16" t="s">
        <v>475</v>
      </c>
      <c r="N38" s="17"/>
      <c r="O38" s="16" t="s">
        <v>133</v>
      </c>
      <c r="P38" s="16" t="s">
        <v>39</v>
      </c>
      <c r="Q38" s="17" t="s">
        <v>40</v>
      </c>
      <c r="R38" s="17"/>
      <c r="S38" s="15" t="str">
        <f>"310,0"</f>
        <v>310,0</v>
      </c>
      <c r="T38" s="16" t="str">
        <f>"260,5860"</f>
        <v>260,5860</v>
      </c>
      <c r="U38" s="15" t="s">
        <v>533</v>
      </c>
    </row>
    <row r="40" spans="1:21" ht="15">
      <c r="A40" s="51" t="s">
        <v>15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1:21">
      <c r="A41" s="8" t="s">
        <v>536</v>
      </c>
      <c r="B41" s="8" t="s">
        <v>537</v>
      </c>
      <c r="C41" s="8" t="s">
        <v>538</v>
      </c>
      <c r="D41" s="8" t="str">
        <f>"0,7940"</f>
        <v>0,7940</v>
      </c>
      <c r="E41" s="8" t="s">
        <v>539</v>
      </c>
      <c r="F41" s="8" t="s">
        <v>470</v>
      </c>
      <c r="G41" s="9" t="s">
        <v>176</v>
      </c>
      <c r="H41" s="9" t="s">
        <v>480</v>
      </c>
      <c r="I41" s="10" t="s">
        <v>336</v>
      </c>
      <c r="J41" s="10"/>
      <c r="K41" s="9" t="s">
        <v>195</v>
      </c>
      <c r="L41" s="9" t="s">
        <v>176</v>
      </c>
      <c r="M41" s="10" t="s">
        <v>540</v>
      </c>
      <c r="N41" s="10"/>
      <c r="O41" s="9" t="s">
        <v>27</v>
      </c>
      <c r="P41" s="9" t="s">
        <v>306</v>
      </c>
      <c r="Q41" s="9" t="s">
        <v>54</v>
      </c>
      <c r="R41" s="10"/>
      <c r="S41" s="8" t="str">
        <f>"360,0"</f>
        <v>360,0</v>
      </c>
      <c r="T41" s="9" t="str">
        <f>"294,4152"</f>
        <v>294,4152</v>
      </c>
      <c r="U41" s="8" t="s">
        <v>43</v>
      </c>
    </row>
    <row r="43" spans="1:21" ht="15">
      <c r="A43" s="51" t="s">
        <v>102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1:21">
      <c r="A44" s="12" t="s">
        <v>542</v>
      </c>
      <c r="B44" s="12" t="s">
        <v>543</v>
      </c>
      <c r="C44" s="12" t="s">
        <v>544</v>
      </c>
      <c r="D44" s="12" t="str">
        <f>"0,7083"</f>
        <v>0,7083</v>
      </c>
      <c r="E44" s="12" t="s">
        <v>461</v>
      </c>
      <c r="F44" s="12" t="s">
        <v>462</v>
      </c>
      <c r="G44" s="13" t="s">
        <v>114</v>
      </c>
      <c r="H44" s="13" t="s">
        <v>186</v>
      </c>
      <c r="I44" s="14" t="s">
        <v>39</v>
      </c>
      <c r="J44" s="14"/>
      <c r="K44" s="13" t="s">
        <v>480</v>
      </c>
      <c r="L44" s="13" t="s">
        <v>524</v>
      </c>
      <c r="M44" s="14" t="s">
        <v>443</v>
      </c>
      <c r="N44" s="14"/>
      <c r="O44" s="13" t="s">
        <v>39</v>
      </c>
      <c r="P44" s="13" t="s">
        <v>40</v>
      </c>
      <c r="Q44" s="14" t="s">
        <v>53</v>
      </c>
      <c r="R44" s="14"/>
      <c r="S44" s="12" t="str">
        <f>"407,5"</f>
        <v>407,5</v>
      </c>
      <c r="T44" s="13" t="str">
        <f>"326,1544"</f>
        <v>326,1544</v>
      </c>
      <c r="U44" s="12" t="s">
        <v>43</v>
      </c>
    </row>
    <row r="45" spans="1:21">
      <c r="A45" s="26" t="s">
        <v>546</v>
      </c>
      <c r="B45" s="26" t="s">
        <v>547</v>
      </c>
      <c r="C45" s="26" t="s">
        <v>548</v>
      </c>
      <c r="D45" s="26" t="str">
        <f>"0,6843"</f>
        <v>0,6843</v>
      </c>
      <c r="E45" s="26" t="s">
        <v>353</v>
      </c>
      <c r="F45" s="26" t="s">
        <v>470</v>
      </c>
      <c r="G45" s="28" t="s">
        <v>98</v>
      </c>
      <c r="H45" s="28" t="s">
        <v>199</v>
      </c>
      <c r="I45" s="27" t="s">
        <v>90</v>
      </c>
      <c r="J45" s="27"/>
      <c r="K45" s="28" t="s">
        <v>475</v>
      </c>
      <c r="L45" s="28" t="s">
        <v>450</v>
      </c>
      <c r="M45" s="28" t="s">
        <v>175</v>
      </c>
      <c r="N45" s="27"/>
      <c r="O45" s="28" t="s">
        <v>133</v>
      </c>
      <c r="P45" s="28" t="s">
        <v>115</v>
      </c>
      <c r="Q45" s="28" t="s">
        <v>40</v>
      </c>
      <c r="R45" s="27"/>
      <c r="S45" s="26" t="str">
        <f>"350,0"</f>
        <v>350,0</v>
      </c>
      <c r="T45" s="28" t="str">
        <f>"253,8753"</f>
        <v>253,8753</v>
      </c>
      <c r="U45" s="26" t="s">
        <v>43</v>
      </c>
    </row>
    <row r="46" spans="1:21">
      <c r="A46" s="26" t="s">
        <v>550</v>
      </c>
      <c r="B46" s="26" t="s">
        <v>551</v>
      </c>
      <c r="C46" s="26" t="s">
        <v>119</v>
      </c>
      <c r="D46" s="26" t="str">
        <f>"0,6828"</f>
        <v>0,6828</v>
      </c>
      <c r="E46" s="26" t="s">
        <v>469</v>
      </c>
      <c r="F46" s="26" t="s">
        <v>470</v>
      </c>
      <c r="G46" s="28" t="s">
        <v>195</v>
      </c>
      <c r="H46" s="28" t="s">
        <v>176</v>
      </c>
      <c r="I46" s="27" t="s">
        <v>93</v>
      </c>
      <c r="J46" s="27"/>
      <c r="K46" s="28" t="s">
        <v>474</v>
      </c>
      <c r="L46" s="28" t="s">
        <v>506</v>
      </c>
      <c r="M46" s="28" t="s">
        <v>475</v>
      </c>
      <c r="N46" s="27"/>
      <c r="O46" s="28" t="s">
        <v>199</v>
      </c>
      <c r="P46" s="28" t="s">
        <v>133</v>
      </c>
      <c r="Q46" s="28" t="s">
        <v>115</v>
      </c>
      <c r="R46" s="27"/>
      <c r="S46" s="26" t="str">
        <f>"290,0"</f>
        <v>290,0</v>
      </c>
      <c r="T46" s="28" t="str">
        <f>"209,8927"</f>
        <v>209,8927</v>
      </c>
      <c r="U46" s="26" t="s">
        <v>43</v>
      </c>
    </row>
    <row r="47" spans="1:21">
      <c r="A47" s="26" t="s">
        <v>553</v>
      </c>
      <c r="B47" s="26" t="s">
        <v>554</v>
      </c>
      <c r="C47" s="26" t="s">
        <v>555</v>
      </c>
      <c r="D47" s="26" t="str">
        <f>"0,6805"</f>
        <v>0,6805</v>
      </c>
      <c r="E47" s="26" t="s">
        <v>556</v>
      </c>
      <c r="F47" s="26" t="s">
        <v>71</v>
      </c>
      <c r="G47" s="28" t="s">
        <v>53</v>
      </c>
      <c r="H47" s="28" t="s">
        <v>54</v>
      </c>
      <c r="I47" s="27" t="s">
        <v>157</v>
      </c>
      <c r="J47" s="27"/>
      <c r="K47" s="28" t="s">
        <v>133</v>
      </c>
      <c r="L47" s="27" t="s">
        <v>114</v>
      </c>
      <c r="M47" s="28" t="s">
        <v>114</v>
      </c>
      <c r="N47" s="27"/>
      <c r="O47" s="28" t="s">
        <v>63</v>
      </c>
      <c r="P47" s="27" t="s">
        <v>146</v>
      </c>
      <c r="Q47" s="27" t="s">
        <v>146</v>
      </c>
      <c r="R47" s="27"/>
      <c r="S47" s="26" t="str">
        <f>"525,0"</f>
        <v>525,0</v>
      </c>
      <c r="T47" s="28" t="str">
        <f>"357,2625"</f>
        <v>357,2625</v>
      </c>
      <c r="U47" s="26" t="s">
        <v>557</v>
      </c>
    </row>
    <row r="48" spans="1:21">
      <c r="A48" s="26" t="s">
        <v>559</v>
      </c>
      <c r="B48" s="26" t="s">
        <v>560</v>
      </c>
      <c r="C48" s="26" t="s">
        <v>119</v>
      </c>
      <c r="D48" s="26" t="str">
        <f>"0,6828"</f>
        <v>0,6828</v>
      </c>
      <c r="E48" s="26" t="s">
        <v>561</v>
      </c>
      <c r="F48" s="26" t="s">
        <v>562</v>
      </c>
      <c r="G48" s="27" t="s">
        <v>40</v>
      </c>
      <c r="H48" s="28" t="s">
        <v>40</v>
      </c>
      <c r="I48" s="28" t="s">
        <v>27</v>
      </c>
      <c r="J48" s="27"/>
      <c r="K48" s="28" t="s">
        <v>199</v>
      </c>
      <c r="L48" s="27" t="s">
        <v>490</v>
      </c>
      <c r="M48" s="27" t="s">
        <v>490</v>
      </c>
      <c r="N48" s="27"/>
      <c r="O48" s="28" t="s">
        <v>23</v>
      </c>
      <c r="P48" s="28" t="s">
        <v>51</v>
      </c>
      <c r="Q48" s="27" t="s">
        <v>42</v>
      </c>
      <c r="R48" s="27"/>
      <c r="S48" s="26" t="str">
        <f>"505,0"</f>
        <v>505,0</v>
      </c>
      <c r="T48" s="28" t="str">
        <f>"344,8140"</f>
        <v>344,8140</v>
      </c>
      <c r="U48" s="26" t="s">
        <v>43</v>
      </c>
    </row>
    <row r="49" spans="1:21">
      <c r="A49" s="26" t="s">
        <v>564</v>
      </c>
      <c r="B49" s="26" t="s">
        <v>565</v>
      </c>
      <c r="C49" s="26" t="s">
        <v>566</v>
      </c>
      <c r="D49" s="26" t="str">
        <f>"0,6708"</f>
        <v>0,6708</v>
      </c>
      <c r="E49" s="26" t="s">
        <v>567</v>
      </c>
      <c r="F49" s="26" t="s">
        <v>568</v>
      </c>
      <c r="G49" s="28" t="s">
        <v>186</v>
      </c>
      <c r="H49" s="28" t="s">
        <v>569</v>
      </c>
      <c r="I49" s="28" t="s">
        <v>337</v>
      </c>
      <c r="J49" s="27"/>
      <c r="K49" s="27" t="s">
        <v>336</v>
      </c>
      <c r="L49" s="28" t="s">
        <v>421</v>
      </c>
      <c r="M49" s="27" t="s">
        <v>305</v>
      </c>
      <c r="N49" s="27"/>
      <c r="O49" s="28" t="s">
        <v>54</v>
      </c>
      <c r="P49" s="27" t="s">
        <v>158</v>
      </c>
      <c r="Q49" s="28" t="s">
        <v>38</v>
      </c>
      <c r="R49" s="27"/>
      <c r="S49" s="26" t="str">
        <f>"470,0"</f>
        <v>470,0</v>
      </c>
      <c r="T49" s="28" t="str">
        <f>"315,2760"</f>
        <v>315,2760</v>
      </c>
      <c r="U49" s="26" t="s">
        <v>43</v>
      </c>
    </row>
    <row r="50" spans="1:21">
      <c r="A50" s="26" t="s">
        <v>571</v>
      </c>
      <c r="B50" s="26" t="s">
        <v>572</v>
      </c>
      <c r="C50" s="26" t="s">
        <v>573</v>
      </c>
      <c r="D50" s="26" t="str">
        <f>"0,6859"</f>
        <v>0,6859</v>
      </c>
      <c r="E50" s="26" t="s">
        <v>37</v>
      </c>
      <c r="F50" s="26" t="s">
        <v>121</v>
      </c>
      <c r="G50" s="27" t="s">
        <v>133</v>
      </c>
      <c r="H50" s="28" t="s">
        <v>133</v>
      </c>
      <c r="I50" s="27" t="s">
        <v>115</v>
      </c>
      <c r="J50" s="27"/>
      <c r="K50" s="28" t="s">
        <v>199</v>
      </c>
      <c r="L50" s="28" t="s">
        <v>305</v>
      </c>
      <c r="M50" s="27" t="s">
        <v>133</v>
      </c>
      <c r="N50" s="27"/>
      <c r="O50" s="28" t="s">
        <v>158</v>
      </c>
      <c r="P50" s="28" t="s">
        <v>22</v>
      </c>
      <c r="Q50" s="28" t="s">
        <v>23</v>
      </c>
      <c r="R50" s="27"/>
      <c r="S50" s="26" t="str">
        <f>"465,0"</f>
        <v>465,0</v>
      </c>
      <c r="T50" s="28" t="str">
        <f>"318,9435"</f>
        <v>318,9435</v>
      </c>
      <c r="U50" s="26" t="s">
        <v>43</v>
      </c>
    </row>
    <row r="51" spans="1:21">
      <c r="A51" s="26" t="s">
        <v>574</v>
      </c>
      <c r="B51" s="26" t="s">
        <v>575</v>
      </c>
      <c r="C51" s="26" t="s">
        <v>544</v>
      </c>
      <c r="D51" s="26" t="str">
        <f>"0,7083"</f>
        <v>0,7083</v>
      </c>
      <c r="E51" s="26" t="s">
        <v>461</v>
      </c>
      <c r="F51" s="26" t="s">
        <v>462</v>
      </c>
      <c r="G51" s="28" t="s">
        <v>114</v>
      </c>
      <c r="H51" s="28" t="s">
        <v>186</v>
      </c>
      <c r="I51" s="27" t="s">
        <v>39</v>
      </c>
      <c r="J51" s="27"/>
      <c r="K51" s="28" t="s">
        <v>480</v>
      </c>
      <c r="L51" s="28" t="s">
        <v>524</v>
      </c>
      <c r="M51" s="27" t="s">
        <v>443</v>
      </c>
      <c r="N51" s="27"/>
      <c r="O51" s="28" t="s">
        <v>39</v>
      </c>
      <c r="P51" s="28" t="s">
        <v>40</v>
      </c>
      <c r="Q51" s="27" t="s">
        <v>53</v>
      </c>
      <c r="R51" s="27"/>
      <c r="S51" s="26" t="str">
        <f>"407,5"</f>
        <v>407,5</v>
      </c>
      <c r="T51" s="28" t="str">
        <f>"288,6322"</f>
        <v>288,6322</v>
      </c>
      <c r="U51" s="26" t="s">
        <v>43</v>
      </c>
    </row>
    <row r="52" spans="1:21">
      <c r="A52" s="26" t="s">
        <v>576</v>
      </c>
      <c r="B52" s="26" t="s">
        <v>577</v>
      </c>
      <c r="C52" s="26" t="s">
        <v>548</v>
      </c>
      <c r="D52" s="26" t="str">
        <f>"0,6843"</f>
        <v>0,6843</v>
      </c>
      <c r="E52" s="15" t="s">
        <v>469</v>
      </c>
      <c r="F52" s="26" t="s">
        <v>470</v>
      </c>
      <c r="G52" s="28" t="s">
        <v>98</v>
      </c>
      <c r="H52" s="28" t="s">
        <v>199</v>
      </c>
      <c r="I52" s="27" t="s">
        <v>90</v>
      </c>
      <c r="J52" s="27"/>
      <c r="K52" s="28" t="s">
        <v>475</v>
      </c>
      <c r="L52" s="28" t="s">
        <v>450</v>
      </c>
      <c r="M52" s="28" t="s">
        <v>175</v>
      </c>
      <c r="N52" s="27"/>
      <c r="O52" s="28" t="s">
        <v>133</v>
      </c>
      <c r="P52" s="28" t="s">
        <v>115</v>
      </c>
      <c r="Q52" s="28" t="s">
        <v>40</v>
      </c>
      <c r="R52" s="27"/>
      <c r="S52" s="26" t="str">
        <f>"350,0"</f>
        <v>350,0</v>
      </c>
      <c r="T52" s="28" t="str">
        <f>"239,5050"</f>
        <v>239,5050</v>
      </c>
      <c r="U52" s="26" t="s">
        <v>43</v>
      </c>
    </row>
    <row r="53" spans="1:21">
      <c r="A53" s="15" t="s">
        <v>578</v>
      </c>
      <c r="B53" s="15" t="s">
        <v>579</v>
      </c>
      <c r="C53" s="15" t="s">
        <v>119</v>
      </c>
      <c r="D53" s="15" t="str">
        <f>"0,6828"</f>
        <v>0,6828</v>
      </c>
      <c r="E53" s="15" t="s">
        <v>469</v>
      </c>
      <c r="F53" s="15" t="s">
        <v>470</v>
      </c>
      <c r="G53" s="16" t="s">
        <v>195</v>
      </c>
      <c r="H53" s="16" t="s">
        <v>176</v>
      </c>
      <c r="I53" s="17" t="s">
        <v>93</v>
      </c>
      <c r="J53" s="17"/>
      <c r="K53" s="16" t="s">
        <v>474</v>
      </c>
      <c r="L53" s="16" t="s">
        <v>506</v>
      </c>
      <c r="M53" s="16" t="s">
        <v>475</v>
      </c>
      <c r="N53" s="17"/>
      <c r="O53" s="16" t="s">
        <v>199</v>
      </c>
      <c r="P53" s="16" t="s">
        <v>133</v>
      </c>
      <c r="Q53" s="16" t="s">
        <v>115</v>
      </c>
      <c r="R53" s="17"/>
      <c r="S53" s="15" t="str">
        <f>"290,0"</f>
        <v>290,0</v>
      </c>
      <c r="T53" s="16" t="str">
        <f>"198,0120"</f>
        <v>198,0120</v>
      </c>
      <c r="U53" s="15" t="s">
        <v>43</v>
      </c>
    </row>
    <row r="55" spans="1:21" ht="15">
      <c r="A55" s="51" t="s">
        <v>122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</row>
    <row r="56" spans="1:21">
      <c r="A56" s="8" t="s">
        <v>581</v>
      </c>
      <c r="B56" s="8" t="s">
        <v>582</v>
      </c>
      <c r="C56" s="8" t="s">
        <v>583</v>
      </c>
      <c r="D56" s="8" t="str">
        <f>"0,6394"</f>
        <v>0,6394</v>
      </c>
      <c r="E56" s="8" t="s">
        <v>37</v>
      </c>
      <c r="F56" s="8" t="s">
        <v>584</v>
      </c>
      <c r="G56" s="9" t="s">
        <v>39</v>
      </c>
      <c r="H56" s="9" t="s">
        <v>53</v>
      </c>
      <c r="I56" s="9" t="s">
        <v>306</v>
      </c>
      <c r="J56" s="10"/>
      <c r="K56" s="10" t="s">
        <v>305</v>
      </c>
      <c r="L56" s="9" t="s">
        <v>90</v>
      </c>
      <c r="M56" s="9" t="s">
        <v>519</v>
      </c>
      <c r="N56" s="10"/>
      <c r="O56" s="9" t="s">
        <v>51</v>
      </c>
      <c r="P56" s="9" t="s">
        <v>585</v>
      </c>
      <c r="Q56" s="9" t="s">
        <v>390</v>
      </c>
      <c r="R56" s="10"/>
      <c r="S56" s="8" t="str">
        <f>"560,0"</f>
        <v>560,0</v>
      </c>
      <c r="T56" s="9" t="str">
        <f>"358,0640"</f>
        <v>358,0640</v>
      </c>
      <c r="U56" s="8" t="s">
        <v>43</v>
      </c>
    </row>
    <row r="58" spans="1:21" ht="15">
      <c r="A58" s="51" t="s">
        <v>32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</row>
    <row r="59" spans="1:21">
      <c r="A59" s="12" t="s">
        <v>587</v>
      </c>
      <c r="B59" s="12" t="s">
        <v>588</v>
      </c>
      <c r="C59" s="12" t="s">
        <v>589</v>
      </c>
      <c r="D59" s="12" t="str">
        <f>"0,6167"</f>
        <v>0,6167</v>
      </c>
      <c r="E59" s="12" t="s">
        <v>391</v>
      </c>
      <c r="F59" s="12" t="s">
        <v>21</v>
      </c>
      <c r="G59" s="13" t="s">
        <v>199</v>
      </c>
      <c r="H59" s="13" t="s">
        <v>90</v>
      </c>
      <c r="I59" s="13" t="s">
        <v>114</v>
      </c>
      <c r="J59" s="14"/>
      <c r="K59" s="13" t="s">
        <v>195</v>
      </c>
      <c r="L59" s="13" t="s">
        <v>204</v>
      </c>
      <c r="M59" s="14" t="s">
        <v>98</v>
      </c>
      <c r="N59" s="14"/>
      <c r="O59" s="13" t="s">
        <v>39</v>
      </c>
      <c r="P59" s="13" t="s">
        <v>26</v>
      </c>
      <c r="Q59" s="13" t="s">
        <v>53</v>
      </c>
      <c r="R59" s="14"/>
      <c r="S59" s="12" t="str">
        <f>"387,5"</f>
        <v>387,5</v>
      </c>
      <c r="T59" s="13" t="str">
        <f>"293,9346"</f>
        <v>293,9346</v>
      </c>
      <c r="U59" s="12" t="s">
        <v>43</v>
      </c>
    </row>
    <row r="60" spans="1:21">
      <c r="A60" s="26" t="s">
        <v>591</v>
      </c>
      <c r="B60" s="26" t="s">
        <v>592</v>
      </c>
      <c r="C60" s="26" t="s">
        <v>593</v>
      </c>
      <c r="D60" s="26" t="str">
        <f>"0,5853"</f>
        <v>0,5853</v>
      </c>
      <c r="E60" s="26" t="s">
        <v>539</v>
      </c>
      <c r="F60" s="26" t="s">
        <v>470</v>
      </c>
      <c r="G60" s="28" t="s">
        <v>157</v>
      </c>
      <c r="H60" s="28" t="s">
        <v>38</v>
      </c>
      <c r="I60" s="27" t="s">
        <v>22</v>
      </c>
      <c r="J60" s="27"/>
      <c r="K60" s="28" t="s">
        <v>114</v>
      </c>
      <c r="L60" s="28" t="s">
        <v>594</v>
      </c>
      <c r="M60" s="27" t="s">
        <v>186</v>
      </c>
      <c r="N60" s="27"/>
      <c r="O60" s="28" t="s">
        <v>28</v>
      </c>
      <c r="P60" s="27" t="s">
        <v>56</v>
      </c>
      <c r="Q60" s="27" t="s">
        <v>56</v>
      </c>
      <c r="R60" s="27"/>
      <c r="S60" s="26" t="str">
        <f>"602,5"</f>
        <v>602,5</v>
      </c>
      <c r="T60" s="28" t="str">
        <f>"352,6433"</f>
        <v>352,6433</v>
      </c>
      <c r="U60" s="26" t="s">
        <v>595</v>
      </c>
    </row>
    <row r="61" spans="1:21">
      <c r="A61" s="26" t="s">
        <v>597</v>
      </c>
      <c r="B61" s="26" t="s">
        <v>598</v>
      </c>
      <c r="C61" s="26" t="s">
        <v>599</v>
      </c>
      <c r="D61" s="26" t="str">
        <f>"0,5952"</f>
        <v>0,5952</v>
      </c>
      <c r="E61" s="26" t="s">
        <v>49</v>
      </c>
      <c r="F61" s="26" t="s">
        <v>283</v>
      </c>
      <c r="G61" s="28" t="s">
        <v>600</v>
      </c>
      <c r="H61" s="28" t="s">
        <v>354</v>
      </c>
      <c r="I61" s="27" t="s">
        <v>41</v>
      </c>
      <c r="J61" s="27"/>
      <c r="K61" s="28" t="s">
        <v>133</v>
      </c>
      <c r="L61" s="27" t="s">
        <v>114</v>
      </c>
      <c r="M61" s="27" t="s">
        <v>114</v>
      </c>
      <c r="N61" s="27"/>
      <c r="O61" s="28" t="s">
        <v>51</v>
      </c>
      <c r="P61" s="28" t="s">
        <v>41</v>
      </c>
      <c r="Q61" s="27" t="s">
        <v>42</v>
      </c>
      <c r="R61" s="27"/>
      <c r="S61" s="26" t="str">
        <f>"605,0"</f>
        <v>605,0</v>
      </c>
      <c r="T61" s="28" t="str">
        <f>"360,0960"</f>
        <v>360,0960</v>
      </c>
      <c r="U61" s="26" t="s">
        <v>43</v>
      </c>
    </row>
    <row r="62" spans="1:21">
      <c r="A62" s="15" t="s">
        <v>602</v>
      </c>
      <c r="B62" s="15" t="s">
        <v>603</v>
      </c>
      <c r="C62" s="15" t="s">
        <v>604</v>
      </c>
      <c r="D62" s="15" t="str">
        <f>"0,5935"</f>
        <v>0,5935</v>
      </c>
      <c r="E62" s="15" t="s">
        <v>49</v>
      </c>
      <c r="F62" s="15" t="s">
        <v>605</v>
      </c>
      <c r="G62" s="16" t="s">
        <v>39</v>
      </c>
      <c r="H62" s="16" t="s">
        <v>40</v>
      </c>
      <c r="I62" s="17" t="s">
        <v>27</v>
      </c>
      <c r="J62" s="17"/>
      <c r="K62" s="17" t="s">
        <v>305</v>
      </c>
      <c r="L62" s="16" t="s">
        <v>518</v>
      </c>
      <c r="M62" s="17" t="s">
        <v>606</v>
      </c>
      <c r="N62" s="17"/>
      <c r="O62" s="16" t="s">
        <v>54</v>
      </c>
      <c r="P62" s="16" t="s">
        <v>158</v>
      </c>
      <c r="Q62" s="16" t="s">
        <v>38</v>
      </c>
      <c r="R62" s="17"/>
      <c r="S62" s="15" t="str">
        <f>"482,5"</f>
        <v>482,5</v>
      </c>
      <c r="T62" s="16" t="str">
        <f>"286,3638"</f>
        <v>286,3638</v>
      </c>
      <c r="U62" s="15" t="s">
        <v>43</v>
      </c>
    </row>
    <row r="64" spans="1:21" ht="15">
      <c r="A64" s="51" t="s">
        <v>44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</row>
    <row r="65" spans="1:21">
      <c r="A65" s="12" t="s">
        <v>607</v>
      </c>
      <c r="B65" s="12" t="s">
        <v>608</v>
      </c>
      <c r="C65" s="12" t="s">
        <v>609</v>
      </c>
      <c r="D65" s="12" t="str">
        <f>"0,5723"</f>
        <v>0,5723</v>
      </c>
      <c r="E65" s="12" t="s">
        <v>37</v>
      </c>
      <c r="F65" s="12" t="s">
        <v>121</v>
      </c>
      <c r="G65" s="13" t="s">
        <v>115</v>
      </c>
      <c r="H65" s="13" t="s">
        <v>39</v>
      </c>
      <c r="I65" s="14"/>
      <c r="J65" s="14"/>
      <c r="K65" s="14" t="s">
        <v>98</v>
      </c>
      <c r="L65" s="14" t="s">
        <v>98</v>
      </c>
      <c r="M65" s="14" t="s">
        <v>98</v>
      </c>
      <c r="N65" s="14"/>
      <c r="O65" s="14" t="s">
        <v>158</v>
      </c>
      <c r="P65" s="14"/>
      <c r="Q65" s="14"/>
      <c r="R65" s="14"/>
      <c r="S65" s="12" t="str">
        <f>"0,0"</f>
        <v>0,0</v>
      </c>
      <c r="T65" s="13" t="str">
        <f>"0,0000"</f>
        <v>0,0000</v>
      </c>
      <c r="U65" s="12" t="s">
        <v>43</v>
      </c>
    </row>
    <row r="66" spans="1:21">
      <c r="A66" s="26" t="s">
        <v>611</v>
      </c>
      <c r="B66" s="26" t="s">
        <v>612</v>
      </c>
      <c r="C66" s="26" t="s">
        <v>613</v>
      </c>
      <c r="D66" s="26" t="str">
        <f>"0,5633"</f>
        <v>0,5633</v>
      </c>
      <c r="E66" s="26" t="s">
        <v>37</v>
      </c>
      <c r="F66" s="26" t="s">
        <v>121</v>
      </c>
      <c r="G66" s="28" t="s">
        <v>38</v>
      </c>
      <c r="H66" s="28" t="s">
        <v>23</v>
      </c>
      <c r="I66" s="28" t="s">
        <v>253</v>
      </c>
      <c r="J66" s="27"/>
      <c r="K66" s="28" t="s">
        <v>53</v>
      </c>
      <c r="L66" s="28" t="s">
        <v>54</v>
      </c>
      <c r="M66" s="28" t="s">
        <v>55</v>
      </c>
      <c r="N66" s="27"/>
      <c r="O66" s="28" t="s">
        <v>51</v>
      </c>
      <c r="P66" s="28" t="s">
        <v>224</v>
      </c>
      <c r="Q66" s="28" t="s">
        <v>28</v>
      </c>
      <c r="R66" s="27"/>
      <c r="S66" s="26" t="str">
        <f>"662,5"</f>
        <v>662,5</v>
      </c>
      <c r="T66" s="28" t="str">
        <f>"373,1863"</f>
        <v>373,1863</v>
      </c>
      <c r="U66" s="26" t="s">
        <v>43</v>
      </c>
    </row>
    <row r="67" spans="1:21">
      <c r="A67" s="26" t="s">
        <v>615</v>
      </c>
      <c r="B67" s="26" t="s">
        <v>616</v>
      </c>
      <c r="C67" s="26" t="s">
        <v>325</v>
      </c>
      <c r="D67" s="26" t="str">
        <f>"0,5605"</f>
        <v>0,5605</v>
      </c>
      <c r="E67" s="26" t="s">
        <v>37</v>
      </c>
      <c r="F67" s="26" t="s">
        <v>605</v>
      </c>
      <c r="G67" s="27" t="s">
        <v>38</v>
      </c>
      <c r="H67" s="28" t="s">
        <v>38</v>
      </c>
      <c r="I67" s="28" t="s">
        <v>23</v>
      </c>
      <c r="J67" s="27"/>
      <c r="K67" s="28" t="s">
        <v>27</v>
      </c>
      <c r="L67" s="27" t="s">
        <v>306</v>
      </c>
      <c r="M67" s="28" t="s">
        <v>306</v>
      </c>
      <c r="N67" s="27"/>
      <c r="O67" s="28" t="s">
        <v>42</v>
      </c>
      <c r="P67" s="28" t="s">
        <v>617</v>
      </c>
      <c r="Q67" s="27"/>
      <c r="R67" s="27"/>
      <c r="S67" s="26" t="str">
        <f>"647,5"</f>
        <v>647,5</v>
      </c>
      <c r="T67" s="28" t="str">
        <f>"362,9238"</f>
        <v>362,9238</v>
      </c>
      <c r="U67" s="26" t="s">
        <v>43</v>
      </c>
    </row>
    <row r="68" spans="1:21">
      <c r="A68" s="26" t="s">
        <v>618</v>
      </c>
      <c r="B68" s="26" t="s">
        <v>619</v>
      </c>
      <c r="C68" s="26" t="s">
        <v>223</v>
      </c>
      <c r="D68" s="26" t="str">
        <f>"0,5624"</f>
        <v>0,5624</v>
      </c>
      <c r="E68" s="26" t="s">
        <v>49</v>
      </c>
      <c r="F68" s="26" t="s">
        <v>283</v>
      </c>
      <c r="G68" s="28" t="s">
        <v>24</v>
      </c>
      <c r="H68" s="28" t="s">
        <v>51</v>
      </c>
      <c r="I68" s="27" t="s">
        <v>354</v>
      </c>
      <c r="J68" s="27"/>
      <c r="K68" s="27" t="s">
        <v>40</v>
      </c>
      <c r="L68" s="28" t="s">
        <v>40</v>
      </c>
      <c r="M68" s="27" t="s">
        <v>27</v>
      </c>
      <c r="N68" s="27"/>
      <c r="O68" s="27" t="s">
        <v>52</v>
      </c>
      <c r="P68" s="27" t="s">
        <v>52</v>
      </c>
      <c r="Q68" s="27" t="s">
        <v>52</v>
      </c>
      <c r="R68" s="27"/>
      <c r="S68" s="26" t="str">
        <f>"0,0"</f>
        <v>0,0</v>
      </c>
      <c r="T68" s="28" t="str">
        <f>"0,0000"</f>
        <v>0,0000</v>
      </c>
      <c r="U68" s="26" t="s">
        <v>43</v>
      </c>
    </row>
    <row r="69" spans="1:21">
      <c r="A69" s="15" t="s">
        <v>620</v>
      </c>
      <c r="B69" s="15" t="s">
        <v>621</v>
      </c>
      <c r="C69" s="15" t="s">
        <v>622</v>
      </c>
      <c r="D69" s="15" t="str">
        <f>"0,5602"</f>
        <v>0,5602</v>
      </c>
      <c r="E69" s="15" t="s">
        <v>49</v>
      </c>
      <c r="F69" s="15" t="s">
        <v>605</v>
      </c>
      <c r="G69" s="16" t="s">
        <v>354</v>
      </c>
      <c r="H69" s="16" t="s">
        <v>623</v>
      </c>
      <c r="I69" s="17" t="s">
        <v>585</v>
      </c>
      <c r="J69" s="17"/>
      <c r="K69" s="17" t="s">
        <v>27</v>
      </c>
      <c r="L69" s="17" t="s">
        <v>27</v>
      </c>
      <c r="M69" s="17" t="s">
        <v>27</v>
      </c>
      <c r="N69" s="17"/>
      <c r="O69" s="17" t="s">
        <v>224</v>
      </c>
      <c r="P69" s="17"/>
      <c r="Q69" s="17"/>
      <c r="R69" s="17"/>
      <c r="S69" s="15" t="str">
        <f>"0,0"</f>
        <v>0,0</v>
      </c>
      <c r="T69" s="16" t="str">
        <f>"0,0000"</f>
        <v>0,0000</v>
      </c>
      <c r="U69" s="15" t="s">
        <v>43</v>
      </c>
    </row>
    <row r="71" spans="1:21" ht="15">
      <c r="A71" s="51" t="s">
        <v>166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1">
      <c r="A72" s="12" t="s">
        <v>625</v>
      </c>
      <c r="B72" s="12" t="s">
        <v>626</v>
      </c>
      <c r="C72" s="12" t="s">
        <v>627</v>
      </c>
      <c r="D72" s="12" t="str">
        <f>"0,5427"</f>
        <v>0,5427</v>
      </c>
      <c r="E72" s="12" t="s">
        <v>37</v>
      </c>
      <c r="F72" s="12" t="s">
        <v>121</v>
      </c>
      <c r="G72" s="14" t="s">
        <v>41</v>
      </c>
      <c r="H72" s="14" t="s">
        <v>41</v>
      </c>
      <c r="I72" s="13" t="s">
        <v>41</v>
      </c>
      <c r="J72" s="14"/>
      <c r="K72" s="13" t="s">
        <v>186</v>
      </c>
      <c r="L72" s="13" t="s">
        <v>25</v>
      </c>
      <c r="M72" s="14" t="s">
        <v>40</v>
      </c>
      <c r="N72" s="14"/>
      <c r="O72" s="13" t="s">
        <v>42</v>
      </c>
      <c r="P72" s="13" t="s">
        <v>56</v>
      </c>
      <c r="Q72" s="13" t="s">
        <v>29</v>
      </c>
      <c r="R72" s="14"/>
      <c r="S72" s="12" t="str">
        <f>"665,0"</f>
        <v>665,0</v>
      </c>
      <c r="T72" s="13" t="str">
        <f>"360,8955"</f>
        <v>360,8955</v>
      </c>
      <c r="U72" s="12" t="s">
        <v>43</v>
      </c>
    </row>
    <row r="73" spans="1:21">
      <c r="A73" s="15" t="s">
        <v>629</v>
      </c>
      <c r="B73" s="15" t="s">
        <v>630</v>
      </c>
      <c r="C73" s="15" t="s">
        <v>631</v>
      </c>
      <c r="D73" s="15" t="str">
        <f>"0,5432"</f>
        <v>0,5432</v>
      </c>
      <c r="E73" s="15" t="s">
        <v>49</v>
      </c>
      <c r="F73" s="15" t="s">
        <v>605</v>
      </c>
      <c r="G73" s="17" t="s">
        <v>40</v>
      </c>
      <c r="H73" s="16" t="s">
        <v>53</v>
      </c>
      <c r="I73" s="16" t="s">
        <v>54</v>
      </c>
      <c r="J73" s="17"/>
      <c r="K73" s="16" t="s">
        <v>480</v>
      </c>
      <c r="L73" s="16" t="s">
        <v>93</v>
      </c>
      <c r="M73" s="17" t="s">
        <v>336</v>
      </c>
      <c r="N73" s="17"/>
      <c r="O73" s="16" t="s">
        <v>158</v>
      </c>
      <c r="P73" s="16" t="s">
        <v>22</v>
      </c>
      <c r="Q73" s="17" t="s">
        <v>63</v>
      </c>
      <c r="R73" s="17"/>
      <c r="S73" s="15" t="str">
        <f>"485,0"</f>
        <v>485,0</v>
      </c>
      <c r="T73" s="16" t="str">
        <f>"263,4520"</f>
        <v>263,4520</v>
      </c>
      <c r="U73" s="15" t="s">
        <v>43</v>
      </c>
    </row>
    <row r="75" spans="1:21" ht="15">
      <c r="E75" s="18" t="s">
        <v>74</v>
      </c>
    </row>
    <row r="76" spans="1:21" ht="15">
      <c r="E76" s="18" t="s">
        <v>75</v>
      </c>
    </row>
    <row r="77" spans="1:21" ht="15">
      <c r="E77" s="18" t="s">
        <v>76</v>
      </c>
    </row>
    <row r="78" spans="1:21" ht="15">
      <c r="E78" s="18" t="s">
        <v>77</v>
      </c>
    </row>
    <row r="79" spans="1:21" ht="15">
      <c r="E79" s="18" t="s">
        <v>77</v>
      </c>
    </row>
    <row r="80" spans="1:21" ht="15">
      <c r="E80" s="18" t="s">
        <v>78</v>
      </c>
    </row>
    <row r="81" spans="1:5" ht="15">
      <c r="E81" s="18"/>
    </row>
    <row r="83" spans="1:5" ht="18">
      <c r="A83" s="19" t="s">
        <v>79</v>
      </c>
      <c r="B83" s="19"/>
    </row>
    <row r="84" spans="1:5" ht="15">
      <c r="A84" s="20" t="s">
        <v>254</v>
      </c>
      <c r="B84" s="20"/>
    </row>
    <row r="85" spans="1:5" ht="14.25">
      <c r="A85" s="22"/>
      <c r="B85" s="23" t="s">
        <v>632</v>
      </c>
    </row>
    <row r="86" spans="1:5" ht="15">
      <c r="A86" s="24" t="s">
        <v>82</v>
      </c>
      <c r="B86" s="24" t="s">
        <v>83</v>
      </c>
      <c r="C86" s="24" t="s">
        <v>84</v>
      </c>
      <c r="D86" s="24" t="s">
        <v>85</v>
      </c>
      <c r="E86" s="24" t="s">
        <v>86</v>
      </c>
    </row>
    <row r="87" spans="1:5">
      <c r="A87" s="21" t="s">
        <v>457</v>
      </c>
      <c r="B87" s="5" t="s">
        <v>633</v>
      </c>
      <c r="C87" s="5" t="s">
        <v>634</v>
      </c>
      <c r="D87" s="5" t="s">
        <v>23</v>
      </c>
      <c r="E87" s="25" t="s">
        <v>635</v>
      </c>
    </row>
    <row r="88" spans="1:5">
      <c r="A88" s="21" t="s">
        <v>466</v>
      </c>
      <c r="B88" s="5" t="s">
        <v>633</v>
      </c>
      <c r="C88" s="5" t="s">
        <v>634</v>
      </c>
      <c r="D88" s="5" t="s">
        <v>133</v>
      </c>
      <c r="E88" s="25" t="s">
        <v>636</v>
      </c>
    </row>
    <row r="90" spans="1:5" ht="14.25">
      <c r="A90" s="22"/>
      <c r="B90" s="23" t="s">
        <v>81</v>
      </c>
    </row>
    <row r="91" spans="1:5" ht="15">
      <c r="A91" s="24" t="s">
        <v>82</v>
      </c>
      <c r="B91" s="24" t="s">
        <v>83</v>
      </c>
      <c r="C91" s="24" t="s">
        <v>84</v>
      </c>
      <c r="D91" s="24" t="s">
        <v>85</v>
      </c>
      <c r="E91" s="24" t="s">
        <v>86</v>
      </c>
    </row>
    <row r="92" spans="1:5">
      <c r="A92" s="21" t="s">
        <v>486</v>
      </c>
      <c r="B92" s="5" t="s">
        <v>81</v>
      </c>
      <c r="C92" s="5" t="s">
        <v>637</v>
      </c>
      <c r="D92" s="5" t="s">
        <v>638</v>
      </c>
      <c r="E92" s="25" t="s">
        <v>639</v>
      </c>
    </row>
    <row r="93" spans="1:5">
      <c r="A93" s="21" t="s">
        <v>476</v>
      </c>
      <c r="B93" s="5" t="s">
        <v>81</v>
      </c>
      <c r="C93" s="5" t="s">
        <v>634</v>
      </c>
      <c r="D93" s="5" t="s">
        <v>56</v>
      </c>
      <c r="E93" s="25" t="s">
        <v>640</v>
      </c>
    </row>
    <row r="94" spans="1:5">
      <c r="A94" s="21" t="s">
        <v>501</v>
      </c>
      <c r="B94" s="5" t="s">
        <v>81</v>
      </c>
      <c r="C94" s="5" t="s">
        <v>438</v>
      </c>
      <c r="D94" s="5" t="s">
        <v>641</v>
      </c>
      <c r="E94" s="25" t="s">
        <v>642</v>
      </c>
    </row>
    <row r="95" spans="1:5">
      <c r="A95" s="21" t="s">
        <v>514</v>
      </c>
      <c r="B95" s="5" t="s">
        <v>81</v>
      </c>
      <c r="C95" s="5" t="s">
        <v>87</v>
      </c>
      <c r="D95" s="5" t="s">
        <v>643</v>
      </c>
      <c r="E95" s="25" t="s">
        <v>644</v>
      </c>
    </row>
    <row r="96" spans="1:5">
      <c r="A96" s="21" t="s">
        <v>498</v>
      </c>
      <c r="B96" s="5" t="s">
        <v>81</v>
      </c>
      <c r="C96" s="5" t="s">
        <v>645</v>
      </c>
      <c r="D96" s="5" t="s">
        <v>646</v>
      </c>
      <c r="E96" s="25" t="s">
        <v>647</v>
      </c>
    </row>
    <row r="97" spans="1:5">
      <c r="A97" s="21" t="s">
        <v>446</v>
      </c>
      <c r="B97" s="5" t="s">
        <v>81</v>
      </c>
      <c r="C97" s="5" t="s">
        <v>648</v>
      </c>
      <c r="D97" s="5" t="s">
        <v>600</v>
      </c>
      <c r="E97" s="25" t="s">
        <v>649</v>
      </c>
    </row>
    <row r="98" spans="1:5">
      <c r="A98" s="21" t="s">
        <v>493</v>
      </c>
      <c r="B98" s="5" t="s">
        <v>81</v>
      </c>
      <c r="C98" s="5" t="s">
        <v>637</v>
      </c>
      <c r="D98" s="5" t="s">
        <v>42</v>
      </c>
      <c r="E98" s="25" t="s">
        <v>650</v>
      </c>
    </row>
    <row r="99" spans="1:5">
      <c r="A99" s="21" t="s">
        <v>507</v>
      </c>
      <c r="B99" s="5" t="s">
        <v>81</v>
      </c>
      <c r="C99" s="5" t="s">
        <v>438</v>
      </c>
      <c r="D99" s="5" t="s">
        <v>343</v>
      </c>
      <c r="E99" s="25" t="s">
        <v>651</v>
      </c>
    </row>
    <row r="100" spans="1:5">
      <c r="A100" s="21" t="s">
        <v>457</v>
      </c>
      <c r="B100" s="5" t="s">
        <v>81</v>
      </c>
      <c r="C100" s="5" t="s">
        <v>634</v>
      </c>
      <c r="D100" s="5" t="s">
        <v>23</v>
      </c>
      <c r="E100" s="25" t="s">
        <v>652</v>
      </c>
    </row>
    <row r="101" spans="1:5">
      <c r="A101" s="21" t="s">
        <v>510</v>
      </c>
      <c r="B101" s="5" t="s">
        <v>81</v>
      </c>
      <c r="C101" s="5" t="s">
        <v>438</v>
      </c>
      <c r="D101" s="5" t="s">
        <v>653</v>
      </c>
      <c r="E101" s="25" t="s">
        <v>654</v>
      </c>
    </row>
    <row r="102" spans="1:5">
      <c r="A102" s="21" t="s">
        <v>466</v>
      </c>
      <c r="B102" s="5" t="s">
        <v>81</v>
      </c>
      <c r="C102" s="5" t="s">
        <v>634</v>
      </c>
      <c r="D102" s="5" t="s">
        <v>133</v>
      </c>
      <c r="E102" s="25" t="s">
        <v>655</v>
      </c>
    </row>
    <row r="105" spans="1:5" ht="15">
      <c r="A105" s="20" t="s">
        <v>80</v>
      </c>
      <c r="B105" s="20"/>
    </row>
    <row r="106" spans="1:5" ht="14.25">
      <c r="A106" s="22"/>
      <c r="B106" s="23" t="s">
        <v>190</v>
      </c>
    </row>
    <row r="107" spans="1:5" ht="15">
      <c r="A107" s="24" t="s">
        <v>82</v>
      </c>
      <c r="B107" s="24" t="s">
        <v>83</v>
      </c>
      <c r="C107" s="24" t="s">
        <v>84</v>
      </c>
      <c r="D107" s="24" t="s">
        <v>85</v>
      </c>
      <c r="E107" s="24" t="s">
        <v>86</v>
      </c>
    </row>
    <row r="108" spans="1:5">
      <c r="A108" s="21" t="s">
        <v>541</v>
      </c>
      <c r="B108" s="5" t="s">
        <v>191</v>
      </c>
      <c r="C108" s="5" t="s">
        <v>195</v>
      </c>
      <c r="D108" s="5" t="s">
        <v>656</v>
      </c>
      <c r="E108" s="25" t="s">
        <v>657</v>
      </c>
    </row>
    <row r="109" spans="1:5">
      <c r="A109" s="21" t="s">
        <v>529</v>
      </c>
      <c r="B109" s="5" t="s">
        <v>191</v>
      </c>
      <c r="C109" s="5" t="s">
        <v>438</v>
      </c>
      <c r="D109" s="5" t="s">
        <v>245</v>
      </c>
      <c r="E109" s="25" t="s">
        <v>658</v>
      </c>
    </row>
    <row r="110" spans="1:5">
      <c r="A110" s="21" t="s">
        <v>586</v>
      </c>
      <c r="B110" s="5" t="s">
        <v>633</v>
      </c>
      <c r="C110" s="5" t="s">
        <v>98</v>
      </c>
      <c r="D110" s="5" t="s">
        <v>659</v>
      </c>
      <c r="E110" s="25" t="s">
        <v>660</v>
      </c>
    </row>
    <row r="111" spans="1:5">
      <c r="A111" s="21" t="s">
        <v>545</v>
      </c>
      <c r="B111" s="5" t="s">
        <v>258</v>
      </c>
      <c r="C111" s="5" t="s">
        <v>195</v>
      </c>
      <c r="D111" s="5" t="s">
        <v>292</v>
      </c>
      <c r="E111" s="25" t="s">
        <v>661</v>
      </c>
    </row>
    <row r="112" spans="1:5">
      <c r="A112" s="21" t="s">
        <v>549</v>
      </c>
      <c r="B112" s="5" t="s">
        <v>258</v>
      </c>
      <c r="C112" s="5" t="s">
        <v>195</v>
      </c>
      <c r="D112" s="5" t="s">
        <v>238</v>
      </c>
      <c r="E112" s="25" t="s">
        <v>662</v>
      </c>
    </row>
    <row r="114" spans="1:5" ht="14.25">
      <c r="A114" s="22"/>
      <c r="B114" s="23" t="s">
        <v>357</v>
      </c>
    </row>
    <row r="115" spans="1:5" ht="15">
      <c r="A115" s="24" t="s">
        <v>82</v>
      </c>
      <c r="B115" s="24" t="s">
        <v>83</v>
      </c>
      <c r="C115" s="24" t="s">
        <v>84</v>
      </c>
      <c r="D115" s="24" t="s">
        <v>85</v>
      </c>
      <c r="E115" s="24" t="s">
        <v>86</v>
      </c>
    </row>
    <row r="116" spans="1:5">
      <c r="A116" s="21" t="s">
        <v>590</v>
      </c>
      <c r="B116" s="5" t="s">
        <v>256</v>
      </c>
      <c r="C116" s="5" t="s">
        <v>98</v>
      </c>
      <c r="D116" s="5" t="s">
        <v>663</v>
      </c>
      <c r="E116" s="25" t="s">
        <v>664</v>
      </c>
    </row>
    <row r="117" spans="1:5">
      <c r="A117" s="21" t="s">
        <v>535</v>
      </c>
      <c r="B117" s="5" t="s">
        <v>256</v>
      </c>
      <c r="C117" s="5" t="s">
        <v>87</v>
      </c>
      <c r="D117" s="5" t="s">
        <v>665</v>
      </c>
      <c r="E117" s="25" t="s">
        <v>666</v>
      </c>
    </row>
    <row r="118" spans="1:5">
      <c r="A118" s="21" t="s">
        <v>525</v>
      </c>
      <c r="B118" s="5" t="s">
        <v>256</v>
      </c>
      <c r="C118" s="5" t="s">
        <v>637</v>
      </c>
      <c r="D118" s="5" t="s">
        <v>337</v>
      </c>
      <c r="E118" s="25" t="s">
        <v>667</v>
      </c>
    </row>
    <row r="120" spans="1:5" ht="14.25">
      <c r="A120" s="22"/>
      <c r="B120" s="23" t="s">
        <v>81</v>
      </c>
    </row>
    <row r="121" spans="1:5" ht="15">
      <c r="A121" s="24" t="s">
        <v>82</v>
      </c>
      <c r="B121" s="24" t="s">
        <v>83</v>
      </c>
      <c r="C121" s="24" t="s">
        <v>84</v>
      </c>
      <c r="D121" s="24" t="s">
        <v>85</v>
      </c>
      <c r="E121" s="24" t="s">
        <v>86</v>
      </c>
    </row>
    <row r="122" spans="1:5">
      <c r="A122" s="21" t="s">
        <v>610</v>
      </c>
      <c r="B122" s="5" t="s">
        <v>81</v>
      </c>
      <c r="C122" s="5" t="s">
        <v>93</v>
      </c>
      <c r="D122" s="5" t="s">
        <v>668</v>
      </c>
      <c r="E122" s="25" t="s">
        <v>669</v>
      </c>
    </row>
    <row r="123" spans="1:5">
      <c r="A123" s="21" t="s">
        <v>614</v>
      </c>
      <c r="B123" s="5" t="s">
        <v>81</v>
      </c>
      <c r="C123" s="5" t="s">
        <v>93</v>
      </c>
      <c r="D123" s="5" t="s">
        <v>670</v>
      </c>
      <c r="E123" s="25" t="s">
        <v>671</v>
      </c>
    </row>
    <row r="124" spans="1:5">
      <c r="A124" s="21" t="s">
        <v>624</v>
      </c>
      <c r="B124" s="5" t="s">
        <v>81</v>
      </c>
      <c r="C124" s="5" t="s">
        <v>199</v>
      </c>
      <c r="D124" s="5" t="s">
        <v>672</v>
      </c>
      <c r="E124" s="25" t="s">
        <v>673</v>
      </c>
    </row>
    <row r="125" spans="1:5">
      <c r="A125" s="21" t="s">
        <v>596</v>
      </c>
      <c r="B125" s="5" t="s">
        <v>81</v>
      </c>
      <c r="C125" s="5" t="s">
        <v>98</v>
      </c>
      <c r="D125" s="5" t="s">
        <v>674</v>
      </c>
      <c r="E125" s="25" t="s">
        <v>675</v>
      </c>
    </row>
    <row r="126" spans="1:5">
      <c r="A126" s="21" t="s">
        <v>580</v>
      </c>
      <c r="B126" s="5" t="s">
        <v>81</v>
      </c>
      <c r="C126" s="5" t="s">
        <v>204</v>
      </c>
      <c r="D126" s="5" t="s">
        <v>676</v>
      </c>
      <c r="E126" s="25" t="s">
        <v>677</v>
      </c>
    </row>
    <row r="127" spans="1:5">
      <c r="A127" s="21" t="s">
        <v>552</v>
      </c>
      <c r="B127" s="5" t="s">
        <v>81</v>
      </c>
      <c r="C127" s="5" t="s">
        <v>195</v>
      </c>
      <c r="D127" s="5" t="s">
        <v>678</v>
      </c>
      <c r="E127" s="25" t="s">
        <v>679</v>
      </c>
    </row>
    <row r="128" spans="1:5">
      <c r="A128" s="21" t="s">
        <v>558</v>
      </c>
      <c r="B128" s="5" t="s">
        <v>81</v>
      </c>
      <c r="C128" s="5" t="s">
        <v>195</v>
      </c>
      <c r="D128" s="5" t="s">
        <v>680</v>
      </c>
      <c r="E128" s="25" t="s">
        <v>681</v>
      </c>
    </row>
    <row r="129" spans="1:5">
      <c r="A129" s="21" t="s">
        <v>570</v>
      </c>
      <c r="B129" s="5" t="s">
        <v>81</v>
      </c>
      <c r="C129" s="5" t="s">
        <v>195</v>
      </c>
      <c r="D129" s="5" t="s">
        <v>682</v>
      </c>
      <c r="E129" s="25" t="s">
        <v>683</v>
      </c>
    </row>
    <row r="130" spans="1:5">
      <c r="A130" s="21" t="s">
        <v>563</v>
      </c>
      <c r="B130" s="5" t="s">
        <v>81</v>
      </c>
      <c r="C130" s="5" t="s">
        <v>195</v>
      </c>
      <c r="D130" s="5" t="s">
        <v>684</v>
      </c>
      <c r="E130" s="25" t="s">
        <v>685</v>
      </c>
    </row>
    <row r="131" spans="1:5">
      <c r="A131" s="21" t="s">
        <v>541</v>
      </c>
      <c r="B131" s="5" t="s">
        <v>81</v>
      </c>
      <c r="C131" s="5" t="s">
        <v>195</v>
      </c>
      <c r="D131" s="5" t="s">
        <v>656</v>
      </c>
      <c r="E131" s="25" t="s">
        <v>686</v>
      </c>
    </row>
    <row r="132" spans="1:5">
      <c r="A132" s="21" t="s">
        <v>601</v>
      </c>
      <c r="B132" s="5" t="s">
        <v>81</v>
      </c>
      <c r="C132" s="5" t="s">
        <v>98</v>
      </c>
      <c r="D132" s="5" t="s">
        <v>687</v>
      </c>
      <c r="E132" s="25" t="s">
        <v>688</v>
      </c>
    </row>
    <row r="133" spans="1:5">
      <c r="A133" s="21" t="s">
        <v>628</v>
      </c>
      <c r="B133" s="5" t="s">
        <v>81</v>
      </c>
      <c r="C133" s="5" t="s">
        <v>199</v>
      </c>
      <c r="D133" s="5" t="s">
        <v>689</v>
      </c>
      <c r="E133" s="25" t="s">
        <v>690</v>
      </c>
    </row>
    <row r="134" spans="1:5">
      <c r="A134" s="21" t="s">
        <v>529</v>
      </c>
      <c r="B134" s="5" t="s">
        <v>81</v>
      </c>
      <c r="C134" s="5" t="s">
        <v>438</v>
      </c>
      <c r="D134" s="5" t="s">
        <v>245</v>
      </c>
      <c r="E134" s="25" t="s">
        <v>691</v>
      </c>
    </row>
    <row r="135" spans="1:5">
      <c r="A135" s="21" t="s">
        <v>545</v>
      </c>
      <c r="B135" s="5" t="s">
        <v>81</v>
      </c>
      <c r="C135" s="5" t="s">
        <v>195</v>
      </c>
      <c r="D135" s="5" t="s">
        <v>292</v>
      </c>
      <c r="E135" s="25" t="s">
        <v>692</v>
      </c>
    </row>
    <row r="136" spans="1:5">
      <c r="A136" s="21" t="s">
        <v>549</v>
      </c>
      <c r="B136" s="5" t="s">
        <v>81</v>
      </c>
      <c r="C136" s="5" t="s">
        <v>195</v>
      </c>
      <c r="D136" s="5" t="s">
        <v>238</v>
      </c>
      <c r="E136" s="25" t="s">
        <v>693</v>
      </c>
    </row>
  </sheetData>
  <mergeCells count="28"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A27:T27"/>
    <mergeCell ref="A30:T30"/>
    <mergeCell ref="A33:T33"/>
    <mergeCell ref="A36:T36"/>
    <mergeCell ref="A8:T8"/>
    <mergeCell ref="A15:T15"/>
    <mergeCell ref="A19:T19"/>
    <mergeCell ref="A22:T22"/>
    <mergeCell ref="A64:T64"/>
    <mergeCell ref="A71:T71"/>
    <mergeCell ref="A40:T40"/>
    <mergeCell ref="A43:T43"/>
    <mergeCell ref="A55:T55"/>
    <mergeCell ref="A58:T58"/>
  </mergeCells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M8" sqref="M8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6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7" width="5.5703125" style="4" bestFit="1" customWidth="1"/>
    <col min="8" max="8" width="4" style="29" bestFit="1" customWidth="1"/>
    <col min="9" max="9" width="7.85546875" style="5" bestFit="1" customWidth="1"/>
    <col min="10" max="10" width="6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442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</row>
    <row r="5" spans="1:11" ht="15">
      <c r="A5" s="53" t="s">
        <v>166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31" t="s">
        <v>386</v>
      </c>
      <c r="B6" s="8" t="s">
        <v>388</v>
      </c>
      <c r="C6" s="8" t="s">
        <v>389</v>
      </c>
      <c r="D6" s="8" t="str">
        <f>"0,5414"</f>
        <v>0,5414</v>
      </c>
      <c r="E6" s="8" t="s">
        <v>391</v>
      </c>
      <c r="F6" s="8" t="s">
        <v>121</v>
      </c>
      <c r="G6" s="32" t="s">
        <v>1326</v>
      </c>
      <c r="H6" s="33">
        <v>155</v>
      </c>
      <c r="I6" s="34" t="s">
        <v>1319</v>
      </c>
      <c r="J6" s="9"/>
      <c r="K6" s="31" t="s">
        <v>1317</v>
      </c>
    </row>
    <row r="8" spans="1:11" ht="15">
      <c r="A8" s="51" t="s">
        <v>65</v>
      </c>
      <c r="B8" s="52"/>
      <c r="C8" s="52"/>
      <c r="D8" s="52"/>
      <c r="E8" s="52"/>
      <c r="F8" s="52"/>
      <c r="G8" s="52"/>
      <c r="H8" s="52"/>
      <c r="I8" s="52"/>
      <c r="J8" s="52"/>
    </row>
    <row r="9" spans="1:11">
      <c r="A9" s="31" t="s">
        <v>182</v>
      </c>
      <c r="B9" s="8" t="s">
        <v>184</v>
      </c>
      <c r="C9" s="8" t="s">
        <v>185</v>
      </c>
      <c r="D9" s="8" t="str">
        <f>"0,5236"</f>
        <v>0,5236</v>
      </c>
      <c r="E9" s="8" t="s">
        <v>20</v>
      </c>
      <c r="F9" s="8" t="s">
        <v>21</v>
      </c>
      <c r="G9" s="32" t="s">
        <v>90</v>
      </c>
      <c r="H9" s="33">
        <v>130</v>
      </c>
      <c r="I9" s="34" t="s">
        <v>1327</v>
      </c>
      <c r="J9" s="9"/>
      <c r="K9" s="31" t="s">
        <v>1328</v>
      </c>
    </row>
    <row r="11" spans="1:11" ht="15">
      <c r="E11" s="18" t="s">
        <v>74</v>
      </c>
    </row>
    <row r="12" spans="1:11" ht="15">
      <c r="E12" s="18" t="s">
        <v>75</v>
      </c>
    </row>
    <row r="13" spans="1:11" ht="15">
      <c r="E13" s="18" t="s">
        <v>76</v>
      </c>
    </row>
    <row r="14" spans="1:11" ht="15">
      <c r="E14" s="18" t="s">
        <v>77</v>
      </c>
    </row>
    <row r="15" spans="1:11" ht="15">
      <c r="E15" s="18" t="s">
        <v>77</v>
      </c>
    </row>
    <row r="16" spans="1:11" ht="15">
      <c r="E16" s="18" t="s">
        <v>78</v>
      </c>
    </row>
    <row r="17" spans="1:5" ht="15">
      <c r="E17" s="18"/>
    </row>
    <row r="19" spans="1:5" ht="18">
      <c r="A19" s="19"/>
      <c r="B19" s="19"/>
    </row>
  </sheetData>
  <mergeCells count="11">
    <mergeCell ref="G3:J3"/>
    <mergeCell ref="A8:J8"/>
    <mergeCell ref="K3:K4"/>
    <mergeCell ref="A5:J5"/>
    <mergeCell ref="A1:K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M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1301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41"/>
  <sheetViews>
    <sheetView topLeftCell="C1" workbookViewId="0">
      <selection activeCell="M20" sqref="M20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7.28515625" style="5" bestFit="1" customWidth="1"/>
    <col min="14" max="16384" width="9.140625" style="4"/>
  </cols>
  <sheetData>
    <row r="1" spans="1:13" s="3" customFormat="1" ht="29.1" customHeight="1">
      <c r="A1" s="50" t="s">
        <v>415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416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418</v>
      </c>
      <c r="B6" s="8" t="s">
        <v>419</v>
      </c>
      <c r="C6" s="8" t="s">
        <v>420</v>
      </c>
      <c r="D6" s="8" t="str">
        <f>"0,8870"</f>
        <v>0,8870</v>
      </c>
      <c r="E6" s="8" t="s">
        <v>49</v>
      </c>
      <c r="F6" s="8" t="s">
        <v>283</v>
      </c>
      <c r="G6" s="9" t="s">
        <v>175</v>
      </c>
      <c r="H6" s="9" t="s">
        <v>93</v>
      </c>
      <c r="I6" s="10" t="s">
        <v>421</v>
      </c>
      <c r="J6" s="10"/>
      <c r="K6" s="8" t="str">
        <f>"100,0"</f>
        <v>100,0</v>
      </c>
      <c r="L6" s="9" t="str">
        <f>"88,6950"</f>
        <v>88,6950</v>
      </c>
      <c r="M6" s="8"/>
    </row>
    <row r="9" spans="1:13" ht="15">
      <c r="A9" s="51" t="s">
        <v>122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8"/>
    </row>
    <row r="10" spans="1:13">
      <c r="A10" s="8" t="s">
        <v>423</v>
      </c>
      <c r="B10" s="8" t="s">
        <v>424</v>
      </c>
      <c r="C10" s="8" t="s">
        <v>425</v>
      </c>
      <c r="D10" s="8" t="str">
        <f>"0,6888"</f>
        <v>0,6888</v>
      </c>
      <c r="E10" s="8" t="s">
        <v>49</v>
      </c>
      <c r="F10" s="8" t="s">
        <v>283</v>
      </c>
      <c r="G10" s="9" t="s">
        <v>53</v>
      </c>
      <c r="H10" s="9" t="s">
        <v>54</v>
      </c>
      <c r="I10" s="9" t="s">
        <v>158</v>
      </c>
      <c r="J10" s="10"/>
      <c r="K10" s="8" t="str">
        <f>"190,0"</f>
        <v>190,0</v>
      </c>
      <c r="L10" s="9" t="str">
        <f>"130,8815"</f>
        <v>130,8815</v>
      </c>
    </row>
    <row r="12" spans="1:13" ht="15">
      <c r="A12" s="51" t="s">
        <v>166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8"/>
    </row>
    <row r="13" spans="1:13">
      <c r="A13" s="12" t="s">
        <v>427</v>
      </c>
      <c r="B13" s="12" t="s">
        <v>428</v>
      </c>
      <c r="C13" s="12" t="s">
        <v>237</v>
      </c>
      <c r="D13" s="12" t="str">
        <f>"0,5398"</f>
        <v>0,5398</v>
      </c>
      <c r="E13" s="12" t="s">
        <v>244</v>
      </c>
      <c r="F13" s="12" t="s">
        <v>380</v>
      </c>
      <c r="G13" s="13" t="s">
        <v>28</v>
      </c>
      <c r="H13" s="14" t="s">
        <v>29</v>
      </c>
      <c r="I13" s="13" t="s">
        <v>29</v>
      </c>
      <c r="J13" s="14"/>
      <c r="K13" s="12" t="str">
        <f>"270,0"</f>
        <v>270,0</v>
      </c>
      <c r="L13" s="13" t="str">
        <f>"145,7460"</f>
        <v>145,7460</v>
      </c>
    </row>
    <row r="14" spans="1:13">
      <c r="A14" s="15" t="s">
        <v>430</v>
      </c>
      <c r="B14" s="15" t="s">
        <v>431</v>
      </c>
      <c r="C14" s="15" t="s">
        <v>432</v>
      </c>
      <c r="D14" s="15" t="str">
        <f>"0,5483"</f>
        <v>0,5483</v>
      </c>
      <c r="E14" s="15" t="s">
        <v>49</v>
      </c>
      <c r="F14" s="15" t="s">
        <v>283</v>
      </c>
      <c r="G14" s="17" t="s">
        <v>54</v>
      </c>
      <c r="H14" s="16" t="s">
        <v>54</v>
      </c>
      <c r="I14" s="17" t="s">
        <v>38</v>
      </c>
      <c r="J14" s="17"/>
      <c r="K14" s="15" t="str">
        <f>"180,0"</f>
        <v>180,0</v>
      </c>
      <c r="L14" s="16" t="str">
        <f>"98,6940"</f>
        <v>98,6940</v>
      </c>
    </row>
    <row r="15" spans="1:13">
      <c r="M15" s="12" t="s">
        <v>43</v>
      </c>
    </row>
    <row r="16" spans="1:13" ht="15">
      <c r="A16" s="51" t="s">
        <v>65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5"/>
    </row>
    <row r="17" spans="1:13">
      <c r="A17" s="12" t="s">
        <v>433</v>
      </c>
      <c r="B17" s="12" t="s">
        <v>434</v>
      </c>
      <c r="C17" s="12" t="s">
        <v>435</v>
      </c>
      <c r="D17" s="12" t="str">
        <f>"0,5328"</f>
        <v>0,5328</v>
      </c>
      <c r="E17" s="12" t="s">
        <v>20</v>
      </c>
      <c r="F17" s="12" t="s">
        <v>50</v>
      </c>
      <c r="G17" s="14" t="s">
        <v>396</v>
      </c>
      <c r="H17" s="14" t="s">
        <v>396</v>
      </c>
      <c r="I17" s="14" t="s">
        <v>396</v>
      </c>
      <c r="J17" s="14"/>
      <c r="K17" s="12" t="str">
        <f>"0,0"</f>
        <v>0,0</v>
      </c>
      <c r="L17" s="13" t="str">
        <f>"0,0000"</f>
        <v>0,0000</v>
      </c>
    </row>
    <row r="18" spans="1:13">
      <c r="A18" s="15" t="s">
        <v>436</v>
      </c>
      <c r="B18" s="15" t="s">
        <v>249</v>
      </c>
      <c r="C18" s="15" t="s">
        <v>250</v>
      </c>
      <c r="D18" s="15" t="str">
        <f>"0,5275"</f>
        <v>0,5275</v>
      </c>
      <c r="E18" s="15" t="s">
        <v>251</v>
      </c>
      <c r="F18" s="15" t="s">
        <v>252</v>
      </c>
      <c r="G18" s="17" t="s">
        <v>40</v>
      </c>
      <c r="H18" s="17"/>
      <c r="I18" s="17"/>
      <c r="J18" s="17"/>
      <c r="K18" s="15" t="str">
        <f>"0,0"</f>
        <v>0,0</v>
      </c>
      <c r="L18" s="16" t="str">
        <f>"0,0000"</f>
        <v>0,0000</v>
      </c>
    </row>
    <row r="19" spans="1:13">
      <c r="M19" s="12" t="s">
        <v>43</v>
      </c>
    </row>
    <row r="20" spans="1:13" ht="15">
      <c r="E20" s="18" t="s">
        <v>74</v>
      </c>
      <c r="M20" s="15"/>
    </row>
    <row r="21" spans="1:13" ht="15">
      <c r="E21" s="18" t="s">
        <v>75</v>
      </c>
    </row>
    <row r="22" spans="1:13" ht="15">
      <c r="E22" s="18" t="s">
        <v>76</v>
      </c>
    </row>
    <row r="23" spans="1:13" ht="15">
      <c r="E23" s="18" t="s">
        <v>77</v>
      </c>
    </row>
    <row r="24" spans="1:13" ht="15">
      <c r="E24" s="18" t="s">
        <v>77</v>
      </c>
    </row>
    <row r="25" spans="1:13" ht="15">
      <c r="E25" s="18" t="s">
        <v>78</v>
      </c>
    </row>
    <row r="26" spans="1:13" ht="15">
      <c r="E26" s="18"/>
    </row>
    <row r="28" spans="1:13" ht="18">
      <c r="A28" s="19" t="s">
        <v>79</v>
      </c>
      <c r="B28" s="19"/>
    </row>
    <row r="29" spans="1:13" ht="15">
      <c r="A29" s="20" t="s">
        <v>254</v>
      </c>
      <c r="B29" s="20"/>
    </row>
    <row r="30" spans="1:13" ht="14.25">
      <c r="A30" s="22"/>
      <c r="B30" s="23" t="s">
        <v>81</v>
      </c>
    </row>
    <row r="31" spans="1:13" ht="15">
      <c r="A31" s="24" t="s">
        <v>82</v>
      </c>
      <c r="B31" s="24" t="s">
        <v>83</v>
      </c>
      <c r="C31" s="24" t="s">
        <v>84</v>
      </c>
      <c r="D31" s="24" t="s">
        <v>85</v>
      </c>
      <c r="E31" s="24" t="s">
        <v>86</v>
      </c>
    </row>
    <row r="32" spans="1:13">
      <c r="A32" s="21" t="s">
        <v>422</v>
      </c>
      <c r="B32" s="5" t="s">
        <v>81</v>
      </c>
      <c r="C32" s="5" t="s">
        <v>204</v>
      </c>
      <c r="D32" s="5" t="s">
        <v>158</v>
      </c>
      <c r="E32" s="25" t="s">
        <v>437</v>
      </c>
    </row>
    <row r="33" spans="1:5">
      <c r="A33" s="21" t="s">
        <v>417</v>
      </c>
      <c r="B33" s="5" t="s">
        <v>81</v>
      </c>
      <c r="C33" s="5" t="s">
        <v>438</v>
      </c>
      <c r="D33" s="5" t="s">
        <v>93</v>
      </c>
      <c r="E33" s="25" t="s">
        <v>439</v>
      </c>
    </row>
    <row r="34" spans="1:5">
      <c r="A34" s="21" t="s">
        <v>332</v>
      </c>
      <c r="B34" s="5" t="s">
        <v>81</v>
      </c>
      <c r="C34" s="5" t="s">
        <v>87</v>
      </c>
      <c r="D34" s="5" t="s">
        <v>336</v>
      </c>
      <c r="E34" s="25" t="s">
        <v>403</v>
      </c>
    </row>
    <row r="37" spans="1:5" ht="15">
      <c r="A37" s="20" t="s">
        <v>80</v>
      </c>
      <c r="B37" s="20"/>
    </row>
    <row r="38" spans="1:5" ht="14.25">
      <c r="A38" s="22"/>
      <c r="B38" s="23" t="s">
        <v>81</v>
      </c>
    </row>
    <row r="39" spans="1:5" ht="15">
      <c r="A39" s="24" t="s">
        <v>82</v>
      </c>
      <c r="B39" s="24" t="s">
        <v>83</v>
      </c>
      <c r="C39" s="24" t="s">
        <v>84</v>
      </c>
      <c r="D39" s="24" t="s">
        <v>85</v>
      </c>
      <c r="E39" s="24" t="s">
        <v>86</v>
      </c>
    </row>
    <row r="40" spans="1:5">
      <c r="A40" s="21" t="s">
        <v>426</v>
      </c>
      <c r="B40" s="5" t="s">
        <v>81</v>
      </c>
      <c r="C40" s="5" t="s">
        <v>199</v>
      </c>
      <c r="D40" s="5" t="s">
        <v>29</v>
      </c>
      <c r="E40" s="25" t="s">
        <v>440</v>
      </c>
    </row>
    <row r="41" spans="1:5">
      <c r="A41" s="21" t="s">
        <v>429</v>
      </c>
      <c r="B41" s="5" t="s">
        <v>81</v>
      </c>
      <c r="C41" s="5" t="s">
        <v>199</v>
      </c>
      <c r="D41" s="5" t="s">
        <v>54</v>
      </c>
      <c r="E41" s="25" t="s">
        <v>441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9:L9"/>
    <mergeCell ref="A12:L12"/>
    <mergeCell ref="A16:L16"/>
    <mergeCell ref="K3:K4"/>
    <mergeCell ref="L3:L4"/>
    <mergeCell ref="M3:M4"/>
    <mergeCell ref="A5:L5"/>
  </mergeCells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414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413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3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412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7.71093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8.85546875" style="5" bestFit="1" customWidth="1"/>
    <col min="14" max="16384" width="9.140625" style="4"/>
  </cols>
  <sheetData>
    <row r="1" spans="1:13" s="3" customFormat="1" ht="29.1" customHeight="1">
      <c r="A1" s="50" t="s">
        <v>364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333</v>
      </c>
      <c r="B6" s="8" t="s">
        <v>334</v>
      </c>
      <c r="C6" s="8" t="s">
        <v>335</v>
      </c>
      <c r="D6" s="8" t="str">
        <f>"0,7913"</f>
        <v>0,7913</v>
      </c>
      <c r="E6" s="8" t="s">
        <v>20</v>
      </c>
      <c r="F6" s="8" t="s">
        <v>21</v>
      </c>
      <c r="G6" s="10" t="s">
        <v>336</v>
      </c>
      <c r="H6" s="9" t="s">
        <v>336</v>
      </c>
      <c r="I6" s="10" t="s">
        <v>199</v>
      </c>
      <c r="J6" s="10"/>
      <c r="K6" s="8" t="str">
        <f>"105,0"</f>
        <v>105,0</v>
      </c>
      <c r="L6" s="9" t="str">
        <f>"83,0865"</f>
        <v>83,0865</v>
      </c>
      <c r="M6" s="8" t="s">
        <v>365</v>
      </c>
    </row>
    <row r="8" spans="1:13" ht="15">
      <c r="A8" s="51" t="s">
        <v>122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367</v>
      </c>
      <c r="B9" s="8" t="s">
        <v>368</v>
      </c>
      <c r="C9" s="8" t="s">
        <v>369</v>
      </c>
      <c r="D9" s="8" t="str">
        <f>"0,6405"</f>
        <v>0,6405</v>
      </c>
      <c r="E9" s="8" t="s">
        <v>37</v>
      </c>
      <c r="F9" s="8" t="s">
        <v>21</v>
      </c>
      <c r="G9" s="9" t="s">
        <v>40</v>
      </c>
      <c r="H9" s="10" t="s">
        <v>54</v>
      </c>
      <c r="I9" s="9" t="s">
        <v>54</v>
      </c>
      <c r="J9" s="10"/>
      <c r="K9" s="8" t="str">
        <f>"180,0"</f>
        <v>180,0</v>
      </c>
      <c r="L9" s="9" t="str">
        <f>"115,2900"</f>
        <v>115,2900</v>
      </c>
      <c r="M9" s="8" t="s">
        <v>43</v>
      </c>
    </row>
    <row r="11" spans="1:13" ht="15">
      <c r="A11" s="51" t="s">
        <v>44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3">
      <c r="A12" s="12" t="s">
        <v>371</v>
      </c>
      <c r="B12" s="12" t="s">
        <v>372</v>
      </c>
      <c r="C12" s="12" t="s">
        <v>373</v>
      </c>
      <c r="D12" s="12" t="str">
        <f>"0,5717"</f>
        <v>0,5717</v>
      </c>
      <c r="E12" s="12" t="s">
        <v>276</v>
      </c>
      <c r="F12" s="12" t="s">
        <v>374</v>
      </c>
      <c r="G12" s="14" t="s">
        <v>57</v>
      </c>
      <c r="H12" s="13" t="s">
        <v>57</v>
      </c>
      <c r="I12" s="14" t="s">
        <v>375</v>
      </c>
      <c r="J12" s="14"/>
      <c r="K12" s="12" t="str">
        <f>"275,0"</f>
        <v>275,0</v>
      </c>
      <c r="L12" s="13" t="str">
        <f>"157,2175"</f>
        <v>157,2175</v>
      </c>
      <c r="M12" s="12" t="s">
        <v>43</v>
      </c>
    </row>
    <row r="13" spans="1:13">
      <c r="A13" s="26" t="s">
        <v>377</v>
      </c>
      <c r="B13" s="26" t="s">
        <v>378</v>
      </c>
      <c r="C13" s="26" t="s">
        <v>379</v>
      </c>
      <c r="D13" s="26" t="str">
        <f>"0,5630"</f>
        <v>0,5630</v>
      </c>
      <c r="E13" s="26" t="s">
        <v>244</v>
      </c>
      <c r="F13" s="26" t="s">
        <v>380</v>
      </c>
      <c r="G13" s="28" t="s">
        <v>28</v>
      </c>
      <c r="H13" s="27" t="s">
        <v>381</v>
      </c>
      <c r="I13" s="28" t="s">
        <v>381</v>
      </c>
      <c r="J13" s="27"/>
      <c r="K13" s="26" t="str">
        <f>"272,5"</f>
        <v>272,5</v>
      </c>
      <c r="L13" s="28" t="str">
        <f>"153,4175"</f>
        <v>153,4175</v>
      </c>
      <c r="M13" s="26" t="s">
        <v>43</v>
      </c>
    </row>
    <row r="14" spans="1:13">
      <c r="A14" s="15" t="s">
        <v>383</v>
      </c>
      <c r="B14" s="15" t="s">
        <v>384</v>
      </c>
      <c r="C14" s="15" t="s">
        <v>385</v>
      </c>
      <c r="D14" s="15" t="str">
        <f>"0,5685"</f>
        <v>0,5685</v>
      </c>
      <c r="E14" s="15" t="s">
        <v>20</v>
      </c>
      <c r="F14" s="15" t="s">
        <v>304</v>
      </c>
      <c r="G14" s="16" t="s">
        <v>42</v>
      </c>
      <c r="H14" s="17" t="s">
        <v>381</v>
      </c>
      <c r="I14" s="17" t="s">
        <v>381</v>
      </c>
      <c r="J14" s="17"/>
      <c r="K14" s="15" t="str">
        <f>"250,0"</f>
        <v>250,0</v>
      </c>
      <c r="L14" s="16" t="str">
        <f>"142,1250"</f>
        <v>142,1250</v>
      </c>
      <c r="M14" s="15" t="s">
        <v>43</v>
      </c>
    </row>
    <row r="16" spans="1:13" ht="15">
      <c r="A16" s="51" t="s">
        <v>166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3">
      <c r="A17" s="8" t="s">
        <v>387</v>
      </c>
      <c r="B17" s="8" t="s">
        <v>388</v>
      </c>
      <c r="C17" s="8" t="s">
        <v>389</v>
      </c>
      <c r="D17" s="8" t="str">
        <f>"0,5414"</f>
        <v>0,5414</v>
      </c>
      <c r="E17" s="8" t="s">
        <v>120</v>
      </c>
      <c r="F17" s="8" t="s">
        <v>121</v>
      </c>
      <c r="G17" s="9" t="s">
        <v>390</v>
      </c>
      <c r="H17" s="10" t="s">
        <v>56</v>
      </c>
      <c r="I17" s="10" t="s">
        <v>56</v>
      </c>
      <c r="J17" s="10"/>
      <c r="K17" s="8" t="str">
        <f>"252,5"</f>
        <v>252,5</v>
      </c>
      <c r="L17" s="9" t="str">
        <f>"136,7035"</f>
        <v>136,7035</v>
      </c>
      <c r="M17" s="8" t="s">
        <v>43</v>
      </c>
    </row>
    <row r="19" spans="1:13" ht="15">
      <c r="A19" s="51" t="s">
        <v>65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>
      <c r="A20" s="12" t="s">
        <v>172</v>
      </c>
      <c r="B20" s="12" t="s">
        <v>173</v>
      </c>
      <c r="C20" s="12" t="s">
        <v>174</v>
      </c>
      <c r="D20" s="12" t="str">
        <f>"0,5260"</f>
        <v>0,5260</v>
      </c>
      <c r="E20" s="12" t="s">
        <v>391</v>
      </c>
      <c r="F20" s="12" t="s">
        <v>21</v>
      </c>
      <c r="G20" s="13" t="s">
        <v>199</v>
      </c>
      <c r="H20" s="14" t="s">
        <v>133</v>
      </c>
      <c r="I20" s="14" t="s">
        <v>133</v>
      </c>
      <c r="J20" s="14"/>
      <c r="K20" s="12" t="str">
        <f>"110,0"</f>
        <v>110,0</v>
      </c>
      <c r="L20" s="13" t="str">
        <f>"65,3818"</f>
        <v>65,3818</v>
      </c>
      <c r="M20" s="12" t="s">
        <v>43</v>
      </c>
    </row>
    <row r="21" spans="1:13">
      <c r="A21" s="15" t="s">
        <v>393</v>
      </c>
      <c r="B21" s="15" t="s">
        <v>394</v>
      </c>
      <c r="C21" s="15" t="s">
        <v>395</v>
      </c>
      <c r="D21" s="15" t="str">
        <f>"0,5332"</f>
        <v>0,5332</v>
      </c>
      <c r="E21" s="15" t="s">
        <v>244</v>
      </c>
      <c r="F21" s="15" t="s">
        <v>380</v>
      </c>
      <c r="G21" s="16" t="s">
        <v>30</v>
      </c>
      <c r="H21" s="16" t="s">
        <v>239</v>
      </c>
      <c r="I21" s="16" t="s">
        <v>396</v>
      </c>
      <c r="J21" s="17"/>
      <c r="K21" s="15" t="str">
        <f>"330,0"</f>
        <v>330,0</v>
      </c>
      <c r="L21" s="16" t="str">
        <f>"175,9560"</f>
        <v>175,9560</v>
      </c>
      <c r="M21" s="15" t="s">
        <v>43</v>
      </c>
    </row>
    <row r="23" spans="1:13" ht="15">
      <c r="A23" s="51" t="s">
        <v>348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3">
      <c r="A24" s="8" t="s">
        <v>398</v>
      </c>
      <c r="B24" s="8" t="s">
        <v>399</v>
      </c>
      <c r="C24" s="8" t="s">
        <v>400</v>
      </c>
      <c r="D24" s="8" t="str">
        <f>"0,5041"</f>
        <v>0,5041</v>
      </c>
      <c r="E24" s="8" t="s">
        <v>20</v>
      </c>
      <c r="F24" s="8" t="s">
        <v>21</v>
      </c>
      <c r="G24" s="9" t="s">
        <v>239</v>
      </c>
      <c r="H24" s="10" t="s">
        <v>401</v>
      </c>
      <c r="I24" s="10"/>
      <c r="J24" s="10"/>
      <c r="K24" s="8" t="str">
        <f>"320,0"</f>
        <v>320,0</v>
      </c>
      <c r="L24" s="9" t="str">
        <f>"161,2960"</f>
        <v>161,2960</v>
      </c>
      <c r="M24" s="8" t="s">
        <v>402</v>
      </c>
    </row>
    <row r="26" spans="1:13" ht="15">
      <c r="E26" s="18" t="s">
        <v>74</v>
      </c>
    </row>
    <row r="27" spans="1:13" ht="15">
      <c r="E27" s="18" t="s">
        <v>75</v>
      </c>
    </row>
    <row r="28" spans="1:13" ht="15">
      <c r="E28" s="18" t="s">
        <v>76</v>
      </c>
    </row>
    <row r="29" spans="1:13" ht="15">
      <c r="E29" s="18" t="s">
        <v>77</v>
      </c>
    </row>
    <row r="30" spans="1:13" ht="15">
      <c r="E30" s="18" t="s">
        <v>77</v>
      </c>
    </row>
    <row r="31" spans="1:13" ht="15">
      <c r="E31" s="18" t="s">
        <v>78</v>
      </c>
    </row>
    <row r="32" spans="1:13" ht="15">
      <c r="E32" s="18"/>
    </row>
    <row r="34" spans="1:5" ht="18">
      <c r="A34" s="19" t="s">
        <v>79</v>
      </c>
      <c r="B34" s="19"/>
    </row>
    <row r="35" spans="1:5" ht="15">
      <c r="A35" s="20" t="s">
        <v>254</v>
      </c>
      <c r="B35" s="20"/>
    </row>
    <row r="36" spans="1:5" ht="14.25">
      <c r="A36" s="22"/>
      <c r="B36" s="23" t="s">
        <v>81</v>
      </c>
    </row>
    <row r="37" spans="1:5" ht="15">
      <c r="A37" s="24" t="s">
        <v>82</v>
      </c>
      <c r="B37" s="24" t="s">
        <v>83</v>
      </c>
      <c r="C37" s="24" t="s">
        <v>84</v>
      </c>
      <c r="D37" s="24" t="s">
        <v>85</v>
      </c>
      <c r="E37" s="24" t="s">
        <v>86</v>
      </c>
    </row>
    <row r="38" spans="1:5">
      <c r="A38" s="21" t="s">
        <v>332</v>
      </c>
      <c r="B38" s="5" t="s">
        <v>81</v>
      </c>
      <c r="C38" s="5" t="s">
        <v>87</v>
      </c>
      <c r="D38" s="5" t="s">
        <v>336</v>
      </c>
      <c r="E38" s="25" t="s">
        <v>403</v>
      </c>
    </row>
    <row r="41" spans="1:5" ht="15">
      <c r="A41" s="20" t="s">
        <v>80</v>
      </c>
      <c r="B41" s="20"/>
    </row>
    <row r="42" spans="1:5" ht="14.25">
      <c r="A42" s="22"/>
      <c r="B42" s="23" t="s">
        <v>190</v>
      </c>
    </row>
    <row r="43" spans="1:5" ht="15">
      <c r="A43" s="24" t="s">
        <v>82</v>
      </c>
      <c r="B43" s="24" t="s">
        <v>83</v>
      </c>
      <c r="C43" s="24" t="s">
        <v>84</v>
      </c>
      <c r="D43" s="24" t="s">
        <v>85</v>
      </c>
      <c r="E43" s="24" t="s">
        <v>86</v>
      </c>
    </row>
    <row r="44" spans="1:5">
      <c r="A44" s="21" t="s">
        <v>171</v>
      </c>
      <c r="B44" s="5" t="s">
        <v>191</v>
      </c>
      <c r="C44" s="5" t="s">
        <v>90</v>
      </c>
      <c r="D44" s="5" t="s">
        <v>199</v>
      </c>
      <c r="E44" s="25" t="s">
        <v>404</v>
      </c>
    </row>
    <row r="46" spans="1:5" ht="14.25">
      <c r="A46" s="22"/>
      <c r="B46" s="23" t="s">
        <v>81</v>
      </c>
    </row>
    <row r="47" spans="1:5" ht="15">
      <c r="A47" s="24" t="s">
        <v>82</v>
      </c>
      <c r="B47" s="24" t="s">
        <v>83</v>
      </c>
      <c r="C47" s="24" t="s">
        <v>84</v>
      </c>
      <c r="D47" s="24" t="s">
        <v>85</v>
      </c>
      <c r="E47" s="24" t="s">
        <v>86</v>
      </c>
    </row>
    <row r="48" spans="1:5">
      <c r="A48" s="21" t="s">
        <v>392</v>
      </c>
      <c r="B48" s="5" t="s">
        <v>81</v>
      </c>
      <c r="C48" s="5" t="s">
        <v>90</v>
      </c>
      <c r="D48" s="5" t="s">
        <v>396</v>
      </c>
      <c r="E48" s="25" t="s">
        <v>405</v>
      </c>
    </row>
    <row r="49" spans="1:5">
      <c r="A49" s="21" t="s">
        <v>397</v>
      </c>
      <c r="B49" s="5" t="s">
        <v>81</v>
      </c>
      <c r="C49" s="5" t="s">
        <v>115</v>
      </c>
      <c r="D49" s="5" t="s">
        <v>239</v>
      </c>
      <c r="E49" s="25" t="s">
        <v>406</v>
      </c>
    </row>
    <row r="50" spans="1:5">
      <c r="A50" s="21" t="s">
        <v>370</v>
      </c>
      <c r="B50" s="5" t="s">
        <v>81</v>
      </c>
      <c r="C50" s="5" t="s">
        <v>93</v>
      </c>
      <c r="D50" s="5" t="s">
        <v>57</v>
      </c>
      <c r="E50" s="25" t="s">
        <v>407</v>
      </c>
    </row>
    <row r="51" spans="1:5">
      <c r="A51" s="21" t="s">
        <v>376</v>
      </c>
      <c r="B51" s="5" t="s">
        <v>81</v>
      </c>
      <c r="C51" s="5" t="s">
        <v>93</v>
      </c>
      <c r="D51" s="5" t="s">
        <v>381</v>
      </c>
      <c r="E51" s="25" t="s">
        <v>408</v>
      </c>
    </row>
    <row r="52" spans="1:5">
      <c r="A52" s="21" t="s">
        <v>382</v>
      </c>
      <c r="B52" s="5" t="s">
        <v>81</v>
      </c>
      <c r="C52" s="5" t="s">
        <v>93</v>
      </c>
      <c r="D52" s="5" t="s">
        <v>42</v>
      </c>
      <c r="E52" s="25" t="s">
        <v>409</v>
      </c>
    </row>
    <row r="53" spans="1:5">
      <c r="A53" s="21" t="s">
        <v>386</v>
      </c>
      <c r="B53" s="5" t="s">
        <v>81</v>
      </c>
      <c r="C53" s="5" t="s">
        <v>199</v>
      </c>
      <c r="D53" s="5" t="s">
        <v>390</v>
      </c>
      <c r="E53" s="25" t="s">
        <v>410</v>
      </c>
    </row>
    <row r="54" spans="1:5">
      <c r="A54" s="21" t="s">
        <v>366</v>
      </c>
      <c r="B54" s="5" t="s">
        <v>81</v>
      </c>
      <c r="C54" s="5" t="s">
        <v>204</v>
      </c>
      <c r="D54" s="5" t="s">
        <v>54</v>
      </c>
      <c r="E54" s="25" t="s">
        <v>411</v>
      </c>
    </row>
  </sheetData>
  <mergeCells count="17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23:L23"/>
    <mergeCell ref="A8:L8"/>
    <mergeCell ref="A11:L11"/>
    <mergeCell ref="A16:L16"/>
    <mergeCell ref="A19:L19"/>
    <mergeCell ref="K3:K4"/>
    <mergeCell ref="L3:L4"/>
  </mergeCells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38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42578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0.42578125" style="5" bestFit="1" customWidth="1"/>
    <col min="22" max="16384" width="9.140625" style="4"/>
  </cols>
  <sheetData>
    <row r="1" spans="1:21" s="3" customFormat="1" ht="29.1" customHeight="1">
      <c r="A1" s="50" t="s">
        <v>331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6</v>
      </c>
      <c r="U3" s="37" t="s">
        <v>5</v>
      </c>
    </row>
    <row r="4" spans="1:2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8"/>
      <c r="T4" s="48"/>
      <c r="U4" s="38"/>
    </row>
    <row r="5" spans="1:21" ht="15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333</v>
      </c>
      <c r="B6" s="8" t="s">
        <v>334</v>
      </c>
      <c r="C6" s="8" t="s">
        <v>335</v>
      </c>
      <c r="D6" s="8" t="str">
        <f>"0,7913"</f>
        <v>0,7913</v>
      </c>
      <c r="E6" s="8" t="s">
        <v>20</v>
      </c>
      <c r="F6" s="8" t="s">
        <v>21</v>
      </c>
      <c r="G6" s="9" t="s">
        <v>186</v>
      </c>
      <c r="H6" s="9" t="s">
        <v>25</v>
      </c>
      <c r="I6" s="10" t="s">
        <v>40</v>
      </c>
      <c r="J6" s="10"/>
      <c r="K6" s="10" t="s">
        <v>336</v>
      </c>
      <c r="L6" s="9" t="s">
        <v>336</v>
      </c>
      <c r="M6" s="10" t="s">
        <v>199</v>
      </c>
      <c r="N6" s="10"/>
      <c r="O6" s="10" t="s">
        <v>186</v>
      </c>
      <c r="P6" s="9" t="s">
        <v>186</v>
      </c>
      <c r="Q6" s="10" t="s">
        <v>337</v>
      </c>
      <c r="R6" s="10"/>
      <c r="S6" s="8" t="str">
        <f>"405,0"</f>
        <v>405,0</v>
      </c>
      <c r="T6" s="9" t="str">
        <f>"320,4765"</f>
        <v>320,4765</v>
      </c>
      <c r="U6" s="8" t="s">
        <v>338</v>
      </c>
    </row>
    <row r="8" spans="1:21" ht="15">
      <c r="A8" s="51" t="s">
        <v>32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1">
      <c r="A9" s="12" t="s">
        <v>340</v>
      </c>
      <c r="B9" s="12" t="s">
        <v>341</v>
      </c>
      <c r="C9" s="12" t="s">
        <v>342</v>
      </c>
      <c r="D9" s="12" t="str">
        <f>"0,5969"</f>
        <v>0,5969</v>
      </c>
      <c r="E9" s="12" t="s">
        <v>20</v>
      </c>
      <c r="F9" s="12" t="s">
        <v>21</v>
      </c>
      <c r="G9" s="13" t="s">
        <v>56</v>
      </c>
      <c r="H9" s="13" t="s">
        <v>30</v>
      </c>
      <c r="I9" s="13" t="s">
        <v>238</v>
      </c>
      <c r="J9" s="14"/>
      <c r="K9" s="13" t="s">
        <v>52</v>
      </c>
      <c r="L9" s="13" t="s">
        <v>224</v>
      </c>
      <c r="M9" s="14" t="s">
        <v>343</v>
      </c>
      <c r="N9" s="14"/>
      <c r="O9" s="13" t="s">
        <v>41</v>
      </c>
      <c r="P9" s="13" t="s">
        <v>343</v>
      </c>
      <c r="Q9" s="13" t="s">
        <v>29</v>
      </c>
      <c r="R9" s="14"/>
      <c r="S9" s="12" t="str">
        <f>"815,0"</f>
        <v>815,0</v>
      </c>
      <c r="T9" s="13" t="str">
        <f>"486,4735"</f>
        <v>486,4735</v>
      </c>
      <c r="U9" s="12" t="s">
        <v>43</v>
      </c>
    </row>
    <row r="10" spans="1:21">
      <c r="A10" s="15" t="s">
        <v>345</v>
      </c>
      <c r="B10" s="15" t="s">
        <v>346</v>
      </c>
      <c r="C10" s="15" t="s">
        <v>347</v>
      </c>
      <c r="D10" s="15" t="str">
        <f>"0,6055"</f>
        <v>0,6055</v>
      </c>
      <c r="E10" s="15" t="s">
        <v>20</v>
      </c>
      <c r="F10" s="15" t="s">
        <v>21</v>
      </c>
      <c r="G10" s="16" t="s">
        <v>38</v>
      </c>
      <c r="H10" s="16" t="s">
        <v>23</v>
      </c>
      <c r="I10" s="17" t="s">
        <v>24</v>
      </c>
      <c r="J10" s="17"/>
      <c r="K10" s="16" t="s">
        <v>158</v>
      </c>
      <c r="L10" s="16" t="s">
        <v>63</v>
      </c>
      <c r="M10" s="17" t="s">
        <v>51</v>
      </c>
      <c r="N10" s="17"/>
      <c r="O10" s="16" t="s">
        <v>158</v>
      </c>
      <c r="P10" s="16" t="s">
        <v>38</v>
      </c>
      <c r="Q10" s="17"/>
      <c r="R10" s="17"/>
      <c r="S10" s="15" t="str">
        <f>"625,0"</f>
        <v>625,0</v>
      </c>
      <c r="T10" s="16" t="str">
        <f>"378,4375"</f>
        <v>378,4375</v>
      </c>
      <c r="U10" s="15" t="s">
        <v>43</v>
      </c>
    </row>
    <row r="12" spans="1:21" ht="15">
      <c r="A12" s="51" t="s">
        <v>348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1">
      <c r="A13" s="8" t="s">
        <v>350</v>
      </c>
      <c r="B13" s="8" t="s">
        <v>351</v>
      </c>
      <c r="C13" s="8" t="s">
        <v>352</v>
      </c>
      <c r="D13" s="8" t="str">
        <f>"0,5055"</f>
        <v>0,5055</v>
      </c>
      <c r="E13" s="8" t="s">
        <v>353</v>
      </c>
      <c r="F13" s="8" t="s">
        <v>127</v>
      </c>
      <c r="G13" s="9" t="s">
        <v>24</v>
      </c>
      <c r="H13" s="9" t="s">
        <v>354</v>
      </c>
      <c r="I13" s="9" t="s">
        <v>42</v>
      </c>
      <c r="J13" s="10"/>
      <c r="K13" s="9" t="s">
        <v>306</v>
      </c>
      <c r="L13" s="10" t="s">
        <v>158</v>
      </c>
      <c r="M13" s="10" t="s">
        <v>158</v>
      </c>
      <c r="N13" s="10"/>
      <c r="O13" s="9" t="s">
        <v>253</v>
      </c>
      <c r="P13" s="10"/>
      <c r="Q13" s="10"/>
      <c r="R13" s="10"/>
      <c r="S13" s="8" t="str">
        <f>"645,0"</f>
        <v>645,0</v>
      </c>
      <c r="T13" s="9" t="str">
        <f>"332,5553"</f>
        <v>332,5553</v>
      </c>
      <c r="U13" s="8" t="s">
        <v>43</v>
      </c>
    </row>
    <row r="15" spans="1:21" ht="15">
      <c r="E15" s="18" t="s">
        <v>74</v>
      </c>
    </row>
    <row r="16" spans="1:21" ht="15">
      <c r="E16" s="18" t="s">
        <v>75</v>
      </c>
    </row>
    <row r="17" spans="1:5" ht="15">
      <c r="E17" s="18" t="s">
        <v>76</v>
      </c>
    </row>
    <row r="18" spans="1:5" ht="15">
      <c r="E18" s="18" t="s">
        <v>77</v>
      </c>
    </row>
    <row r="19" spans="1:5" ht="15">
      <c r="E19" s="18" t="s">
        <v>77</v>
      </c>
    </row>
    <row r="20" spans="1:5" ht="15">
      <c r="E20" s="18" t="s">
        <v>78</v>
      </c>
    </row>
    <row r="21" spans="1:5" ht="15">
      <c r="E21" s="18"/>
    </row>
    <row r="23" spans="1:5" ht="18">
      <c r="A23" s="19" t="s">
        <v>79</v>
      </c>
      <c r="B23" s="19"/>
    </row>
    <row r="24" spans="1:5" ht="15">
      <c r="A24" s="20" t="s">
        <v>254</v>
      </c>
      <c r="B24" s="20"/>
    </row>
    <row r="25" spans="1:5" ht="14.25">
      <c r="A25" s="22"/>
      <c r="B25" s="23" t="s">
        <v>81</v>
      </c>
    </row>
    <row r="26" spans="1:5" ht="15">
      <c r="A26" s="24" t="s">
        <v>82</v>
      </c>
      <c r="B26" s="24" t="s">
        <v>83</v>
      </c>
      <c r="C26" s="24" t="s">
        <v>84</v>
      </c>
      <c r="D26" s="24" t="s">
        <v>85</v>
      </c>
      <c r="E26" s="24" t="s">
        <v>86</v>
      </c>
    </row>
    <row r="27" spans="1:5">
      <c r="A27" s="21" t="s">
        <v>332</v>
      </c>
      <c r="B27" s="5" t="s">
        <v>81</v>
      </c>
      <c r="C27" s="5" t="s">
        <v>87</v>
      </c>
      <c r="D27" s="5" t="s">
        <v>355</v>
      </c>
      <c r="E27" s="25" t="s">
        <v>356</v>
      </c>
    </row>
    <row r="30" spans="1:5" ht="15">
      <c r="A30" s="20" t="s">
        <v>80</v>
      </c>
      <c r="B30" s="20"/>
    </row>
    <row r="31" spans="1:5" ht="14.25">
      <c r="A31" s="22"/>
      <c r="B31" s="23" t="s">
        <v>357</v>
      </c>
    </row>
    <row r="32" spans="1:5" ht="15">
      <c r="A32" s="24" t="s">
        <v>82</v>
      </c>
      <c r="B32" s="24" t="s">
        <v>83</v>
      </c>
      <c r="C32" s="24" t="s">
        <v>84</v>
      </c>
      <c r="D32" s="24" t="s">
        <v>85</v>
      </c>
      <c r="E32" s="24" t="s">
        <v>86</v>
      </c>
    </row>
    <row r="33" spans="1:5">
      <c r="A33" s="21" t="s">
        <v>349</v>
      </c>
      <c r="B33" s="5" t="s">
        <v>256</v>
      </c>
      <c r="C33" s="5" t="s">
        <v>115</v>
      </c>
      <c r="D33" s="5" t="s">
        <v>358</v>
      </c>
      <c r="E33" s="25" t="s">
        <v>359</v>
      </c>
    </row>
    <row r="35" spans="1:5" ht="14.25">
      <c r="A35" s="22"/>
      <c r="B35" s="23" t="s">
        <v>81</v>
      </c>
    </row>
    <row r="36" spans="1:5" ht="15">
      <c r="A36" s="24" t="s">
        <v>82</v>
      </c>
      <c r="B36" s="24" t="s">
        <v>83</v>
      </c>
      <c r="C36" s="24" t="s">
        <v>84</v>
      </c>
      <c r="D36" s="24" t="s">
        <v>85</v>
      </c>
      <c r="E36" s="24" t="s">
        <v>86</v>
      </c>
    </row>
    <row r="37" spans="1:5">
      <c r="A37" s="21" t="s">
        <v>339</v>
      </c>
      <c r="B37" s="5" t="s">
        <v>81</v>
      </c>
      <c r="C37" s="5" t="s">
        <v>98</v>
      </c>
      <c r="D37" s="5" t="s">
        <v>360</v>
      </c>
      <c r="E37" s="25" t="s">
        <v>361</v>
      </c>
    </row>
    <row r="38" spans="1:5">
      <c r="A38" s="21" t="s">
        <v>344</v>
      </c>
      <c r="B38" s="5" t="s">
        <v>81</v>
      </c>
      <c r="C38" s="5" t="s">
        <v>98</v>
      </c>
      <c r="D38" s="5" t="s">
        <v>362</v>
      </c>
      <c r="E38" s="25" t="s">
        <v>363</v>
      </c>
    </row>
  </sheetData>
  <mergeCells count="16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T8"/>
    <mergeCell ref="A12:T12"/>
    <mergeCell ref="S3:S4"/>
    <mergeCell ref="T3:T4"/>
    <mergeCell ref="U3:U4"/>
    <mergeCell ref="A5:T5"/>
  </mergeCells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330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329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3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328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3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321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323</v>
      </c>
      <c r="B6" s="8" t="s">
        <v>324</v>
      </c>
      <c r="C6" s="8" t="s">
        <v>325</v>
      </c>
      <c r="D6" s="8" t="str">
        <f>"0,5605"</f>
        <v>0,5605</v>
      </c>
      <c r="E6" s="8" t="s">
        <v>37</v>
      </c>
      <c r="F6" s="8" t="s">
        <v>21</v>
      </c>
      <c r="G6" s="9" t="s">
        <v>133</v>
      </c>
      <c r="H6" s="9" t="s">
        <v>40</v>
      </c>
      <c r="I6" s="9" t="s">
        <v>54</v>
      </c>
      <c r="J6" s="10"/>
      <c r="K6" s="8" t="str">
        <f>"180,0"</f>
        <v>180,0</v>
      </c>
      <c r="L6" s="9" t="str">
        <f>"100,8900"</f>
        <v>100,8900</v>
      </c>
      <c r="M6" s="8" t="s">
        <v>43</v>
      </c>
    </row>
    <row r="8" spans="1:13" ht="15">
      <c r="A8" s="51" t="s">
        <v>65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67</v>
      </c>
      <c r="B9" s="8" t="s">
        <v>68</v>
      </c>
      <c r="C9" s="8" t="s">
        <v>69</v>
      </c>
      <c r="D9" s="8" t="str">
        <f>"0,5258"</f>
        <v>0,5258</v>
      </c>
      <c r="E9" s="8" t="s">
        <v>70</v>
      </c>
      <c r="F9" s="8" t="s">
        <v>71</v>
      </c>
      <c r="G9" s="9" t="s">
        <v>30</v>
      </c>
      <c r="H9" s="9" t="s">
        <v>72</v>
      </c>
      <c r="I9" s="9" t="s">
        <v>73</v>
      </c>
      <c r="J9" s="10"/>
      <c r="K9" s="8" t="str">
        <f>"315,0"</f>
        <v>315,0</v>
      </c>
      <c r="L9" s="9" t="str">
        <f>"165,6270"</f>
        <v>165,6270</v>
      </c>
      <c r="M9" s="8" t="s">
        <v>43</v>
      </c>
    </row>
    <row r="11" spans="1:13" ht="15">
      <c r="E11" s="18" t="s">
        <v>74</v>
      </c>
    </row>
    <row r="12" spans="1:13" ht="15">
      <c r="E12" s="18" t="s">
        <v>75</v>
      </c>
    </row>
    <row r="13" spans="1:13" ht="15">
      <c r="E13" s="18" t="s">
        <v>76</v>
      </c>
    </row>
    <row r="14" spans="1:13" ht="15">
      <c r="E14" s="18" t="s">
        <v>77</v>
      </c>
    </row>
    <row r="15" spans="1:13" ht="15">
      <c r="E15" s="18" t="s">
        <v>77</v>
      </c>
    </row>
    <row r="16" spans="1:13" ht="15">
      <c r="E16" s="18" t="s">
        <v>78</v>
      </c>
    </row>
    <row r="17" spans="1:5" ht="15">
      <c r="E17" s="18"/>
    </row>
    <row r="19" spans="1:5" ht="18">
      <c r="A19" s="19" t="s">
        <v>79</v>
      </c>
      <c r="B19" s="19"/>
    </row>
    <row r="20" spans="1:5" ht="15">
      <c r="A20" s="20" t="s">
        <v>80</v>
      </c>
      <c r="B20" s="20"/>
    </row>
    <row r="21" spans="1:5" ht="14.25">
      <c r="A21" s="22"/>
      <c r="B21" s="23" t="s">
        <v>81</v>
      </c>
    </row>
    <row r="22" spans="1:5" ht="15">
      <c r="A22" s="24" t="s">
        <v>82</v>
      </c>
      <c r="B22" s="24" t="s">
        <v>83</v>
      </c>
      <c r="C22" s="24" t="s">
        <v>84</v>
      </c>
      <c r="D22" s="24" t="s">
        <v>85</v>
      </c>
      <c r="E22" s="24" t="s">
        <v>86</v>
      </c>
    </row>
    <row r="23" spans="1:5">
      <c r="A23" s="21" t="s">
        <v>66</v>
      </c>
      <c r="B23" s="5" t="s">
        <v>81</v>
      </c>
      <c r="C23" s="5" t="s">
        <v>90</v>
      </c>
      <c r="D23" s="5" t="s">
        <v>73</v>
      </c>
      <c r="E23" s="25" t="s">
        <v>326</v>
      </c>
    </row>
    <row r="24" spans="1:5">
      <c r="A24" s="21" t="s">
        <v>322</v>
      </c>
      <c r="B24" s="5" t="s">
        <v>81</v>
      </c>
      <c r="C24" s="5" t="s">
        <v>93</v>
      </c>
      <c r="D24" s="5" t="s">
        <v>54</v>
      </c>
      <c r="E24" s="25" t="s">
        <v>327</v>
      </c>
    </row>
  </sheetData>
  <mergeCells count="13">
    <mergeCell ref="E3:E4"/>
    <mergeCell ref="F3:F4"/>
    <mergeCell ref="G3:J3"/>
    <mergeCell ref="A8:L8"/>
    <mergeCell ref="K3:K4"/>
    <mergeCell ref="L3:L4"/>
    <mergeCell ref="M3:M4"/>
    <mergeCell ref="A5:L5"/>
    <mergeCell ref="A1:M2"/>
    <mergeCell ref="A3:A4"/>
    <mergeCell ref="B3:B4"/>
    <mergeCell ref="C3:C4"/>
    <mergeCell ref="D3:D4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1300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3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6" sqref="E6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8" width="5.5703125" style="4" bestFit="1" customWidth="1"/>
    <col min="9" max="9" width="2.1406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5.7109375" style="5" bestFit="1" customWidth="1"/>
    <col min="14" max="16384" width="9.140625" style="4"/>
  </cols>
  <sheetData>
    <row r="1" spans="1:13" s="3" customFormat="1" ht="29.1" customHeight="1">
      <c r="A1" s="50" t="s">
        <v>313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65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315</v>
      </c>
      <c r="B6" s="8" t="s">
        <v>316</v>
      </c>
      <c r="C6" s="8" t="s">
        <v>317</v>
      </c>
      <c r="D6" s="8" t="str">
        <f>"0,5223"</f>
        <v>0,5223</v>
      </c>
      <c r="E6" s="8" t="s">
        <v>70</v>
      </c>
      <c r="F6" s="8" t="s">
        <v>318</v>
      </c>
      <c r="G6" s="9" t="s">
        <v>29</v>
      </c>
      <c r="H6" s="9" t="s">
        <v>238</v>
      </c>
      <c r="I6" s="10"/>
      <c r="J6" s="10"/>
      <c r="K6" s="8" t="str">
        <f>"290,0"</f>
        <v>290,0</v>
      </c>
      <c r="L6" s="9" t="str">
        <f>"151,4670"</f>
        <v>151,4670</v>
      </c>
      <c r="M6" s="8" t="s">
        <v>319</v>
      </c>
    </row>
    <row r="8" spans="1:13" ht="15">
      <c r="E8" s="18" t="s">
        <v>74</v>
      </c>
    </row>
    <row r="9" spans="1:13" ht="15">
      <c r="E9" s="18" t="s">
        <v>75</v>
      </c>
    </row>
    <row r="10" spans="1:13" ht="15">
      <c r="E10" s="18" t="s">
        <v>76</v>
      </c>
    </row>
    <row r="11" spans="1:13" ht="15">
      <c r="E11" s="18" t="s">
        <v>77</v>
      </c>
    </row>
    <row r="12" spans="1:13" ht="15">
      <c r="E12" s="18" t="s">
        <v>77</v>
      </c>
    </row>
    <row r="13" spans="1:13" ht="15">
      <c r="E13" s="18" t="s">
        <v>78</v>
      </c>
    </row>
    <row r="14" spans="1:13" ht="15">
      <c r="E14" s="18"/>
    </row>
    <row r="16" spans="1:13" ht="18">
      <c r="A16" s="19" t="s">
        <v>79</v>
      </c>
      <c r="B16" s="19"/>
    </row>
    <row r="17" spans="1:5" ht="15">
      <c r="A17" s="20" t="s">
        <v>80</v>
      </c>
      <c r="B17" s="20"/>
    </row>
    <row r="18" spans="1:5" ht="14.25">
      <c r="A18" s="22"/>
      <c r="B18" s="23" t="s">
        <v>81</v>
      </c>
    </row>
    <row r="19" spans="1:5" ht="15">
      <c r="A19" s="24" t="s">
        <v>82</v>
      </c>
      <c r="B19" s="24" t="s">
        <v>83</v>
      </c>
      <c r="C19" s="24" t="s">
        <v>84</v>
      </c>
      <c r="D19" s="24" t="s">
        <v>85</v>
      </c>
      <c r="E19" s="24" t="s">
        <v>86</v>
      </c>
    </row>
    <row r="20" spans="1:5">
      <c r="A20" s="21" t="s">
        <v>314</v>
      </c>
      <c r="B20" s="5" t="s">
        <v>81</v>
      </c>
      <c r="C20" s="5" t="s">
        <v>90</v>
      </c>
      <c r="D20" s="5" t="s">
        <v>238</v>
      </c>
      <c r="E20" s="25" t="s">
        <v>320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.57031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3.5703125" style="5" bestFit="1" customWidth="1"/>
    <col min="22" max="16384" width="9.140625" style="4"/>
  </cols>
  <sheetData>
    <row r="1" spans="1:21" s="3" customFormat="1" ht="29.1" customHeight="1">
      <c r="A1" s="50" t="s">
        <v>286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6</v>
      </c>
      <c r="U3" s="37" t="s">
        <v>5</v>
      </c>
    </row>
    <row r="4" spans="1:2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8"/>
      <c r="T4" s="48"/>
      <c r="U4" s="38"/>
    </row>
    <row r="5" spans="1:21" ht="15">
      <c r="A5" s="53" t="s">
        <v>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12" t="s">
        <v>288</v>
      </c>
      <c r="B6" s="12" t="s">
        <v>289</v>
      </c>
      <c r="C6" s="12" t="s">
        <v>290</v>
      </c>
      <c r="D6" s="12" t="str">
        <f>"0,5555"</f>
        <v>0,5555</v>
      </c>
      <c r="E6" s="12" t="s">
        <v>251</v>
      </c>
      <c r="F6" s="12" t="s">
        <v>291</v>
      </c>
      <c r="G6" s="13" t="s">
        <v>292</v>
      </c>
      <c r="H6" s="13" t="s">
        <v>293</v>
      </c>
      <c r="I6" s="13" t="s">
        <v>294</v>
      </c>
      <c r="J6" s="14"/>
      <c r="K6" s="13" t="s">
        <v>42</v>
      </c>
      <c r="L6" s="14" t="s">
        <v>29</v>
      </c>
      <c r="M6" s="14" t="s">
        <v>29</v>
      </c>
      <c r="N6" s="14"/>
      <c r="O6" s="13" t="s">
        <v>28</v>
      </c>
      <c r="P6" s="13" t="s">
        <v>30</v>
      </c>
      <c r="Q6" s="13" t="s">
        <v>238</v>
      </c>
      <c r="R6" s="14"/>
      <c r="S6" s="12" t="str">
        <f>"930,0"</f>
        <v>930,0</v>
      </c>
      <c r="T6" s="13" t="str">
        <f>"516,6150"</f>
        <v>516,6150</v>
      </c>
      <c r="U6" s="12" t="s">
        <v>295</v>
      </c>
    </row>
    <row r="7" spans="1:21">
      <c r="A7" s="26" t="s">
        <v>297</v>
      </c>
      <c r="B7" s="26" t="s">
        <v>298</v>
      </c>
      <c r="C7" s="26" t="s">
        <v>150</v>
      </c>
      <c r="D7" s="26" t="str">
        <f>"0,5597"</f>
        <v>0,5597</v>
      </c>
      <c r="E7" s="26" t="s">
        <v>251</v>
      </c>
      <c r="F7" s="26" t="s">
        <v>291</v>
      </c>
      <c r="G7" s="28" t="s">
        <v>253</v>
      </c>
      <c r="H7" s="28" t="s">
        <v>42</v>
      </c>
      <c r="I7" s="28" t="s">
        <v>56</v>
      </c>
      <c r="J7" s="27"/>
      <c r="K7" s="28" t="s">
        <v>133</v>
      </c>
      <c r="L7" s="28" t="s">
        <v>53</v>
      </c>
      <c r="M7" s="27" t="s">
        <v>158</v>
      </c>
      <c r="N7" s="27"/>
      <c r="O7" s="28" t="s">
        <v>41</v>
      </c>
      <c r="P7" s="28" t="s">
        <v>28</v>
      </c>
      <c r="Q7" s="27" t="s">
        <v>30</v>
      </c>
      <c r="R7" s="27"/>
      <c r="S7" s="26" t="str">
        <f>"695,0"</f>
        <v>695,0</v>
      </c>
      <c r="T7" s="28" t="str">
        <f>"388,9915"</f>
        <v>388,9915</v>
      </c>
      <c r="U7" s="26" t="s">
        <v>299</v>
      </c>
    </row>
    <row r="8" spans="1:21">
      <c r="A8" s="15" t="s">
        <v>301</v>
      </c>
      <c r="B8" s="15" t="s">
        <v>302</v>
      </c>
      <c r="C8" s="15" t="s">
        <v>303</v>
      </c>
      <c r="D8" s="15" t="str">
        <f>"0,5563"</f>
        <v>0,5563</v>
      </c>
      <c r="E8" s="15" t="s">
        <v>251</v>
      </c>
      <c r="F8" s="15" t="s">
        <v>304</v>
      </c>
      <c r="G8" s="16" t="s">
        <v>51</v>
      </c>
      <c r="H8" s="16" t="s">
        <v>42</v>
      </c>
      <c r="I8" s="16" t="s">
        <v>29</v>
      </c>
      <c r="J8" s="17"/>
      <c r="K8" s="16" t="s">
        <v>305</v>
      </c>
      <c r="L8" s="16" t="s">
        <v>40</v>
      </c>
      <c r="M8" s="16" t="s">
        <v>306</v>
      </c>
      <c r="N8" s="17"/>
      <c r="O8" s="16" t="s">
        <v>63</v>
      </c>
      <c r="P8" s="16" t="s">
        <v>51</v>
      </c>
      <c r="Q8" s="17" t="s">
        <v>41</v>
      </c>
      <c r="R8" s="17"/>
      <c r="S8" s="15" t="str">
        <f>"675,0"</f>
        <v>675,0</v>
      </c>
      <c r="T8" s="16" t="str">
        <f>"375,5025"</f>
        <v>375,5025</v>
      </c>
      <c r="U8" s="15" t="s">
        <v>43</v>
      </c>
    </row>
    <row r="10" spans="1:21" ht="15">
      <c r="E10" s="18" t="s">
        <v>74</v>
      </c>
    </row>
    <row r="11" spans="1:21" ht="15">
      <c r="E11" s="18" t="s">
        <v>75</v>
      </c>
    </row>
    <row r="12" spans="1:21" ht="15">
      <c r="E12" s="18" t="s">
        <v>76</v>
      </c>
    </row>
    <row r="13" spans="1:21" ht="15">
      <c r="E13" s="18" t="s">
        <v>77</v>
      </c>
    </row>
    <row r="14" spans="1:21" ht="15">
      <c r="E14" s="18" t="s">
        <v>77</v>
      </c>
    </row>
    <row r="15" spans="1:21" ht="15">
      <c r="E15" s="18" t="s">
        <v>78</v>
      </c>
    </row>
    <row r="16" spans="1:21" ht="15">
      <c r="E16" s="18"/>
    </row>
    <row r="18" spans="1:5" ht="18">
      <c r="A18" s="19" t="s">
        <v>79</v>
      </c>
      <c r="B18" s="19"/>
    </row>
    <row r="19" spans="1:5" ht="15">
      <c r="A19" s="20" t="s">
        <v>80</v>
      </c>
      <c r="B19" s="20"/>
    </row>
    <row r="20" spans="1:5" ht="14.25">
      <c r="A20" s="22"/>
      <c r="B20" s="23" t="s">
        <v>81</v>
      </c>
    </row>
    <row r="21" spans="1:5" ht="15">
      <c r="A21" s="24" t="s">
        <v>82</v>
      </c>
      <c r="B21" s="24" t="s">
        <v>83</v>
      </c>
      <c r="C21" s="24" t="s">
        <v>84</v>
      </c>
      <c r="D21" s="24" t="s">
        <v>85</v>
      </c>
      <c r="E21" s="24" t="s">
        <v>86</v>
      </c>
    </row>
    <row r="22" spans="1:5">
      <c r="A22" s="21" t="s">
        <v>287</v>
      </c>
      <c r="B22" s="5" t="s">
        <v>81</v>
      </c>
      <c r="C22" s="5" t="s">
        <v>93</v>
      </c>
      <c r="D22" s="5" t="s">
        <v>307</v>
      </c>
      <c r="E22" s="25" t="s">
        <v>308</v>
      </c>
    </row>
    <row r="23" spans="1:5">
      <c r="A23" s="21" t="s">
        <v>296</v>
      </c>
      <c r="B23" s="5" t="s">
        <v>81</v>
      </c>
      <c r="C23" s="5" t="s">
        <v>93</v>
      </c>
      <c r="D23" s="5" t="s">
        <v>309</v>
      </c>
      <c r="E23" s="25" t="s">
        <v>310</v>
      </c>
    </row>
    <row r="24" spans="1:5">
      <c r="A24" s="21" t="s">
        <v>300</v>
      </c>
      <c r="B24" s="5" t="s">
        <v>81</v>
      </c>
      <c r="C24" s="5" t="s">
        <v>93</v>
      </c>
      <c r="D24" s="5" t="s">
        <v>311</v>
      </c>
      <c r="E24" s="25" t="s">
        <v>312</v>
      </c>
    </row>
  </sheetData>
  <mergeCells count="14"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7.5703125" style="5" bestFit="1" customWidth="1"/>
    <col min="14" max="16384" width="9.140625" style="4"/>
  </cols>
  <sheetData>
    <row r="1" spans="1:13" s="3" customFormat="1" ht="29.1" customHeight="1">
      <c r="A1" s="50" t="s">
        <v>271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102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273</v>
      </c>
      <c r="B6" s="8" t="s">
        <v>274</v>
      </c>
      <c r="C6" s="8" t="s">
        <v>275</v>
      </c>
      <c r="D6" s="8" t="str">
        <f>"0,6972"</f>
        <v>0,6972</v>
      </c>
      <c r="E6" s="8" t="s">
        <v>276</v>
      </c>
      <c r="F6" s="8" t="s">
        <v>277</v>
      </c>
      <c r="G6" s="10" t="s">
        <v>39</v>
      </c>
      <c r="H6" s="9" t="s">
        <v>39</v>
      </c>
      <c r="I6" s="9" t="s">
        <v>40</v>
      </c>
      <c r="J6" s="10"/>
      <c r="K6" s="8" t="str">
        <f>"160,0"</f>
        <v>160,0</v>
      </c>
      <c r="L6" s="9" t="str">
        <f>"111,5520"</f>
        <v>111,5520</v>
      </c>
      <c r="M6" s="8" t="s">
        <v>278</v>
      </c>
    </row>
    <row r="8" spans="1:13" ht="15">
      <c r="A8" s="51" t="s">
        <v>32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279</v>
      </c>
      <c r="B9" s="8" t="s">
        <v>280</v>
      </c>
      <c r="C9" s="8" t="s">
        <v>281</v>
      </c>
      <c r="D9" s="8" t="str">
        <f>"0,5978"</f>
        <v>0,5978</v>
      </c>
      <c r="E9" s="8" t="s">
        <v>282</v>
      </c>
      <c r="F9" s="8" t="s">
        <v>283</v>
      </c>
      <c r="G9" s="10" t="s">
        <v>51</v>
      </c>
      <c r="H9" s="10" t="s">
        <v>51</v>
      </c>
      <c r="I9" s="10" t="s">
        <v>41</v>
      </c>
      <c r="J9" s="10"/>
      <c r="K9" s="8" t="str">
        <f>"0,0"</f>
        <v>0,0</v>
      </c>
      <c r="L9" s="9" t="str">
        <f>"0,0000"</f>
        <v>0,0000</v>
      </c>
      <c r="M9" s="8" t="s">
        <v>284</v>
      </c>
    </row>
    <row r="11" spans="1:13" ht="15">
      <c r="E11" s="18" t="s">
        <v>74</v>
      </c>
    </row>
    <row r="12" spans="1:13" ht="15">
      <c r="E12" s="18" t="s">
        <v>75</v>
      </c>
    </row>
    <row r="13" spans="1:13" ht="15">
      <c r="E13" s="18" t="s">
        <v>76</v>
      </c>
    </row>
    <row r="14" spans="1:13" ht="15">
      <c r="E14" s="18" t="s">
        <v>77</v>
      </c>
    </row>
    <row r="15" spans="1:13" ht="15">
      <c r="E15" s="18" t="s">
        <v>77</v>
      </c>
    </row>
    <row r="16" spans="1:13" ht="15">
      <c r="E16" s="18" t="s">
        <v>78</v>
      </c>
    </row>
    <row r="17" spans="1:5" ht="15">
      <c r="E17" s="18"/>
    </row>
    <row r="19" spans="1:5" ht="18">
      <c r="A19" s="19" t="s">
        <v>79</v>
      </c>
      <c r="B19" s="19"/>
    </row>
    <row r="20" spans="1:5" ht="15">
      <c r="A20" s="20" t="s">
        <v>80</v>
      </c>
      <c r="B20" s="20"/>
    </row>
    <row r="21" spans="1:5" ht="14.25">
      <c r="A21" s="22"/>
      <c r="B21" s="23" t="s">
        <v>81</v>
      </c>
    </row>
    <row r="22" spans="1:5" ht="15">
      <c r="A22" s="24" t="s">
        <v>82</v>
      </c>
      <c r="B22" s="24" t="s">
        <v>83</v>
      </c>
      <c r="C22" s="24" t="s">
        <v>84</v>
      </c>
      <c r="D22" s="24" t="s">
        <v>85</v>
      </c>
      <c r="E22" s="24" t="s">
        <v>86</v>
      </c>
    </row>
    <row r="23" spans="1:5">
      <c r="A23" s="21" t="s">
        <v>272</v>
      </c>
      <c r="B23" s="5" t="s">
        <v>81</v>
      </c>
      <c r="C23" s="5" t="s">
        <v>195</v>
      </c>
      <c r="D23" s="5" t="s">
        <v>40</v>
      </c>
      <c r="E23" s="25" t="s">
        <v>285</v>
      </c>
    </row>
  </sheetData>
  <mergeCells count="13">
    <mergeCell ref="E3:E4"/>
    <mergeCell ref="F3:F4"/>
    <mergeCell ref="G3:J3"/>
    <mergeCell ref="A8:L8"/>
    <mergeCell ref="K3:K4"/>
    <mergeCell ref="L3:L4"/>
    <mergeCell ref="M3:M4"/>
    <mergeCell ref="A5:L5"/>
    <mergeCell ref="A1:M2"/>
    <mergeCell ref="A3:A4"/>
    <mergeCell ref="B3:B4"/>
    <mergeCell ref="C3:C4"/>
    <mergeCell ref="D3:D4"/>
  </mergeCells>
  <phoneticPr fontId="0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0" t="s">
        <v>270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6</v>
      </c>
      <c r="U3" s="37" t="s">
        <v>5</v>
      </c>
    </row>
    <row r="4" spans="1:2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8"/>
      <c r="T4" s="48"/>
      <c r="U4" s="38"/>
    </row>
    <row r="6" spans="1:21" ht="15">
      <c r="E6" s="18" t="s">
        <v>74</v>
      </c>
    </row>
    <row r="7" spans="1:21" ht="15">
      <c r="E7" s="18" t="s">
        <v>75</v>
      </c>
    </row>
    <row r="8" spans="1:21" ht="15">
      <c r="E8" s="18" t="s">
        <v>76</v>
      </c>
    </row>
    <row r="9" spans="1:21" ht="15">
      <c r="E9" s="18" t="s">
        <v>77</v>
      </c>
    </row>
    <row r="10" spans="1:21" ht="15">
      <c r="E10" s="18" t="s">
        <v>77</v>
      </c>
    </row>
    <row r="11" spans="1:21" ht="15">
      <c r="E11" s="18" t="s">
        <v>78</v>
      </c>
    </row>
    <row r="12" spans="1:21" ht="15">
      <c r="E12" s="18"/>
    </row>
    <row r="14" spans="1:21" ht="18">
      <c r="A14" s="19" t="s">
        <v>79</v>
      </c>
      <c r="B14" s="19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M59"/>
  <sheetViews>
    <sheetView topLeftCell="A7" workbookViewId="0">
      <selection activeCell="E25" sqref="E25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7109375" style="5" bestFit="1" customWidth="1"/>
    <col min="14" max="16384" width="9.140625" style="4"/>
  </cols>
  <sheetData>
    <row r="1" spans="1:13" s="3" customFormat="1" ht="29.1" customHeight="1">
      <c r="A1" s="50" t="s">
        <v>209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3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211</v>
      </c>
      <c r="B6" s="8" t="s">
        <v>212</v>
      </c>
      <c r="C6" s="8" t="s">
        <v>213</v>
      </c>
      <c r="D6" s="8" t="str">
        <f>"0,7812"</f>
        <v>0,7812</v>
      </c>
      <c r="E6" s="8" t="s">
        <v>126</v>
      </c>
      <c r="F6" s="8" t="s">
        <v>127</v>
      </c>
      <c r="G6" s="9" t="s">
        <v>39</v>
      </c>
      <c r="H6" s="9" t="s">
        <v>40</v>
      </c>
      <c r="I6" s="10"/>
      <c r="J6" s="10"/>
      <c r="K6" s="8" t="str">
        <f>"160,0"</f>
        <v>160,0</v>
      </c>
      <c r="L6" s="9" t="str">
        <f>"124,9920"</f>
        <v>124,9920</v>
      </c>
      <c r="M6" s="8" t="s">
        <v>43</v>
      </c>
    </row>
    <row r="8" spans="1:13" ht="15">
      <c r="A8" s="51" t="s">
        <v>15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17</v>
      </c>
      <c r="B9" s="8" t="s">
        <v>18</v>
      </c>
      <c r="C9" s="8" t="s">
        <v>19</v>
      </c>
      <c r="D9" s="8" t="str">
        <f>"0,7287"</f>
        <v>0,7287</v>
      </c>
      <c r="E9" s="8" t="s">
        <v>20</v>
      </c>
      <c r="F9" s="8" t="s">
        <v>21</v>
      </c>
      <c r="G9" s="9" t="s">
        <v>28</v>
      </c>
      <c r="H9" s="9" t="s">
        <v>29</v>
      </c>
      <c r="I9" s="9" t="s">
        <v>30</v>
      </c>
      <c r="J9" s="10"/>
      <c r="K9" s="8" t="str">
        <f>"280,0"</f>
        <v>280,0</v>
      </c>
      <c r="L9" s="9" t="str">
        <f>"204,0360"</f>
        <v>204,0360</v>
      </c>
      <c r="M9" s="8" t="s">
        <v>31</v>
      </c>
    </row>
    <row r="11" spans="1:13" ht="15">
      <c r="A11" s="51" t="s">
        <v>102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3">
      <c r="A12" s="8" t="s">
        <v>215</v>
      </c>
      <c r="B12" s="8" t="s">
        <v>216</v>
      </c>
      <c r="C12" s="8" t="s">
        <v>217</v>
      </c>
      <c r="D12" s="8" t="str">
        <f>"0,6666"</f>
        <v>0,6666</v>
      </c>
      <c r="E12" s="8" t="s">
        <v>126</v>
      </c>
      <c r="F12" s="8" t="s">
        <v>127</v>
      </c>
      <c r="G12" s="9" t="s">
        <v>159</v>
      </c>
      <c r="H12" s="10" t="s">
        <v>218</v>
      </c>
      <c r="I12" s="10" t="s">
        <v>218</v>
      </c>
      <c r="J12" s="10"/>
      <c r="K12" s="8" t="str">
        <f>"195,0"</f>
        <v>195,0</v>
      </c>
      <c r="L12" s="9" t="str">
        <f>"129,9870"</f>
        <v>129,9870</v>
      </c>
      <c r="M12" s="8" t="s">
        <v>219</v>
      </c>
    </row>
    <row r="14" spans="1:13" ht="15">
      <c r="A14" s="51" t="s">
        <v>44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3">
      <c r="A15" s="12" t="s">
        <v>221</v>
      </c>
      <c r="B15" s="12" t="s">
        <v>222</v>
      </c>
      <c r="C15" s="12" t="s">
        <v>223</v>
      </c>
      <c r="D15" s="12" t="str">
        <f>"0,5624"</f>
        <v>0,5624</v>
      </c>
      <c r="E15" s="12" t="s">
        <v>107</v>
      </c>
      <c r="F15" s="12" t="s">
        <v>108</v>
      </c>
      <c r="G15" s="13" t="s">
        <v>51</v>
      </c>
      <c r="H15" s="13" t="s">
        <v>52</v>
      </c>
      <c r="I15" s="14" t="s">
        <v>224</v>
      </c>
      <c r="J15" s="14"/>
      <c r="K15" s="12" t="str">
        <f>"245,0"</f>
        <v>245,0</v>
      </c>
      <c r="L15" s="13" t="str">
        <f>"143,2995"</f>
        <v>143,2995</v>
      </c>
      <c r="M15" s="12" t="s">
        <v>43</v>
      </c>
    </row>
    <row r="16" spans="1:13">
      <c r="A16" s="26" t="s">
        <v>226</v>
      </c>
      <c r="B16" s="26" t="s">
        <v>227</v>
      </c>
      <c r="C16" s="26" t="s">
        <v>228</v>
      </c>
      <c r="D16" s="26" t="str">
        <f>"0,5688"</f>
        <v>0,5688</v>
      </c>
      <c r="E16" s="26" t="s">
        <v>107</v>
      </c>
      <c r="F16" s="26" t="s">
        <v>229</v>
      </c>
      <c r="G16" s="28" t="s">
        <v>42</v>
      </c>
      <c r="H16" s="28" t="s">
        <v>29</v>
      </c>
      <c r="I16" s="28" t="s">
        <v>30</v>
      </c>
      <c r="J16" s="27"/>
      <c r="K16" s="26" t="str">
        <f>"280,0"</f>
        <v>280,0</v>
      </c>
      <c r="L16" s="28" t="str">
        <f>"159,2640"</f>
        <v>159,2640</v>
      </c>
      <c r="M16" s="26" t="s">
        <v>43</v>
      </c>
    </row>
    <row r="17" spans="1:13">
      <c r="A17" s="15" t="s">
        <v>231</v>
      </c>
      <c r="B17" s="15" t="s">
        <v>232</v>
      </c>
      <c r="C17" s="15" t="s">
        <v>233</v>
      </c>
      <c r="D17" s="15" t="str">
        <f>"0,5636"</f>
        <v>0,5636</v>
      </c>
      <c r="E17" s="15" t="s">
        <v>107</v>
      </c>
      <c r="F17" s="15" t="s">
        <v>108</v>
      </c>
      <c r="G17" s="16" t="s">
        <v>41</v>
      </c>
      <c r="H17" s="16" t="s">
        <v>42</v>
      </c>
      <c r="I17" s="17"/>
      <c r="J17" s="17"/>
      <c r="K17" s="15" t="str">
        <f>"250,0"</f>
        <v>250,0</v>
      </c>
      <c r="L17" s="16" t="str">
        <f>"140,9000"</f>
        <v>140,9000</v>
      </c>
      <c r="M17" s="15" t="s">
        <v>43</v>
      </c>
    </row>
    <row r="19" spans="1:13" ht="15">
      <c r="A19" s="51" t="s">
        <v>166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>
      <c r="A20" s="8" t="s">
        <v>235</v>
      </c>
      <c r="B20" s="8" t="s">
        <v>236</v>
      </c>
      <c r="C20" s="8" t="s">
        <v>237</v>
      </c>
      <c r="D20" s="8" t="str">
        <f>"0,5398"</f>
        <v>0,5398</v>
      </c>
      <c r="E20" s="8" t="s">
        <v>20</v>
      </c>
      <c r="F20" s="8" t="s">
        <v>21</v>
      </c>
      <c r="G20" s="9" t="s">
        <v>28</v>
      </c>
      <c r="H20" s="9" t="s">
        <v>238</v>
      </c>
      <c r="I20" s="10" t="s">
        <v>239</v>
      </c>
      <c r="J20" s="10"/>
      <c r="K20" s="8" t="str">
        <f>"290,0"</f>
        <v>290,0</v>
      </c>
      <c r="L20" s="9" t="str">
        <f>"156,5420"</f>
        <v>156,5420</v>
      </c>
      <c r="M20" s="8" t="s">
        <v>43</v>
      </c>
    </row>
    <row r="22" spans="1:13" ht="15">
      <c r="A22" s="51" t="s">
        <v>65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3">
      <c r="A23" s="12" t="s">
        <v>241</v>
      </c>
      <c r="B23" s="12" t="s">
        <v>242</v>
      </c>
      <c r="C23" s="12" t="s">
        <v>243</v>
      </c>
      <c r="D23" s="12" t="str">
        <f>"0,5270"</f>
        <v>0,5270</v>
      </c>
      <c r="E23" s="12" t="s">
        <v>244</v>
      </c>
      <c r="F23" s="12" t="s">
        <v>21</v>
      </c>
      <c r="G23" s="13" t="s">
        <v>30</v>
      </c>
      <c r="H23" s="13" t="s">
        <v>72</v>
      </c>
      <c r="I23" s="14" t="s">
        <v>245</v>
      </c>
      <c r="J23" s="14"/>
      <c r="K23" s="12" t="str">
        <f>"300,0"</f>
        <v>300,0</v>
      </c>
      <c r="L23" s="13" t="str">
        <f>"158,1000"</f>
        <v>158,1000</v>
      </c>
      <c r="M23" s="12" t="s">
        <v>43</v>
      </c>
    </row>
    <row r="24" spans="1:13">
      <c r="A24" s="26" t="s">
        <v>246</v>
      </c>
      <c r="B24" s="26" t="s">
        <v>68</v>
      </c>
      <c r="C24" s="26" t="s">
        <v>69</v>
      </c>
      <c r="D24" s="26" t="str">
        <f>"0,5258"</f>
        <v>0,5258</v>
      </c>
      <c r="E24" s="26" t="s">
        <v>70</v>
      </c>
      <c r="F24" s="26" t="s">
        <v>71</v>
      </c>
      <c r="G24" s="28" t="s">
        <v>30</v>
      </c>
      <c r="H24" s="28" t="s">
        <v>72</v>
      </c>
      <c r="I24" s="27"/>
      <c r="J24" s="27"/>
      <c r="K24" s="26" t="str">
        <f>"300,0"</f>
        <v>300,0</v>
      </c>
      <c r="L24" s="28" t="str">
        <f>"157,7400"</f>
        <v>157,7400</v>
      </c>
      <c r="M24" s="26" t="s">
        <v>43</v>
      </c>
    </row>
    <row r="25" spans="1:13">
      <c r="A25" s="15" t="s">
        <v>248</v>
      </c>
      <c r="B25" s="15" t="s">
        <v>249</v>
      </c>
      <c r="C25" s="15" t="s">
        <v>250</v>
      </c>
      <c r="D25" s="15" t="str">
        <f>"0,5275"</f>
        <v>0,5275</v>
      </c>
      <c r="E25" s="15" t="s">
        <v>251</v>
      </c>
      <c r="F25" s="15" t="s">
        <v>252</v>
      </c>
      <c r="G25" s="16" t="s">
        <v>253</v>
      </c>
      <c r="H25" s="16" t="s">
        <v>51</v>
      </c>
      <c r="I25" s="16" t="s">
        <v>41</v>
      </c>
      <c r="J25" s="17"/>
      <c r="K25" s="15" t="str">
        <f>"240,0"</f>
        <v>240,0</v>
      </c>
      <c r="L25" s="16" t="str">
        <f>"187,3680"</f>
        <v>187,3680</v>
      </c>
      <c r="M25" s="15" t="s">
        <v>219</v>
      </c>
    </row>
    <row r="27" spans="1:13" ht="15">
      <c r="E27" s="18" t="s">
        <v>74</v>
      </c>
    </row>
    <row r="28" spans="1:13" ht="15">
      <c r="E28" s="18" t="s">
        <v>75</v>
      </c>
    </row>
    <row r="29" spans="1:13" ht="15">
      <c r="E29" s="18" t="s">
        <v>76</v>
      </c>
    </row>
    <row r="30" spans="1:13" ht="15">
      <c r="E30" s="18" t="s">
        <v>77</v>
      </c>
    </row>
    <row r="31" spans="1:13" ht="15">
      <c r="E31" s="18" t="s">
        <v>77</v>
      </c>
    </row>
    <row r="32" spans="1:13" ht="15">
      <c r="E32" s="18" t="s">
        <v>78</v>
      </c>
    </row>
    <row r="33" spans="1:5" ht="15">
      <c r="E33" s="18"/>
    </row>
    <row r="35" spans="1:5" ht="18">
      <c r="A35" s="19" t="s">
        <v>79</v>
      </c>
      <c r="B35" s="19"/>
    </row>
    <row r="36" spans="1:5" ht="15">
      <c r="A36" s="20" t="s">
        <v>254</v>
      </c>
      <c r="B36" s="20"/>
    </row>
    <row r="37" spans="1:5" ht="14.25">
      <c r="A37" s="22"/>
      <c r="B37" s="23" t="s">
        <v>255</v>
      </c>
    </row>
    <row r="38" spans="1:5" ht="15">
      <c r="A38" s="24" t="s">
        <v>82</v>
      </c>
      <c r="B38" s="24" t="s">
        <v>83</v>
      </c>
      <c r="C38" s="24" t="s">
        <v>84</v>
      </c>
      <c r="D38" s="24" t="s">
        <v>85</v>
      </c>
      <c r="E38" s="24" t="s">
        <v>86</v>
      </c>
    </row>
    <row r="39" spans="1:5">
      <c r="A39" s="21" t="s">
        <v>210</v>
      </c>
      <c r="B39" s="5" t="s">
        <v>256</v>
      </c>
      <c r="C39" s="5" t="s">
        <v>87</v>
      </c>
      <c r="D39" s="5" t="s">
        <v>40</v>
      </c>
      <c r="E39" s="25" t="s">
        <v>257</v>
      </c>
    </row>
    <row r="42" spans="1:5" ht="15">
      <c r="A42" s="20" t="s">
        <v>80</v>
      </c>
      <c r="B42" s="20"/>
    </row>
    <row r="43" spans="1:5" ht="14.25">
      <c r="A43" s="22"/>
      <c r="B43" s="23" t="s">
        <v>190</v>
      </c>
    </row>
    <row r="44" spans="1:5" ht="15">
      <c r="A44" s="24" t="s">
        <v>82</v>
      </c>
      <c r="B44" s="24" t="s">
        <v>83</v>
      </c>
      <c r="C44" s="24" t="s">
        <v>84</v>
      </c>
      <c r="D44" s="24" t="s">
        <v>85</v>
      </c>
      <c r="E44" s="24" t="s">
        <v>86</v>
      </c>
    </row>
    <row r="45" spans="1:5">
      <c r="A45" s="21" t="s">
        <v>220</v>
      </c>
      <c r="B45" s="5" t="s">
        <v>258</v>
      </c>
      <c r="C45" s="5" t="s">
        <v>93</v>
      </c>
      <c r="D45" s="5" t="s">
        <v>52</v>
      </c>
      <c r="E45" s="25" t="s">
        <v>259</v>
      </c>
    </row>
    <row r="47" spans="1:5" ht="14.25">
      <c r="A47" s="22"/>
      <c r="B47" s="23" t="s">
        <v>81</v>
      </c>
    </row>
    <row r="48" spans="1:5" ht="15">
      <c r="A48" s="24" t="s">
        <v>82</v>
      </c>
      <c r="B48" s="24" t="s">
        <v>83</v>
      </c>
      <c r="C48" s="24" t="s">
        <v>84</v>
      </c>
      <c r="D48" s="24" t="s">
        <v>85</v>
      </c>
      <c r="E48" s="24" t="s">
        <v>86</v>
      </c>
    </row>
    <row r="49" spans="1:5">
      <c r="A49" s="21" t="s">
        <v>16</v>
      </c>
      <c r="B49" s="5" t="s">
        <v>81</v>
      </c>
      <c r="C49" s="5" t="s">
        <v>87</v>
      </c>
      <c r="D49" s="5" t="s">
        <v>30</v>
      </c>
      <c r="E49" s="25" t="s">
        <v>260</v>
      </c>
    </row>
    <row r="50" spans="1:5">
      <c r="A50" s="21" t="s">
        <v>225</v>
      </c>
      <c r="B50" s="5" t="s">
        <v>81</v>
      </c>
      <c r="C50" s="5" t="s">
        <v>93</v>
      </c>
      <c r="D50" s="5" t="s">
        <v>30</v>
      </c>
      <c r="E50" s="25" t="s">
        <v>261</v>
      </c>
    </row>
    <row r="51" spans="1:5">
      <c r="A51" s="21" t="s">
        <v>240</v>
      </c>
      <c r="B51" s="5" t="s">
        <v>81</v>
      </c>
      <c r="C51" s="5" t="s">
        <v>90</v>
      </c>
      <c r="D51" s="5" t="s">
        <v>72</v>
      </c>
      <c r="E51" s="25" t="s">
        <v>262</v>
      </c>
    </row>
    <row r="52" spans="1:5">
      <c r="A52" s="21" t="s">
        <v>66</v>
      </c>
      <c r="B52" s="5" t="s">
        <v>81</v>
      </c>
      <c r="C52" s="5" t="s">
        <v>90</v>
      </c>
      <c r="D52" s="5" t="s">
        <v>72</v>
      </c>
      <c r="E52" s="25" t="s">
        <v>263</v>
      </c>
    </row>
    <row r="53" spans="1:5">
      <c r="A53" s="21" t="s">
        <v>234</v>
      </c>
      <c r="B53" s="5" t="s">
        <v>81</v>
      </c>
      <c r="C53" s="5" t="s">
        <v>199</v>
      </c>
      <c r="D53" s="5" t="s">
        <v>238</v>
      </c>
      <c r="E53" s="25" t="s">
        <v>264</v>
      </c>
    </row>
    <row r="54" spans="1:5">
      <c r="A54" s="21" t="s">
        <v>230</v>
      </c>
      <c r="B54" s="5" t="s">
        <v>81</v>
      </c>
      <c r="C54" s="5" t="s">
        <v>93</v>
      </c>
      <c r="D54" s="5" t="s">
        <v>42</v>
      </c>
      <c r="E54" s="25" t="s">
        <v>265</v>
      </c>
    </row>
    <row r="55" spans="1:5">
      <c r="A55" s="21" t="s">
        <v>214</v>
      </c>
      <c r="B55" s="5" t="s">
        <v>81</v>
      </c>
      <c r="C55" s="5" t="s">
        <v>195</v>
      </c>
      <c r="D55" s="5" t="s">
        <v>159</v>
      </c>
      <c r="E55" s="25" t="s">
        <v>266</v>
      </c>
    </row>
    <row r="57" spans="1:5" ht="14.25">
      <c r="A57" s="22"/>
      <c r="B57" s="23" t="s">
        <v>267</v>
      </c>
    </row>
    <row r="58" spans="1:5" ht="15">
      <c r="A58" s="24" t="s">
        <v>82</v>
      </c>
      <c r="B58" s="24" t="s">
        <v>83</v>
      </c>
      <c r="C58" s="24" t="s">
        <v>84</v>
      </c>
      <c r="D58" s="24" t="s">
        <v>85</v>
      </c>
      <c r="E58" s="24" t="s">
        <v>86</v>
      </c>
    </row>
    <row r="59" spans="1:5">
      <c r="A59" s="21" t="s">
        <v>247</v>
      </c>
      <c r="B59" s="5" t="s">
        <v>268</v>
      </c>
      <c r="C59" s="5" t="s">
        <v>90</v>
      </c>
      <c r="D59" s="5" t="s">
        <v>41</v>
      </c>
      <c r="E59" s="25" t="s">
        <v>269</v>
      </c>
    </row>
  </sheetData>
  <mergeCells count="17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22:L22"/>
    <mergeCell ref="A8:L8"/>
    <mergeCell ref="A11:L11"/>
    <mergeCell ref="A14:L14"/>
    <mergeCell ref="A19:L19"/>
    <mergeCell ref="K3:K4"/>
    <mergeCell ref="L3:L4"/>
  </mergeCells>
  <phoneticPr fontId="0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M60"/>
  <sheetViews>
    <sheetView topLeftCell="A10" workbookViewId="0">
      <selection sqref="A1:U2"/>
    </sheetView>
  </sheetViews>
  <sheetFormatPr defaultRowHeight="12.75"/>
  <cols>
    <col min="1" max="1" width="26" style="5" bestFit="1" customWidth="1"/>
    <col min="2" max="2" width="28.42578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101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102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12" t="s">
        <v>104</v>
      </c>
      <c r="B6" s="12" t="s">
        <v>105</v>
      </c>
      <c r="C6" s="12" t="s">
        <v>106</v>
      </c>
      <c r="D6" s="12" t="str">
        <f>"0,6835"</f>
        <v>0,6835</v>
      </c>
      <c r="E6" s="12" t="s">
        <v>107</v>
      </c>
      <c r="F6" s="12" t="s">
        <v>108</v>
      </c>
      <c r="G6" s="13" t="s">
        <v>40</v>
      </c>
      <c r="H6" s="13" t="s">
        <v>27</v>
      </c>
      <c r="I6" s="14"/>
      <c r="J6" s="14"/>
      <c r="K6" s="12" t="str">
        <f>"165,0"</f>
        <v>165,0</v>
      </c>
      <c r="L6" s="13" t="str">
        <f>"112,7775"</f>
        <v>112,7775</v>
      </c>
      <c r="M6" s="12" t="s">
        <v>43</v>
      </c>
    </row>
    <row r="7" spans="1:13">
      <c r="A7" s="26" t="s">
        <v>110</v>
      </c>
      <c r="B7" s="26" t="s">
        <v>111</v>
      </c>
      <c r="C7" s="26" t="s">
        <v>112</v>
      </c>
      <c r="D7" s="26" t="str">
        <f>"0,6789"</f>
        <v>0,6789</v>
      </c>
      <c r="E7" s="26" t="s">
        <v>113</v>
      </c>
      <c r="F7" s="26" t="s">
        <v>21</v>
      </c>
      <c r="G7" s="28" t="s">
        <v>90</v>
      </c>
      <c r="H7" s="28" t="s">
        <v>114</v>
      </c>
      <c r="I7" s="27" t="s">
        <v>115</v>
      </c>
      <c r="J7" s="27"/>
      <c r="K7" s="26" t="str">
        <f>"135,0"</f>
        <v>135,0</v>
      </c>
      <c r="L7" s="28" t="str">
        <f>"91,6515"</f>
        <v>91,6515</v>
      </c>
      <c r="M7" s="26" t="s">
        <v>43</v>
      </c>
    </row>
    <row r="8" spans="1:13">
      <c r="A8" s="15" t="s">
        <v>117</v>
      </c>
      <c r="B8" s="15" t="s">
        <v>118</v>
      </c>
      <c r="C8" s="15" t="s">
        <v>119</v>
      </c>
      <c r="D8" s="15" t="str">
        <f>"0,6828"</f>
        <v>0,6828</v>
      </c>
      <c r="E8" s="15" t="s">
        <v>120</v>
      </c>
      <c r="F8" s="15" t="s">
        <v>121</v>
      </c>
      <c r="G8" s="16" t="s">
        <v>98</v>
      </c>
      <c r="H8" s="17" t="s">
        <v>93</v>
      </c>
      <c r="I8" s="16" t="s">
        <v>93</v>
      </c>
      <c r="J8" s="17"/>
      <c r="K8" s="15" t="str">
        <f>"100,0"</f>
        <v>100,0</v>
      </c>
      <c r="L8" s="16" t="str">
        <f>"68,2800"</f>
        <v>68,2800</v>
      </c>
      <c r="M8" s="15" t="s">
        <v>43</v>
      </c>
    </row>
    <row r="10" spans="1:13" ht="15">
      <c r="A10" s="51" t="s">
        <v>122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3">
      <c r="A11" s="12" t="s">
        <v>123</v>
      </c>
      <c r="B11" s="12" t="s">
        <v>124</v>
      </c>
      <c r="C11" s="12" t="s">
        <v>125</v>
      </c>
      <c r="D11" s="12" t="str">
        <f>"0,6235"</f>
        <v>0,6235</v>
      </c>
      <c r="E11" s="12" t="s">
        <v>126</v>
      </c>
      <c r="F11" s="12" t="s">
        <v>127</v>
      </c>
      <c r="G11" s="14" t="s">
        <v>27</v>
      </c>
      <c r="H11" s="14" t="s">
        <v>27</v>
      </c>
      <c r="I11" s="14" t="s">
        <v>27</v>
      </c>
      <c r="J11" s="14"/>
      <c r="K11" s="12" t="str">
        <f>"0,0"</f>
        <v>0,0</v>
      </c>
      <c r="L11" s="13" t="str">
        <f>"0,0000"</f>
        <v>0,0000</v>
      </c>
      <c r="M11" s="12" t="s">
        <v>43</v>
      </c>
    </row>
    <row r="12" spans="1:13">
      <c r="A12" s="15" t="s">
        <v>129</v>
      </c>
      <c r="B12" s="15" t="s">
        <v>130</v>
      </c>
      <c r="C12" s="15" t="s">
        <v>131</v>
      </c>
      <c r="D12" s="15" t="str">
        <f>"0,6352"</f>
        <v>0,6352</v>
      </c>
      <c r="E12" s="15" t="s">
        <v>132</v>
      </c>
      <c r="F12" s="15" t="s">
        <v>21</v>
      </c>
      <c r="G12" s="16" t="s">
        <v>90</v>
      </c>
      <c r="H12" s="16" t="s">
        <v>133</v>
      </c>
      <c r="I12" s="16" t="s">
        <v>134</v>
      </c>
      <c r="J12" s="17"/>
      <c r="K12" s="15" t="str">
        <f>"137,5"</f>
        <v>137,5</v>
      </c>
      <c r="L12" s="16" t="str">
        <f>"87,3400"</f>
        <v>87,3400</v>
      </c>
      <c r="M12" s="15" t="s">
        <v>43</v>
      </c>
    </row>
    <row r="14" spans="1:13" ht="15">
      <c r="A14" s="51" t="s">
        <v>32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3">
      <c r="A15" s="12" t="s">
        <v>136</v>
      </c>
      <c r="B15" s="12" t="s">
        <v>137</v>
      </c>
      <c r="C15" s="12" t="s">
        <v>138</v>
      </c>
      <c r="D15" s="12" t="str">
        <f>"0,5910"</f>
        <v>0,5910</v>
      </c>
      <c r="E15" s="12" t="s">
        <v>37</v>
      </c>
      <c r="F15" s="12" t="s">
        <v>121</v>
      </c>
      <c r="G15" s="14" t="s">
        <v>53</v>
      </c>
      <c r="H15" s="13" t="s">
        <v>53</v>
      </c>
      <c r="I15" s="14" t="s">
        <v>55</v>
      </c>
      <c r="J15" s="14"/>
      <c r="K15" s="12" t="str">
        <f>"170,0"</f>
        <v>170,0</v>
      </c>
      <c r="L15" s="13" t="str">
        <f>"100,4700"</f>
        <v>100,4700</v>
      </c>
      <c r="M15" s="12" t="s">
        <v>43</v>
      </c>
    </row>
    <row r="16" spans="1:13">
      <c r="A16" s="15" t="s">
        <v>139</v>
      </c>
      <c r="B16" s="15" t="s">
        <v>140</v>
      </c>
      <c r="C16" s="15" t="s">
        <v>141</v>
      </c>
      <c r="D16" s="15" t="str">
        <f>"0,5947"</f>
        <v>0,5947</v>
      </c>
      <c r="E16" s="15" t="s">
        <v>132</v>
      </c>
      <c r="F16" s="15" t="s">
        <v>21</v>
      </c>
      <c r="G16" s="17" t="s">
        <v>64</v>
      </c>
      <c r="H16" s="17" t="s">
        <v>55</v>
      </c>
      <c r="I16" s="17" t="s">
        <v>55</v>
      </c>
      <c r="J16" s="17"/>
      <c r="K16" s="15" t="str">
        <f>"0,0"</f>
        <v>0,0</v>
      </c>
      <c r="L16" s="16" t="str">
        <f>"0,0000"</f>
        <v>0,0000</v>
      </c>
      <c r="M16" s="15" t="s">
        <v>43</v>
      </c>
    </row>
    <row r="18" spans="1:13" ht="15">
      <c r="A18" s="51" t="s">
        <v>44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3">
      <c r="A19" s="12" t="s">
        <v>143</v>
      </c>
      <c r="B19" s="12" t="s">
        <v>144</v>
      </c>
      <c r="C19" s="12" t="s">
        <v>145</v>
      </c>
      <c r="D19" s="12" t="str">
        <f>"0,5730"</f>
        <v>0,5730</v>
      </c>
      <c r="E19" s="12" t="s">
        <v>20</v>
      </c>
      <c r="F19" s="12" t="s">
        <v>21</v>
      </c>
      <c r="G19" s="13" t="s">
        <v>22</v>
      </c>
      <c r="H19" s="13" t="s">
        <v>23</v>
      </c>
      <c r="I19" s="14" t="s">
        <v>146</v>
      </c>
      <c r="J19" s="14"/>
      <c r="K19" s="12" t="str">
        <f>"215,0"</f>
        <v>215,0</v>
      </c>
      <c r="L19" s="13" t="str">
        <f>"123,1950"</f>
        <v>123,1950</v>
      </c>
      <c r="M19" s="12" t="s">
        <v>43</v>
      </c>
    </row>
    <row r="20" spans="1:13">
      <c r="A20" s="26" t="s">
        <v>148</v>
      </c>
      <c r="B20" s="26" t="s">
        <v>149</v>
      </c>
      <c r="C20" s="26" t="s">
        <v>150</v>
      </c>
      <c r="D20" s="26" t="str">
        <f>"0,5597"</f>
        <v>0,5597</v>
      </c>
      <c r="E20" s="26" t="s">
        <v>113</v>
      </c>
      <c r="F20" s="26" t="s">
        <v>21</v>
      </c>
      <c r="G20" s="28" t="s">
        <v>38</v>
      </c>
      <c r="H20" s="28" t="s">
        <v>63</v>
      </c>
      <c r="I20" s="27" t="s">
        <v>151</v>
      </c>
      <c r="J20" s="27"/>
      <c r="K20" s="26" t="str">
        <f>"210,0"</f>
        <v>210,0</v>
      </c>
      <c r="L20" s="28" t="str">
        <f>"117,5370"</f>
        <v>117,5370</v>
      </c>
      <c r="M20" s="26" t="s">
        <v>43</v>
      </c>
    </row>
    <row r="21" spans="1:13">
      <c r="A21" s="26" t="s">
        <v>153</v>
      </c>
      <c r="B21" s="26" t="s">
        <v>154</v>
      </c>
      <c r="C21" s="26" t="s">
        <v>150</v>
      </c>
      <c r="D21" s="26" t="str">
        <f>"0,5597"</f>
        <v>0,5597</v>
      </c>
      <c r="E21" s="26" t="s">
        <v>155</v>
      </c>
      <c r="F21" s="26" t="s">
        <v>156</v>
      </c>
      <c r="G21" s="28" t="s">
        <v>157</v>
      </c>
      <c r="H21" s="28" t="s">
        <v>158</v>
      </c>
      <c r="I21" s="28" t="s">
        <v>159</v>
      </c>
      <c r="J21" s="27"/>
      <c r="K21" s="26" t="str">
        <f>"195,0"</f>
        <v>195,0</v>
      </c>
      <c r="L21" s="28" t="str">
        <f>"109,1415"</f>
        <v>109,1415</v>
      </c>
      <c r="M21" s="26" t="s">
        <v>43</v>
      </c>
    </row>
    <row r="22" spans="1:13">
      <c r="A22" s="15" t="s">
        <v>161</v>
      </c>
      <c r="B22" s="15" t="s">
        <v>162</v>
      </c>
      <c r="C22" s="15" t="s">
        <v>163</v>
      </c>
      <c r="D22" s="15" t="str">
        <f>"0,5540"</f>
        <v>0,5540</v>
      </c>
      <c r="E22" s="15" t="s">
        <v>37</v>
      </c>
      <c r="F22" s="15" t="s">
        <v>21</v>
      </c>
      <c r="G22" s="16" t="s">
        <v>53</v>
      </c>
      <c r="H22" s="16" t="s">
        <v>54</v>
      </c>
      <c r="I22" s="17" t="s">
        <v>165</v>
      </c>
      <c r="J22" s="17"/>
      <c r="K22" s="15" t="str">
        <f>"180,0"</f>
        <v>180,0</v>
      </c>
      <c r="L22" s="16" t="str">
        <f>"99,7200"</f>
        <v>99,7200</v>
      </c>
      <c r="M22" s="15" t="s">
        <v>43</v>
      </c>
    </row>
    <row r="24" spans="1:13" ht="15">
      <c r="A24" s="51" t="s">
        <v>166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3">
      <c r="A25" s="8" t="s">
        <v>168</v>
      </c>
      <c r="B25" s="8" t="s">
        <v>169</v>
      </c>
      <c r="C25" s="8" t="s">
        <v>170</v>
      </c>
      <c r="D25" s="8" t="str">
        <f>"0,5365"</f>
        <v>0,5365</v>
      </c>
      <c r="E25" s="8" t="s">
        <v>20</v>
      </c>
      <c r="F25" s="8" t="s">
        <v>21</v>
      </c>
      <c r="G25" s="10" t="s">
        <v>158</v>
      </c>
      <c r="H25" s="9" t="s">
        <v>158</v>
      </c>
      <c r="I25" s="10" t="s">
        <v>38</v>
      </c>
      <c r="J25" s="10"/>
      <c r="K25" s="8" t="str">
        <f>"190,0"</f>
        <v>190,0</v>
      </c>
      <c r="L25" s="9" t="str">
        <f>"101,9350"</f>
        <v>101,9350</v>
      </c>
      <c r="M25" s="8" t="s">
        <v>43</v>
      </c>
    </row>
    <row r="27" spans="1:13" ht="15">
      <c r="A27" s="51" t="s">
        <v>65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3">
      <c r="A28" s="12" t="s">
        <v>172</v>
      </c>
      <c r="B28" s="12" t="s">
        <v>173</v>
      </c>
      <c r="C28" s="12" t="s">
        <v>174</v>
      </c>
      <c r="D28" s="12" t="str">
        <f>"0,5260"</f>
        <v>0,5260</v>
      </c>
      <c r="E28" s="12" t="s">
        <v>120</v>
      </c>
      <c r="F28" s="12" t="s">
        <v>21</v>
      </c>
      <c r="G28" s="13" t="s">
        <v>175</v>
      </c>
      <c r="H28" s="13" t="s">
        <v>176</v>
      </c>
      <c r="I28" s="14" t="s">
        <v>98</v>
      </c>
      <c r="J28" s="14"/>
      <c r="K28" s="12" t="str">
        <f>"85,0"</f>
        <v>85,0</v>
      </c>
      <c r="L28" s="13" t="str">
        <f>"50,5223"</f>
        <v>50,5223</v>
      </c>
      <c r="M28" s="12" t="s">
        <v>43</v>
      </c>
    </row>
    <row r="29" spans="1:13">
      <c r="A29" s="26" t="s">
        <v>178</v>
      </c>
      <c r="B29" s="26" t="s">
        <v>179</v>
      </c>
      <c r="C29" s="26" t="s">
        <v>180</v>
      </c>
      <c r="D29" s="26" t="str">
        <f>"0,5309"</f>
        <v>0,5309</v>
      </c>
      <c r="E29" s="26" t="s">
        <v>126</v>
      </c>
      <c r="F29" s="26" t="s">
        <v>127</v>
      </c>
      <c r="G29" s="27" t="s">
        <v>22</v>
      </c>
      <c r="H29" s="28" t="s">
        <v>22</v>
      </c>
      <c r="I29" s="27" t="s">
        <v>181</v>
      </c>
      <c r="J29" s="27"/>
      <c r="K29" s="26" t="str">
        <f>"205,0"</f>
        <v>205,0</v>
      </c>
      <c r="L29" s="28" t="str">
        <f>"108,8345"</f>
        <v>108,8345</v>
      </c>
      <c r="M29" s="26" t="s">
        <v>43</v>
      </c>
    </row>
    <row r="30" spans="1:13">
      <c r="A30" s="26" t="s">
        <v>183</v>
      </c>
      <c r="B30" s="26" t="s">
        <v>184</v>
      </c>
      <c r="C30" s="26" t="s">
        <v>185</v>
      </c>
      <c r="D30" s="26" t="str">
        <f>"0,5236"</f>
        <v>0,5236</v>
      </c>
      <c r="E30" s="26" t="s">
        <v>20</v>
      </c>
      <c r="F30" s="26" t="s">
        <v>21</v>
      </c>
      <c r="G30" s="28" t="s">
        <v>90</v>
      </c>
      <c r="H30" s="28" t="s">
        <v>114</v>
      </c>
      <c r="I30" s="28" t="s">
        <v>186</v>
      </c>
      <c r="J30" s="27"/>
      <c r="K30" s="26" t="str">
        <f>"145,0"</f>
        <v>145,0</v>
      </c>
      <c r="L30" s="28" t="str">
        <f>"75,9220"</f>
        <v>75,9220</v>
      </c>
      <c r="M30" s="26" t="s">
        <v>31</v>
      </c>
    </row>
    <row r="31" spans="1:13">
      <c r="A31" s="15" t="s">
        <v>187</v>
      </c>
      <c r="B31" s="15" t="s">
        <v>188</v>
      </c>
      <c r="C31" s="15" t="s">
        <v>189</v>
      </c>
      <c r="D31" s="15" t="str">
        <f>"0,5316"</f>
        <v>0,5316</v>
      </c>
      <c r="E31" s="15" t="s">
        <v>20</v>
      </c>
      <c r="F31" s="15" t="s">
        <v>21</v>
      </c>
      <c r="G31" s="17" t="s">
        <v>158</v>
      </c>
      <c r="H31" s="17" t="s">
        <v>38</v>
      </c>
      <c r="I31" s="17" t="s">
        <v>38</v>
      </c>
      <c r="J31" s="17"/>
      <c r="K31" s="15" t="str">
        <f>"0,0"</f>
        <v>0,0</v>
      </c>
      <c r="L31" s="16" t="str">
        <f>"0,0000"</f>
        <v>0,0000</v>
      </c>
      <c r="M31" s="15" t="s">
        <v>43</v>
      </c>
    </row>
    <row r="33" spans="1:5" ht="15">
      <c r="E33" s="18" t="s">
        <v>74</v>
      </c>
    </row>
    <row r="34" spans="1:5" ht="15">
      <c r="E34" s="18" t="s">
        <v>75</v>
      </c>
    </row>
    <row r="35" spans="1:5" ht="15">
      <c r="E35" s="18" t="s">
        <v>76</v>
      </c>
    </row>
    <row r="36" spans="1:5" ht="15">
      <c r="E36" s="18" t="s">
        <v>77</v>
      </c>
    </row>
    <row r="37" spans="1:5" ht="15">
      <c r="E37" s="18" t="s">
        <v>77</v>
      </c>
    </row>
    <row r="38" spans="1:5" ht="15">
      <c r="E38" s="18" t="s">
        <v>78</v>
      </c>
    </row>
    <row r="39" spans="1:5" ht="15">
      <c r="E39" s="18"/>
    </row>
    <row r="41" spans="1:5" ht="18">
      <c r="A41" s="19" t="s">
        <v>79</v>
      </c>
      <c r="B41" s="19"/>
    </row>
    <row r="42" spans="1:5" ht="15">
      <c r="A42" s="20" t="s">
        <v>80</v>
      </c>
      <c r="B42" s="20"/>
    </row>
    <row r="43" spans="1:5" ht="14.25">
      <c r="A43" s="22"/>
      <c r="B43" s="23" t="s">
        <v>190</v>
      </c>
    </row>
    <row r="44" spans="1:5" ht="15">
      <c r="A44" s="24" t="s">
        <v>82</v>
      </c>
      <c r="B44" s="24" t="s">
        <v>83</v>
      </c>
      <c r="C44" s="24" t="s">
        <v>84</v>
      </c>
      <c r="D44" s="24" t="s">
        <v>85</v>
      </c>
      <c r="E44" s="24" t="s">
        <v>86</v>
      </c>
    </row>
    <row r="45" spans="1:5">
      <c r="A45" s="21" t="s">
        <v>171</v>
      </c>
      <c r="B45" s="5" t="s">
        <v>191</v>
      </c>
      <c r="C45" s="5" t="s">
        <v>90</v>
      </c>
      <c r="D45" s="5" t="s">
        <v>176</v>
      </c>
      <c r="E45" s="25" t="s">
        <v>192</v>
      </c>
    </row>
    <row r="47" spans="1:5" ht="14.25">
      <c r="A47" s="22"/>
      <c r="B47" s="23" t="s">
        <v>81</v>
      </c>
    </row>
    <row r="48" spans="1:5" ht="15">
      <c r="A48" s="24" t="s">
        <v>82</v>
      </c>
      <c r="B48" s="24" t="s">
        <v>83</v>
      </c>
      <c r="C48" s="24" t="s">
        <v>84</v>
      </c>
      <c r="D48" s="24" t="s">
        <v>85</v>
      </c>
      <c r="E48" s="24" t="s">
        <v>86</v>
      </c>
    </row>
    <row r="49" spans="1:5">
      <c r="A49" s="21" t="s">
        <v>142</v>
      </c>
      <c r="B49" s="5" t="s">
        <v>81</v>
      </c>
      <c r="C49" s="5" t="s">
        <v>93</v>
      </c>
      <c r="D49" s="5" t="s">
        <v>23</v>
      </c>
      <c r="E49" s="25" t="s">
        <v>193</v>
      </c>
    </row>
    <row r="50" spans="1:5">
      <c r="A50" s="21" t="s">
        <v>147</v>
      </c>
      <c r="B50" s="5" t="s">
        <v>81</v>
      </c>
      <c r="C50" s="5" t="s">
        <v>93</v>
      </c>
      <c r="D50" s="5" t="s">
        <v>63</v>
      </c>
      <c r="E50" s="25" t="s">
        <v>194</v>
      </c>
    </row>
    <row r="51" spans="1:5">
      <c r="A51" s="21" t="s">
        <v>103</v>
      </c>
      <c r="B51" s="5" t="s">
        <v>81</v>
      </c>
      <c r="C51" s="5" t="s">
        <v>195</v>
      </c>
      <c r="D51" s="5" t="s">
        <v>27</v>
      </c>
      <c r="E51" s="25" t="s">
        <v>196</v>
      </c>
    </row>
    <row r="52" spans="1:5">
      <c r="A52" s="21" t="s">
        <v>152</v>
      </c>
      <c r="B52" s="5" t="s">
        <v>81</v>
      </c>
      <c r="C52" s="5" t="s">
        <v>93</v>
      </c>
      <c r="D52" s="5" t="s">
        <v>159</v>
      </c>
      <c r="E52" s="25" t="s">
        <v>197</v>
      </c>
    </row>
    <row r="53" spans="1:5">
      <c r="A53" s="21" t="s">
        <v>177</v>
      </c>
      <c r="B53" s="5" t="s">
        <v>81</v>
      </c>
      <c r="C53" s="5" t="s">
        <v>90</v>
      </c>
      <c r="D53" s="5" t="s">
        <v>22</v>
      </c>
      <c r="E53" s="25" t="s">
        <v>198</v>
      </c>
    </row>
    <row r="54" spans="1:5">
      <c r="A54" s="21" t="s">
        <v>167</v>
      </c>
      <c r="B54" s="5" t="s">
        <v>81</v>
      </c>
      <c r="C54" s="5" t="s">
        <v>199</v>
      </c>
      <c r="D54" s="5" t="s">
        <v>158</v>
      </c>
      <c r="E54" s="25" t="s">
        <v>200</v>
      </c>
    </row>
    <row r="55" spans="1:5">
      <c r="A55" s="21" t="s">
        <v>135</v>
      </c>
      <c r="B55" s="5" t="s">
        <v>81</v>
      </c>
      <c r="C55" s="5" t="s">
        <v>98</v>
      </c>
      <c r="D55" s="5" t="s">
        <v>53</v>
      </c>
      <c r="E55" s="25" t="s">
        <v>201</v>
      </c>
    </row>
    <row r="56" spans="1:5">
      <c r="A56" s="21" t="s">
        <v>160</v>
      </c>
      <c r="B56" s="5" t="s">
        <v>81</v>
      </c>
      <c r="C56" s="5" t="s">
        <v>93</v>
      </c>
      <c r="D56" s="5" t="s">
        <v>54</v>
      </c>
      <c r="E56" s="25" t="s">
        <v>202</v>
      </c>
    </row>
    <row r="57" spans="1:5">
      <c r="A57" s="21" t="s">
        <v>109</v>
      </c>
      <c r="B57" s="5" t="s">
        <v>81</v>
      </c>
      <c r="C57" s="5" t="s">
        <v>195</v>
      </c>
      <c r="D57" s="5" t="s">
        <v>114</v>
      </c>
      <c r="E57" s="25" t="s">
        <v>203</v>
      </c>
    </row>
    <row r="58" spans="1:5">
      <c r="A58" s="21" t="s">
        <v>128</v>
      </c>
      <c r="B58" s="5" t="s">
        <v>81</v>
      </c>
      <c r="C58" s="5" t="s">
        <v>204</v>
      </c>
      <c r="D58" s="5" t="s">
        <v>134</v>
      </c>
      <c r="E58" s="25" t="s">
        <v>205</v>
      </c>
    </row>
    <row r="59" spans="1:5">
      <c r="A59" s="21" t="s">
        <v>182</v>
      </c>
      <c r="B59" s="5" t="s">
        <v>81</v>
      </c>
      <c r="C59" s="5" t="s">
        <v>90</v>
      </c>
      <c r="D59" s="5" t="s">
        <v>186</v>
      </c>
      <c r="E59" s="25" t="s">
        <v>206</v>
      </c>
    </row>
    <row r="60" spans="1:5">
      <c r="A60" s="21" t="s">
        <v>116</v>
      </c>
      <c r="B60" s="5" t="s">
        <v>81</v>
      </c>
      <c r="C60" s="5" t="s">
        <v>195</v>
      </c>
      <c r="D60" s="5" t="s">
        <v>93</v>
      </c>
      <c r="E60" s="25" t="s">
        <v>207</v>
      </c>
    </row>
  </sheetData>
  <mergeCells count="17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27:L27"/>
    <mergeCell ref="A10:L10"/>
    <mergeCell ref="A14:L14"/>
    <mergeCell ref="A18:L18"/>
    <mergeCell ref="A24:L24"/>
    <mergeCell ref="K3:K4"/>
    <mergeCell ref="L3:L4"/>
  </mergeCells>
  <phoneticPr fontId="0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3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5.140625" style="5" bestFit="1" customWidth="1"/>
    <col min="22" max="16384" width="9.140625" style="4"/>
  </cols>
  <sheetData>
    <row r="1" spans="1:21" s="3" customFormat="1" ht="29.1" customHeight="1">
      <c r="A1" s="5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6</v>
      </c>
      <c r="U3" s="37" t="s">
        <v>5</v>
      </c>
    </row>
    <row r="4" spans="1:2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8"/>
      <c r="T4" s="48"/>
      <c r="U4" s="38"/>
    </row>
    <row r="5" spans="1:21" ht="15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17</v>
      </c>
      <c r="B6" s="8" t="s">
        <v>18</v>
      </c>
      <c r="C6" s="8" t="s">
        <v>19</v>
      </c>
      <c r="D6" s="8" t="str">
        <f>"0,7287"</f>
        <v>0,7287</v>
      </c>
      <c r="E6" s="8" t="s">
        <v>20</v>
      </c>
      <c r="F6" s="8" t="s">
        <v>21</v>
      </c>
      <c r="G6" s="9" t="s">
        <v>22</v>
      </c>
      <c r="H6" s="9" t="s">
        <v>23</v>
      </c>
      <c r="I6" s="10" t="s">
        <v>24</v>
      </c>
      <c r="J6" s="10"/>
      <c r="K6" s="9" t="s">
        <v>25</v>
      </c>
      <c r="L6" s="9" t="s">
        <v>26</v>
      </c>
      <c r="M6" s="9" t="s">
        <v>27</v>
      </c>
      <c r="N6" s="10"/>
      <c r="O6" s="9" t="s">
        <v>28</v>
      </c>
      <c r="P6" s="9" t="s">
        <v>29</v>
      </c>
      <c r="Q6" s="9" t="s">
        <v>30</v>
      </c>
      <c r="R6" s="10"/>
      <c r="S6" s="8" t="str">
        <f>"660,0"</f>
        <v>660,0</v>
      </c>
      <c r="T6" s="9" t="str">
        <f>"480,9420"</f>
        <v>480,9420</v>
      </c>
      <c r="U6" s="8" t="s">
        <v>31</v>
      </c>
    </row>
    <row r="8" spans="1:21" ht="15">
      <c r="A8" s="51" t="s">
        <v>32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1">
      <c r="A9" s="8" t="s">
        <v>34</v>
      </c>
      <c r="B9" s="8" t="s">
        <v>35</v>
      </c>
      <c r="C9" s="8" t="s">
        <v>36</v>
      </c>
      <c r="D9" s="8" t="str">
        <f>"0,6022"</f>
        <v>0,6022</v>
      </c>
      <c r="E9" s="8" t="s">
        <v>37</v>
      </c>
      <c r="F9" s="8" t="s">
        <v>21</v>
      </c>
      <c r="G9" s="10" t="s">
        <v>38</v>
      </c>
      <c r="H9" s="9" t="s">
        <v>38</v>
      </c>
      <c r="I9" s="10" t="s">
        <v>24</v>
      </c>
      <c r="J9" s="10"/>
      <c r="K9" s="9" t="s">
        <v>39</v>
      </c>
      <c r="L9" s="10" t="s">
        <v>40</v>
      </c>
      <c r="M9" s="10" t="s">
        <v>27</v>
      </c>
      <c r="N9" s="10"/>
      <c r="O9" s="9" t="s">
        <v>41</v>
      </c>
      <c r="P9" s="9" t="s">
        <v>42</v>
      </c>
      <c r="Q9" s="9" t="s">
        <v>28</v>
      </c>
      <c r="R9" s="10"/>
      <c r="S9" s="8" t="str">
        <f>"610,0"</f>
        <v>610,0</v>
      </c>
      <c r="T9" s="9" t="str">
        <f>"367,3420"</f>
        <v>367,3420</v>
      </c>
      <c r="U9" s="8" t="s">
        <v>43</v>
      </c>
    </row>
    <row r="11" spans="1:21" ht="15">
      <c r="A11" s="51" t="s">
        <v>44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1">
      <c r="A12" s="12" t="s">
        <v>46</v>
      </c>
      <c r="B12" s="12" t="s">
        <v>47</v>
      </c>
      <c r="C12" s="12" t="s">
        <v>48</v>
      </c>
      <c r="D12" s="12" t="str">
        <f>"0,5586"</f>
        <v>0,5586</v>
      </c>
      <c r="E12" s="12" t="s">
        <v>49</v>
      </c>
      <c r="F12" s="12" t="s">
        <v>50</v>
      </c>
      <c r="G12" s="13" t="s">
        <v>51</v>
      </c>
      <c r="H12" s="13" t="s">
        <v>41</v>
      </c>
      <c r="I12" s="14" t="s">
        <v>52</v>
      </c>
      <c r="J12" s="14"/>
      <c r="K12" s="13" t="s">
        <v>53</v>
      </c>
      <c r="L12" s="13" t="s">
        <v>54</v>
      </c>
      <c r="M12" s="14" t="s">
        <v>55</v>
      </c>
      <c r="N12" s="14"/>
      <c r="O12" s="13" t="s">
        <v>56</v>
      </c>
      <c r="P12" s="13" t="s">
        <v>57</v>
      </c>
      <c r="Q12" s="13" t="s">
        <v>30</v>
      </c>
      <c r="R12" s="14"/>
      <c r="S12" s="12" t="str">
        <f>"700,0"</f>
        <v>700,0</v>
      </c>
      <c r="T12" s="13" t="str">
        <f>"391,0200"</f>
        <v>391,0200</v>
      </c>
      <c r="U12" s="12" t="s">
        <v>58</v>
      </c>
    </row>
    <row r="13" spans="1:21">
      <c r="A13" s="15" t="s">
        <v>60</v>
      </c>
      <c r="B13" s="15" t="s">
        <v>61</v>
      </c>
      <c r="C13" s="15" t="s">
        <v>62</v>
      </c>
      <c r="D13" s="15" t="str">
        <f>"0,5754"</f>
        <v>0,5754</v>
      </c>
      <c r="E13" s="15" t="s">
        <v>37</v>
      </c>
      <c r="F13" s="15" t="s">
        <v>21</v>
      </c>
      <c r="G13" s="16" t="s">
        <v>63</v>
      </c>
      <c r="H13" s="16" t="s">
        <v>51</v>
      </c>
      <c r="I13" s="17" t="s">
        <v>52</v>
      </c>
      <c r="J13" s="17"/>
      <c r="K13" s="16" t="s">
        <v>40</v>
      </c>
      <c r="L13" s="16" t="s">
        <v>53</v>
      </c>
      <c r="M13" s="16" t="s">
        <v>64</v>
      </c>
      <c r="N13" s="17"/>
      <c r="O13" s="16" t="s">
        <v>51</v>
      </c>
      <c r="P13" s="16" t="s">
        <v>52</v>
      </c>
      <c r="Q13" s="17" t="s">
        <v>28</v>
      </c>
      <c r="R13" s="17"/>
      <c r="S13" s="15" t="str">
        <f>"652,5"</f>
        <v>652,5</v>
      </c>
      <c r="T13" s="16" t="str">
        <f>"375,4485"</f>
        <v>375,4485</v>
      </c>
      <c r="U13" s="15" t="s">
        <v>43</v>
      </c>
    </row>
    <row r="15" spans="1:21" ht="15">
      <c r="A15" s="51" t="s">
        <v>65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1">
      <c r="A16" s="8" t="s">
        <v>67</v>
      </c>
      <c r="B16" s="8" t="s">
        <v>68</v>
      </c>
      <c r="C16" s="8" t="s">
        <v>69</v>
      </c>
      <c r="D16" s="8" t="str">
        <f>"0,5258"</f>
        <v>0,5258</v>
      </c>
      <c r="E16" s="8" t="s">
        <v>70</v>
      </c>
      <c r="F16" s="8" t="s">
        <v>71</v>
      </c>
      <c r="G16" s="9" t="s">
        <v>30</v>
      </c>
      <c r="H16" s="9" t="s">
        <v>72</v>
      </c>
      <c r="I16" s="9" t="s">
        <v>73</v>
      </c>
      <c r="J16" s="10"/>
      <c r="K16" s="9" t="s">
        <v>40</v>
      </c>
      <c r="L16" s="9" t="s">
        <v>53</v>
      </c>
      <c r="M16" s="10" t="s">
        <v>54</v>
      </c>
      <c r="N16" s="10"/>
      <c r="O16" s="9" t="s">
        <v>30</v>
      </c>
      <c r="P16" s="9" t="s">
        <v>72</v>
      </c>
      <c r="Q16" s="10"/>
      <c r="R16" s="10"/>
      <c r="S16" s="8" t="str">
        <f>"785,0"</f>
        <v>785,0</v>
      </c>
      <c r="T16" s="9" t="str">
        <f>"412,7530"</f>
        <v>412,7530</v>
      </c>
      <c r="U16" s="8" t="s">
        <v>43</v>
      </c>
    </row>
    <row r="18" spans="1:5" ht="15">
      <c r="E18" s="18" t="s">
        <v>74</v>
      </c>
    </row>
    <row r="19" spans="1:5" ht="15">
      <c r="E19" s="18" t="s">
        <v>75</v>
      </c>
    </row>
    <row r="20" spans="1:5" ht="15">
      <c r="E20" s="18" t="s">
        <v>76</v>
      </c>
    </row>
    <row r="21" spans="1:5" ht="15">
      <c r="E21" s="18" t="s">
        <v>77</v>
      </c>
    </row>
    <row r="22" spans="1:5" ht="15">
      <c r="E22" s="18" t="s">
        <v>77</v>
      </c>
    </row>
    <row r="23" spans="1:5" ht="15">
      <c r="E23" s="18" t="s">
        <v>78</v>
      </c>
    </row>
    <row r="24" spans="1:5" ht="15">
      <c r="E24" s="18"/>
    </row>
    <row r="26" spans="1:5" ht="18">
      <c r="A26" s="19" t="s">
        <v>79</v>
      </c>
      <c r="B26" s="19"/>
    </row>
    <row r="27" spans="1:5" ht="15">
      <c r="A27" s="20" t="s">
        <v>80</v>
      </c>
      <c r="B27" s="20"/>
    </row>
    <row r="28" spans="1:5" ht="14.25">
      <c r="A28" s="22"/>
      <c r="B28" s="23" t="s">
        <v>81</v>
      </c>
    </row>
    <row r="29" spans="1:5" ht="15">
      <c r="A29" s="24" t="s">
        <v>82</v>
      </c>
      <c r="B29" s="24" t="s">
        <v>83</v>
      </c>
      <c r="C29" s="24" t="s">
        <v>84</v>
      </c>
      <c r="D29" s="24" t="s">
        <v>85</v>
      </c>
      <c r="E29" s="24" t="s">
        <v>86</v>
      </c>
    </row>
    <row r="30" spans="1:5">
      <c r="A30" s="21" t="s">
        <v>16</v>
      </c>
      <c r="B30" s="5" t="s">
        <v>81</v>
      </c>
      <c r="C30" s="5" t="s">
        <v>87</v>
      </c>
      <c r="D30" s="5" t="s">
        <v>88</v>
      </c>
      <c r="E30" s="25" t="s">
        <v>89</v>
      </c>
    </row>
    <row r="31" spans="1:5">
      <c r="A31" s="21" t="s">
        <v>66</v>
      </c>
      <c r="B31" s="5" t="s">
        <v>81</v>
      </c>
      <c r="C31" s="5" t="s">
        <v>90</v>
      </c>
      <c r="D31" s="5" t="s">
        <v>91</v>
      </c>
      <c r="E31" s="25" t="s">
        <v>92</v>
      </c>
    </row>
    <row r="32" spans="1:5">
      <c r="A32" s="21" t="s">
        <v>45</v>
      </c>
      <c r="B32" s="5" t="s">
        <v>81</v>
      </c>
      <c r="C32" s="5" t="s">
        <v>93</v>
      </c>
      <c r="D32" s="5" t="s">
        <v>94</v>
      </c>
      <c r="E32" s="25" t="s">
        <v>95</v>
      </c>
    </row>
    <row r="33" spans="1:5">
      <c r="A33" s="21" t="s">
        <v>59</v>
      </c>
      <c r="B33" s="5" t="s">
        <v>81</v>
      </c>
      <c r="C33" s="5" t="s">
        <v>93</v>
      </c>
      <c r="D33" s="5" t="s">
        <v>96</v>
      </c>
      <c r="E33" s="25" t="s">
        <v>97</v>
      </c>
    </row>
    <row r="34" spans="1:5">
      <c r="A34" s="21" t="s">
        <v>33</v>
      </c>
      <c r="B34" s="5" t="s">
        <v>81</v>
      </c>
      <c r="C34" s="5" t="s">
        <v>98</v>
      </c>
      <c r="D34" s="5" t="s">
        <v>99</v>
      </c>
      <c r="E34" s="25" t="s">
        <v>100</v>
      </c>
    </row>
  </sheetData>
  <mergeCells count="17"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8:T8"/>
    <mergeCell ref="A11:T11"/>
    <mergeCell ref="A15:T15"/>
    <mergeCell ref="D3:D4"/>
    <mergeCell ref="S3:S4"/>
    <mergeCell ref="T3:T4"/>
    <mergeCell ref="A5:T5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C12" sqref="C12"/>
    </sheetView>
  </sheetViews>
  <sheetFormatPr defaultRowHeight="12.75"/>
  <cols>
    <col min="1" max="1" width="26" style="5" bestFit="1" customWidth="1"/>
    <col min="2" max="2" width="35.7109375" style="5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29.7109375" style="5" bestFit="1" customWidth="1"/>
    <col min="7" max="7" width="4.5703125" style="4" bestFit="1" customWidth="1"/>
    <col min="8" max="8" width="4.5703125" style="29" bestFit="1" customWidth="1"/>
    <col min="9" max="9" width="7.85546875" style="5" bestFit="1" customWidth="1"/>
    <col min="10" max="10" width="8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1329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1330</v>
      </c>
      <c r="E3" s="49" t="s">
        <v>7</v>
      </c>
      <c r="F3" s="49" t="s">
        <v>11</v>
      </c>
      <c r="G3" s="49" t="s">
        <v>1331</v>
      </c>
      <c r="H3" s="49"/>
      <c r="I3" s="49" t="s">
        <v>1332</v>
      </c>
      <c r="J3" s="49" t="s">
        <v>6</v>
      </c>
      <c r="K3" s="37" t="s">
        <v>5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 t="s">
        <v>1333</v>
      </c>
      <c r="H4" s="55" t="s">
        <v>1334</v>
      </c>
      <c r="I4" s="48"/>
      <c r="J4" s="48"/>
      <c r="K4" s="38"/>
    </row>
    <row r="5" spans="1:11" ht="15">
      <c r="A5" s="53" t="s">
        <v>497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1335</v>
      </c>
      <c r="B6" s="8" t="s">
        <v>1336</v>
      </c>
      <c r="C6" s="8" t="s">
        <v>1337</v>
      </c>
      <c r="D6" s="8" t="str">
        <f>"0,9489"</f>
        <v>0,9489</v>
      </c>
      <c r="E6" s="8" t="s">
        <v>1015</v>
      </c>
      <c r="F6" s="8" t="s">
        <v>21</v>
      </c>
      <c r="G6" s="9" t="s">
        <v>473</v>
      </c>
      <c r="H6" s="56" t="s">
        <v>1338</v>
      </c>
      <c r="I6" s="8" t="str">
        <f>"1045,0"</f>
        <v>1045,0</v>
      </c>
      <c r="J6" s="9" t="str">
        <f>"991,6005"</f>
        <v>991,6005</v>
      </c>
      <c r="K6" s="8" t="s">
        <v>43</v>
      </c>
    </row>
    <row r="8" spans="1:11" ht="15">
      <c r="E8" s="18" t="s">
        <v>74</v>
      </c>
    </row>
    <row r="9" spans="1:11" ht="15">
      <c r="E9" s="18" t="s">
        <v>75</v>
      </c>
    </row>
    <row r="10" spans="1:11" ht="15">
      <c r="E10" s="18" t="s">
        <v>76</v>
      </c>
    </row>
    <row r="11" spans="1:11" ht="15">
      <c r="E11" s="18" t="s">
        <v>77</v>
      </c>
    </row>
    <row r="12" spans="1:11" ht="15">
      <c r="E12" s="18" t="s">
        <v>77</v>
      </c>
    </row>
    <row r="13" spans="1:11" ht="15">
      <c r="E13" s="18" t="s">
        <v>78</v>
      </c>
    </row>
    <row r="14" spans="1:11" ht="15">
      <c r="E14" s="18"/>
    </row>
    <row r="16" spans="1:11" ht="18">
      <c r="A16" s="19" t="s">
        <v>79</v>
      </c>
      <c r="B16" s="19"/>
    </row>
    <row r="17" spans="1:5" ht="15">
      <c r="A17" s="20" t="s">
        <v>254</v>
      </c>
      <c r="B17" s="20"/>
    </row>
    <row r="18" spans="1:5" ht="14.25">
      <c r="A18" s="22"/>
      <c r="B18" s="23" t="s">
        <v>267</v>
      </c>
    </row>
    <row r="19" spans="1:5" ht="15">
      <c r="A19" s="24" t="s">
        <v>82</v>
      </c>
      <c r="B19" s="24" t="s">
        <v>83</v>
      </c>
      <c r="C19" s="24" t="s">
        <v>84</v>
      </c>
      <c r="D19" s="24" t="s">
        <v>85</v>
      </c>
      <c r="E19" s="24" t="s">
        <v>1339</v>
      </c>
    </row>
    <row r="20" spans="1:5">
      <c r="A20" s="21" t="s">
        <v>1340</v>
      </c>
      <c r="B20" s="5" t="s">
        <v>990</v>
      </c>
      <c r="C20" s="5" t="s">
        <v>645</v>
      </c>
      <c r="D20" s="5" t="s">
        <v>1341</v>
      </c>
      <c r="E20" s="25" t="s">
        <v>1342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sqref="A1:IV65536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30.28515625" style="5" bestFit="1" customWidth="1"/>
    <col min="7" max="7" width="5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1343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1330</v>
      </c>
      <c r="E3" s="49" t="s">
        <v>7</v>
      </c>
      <c r="F3" s="49" t="s">
        <v>11</v>
      </c>
      <c r="G3" s="49" t="s">
        <v>1331</v>
      </c>
      <c r="H3" s="49"/>
      <c r="I3" s="49" t="s">
        <v>1332</v>
      </c>
      <c r="J3" s="49" t="s">
        <v>6</v>
      </c>
      <c r="K3" s="37" t="s">
        <v>5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 t="s">
        <v>1333</v>
      </c>
      <c r="H4" s="55" t="s">
        <v>1334</v>
      </c>
      <c r="I4" s="48"/>
      <c r="J4" s="48"/>
      <c r="K4" s="38"/>
    </row>
    <row r="5" spans="1:11" ht="15">
      <c r="A5" s="53" t="s">
        <v>102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1344</v>
      </c>
      <c r="B6" s="8" t="s">
        <v>118</v>
      </c>
      <c r="C6" s="8" t="s">
        <v>119</v>
      </c>
      <c r="D6" s="8" t="str">
        <f>"0,8142"</f>
        <v>0,8142</v>
      </c>
      <c r="E6" s="8" t="s">
        <v>391</v>
      </c>
      <c r="F6" s="8" t="s">
        <v>121</v>
      </c>
      <c r="G6" s="9" t="s">
        <v>450</v>
      </c>
      <c r="H6" s="56" t="s">
        <v>1345</v>
      </c>
      <c r="I6" s="8" t="str">
        <f>"1377,5"</f>
        <v>1377,5</v>
      </c>
      <c r="J6" s="9" t="str">
        <f>"1121,5605"</f>
        <v>1121,5605</v>
      </c>
      <c r="K6" s="8" t="s">
        <v>43</v>
      </c>
    </row>
    <row r="8" spans="1:11" ht="15">
      <c r="A8" s="51" t="s">
        <v>32</v>
      </c>
      <c r="B8" s="52"/>
      <c r="C8" s="52"/>
      <c r="D8" s="52"/>
      <c r="E8" s="52"/>
      <c r="F8" s="52"/>
      <c r="G8" s="52"/>
      <c r="H8" s="52"/>
      <c r="I8" s="52"/>
      <c r="J8" s="52"/>
    </row>
    <row r="9" spans="1:11">
      <c r="A9" s="12" t="s">
        <v>1346</v>
      </c>
      <c r="B9" s="12" t="s">
        <v>1347</v>
      </c>
      <c r="C9" s="12" t="s">
        <v>1348</v>
      </c>
      <c r="D9" s="12" t="str">
        <f>"0,7341"</f>
        <v>0,7341</v>
      </c>
      <c r="E9" s="12" t="s">
        <v>107</v>
      </c>
      <c r="F9" s="12" t="s">
        <v>108</v>
      </c>
      <c r="G9" s="13" t="s">
        <v>1349</v>
      </c>
      <c r="H9" s="57" t="s">
        <v>1350</v>
      </c>
      <c r="I9" s="12" t="str">
        <f>"1837,5"</f>
        <v>1837,5</v>
      </c>
      <c r="J9" s="13" t="str">
        <f>"1348,9087"</f>
        <v>1348,9087</v>
      </c>
      <c r="K9" s="12" t="s">
        <v>43</v>
      </c>
    </row>
    <row r="10" spans="1:11">
      <c r="A10" s="15" t="s">
        <v>1351</v>
      </c>
      <c r="B10" s="15" t="s">
        <v>1352</v>
      </c>
      <c r="C10" s="15" t="s">
        <v>845</v>
      </c>
      <c r="D10" s="15" t="str">
        <f>"0,7201"</f>
        <v>0,7201</v>
      </c>
      <c r="E10" s="15" t="s">
        <v>718</v>
      </c>
      <c r="F10" s="15" t="s">
        <v>21</v>
      </c>
      <c r="G10" s="16" t="s">
        <v>98</v>
      </c>
      <c r="H10" s="58" t="s">
        <v>1353</v>
      </c>
      <c r="I10" s="15" t="str">
        <f>"2070,0"</f>
        <v>2070,0</v>
      </c>
      <c r="J10" s="16" t="str">
        <f>"1490,6070"</f>
        <v>1490,6070</v>
      </c>
      <c r="K10" s="15" t="s">
        <v>43</v>
      </c>
    </row>
    <row r="12" spans="1:11" ht="15">
      <c r="A12" s="51" t="s">
        <v>166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1">
      <c r="A13" s="8" t="s">
        <v>1354</v>
      </c>
      <c r="B13" s="8" t="s">
        <v>1355</v>
      </c>
      <c r="C13" s="8" t="s">
        <v>1356</v>
      </c>
      <c r="D13" s="8" t="str">
        <f>"0,6481"</f>
        <v>0,6481</v>
      </c>
      <c r="E13" s="8" t="s">
        <v>1357</v>
      </c>
      <c r="F13" s="8" t="s">
        <v>21</v>
      </c>
      <c r="G13" s="9" t="s">
        <v>199</v>
      </c>
      <c r="H13" s="56" t="s">
        <v>1353</v>
      </c>
      <c r="I13" s="8" t="str">
        <f>"2530,0"</f>
        <v>2530,0</v>
      </c>
      <c r="J13" s="9" t="str">
        <f>"1639,6930"</f>
        <v>1639,6930</v>
      </c>
      <c r="K13" s="8" t="s">
        <v>43</v>
      </c>
    </row>
    <row r="15" spans="1:11" ht="15">
      <c r="A15" s="51" t="s">
        <v>65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1">
      <c r="A16" s="8" t="s">
        <v>1358</v>
      </c>
      <c r="B16" s="8" t="s">
        <v>1359</v>
      </c>
      <c r="C16" s="8" t="s">
        <v>1360</v>
      </c>
      <c r="D16" s="8" t="str">
        <f>"0,7014"</f>
        <v>0,7014</v>
      </c>
      <c r="E16" s="8" t="s">
        <v>1015</v>
      </c>
      <c r="F16" s="8" t="s">
        <v>21</v>
      </c>
      <c r="G16" s="9" t="s">
        <v>421</v>
      </c>
      <c r="H16" s="56" t="s">
        <v>472</v>
      </c>
      <c r="I16" s="8" t="str">
        <f>"2812,5"</f>
        <v>2812,5</v>
      </c>
      <c r="J16" s="9" t="str">
        <f>"1972,6874"</f>
        <v>1972,6874</v>
      </c>
      <c r="K16" s="8" t="s">
        <v>43</v>
      </c>
    </row>
    <row r="18" spans="1:5" ht="15">
      <c r="E18" s="18" t="s">
        <v>74</v>
      </c>
    </row>
    <row r="19" spans="1:5" ht="15">
      <c r="E19" s="18" t="s">
        <v>75</v>
      </c>
    </row>
    <row r="20" spans="1:5" ht="15">
      <c r="E20" s="18" t="s">
        <v>76</v>
      </c>
    </row>
    <row r="21" spans="1:5" ht="15">
      <c r="E21" s="18" t="s">
        <v>77</v>
      </c>
    </row>
    <row r="22" spans="1:5" ht="15">
      <c r="E22" s="18" t="s">
        <v>77</v>
      </c>
    </row>
    <row r="23" spans="1:5" ht="15">
      <c r="E23" s="18" t="s">
        <v>78</v>
      </c>
    </row>
    <row r="24" spans="1:5" ht="15">
      <c r="E24" s="18"/>
    </row>
    <row r="26" spans="1:5" ht="18">
      <c r="A26" s="19" t="s">
        <v>79</v>
      </c>
      <c r="B26" s="19"/>
    </row>
    <row r="27" spans="1:5" ht="15">
      <c r="A27" s="20" t="s">
        <v>80</v>
      </c>
      <c r="B27" s="20"/>
    </row>
    <row r="28" spans="1:5" ht="14.25">
      <c r="A28" s="22"/>
      <c r="B28" s="23" t="s">
        <v>81</v>
      </c>
    </row>
    <row r="29" spans="1:5" ht="15">
      <c r="A29" s="24" t="s">
        <v>82</v>
      </c>
      <c r="B29" s="24" t="s">
        <v>83</v>
      </c>
      <c r="C29" s="24" t="s">
        <v>84</v>
      </c>
      <c r="D29" s="24" t="s">
        <v>85</v>
      </c>
      <c r="E29" s="24" t="s">
        <v>1339</v>
      </c>
    </row>
    <row r="30" spans="1:5">
      <c r="A30" s="21" t="s">
        <v>1361</v>
      </c>
      <c r="B30" s="5" t="s">
        <v>81</v>
      </c>
      <c r="C30" s="5" t="s">
        <v>199</v>
      </c>
      <c r="D30" s="5" t="s">
        <v>1362</v>
      </c>
      <c r="E30" s="25" t="s">
        <v>1363</v>
      </c>
    </row>
    <row r="31" spans="1:5">
      <c r="A31" s="21" t="s">
        <v>1364</v>
      </c>
      <c r="B31" s="5" t="s">
        <v>81</v>
      </c>
      <c r="C31" s="5" t="s">
        <v>98</v>
      </c>
      <c r="D31" s="5" t="s">
        <v>1365</v>
      </c>
      <c r="E31" s="25" t="s">
        <v>1366</v>
      </c>
    </row>
    <row r="32" spans="1:5">
      <c r="A32" s="21" t="s">
        <v>116</v>
      </c>
      <c r="B32" s="5" t="s">
        <v>81</v>
      </c>
      <c r="C32" s="5" t="s">
        <v>195</v>
      </c>
      <c r="D32" s="5" t="s">
        <v>1367</v>
      </c>
      <c r="E32" s="25" t="s">
        <v>1368</v>
      </c>
    </row>
    <row r="34" spans="1:5" ht="14.25">
      <c r="A34" s="22"/>
      <c r="B34" s="23" t="s">
        <v>267</v>
      </c>
    </row>
    <row r="35" spans="1:5" ht="15">
      <c r="A35" s="24" t="s">
        <v>82</v>
      </c>
      <c r="B35" s="24" t="s">
        <v>83</v>
      </c>
      <c r="C35" s="24" t="s">
        <v>84</v>
      </c>
      <c r="D35" s="24" t="s">
        <v>85</v>
      </c>
      <c r="E35" s="24" t="s">
        <v>1339</v>
      </c>
    </row>
    <row r="36" spans="1:5">
      <c r="A36" s="21" t="s">
        <v>1369</v>
      </c>
      <c r="B36" s="5" t="s">
        <v>990</v>
      </c>
      <c r="C36" s="5" t="s">
        <v>90</v>
      </c>
      <c r="D36" s="5" t="s">
        <v>1370</v>
      </c>
      <c r="E36" s="25" t="s">
        <v>1371</v>
      </c>
    </row>
    <row r="37" spans="1:5">
      <c r="A37" s="21" t="s">
        <v>1372</v>
      </c>
      <c r="B37" s="5" t="s">
        <v>990</v>
      </c>
      <c r="C37" s="5" t="s">
        <v>98</v>
      </c>
      <c r="D37" s="5" t="s">
        <v>1373</v>
      </c>
      <c r="E37" s="25" t="s">
        <v>1374</v>
      </c>
    </row>
  </sheetData>
  <mergeCells count="15">
    <mergeCell ref="K3:K4"/>
    <mergeCell ref="A5:J5"/>
    <mergeCell ref="A8:J8"/>
    <mergeCell ref="A12:J12"/>
    <mergeCell ref="A15:J1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I16" sqref="I16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22" style="5" bestFit="1" customWidth="1"/>
    <col min="7" max="7" width="4.5703125" style="4" bestFit="1" customWidth="1"/>
    <col min="8" max="8" width="4.5703125" style="29" bestFit="1" customWidth="1"/>
    <col min="9" max="9" width="7.85546875" style="5" bestFit="1" customWidth="1"/>
    <col min="10" max="10" width="8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1375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1330</v>
      </c>
      <c r="E3" s="49" t="s">
        <v>7</v>
      </c>
      <c r="F3" s="49" t="s">
        <v>11</v>
      </c>
      <c r="G3" s="49" t="s">
        <v>1331</v>
      </c>
      <c r="H3" s="49"/>
      <c r="I3" s="49" t="s">
        <v>1332</v>
      </c>
      <c r="J3" s="49" t="s">
        <v>6</v>
      </c>
      <c r="K3" s="37" t="s">
        <v>5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 t="s">
        <v>1333</v>
      </c>
      <c r="H4" s="55" t="s">
        <v>1334</v>
      </c>
      <c r="I4" s="48"/>
      <c r="J4" s="48"/>
      <c r="K4" s="38"/>
    </row>
    <row r="5" spans="1:11" ht="15">
      <c r="A5" s="53" t="s">
        <v>456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1376</v>
      </c>
      <c r="B6" s="8" t="s">
        <v>1377</v>
      </c>
      <c r="C6" s="8" t="s">
        <v>1378</v>
      </c>
      <c r="D6" s="8" t="str">
        <f>"1,0176"</f>
        <v>1,0176</v>
      </c>
      <c r="E6" s="8" t="s">
        <v>1015</v>
      </c>
      <c r="F6" s="8" t="s">
        <v>738</v>
      </c>
      <c r="G6" s="9" t="s">
        <v>472</v>
      </c>
      <c r="H6" s="56" t="s">
        <v>1379</v>
      </c>
      <c r="I6" s="8" t="str">
        <f>"900,0"</f>
        <v>900,0</v>
      </c>
      <c r="J6" s="9" t="str">
        <f>"915,8401"</f>
        <v>915,8401</v>
      </c>
      <c r="K6" s="8" t="s">
        <v>1380</v>
      </c>
    </row>
    <row r="8" spans="1:11" ht="15">
      <c r="E8" s="18" t="s">
        <v>74</v>
      </c>
    </row>
    <row r="9" spans="1:11" ht="15">
      <c r="E9" s="18" t="s">
        <v>75</v>
      </c>
    </row>
    <row r="10" spans="1:11" ht="15">
      <c r="E10" s="18" t="s">
        <v>76</v>
      </c>
    </row>
    <row r="11" spans="1:11" ht="15">
      <c r="E11" s="18" t="s">
        <v>77</v>
      </c>
    </row>
    <row r="12" spans="1:11" ht="15">
      <c r="E12" s="18" t="s">
        <v>77</v>
      </c>
    </row>
    <row r="13" spans="1:11" ht="15">
      <c r="E13" s="18" t="s">
        <v>78</v>
      </c>
    </row>
    <row r="14" spans="1:11" ht="15">
      <c r="E14" s="18"/>
    </row>
    <row r="16" spans="1:11" ht="18">
      <c r="A16" s="19" t="s">
        <v>79</v>
      </c>
      <c r="B16" s="19"/>
    </row>
    <row r="17" spans="1:5" ht="15">
      <c r="A17" s="20" t="s">
        <v>254</v>
      </c>
      <c r="B17" s="20"/>
    </row>
    <row r="18" spans="1:5" ht="14.25">
      <c r="A18" s="22"/>
      <c r="B18" s="23" t="s">
        <v>81</v>
      </c>
    </row>
    <row r="19" spans="1:5" ht="15">
      <c r="A19" s="24" t="s">
        <v>82</v>
      </c>
      <c r="B19" s="24" t="s">
        <v>83</v>
      </c>
      <c r="C19" s="24" t="s">
        <v>84</v>
      </c>
      <c r="D19" s="24" t="s">
        <v>85</v>
      </c>
      <c r="E19" s="24" t="s">
        <v>1339</v>
      </c>
    </row>
    <row r="20" spans="1:5">
      <c r="A20" s="21" t="s">
        <v>1381</v>
      </c>
      <c r="B20" s="5" t="s">
        <v>81</v>
      </c>
      <c r="C20" s="5" t="s">
        <v>634</v>
      </c>
      <c r="D20" s="5" t="s">
        <v>1382</v>
      </c>
      <c r="E20" s="25" t="s">
        <v>1383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1299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A8" sqref="A8:J8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29.7109375" style="5" bestFit="1" customWidth="1"/>
    <col min="7" max="7" width="5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1384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1330</v>
      </c>
      <c r="E3" s="49" t="s">
        <v>7</v>
      </c>
      <c r="F3" s="49" t="s">
        <v>11</v>
      </c>
      <c r="G3" s="49" t="s">
        <v>1331</v>
      </c>
      <c r="H3" s="49"/>
      <c r="I3" s="49" t="s">
        <v>1332</v>
      </c>
      <c r="J3" s="49" t="s">
        <v>6</v>
      </c>
      <c r="K3" s="37" t="s">
        <v>5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 t="s">
        <v>1333</v>
      </c>
      <c r="H4" s="55" t="s">
        <v>1334</v>
      </c>
      <c r="I4" s="48"/>
      <c r="J4" s="48"/>
      <c r="K4" s="38"/>
    </row>
    <row r="5" spans="1:11" ht="15">
      <c r="A5" s="53" t="s">
        <v>102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1385</v>
      </c>
      <c r="B6" s="8" t="s">
        <v>572</v>
      </c>
      <c r="C6" s="8" t="s">
        <v>573</v>
      </c>
      <c r="D6" s="8" t="str">
        <f>"0,8187"</f>
        <v>0,8187</v>
      </c>
      <c r="E6" s="8" t="s">
        <v>37</v>
      </c>
      <c r="F6" s="8" t="s">
        <v>121</v>
      </c>
      <c r="G6" s="9" t="s">
        <v>450</v>
      </c>
      <c r="H6" s="56" t="s">
        <v>1350</v>
      </c>
      <c r="I6" s="8" t="str">
        <f>"1522,5"</f>
        <v>1522,5</v>
      </c>
      <c r="J6" s="9" t="str">
        <f>"1246,4708"</f>
        <v>1246,4708</v>
      </c>
      <c r="K6" s="8" t="s">
        <v>43</v>
      </c>
    </row>
    <row r="8" spans="1:11" ht="15">
      <c r="A8" s="51" t="s">
        <v>122</v>
      </c>
      <c r="B8" s="52"/>
      <c r="C8" s="52"/>
      <c r="D8" s="52"/>
      <c r="E8" s="52"/>
      <c r="F8" s="52"/>
      <c r="G8" s="52"/>
      <c r="H8" s="52"/>
      <c r="I8" s="52"/>
      <c r="J8" s="52"/>
    </row>
    <row r="9" spans="1:11">
      <c r="A9" s="8" t="s">
        <v>1386</v>
      </c>
      <c r="B9" s="8" t="s">
        <v>814</v>
      </c>
      <c r="C9" s="8" t="s">
        <v>815</v>
      </c>
      <c r="D9" s="8" t="str">
        <f>"0,7647"</f>
        <v>0,7647</v>
      </c>
      <c r="E9" s="8" t="s">
        <v>37</v>
      </c>
      <c r="F9" s="8" t="s">
        <v>21</v>
      </c>
      <c r="G9" s="9" t="s">
        <v>204</v>
      </c>
      <c r="H9" s="56" t="s">
        <v>1350</v>
      </c>
      <c r="I9" s="8" t="str">
        <f>"1732,5"</f>
        <v>1732,5</v>
      </c>
      <c r="J9" s="9" t="str">
        <f>"1324,8427"</f>
        <v>1324,8427</v>
      </c>
      <c r="K9" s="8" t="s">
        <v>43</v>
      </c>
    </row>
    <row r="11" spans="1:11" ht="15">
      <c r="A11" s="51" t="s">
        <v>32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>
      <c r="A12" s="12" t="s">
        <v>821</v>
      </c>
      <c r="B12" s="12" t="s">
        <v>822</v>
      </c>
      <c r="C12" s="12" t="s">
        <v>823</v>
      </c>
      <c r="D12" s="12" t="str">
        <f>"0,7375"</f>
        <v>0,7375</v>
      </c>
      <c r="E12" s="12" t="s">
        <v>824</v>
      </c>
      <c r="F12" s="12" t="s">
        <v>21</v>
      </c>
      <c r="G12" s="13" t="s">
        <v>1349</v>
      </c>
      <c r="H12" s="57" t="s">
        <v>1387</v>
      </c>
      <c r="I12" s="12" t="str">
        <f>"2975,0"</f>
        <v>2975,0</v>
      </c>
      <c r="J12" s="13" t="str">
        <f>"2194,0625"</f>
        <v>2194,0625</v>
      </c>
      <c r="K12" s="12" t="s">
        <v>43</v>
      </c>
    </row>
    <row r="13" spans="1:11">
      <c r="A13" s="26" t="s">
        <v>834</v>
      </c>
      <c r="B13" s="26" t="s">
        <v>835</v>
      </c>
      <c r="C13" s="26" t="s">
        <v>141</v>
      </c>
      <c r="D13" s="26" t="str">
        <f>"0,7324"</f>
        <v>0,7324</v>
      </c>
      <c r="E13" s="26" t="s">
        <v>836</v>
      </c>
      <c r="F13" s="26" t="s">
        <v>21</v>
      </c>
      <c r="G13" s="28" t="s">
        <v>98</v>
      </c>
      <c r="H13" s="59" t="s">
        <v>471</v>
      </c>
      <c r="I13" s="26" t="str">
        <f>"2700,0"</f>
        <v>2700,0</v>
      </c>
      <c r="J13" s="28" t="str">
        <f>"1977,4800"</f>
        <v>1977,4800</v>
      </c>
      <c r="K13" s="26" t="s">
        <v>43</v>
      </c>
    </row>
    <row r="14" spans="1:11">
      <c r="A14" s="15" t="s">
        <v>854</v>
      </c>
      <c r="B14" s="15" t="s">
        <v>855</v>
      </c>
      <c r="C14" s="15" t="s">
        <v>856</v>
      </c>
      <c r="D14" s="15" t="str">
        <f>"0,7316"</f>
        <v>0,7316</v>
      </c>
      <c r="E14" s="15" t="s">
        <v>857</v>
      </c>
      <c r="F14" s="15" t="s">
        <v>21</v>
      </c>
      <c r="G14" s="16" t="s">
        <v>98</v>
      </c>
      <c r="H14" s="58" t="s">
        <v>1388</v>
      </c>
      <c r="I14" s="15" t="str">
        <f>"1260,0"</f>
        <v>1260,0</v>
      </c>
      <c r="J14" s="16" t="str">
        <f>"921,8160"</f>
        <v>921,8160</v>
      </c>
      <c r="K14" s="15" t="s">
        <v>43</v>
      </c>
    </row>
    <row r="16" spans="1:11" ht="15">
      <c r="A16" s="51" t="s">
        <v>44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1">
      <c r="A17" s="8" t="s">
        <v>893</v>
      </c>
      <c r="B17" s="8" t="s">
        <v>894</v>
      </c>
      <c r="C17" s="8" t="s">
        <v>233</v>
      </c>
      <c r="D17" s="8" t="str">
        <f>"0,6865"</f>
        <v>0,6865</v>
      </c>
      <c r="E17" s="8" t="s">
        <v>20</v>
      </c>
      <c r="F17" s="8" t="s">
        <v>21</v>
      </c>
      <c r="G17" s="9" t="s">
        <v>523</v>
      </c>
      <c r="H17" s="56" t="s">
        <v>1353</v>
      </c>
      <c r="I17" s="8" t="str">
        <f>"2242,5"</f>
        <v>2242,5</v>
      </c>
      <c r="J17" s="9" t="str">
        <f>"1539,4763"</f>
        <v>1539,4763</v>
      </c>
      <c r="K17" s="8" t="s">
        <v>43</v>
      </c>
    </row>
    <row r="19" spans="1:11" ht="15">
      <c r="A19" s="51" t="s">
        <v>166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1">
      <c r="A20" s="8" t="s">
        <v>1389</v>
      </c>
      <c r="B20" s="8" t="s">
        <v>902</v>
      </c>
      <c r="C20" s="8" t="s">
        <v>903</v>
      </c>
      <c r="D20" s="8" t="str">
        <f>"0,6634"</f>
        <v>0,6634</v>
      </c>
      <c r="E20" s="8" t="s">
        <v>37</v>
      </c>
      <c r="F20" s="8" t="s">
        <v>904</v>
      </c>
      <c r="G20" s="9" t="s">
        <v>443</v>
      </c>
      <c r="H20" s="56" t="s">
        <v>1390</v>
      </c>
      <c r="I20" s="8" t="str">
        <f>"2365,0"</f>
        <v>2365,0</v>
      </c>
      <c r="J20" s="9" t="str">
        <f>"1568,9410"</f>
        <v>1568,9410</v>
      </c>
      <c r="K20" s="8" t="s">
        <v>43</v>
      </c>
    </row>
    <row r="22" spans="1:11" ht="15">
      <c r="E22" s="18" t="s">
        <v>74</v>
      </c>
    </row>
    <row r="23" spans="1:11" ht="15">
      <c r="E23" s="18" t="s">
        <v>75</v>
      </c>
    </row>
    <row r="24" spans="1:11" ht="15">
      <c r="E24" s="18" t="s">
        <v>76</v>
      </c>
    </row>
    <row r="25" spans="1:11" ht="15">
      <c r="E25" s="18" t="s">
        <v>77</v>
      </c>
    </row>
    <row r="26" spans="1:11" ht="15">
      <c r="E26" s="18" t="s">
        <v>77</v>
      </c>
    </row>
    <row r="27" spans="1:11" ht="15">
      <c r="E27" s="18" t="s">
        <v>78</v>
      </c>
    </row>
    <row r="28" spans="1:11" ht="15">
      <c r="E28" s="18"/>
    </row>
    <row r="30" spans="1:11" ht="18">
      <c r="A30" s="19" t="s">
        <v>79</v>
      </c>
      <c r="B30" s="19"/>
    </row>
    <row r="31" spans="1:11" ht="15">
      <c r="A31" s="20" t="s">
        <v>80</v>
      </c>
      <c r="B31" s="20"/>
    </row>
    <row r="32" spans="1:11" ht="14.25">
      <c r="A32" s="22"/>
      <c r="B32" s="23" t="s">
        <v>357</v>
      </c>
    </row>
    <row r="33" spans="1:5" ht="15">
      <c r="A33" s="24" t="s">
        <v>82</v>
      </c>
      <c r="B33" s="24" t="s">
        <v>83</v>
      </c>
      <c r="C33" s="24" t="s">
        <v>84</v>
      </c>
      <c r="D33" s="24" t="s">
        <v>85</v>
      </c>
      <c r="E33" s="24" t="s">
        <v>1339</v>
      </c>
    </row>
    <row r="34" spans="1:5">
      <c r="A34" s="21" t="s">
        <v>820</v>
      </c>
      <c r="B34" s="5" t="s">
        <v>256</v>
      </c>
      <c r="C34" s="5" t="s">
        <v>98</v>
      </c>
      <c r="D34" s="5" t="s">
        <v>1391</v>
      </c>
      <c r="E34" s="25" t="s">
        <v>1392</v>
      </c>
    </row>
    <row r="36" spans="1:5" ht="14.25">
      <c r="A36" s="22"/>
      <c r="B36" s="23" t="s">
        <v>81</v>
      </c>
    </row>
    <row r="37" spans="1:5" ht="15">
      <c r="A37" s="24" t="s">
        <v>82</v>
      </c>
      <c r="B37" s="24" t="s">
        <v>83</v>
      </c>
      <c r="C37" s="24" t="s">
        <v>84</v>
      </c>
      <c r="D37" s="24" t="s">
        <v>85</v>
      </c>
      <c r="E37" s="24" t="s">
        <v>1339</v>
      </c>
    </row>
    <row r="38" spans="1:5">
      <c r="A38" s="21" t="s">
        <v>833</v>
      </c>
      <c r="B38" s="5" t="s">
        <v>81</v>
      </c>
      <c r="C38" s="5" t="s">
        <v>98</v>
      </c>
      <c r="D38" s="5" t="s">
        <v>1393</v>
      </c>
      <c r="E38" s="25" t="s">
        <v>1394</v>
      </c>
    </row>
    <row r="39" spans="1:5">
      <c r="A39" s="21" t="s">
        <v>900</v>
      </c>
      <c r="B39" s="5" t="s">
        <v>81</v>
      </c>
      <c r="C39" s="5" t="s">
        <v>199</v>
      </c>
      <c r="D39" s="5" t="s">
        <v>1395</v>
      </c>
      <c r="E39" s="25" t="s">
        <v>1396</v>
      </c>
    </row>
    <row r="40" spans="1:5">
      <c r="A40" s="21" t="s">
        <v>812</v>
      </c>
      <c r="B40" s="5" t="s">
        <v>81</v>
      </c>
      <c r="C40" s="5" t="s">
        <v>204</v>
      </c>
      <c r="D40" s="5" t="s">
        <v>1397</v>
      </c>
      <c r="E40" s="25" t="s">
        <v>1398</v>
      </c>
    </row>
    <row r="41" spans="1:5">
      <c r="A41" s="21" t="s">
        <v>570</v>
      </c>
      <c r="B41" s="5" t="s">
        <v>81</v>
      </c>
      <c r="C41" s="5" t="s">
        <v>195</v>
      </c>
      <c r="D41" s="5" t="s">
        <v>1399</v>
      </c>
      <c r="E41" s="25" t="s">
        <v>1400</v>
      </c>
    </row>
    <row r="43" spans="1:5" ht="14.25">
      <c r="A43" s="22"/>
      <c r="B43" s="23" t="s">
        <v>267</v>
      </c>
    </row>
    <row r="44" spans="1:5" ht="15">
      <c r="A44" s="24" t="s">
        <v>82</v>
      </c>
      <c r="B44" s="24" t="s">
        <v>83</v>
      </c>
      <c r="C44" s="24" t="s">
        <v>84</v>
      </c>
      <c r="D44" s="24" t="s">
        <v>85</v>
      </c>
      <c r="E44" s="24" t="s">
        <v>1339</v>
      </c>
    </row>
    <row r="45" spans="1:5">
      <c r="A45" s="21" t="s">
        <v>892</v>
      </c>
      <c r="B45" s="5" t="s">
        <v>987</v>
      </c>
      <c r="C45" s="5" t="s">
        <v>93</v>
      </c>
      <c r="D45" s="5" t="s">
        <v>1401</v>
      </c>
      <c r="E45" s="25" t="s">
        <v>1402</v>
      </c>
    </row>
    <row r="46" spans="1:5">
      <c r="A46" s="21" t="s">
        <v>853</v>
      </c>
      <c r="B46" s="5" t="s">
        <v>987</v>
      </c>
      <c r="C46" s="5" t="s">
        <v>98</v>
      </c>
      <c r="D46" s="5" t="s">
        <v>1403</v>
      </c>
      <c r="E46" s="25" t="s">
        <v>1404</v>
      </c>
    </row>
  </sheetData>
  <mergeCells count="16">
    <mergeCell ref="K3:K4"/>
    <mergeCell ref="A5:J5"/>
    <mergeCell ref="A8:J8"/>
    <mergeCell ref="A11:J11"/>
    <mergeCell ref="A16:J16"/>
    <mergeCell ref="A19:J19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F17" sqref="F17"/>
    </sheetView>
  </sheetViews>
  <sheetFormatPr defaultRowHeight="12.75"/>
  <cols>
    <col min="1" max="1" width="28.28515625" style="25" bestFit="1" customWidth="1"/>
    <col min="2" max="2" width="28.5703125" style="63" bestFit="1" customWidth="1"/>
    <col min="3" max="3" width="10.5703125" style="63" bestFit="1" customWidth="1"/>
    <col min="4" max="4" width="9.28515625" style="63" bestFit="1" customWidth="1"/>
    <col min="5" max="5" width="22.7109375" style="68" bestFit="1" customWidth="1"/>
    <col min="6" max="6" width="29.7109375" style="68" bestFit="1" customWidth="1"/>
    <col min="7" max="7" width="4.5703125" style="63" bestFit="1" customWidth="1"/>
    <col min="8" max="9" width="5.5703125" style="63" bestFit="1" customWidth="1"/>
    <col min="10" max="14" width="4.5703125" style="63" bestFit="1" customWidth="1"/>
    <col min="15" max="15" width="7.85546875" style="25" bestFit="1" customWidth="1"/>
    <col min="16" max="16" width="8.5703125" style="63" bestFit="1" customWidth="1"/>
    <col min="17" max="17" width="8.85546875" style="68" bestFit="1" customWidth="1"/>
    <col min="18" max="16384" width="9.140625" style="63"/>
  </cols>
  <sheetData>
    <row r="1" spans="1:17" ht="29.1" customHeight="1">
      <c r="A1" s="60" t="s">
        <v>1405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7" ht="62.1" customHeight="1" thickBo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7" s="1" customFormat="1" ht="12.75" customHeight="1">
      <c r="A3" s="45" t="s">
        <v>0</v>
      </c>
      <c r="B3" s="47" t="s">
        <v>9</v>
      </c>
      <c r="C3" s="47" t="s">
        <v>1406</v>
      </c>
      <c r="D3" s="49" t="s">
        <v>14</v>
      </c>
      <c r="E3" s="49" t="s">
        <v>7</v>
      </c>
      <c r="F3" s="49" t="s">
        <v>11</v>
      </c>
      <c r="G3" s="49" t="s">
        <v>1407</v>
      </c>
      <c r="H3" s="49"/>
      <c r="I3" s="49"/>
      <c r="J3" s="49"/>
      <c r="K3" s="49" t="s">
        <v>1408</v>
      </c>
      <c r="L3" s="49"/>
      <c r="M3" s="49"/>
      <c r="N3" s="49"/>
      <c r="O3" s="49" t="s">
        <v>4</v>
      </c>
      <c r="P3" s="49" t="s">
        <v>6</v>
      </c>
      <c r="Q3" s="37" t="s">
        <v>5</v>
      </c>
    </row>
    <row r="4" spans="1:17" s="1" customFormat="1" ht="21" customHeight="1" thickBot="1">
      <c r="A4" s="46"/>
      <c r="B4" s="48"/>
      <c r="C4" s="48"/>
      <c r="D4" s="48"/>
      <c r="E4" s="48"/>
      <c r="F4" s="48"/>
      <c r="G4" s="67">
        <v>1</v>
      </c>
      <c r="H4" s="67">
        <v>2</v>
      </c>
      <c r="I4" s="67">
        <v>3</v>
      </c>
      <c r="J4" s="67" t="s">
        <v>8</v>
      </c>
      <c r="K4" s="67">
        <v>1</v>
      </c>
      <c r="L4" s="67">
        <v>2</v>
      </c>
      <c r="M4" s="67">
        <v>3</v>
      </c>
      <c r="N4" s="67" t="s">
        <v>8</v>
      </c>
      <c r="O4" s="48"/>
      <c r="P4" s="48"/>
      <c r="Q4" s="38"/>
    </row>
    <row r="5" spans="1:17" ht="15">
      <c r="A5" s="53" t="s">
        <v>32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7">
      <c r="A6" s="69" t="s">
        <v>1351</v>
      </c>
      <c r="B6" s="70" t="s">
        <v>1352</v>
      </c>
      <c r="C6" s="70" t="s">
        <v>845</v>
      </c>
      <c r="D6" s="70" t="str">
        <f>"0,5885"</f>
        <v>0,5885</v>
      </c>
      <c r="E6" s="31" t="s">
        <v>718</v>
      </c>
      <c r="F6" s="31" t="s">
        <v>21</v>
      </c>
      <c r="G6" s="70" t="s">
        <v>98</v>
      </c>
      <c r="H6" s="10" t="s">
        <v>480</v>
      </c>
      <c r="I6" s="10"/>
      <c r="J6" s="10"/>
      <c r="K6" s="70" t="s">
        <v>438</v>
      </c>
      <c r="L6" s="70" t="s">
        <v>475</v>
      </c>
      <c r="M6" s="70" t="s">
        <v>87</v>
      </c>
      <c r="N6" s="10"/>
      <c r="O6" s="69" t="str">
        <f>"157,5"</f>
        <v>157,5</v>
      </c>
      <c r="P6" s="70" t="str">
        <f>"112,0607"</f>
        <v>112,0607</v>
      </c>
      <c r="Q6" s="31" t="s">
        <v>43</v>
      </c>
    </row>
    <row r="8" spans="1:17" ht="15">
      <c r="A8" s="51" t="s">
        <v>44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7">
      <c r="A9" s="69" t="s">
        <v>1409</v>
      </c>
      <c r="B9" s="70" t="s">
        <v>162</v>
      </c>
      <c r="C9" s="70" t="s">
        <v>163</v>
      </c>
      <c r="D9" s="70" t="str">
        <f>"0,5540"</f>
        <v>0,5540</v>
      </c>
      <c r="E9" s="31" t="s">
        <v>37</v>
      </c>
      <c r="F9" s="31" t="s">
        <v>21</v>
      </c>
      <c r="G9" s="70" t="s">
        <v>98</v>
      </c>
      <c r="H9" s="70" t="s">
        <v>93</v>
      </c>
      <c r="I9" s="70" t="s">
        <v>199</v>
      </c>
      <c r="J9" s="10"/>
      <c r="K9" s="70" t="s">
        <v>438</v>
      </c>
      <c r="L9" s="70" t="s">
        <v>465</v>
      </c>
      <c r="M9" s="70" t="s">
        <v>175</v>
      </c>
      <c r="N9" s="10"/>
      <c r="O9" s="69" t="str">
        <f>"190,0"</f>
        <v>190,0</v>
      </c>
      <c r="P9" s="70" t="str">
        <f>"105,2600"</f>
        <v>105,2600</v>
      </c>
      <c r="Q9" s="31" t="s">
        <v>43</v>
      </c>
    </row>
    <row r="11" spans="1:17" ht="15">
      <c r="E11" s="18" t="s">
        <v>74</v>
      </c>
    </row>
    <row r="12" spans="1:17" ht="15">
      <c r="E12" s="18" t="s">
        <v>75</v>
      </c>
    </row>
    <row r="13" spans="1:17" ht="15">
      <c r="E13" s="18" t="s">
        <v>76</v>
      </c>
    </row>
    <row r="14" spans="1:17" ht="15">
      <c r="E14" s="18" t="s">
        <v>77</v>
      </c>
    </row>
    <row r="15" spans="1:17" ht="15">
      <c r="E15" s="18" t="s">
        <v>77</v>
      </c>
    </row>
    <row r="16" spans="1:17" ht="15">
      <c r="E16" s="18" t="s">
        <v>78</v>
      </c>
    </row>
    <row r="17" spans="1:5" ht="15">
      <c r="E17" s="18"/>
    </row>
    <row r="19" spans="1:5" ht="18">
      <c r="A19" s="71" t="s">
        <v>79</v>
      </c>
      <c r="B19" s="72"/>
    </row>
    <row r="20" spans="1:5" ht="15">
      <c r="A20" s="73" t="s">
        <v>80</v>
      </c>
      <c r="B20" s="11"/>
    </row>
    <row r="21" spans="1:5" ht="14.25">
      <c r="A21" s="74"/>
      <c r="B21" s="75" t="s">
        <v>81</v>
      </c>
    </row>
    <row r="22" spans="1:5" ht="15">
      <c r="A22" s="24" t="s">
        <v>82</v>
      </c>
      <c r="B22" s="24" t="s">
        <v>83</v>
      </c>
      <c r="C22" s="24" t="s">
        <v>84</v>
      </c>
      <c r="D22" s="24" t="s">
        <v>85</v>
      </c>
      <c r="E22" s="24" t="s">
        <v>86</v>
      </c>
    </row>
    <row r="23" spans="1:5">
      <c r="A23" s="76" t="s">
        <v>160</v>
      </c>
      <c r="B23" s="63" t="s">
        <v>81</v>
      </c>
      <c r="C23" s="63" t="s">
        <v>93</v>
      </c>
      <c r="D23" s="63" t="s">
        <v>158</v>
      </c>
      <c r="E23" s="25" t="s">
        <v>962</v>
      </c>
    </row>
    <row r="25" spans="1:5" ht="14.25">
      <c r="A25" s="74"/>
      <c r="B25" s="75" t="s">
        <v>267</v>
      </c>
    </row>
    <row r="26" spans="1:5" ht="15">
      <c r="A26" s="24" t="s">
        <v>82</v>
      </c>
      <c r="B26" s="24" t="s">
        <v>83</v>
      </c>
      <c r="C26" s="24" t="s">
        <v>84</v>
      </c>
      <c r="D26" s="24" t="s">
        <v>85</v>
      </c>
      <c r="E26" s="24" t="s">
        <v>86</v>
      </c>
    </row>
    <row r="27" spans="1:5">
      <c r="A27" s="76" t="s">
        <v>1372</v>
      </c>
      <c r="B27" s="63" t="s">
        <v>990</v>
      </c>
      <c r="C27" s="63" t="s">
        <v>98</v>
      </c>
      <c r="D27" s="63" t="s">
        <v>337</v>
      </c>
      <c r="E27" s="25" t="s">
        <v>1410</v>
      </c>
    </row>
  </sheetData>
  <mergeCells count="14">
    <mergeCell ref="P3:P4"/>
    <mergeCell ref="Q3:Q4"/>
    <mergeCell ref="A5:P5"/>
    <mergeCell ref="A8:P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IV65536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7" width="5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1411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1331</v>
      </c>
      <c r="H3" s="49"/>
      <c r="I3" s="49" t="s">
        <v>1332</v>
      </c>
      <c r="J3" s="49" t="s">
        <v>6</v>
      </c>
      <c r="K3" s="37" t="s">
        <v>5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 t="s">
        <v>1333</v>
      </c>
      <c r="H4" s="55" t="s">
        <v>1334</v>
      </c>
      <c r="I4" s="48"/>
      <c r="J4" s="48"/>
      <c r="K4" s="38"/>
    </row>
    <row r="5" spans="1:11" ht="15">
      <c r="A5" s="53" t="s">
        <v>1412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1413</v>
      </c>
      <c r="B6" s="8" t="s">
        <v>149</v>
      </c>
      <c r="C6" s="8" t="s">
        <v>150</v>
      </c>
      <c r="D6" s="8" t="str">
        <f>"0,5597"</f>
        <v>0,5597</v>
      </c>
      <c r="E6" s="8" t="s">
        <v>113</v>
      </c>
      <c r="F6" s="8" t="s">
        <v>21</v>
      </c>
      <c r="G6" s="9" t="s">
        <v>93</v>
      </c>
      <c r="H6" s="56" t="s">
        <v>1414</v>
      </c>
      <c r="I6" s="8" t="str">
        <f>"3300,0"</f>
        <v>3300,0</v>
      </c>
      <c r="J6" s="9" t="str">
        <f>"1847,0100"</f>
        <v>1847,0100</v>
      </c>
      <c r="K6" s="8" t="s">
        <v>43</v>
      </c>
    </row>
    <row r="8" spans="1:11" ht="15">
      <c r="E8" s="18" t="s">
        <v>74</v>
      </c>
    </row>
    <row r="9" spans="1:11" ht="15">
      <c r="E9" s="18" t="s">
        <v>75</v>
      </c>
    </row>
    <row r="10" spans="1:11" ht="15">
      <c r="E10" s="18" t="s">
        <v>76</v>
      </c>
    </row>
    <row r="11" spans="1:11" ht="15">
      <c r="E11" s="18" t="s">
        <v>77</v>
      </c>
    </row>
    <row r="12" spans="1:11" ht="15">
      <c r="E12" s="18" t="s">
        <v>77</v>
      </c>
    </row>
    <row r="13" spans="1:11" ht="15">
      <c r="E13" s="18" t="s">
        <v>78</v>
      </c>
    </row>
    <row r="14" spans="1:11" ht="15">
      <c r="E14" s="18"/>
    </row>
    <row r="16" spans="1:11" ht="18">
      <c r="A16" s="19" t="s">
        <v>79</v>
      </c>
      <c r="B16" s="19"/>
    </row>
    <row r="17" spans="1:5" ht="15">
      <c r="A17" s="20" t="s">
        <v>80</v>
      </c>
      <c r="B17" s="20"/>
    </row>
    <row r="18" spans="1:5" ht="14.25">
      <c r="A18" s="22"/>
      <c r="B18" s="23" t="s">
        <v>81</v>
      </c>
    </row>
    <row r="19" spans="1:5" ht="15">
      <c r="A19" s="24" t="s">
        <v>82</v>
      </c>
      <c r="B19" s="24" t="s">
        <v>83</v>
      </c>
      <c r="C19" s="24" t="s">
        <v>84</v>
      </c>
      <c r="D19" s="24" t="s">
        <v>85</v>
      </c>
      <c r="E19" s="24" t="s">
        <v>86</v>
      </c>
    </row>
    <row r="20" spans="1:5">
      <c r="A20" s="21" t="s">
        <v>147</v>
      </c>
      <c r="B20" s="5" t="s">
        <v>81</v>
      </c>
      <c r="C20" s="5" t="s">
        <v>164</v>
      </c>
      <c r="D20" s="5" t="s">
        <v>1415</v>
      </c>
      <c r="E20" s="25" t="s">
        <v>1416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IV65536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3.42578125" style="5" bestFit="1" customWidth="1"/>
    <col min="7" max="7" width="4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1417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1331</v>
      </c>
      <c r="H3" s="49"/>
      <c r="I3" s="49" t="s">
        <v>1332</v>
      </c>
      <c r="J3" s="49" t="s">
        <v>6</v>
      </c>
      <c r="K3" s="37" t="s">
        <v>5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 t="s">
        <v>1333</v>
      </c>
      <c r="H4" s="55" t="s">
        <v>1334</v>
      </c>
      <c r="I4" s="48"/>
      <c r="J4" s="48"/>
      <c r="K4" s="38"/>
    </row>
    <row r="5" spans="1:11" ht="15">
      <c r="A5" s="53" t="s">
        <v>1412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1418</v>
      </c>
      <c r="B6" s="8" t="s">
        <v>875</v>
      </c>
      <c r="C6" s="8" t="s">
        <v>876</v>
      </c>
      <c r="D6" s="8" t="str">
        <f>"0,5570"</f>
        <v>0,5570</v>
      </c>
      <c r="E6" s="8" t="s">
        <v>772</v>
      </c>
      <c r="F6" s="8" t="s">
        <v>374</v>
      </c>
      <c r="G6" s="9" t="s">
        <v>195</v>
      </c>
      <c r="H6" s="56" t="s">
        <v>648</v>
      </c>
      <c r="I6" s="8" t="str">
        <f>"3300,0"</f>
        <v>3300,0</v>
      </c>
      <c r="J6" s="9" t="str">
        <f>"1838,0999"</f>
        <v>1838,0999</v>
      </c>
      <c r="K6" s="8" t="s">
        <v>43</v>
      </c>
    </row>
    <row r="8" spans="1:11" ht="15">
      <c r="E8" s="18" t="s">
        <v>74</v>
      </c>
    </row>
    <row r="9" spans="1:11" ht="15">
      <c r="E9" s="18" t="s">
        <v>75</v>
      </c>
    </row>
    <row r="10" spans="1:11" ht="15">
      <c r="E10" s="18" t="s">
        <v>76</v>
      </c>
    </row>
    <row r="11" spans="1:11" ht="15">
      <c r="E11" s="18" t="s">
        <v>77</v>
      </c>
    </row>
    <row r="12" spans="1:11" ht="15">
      <c r="E12" s="18" t="s">
        <v>77</v>
      </c>
    </row>
    <row r="13" spans="1:11" ht="15">
      <c r="E13" s="18" t="s">
        <v>78</v>
      </c>
    </row>
    <row r="14" spans="1:11" ht="15">
      <c r="E14" s="18"/>
    </row>
    <row r="16" spans="1:11" ht="18">
      <c r="A16" s="19" t="s">
        <v>79</v>
      </c>
      <c r="B16" s="19"/>
    </row>
    <row r="17" spans="1:5" ht="15">
      <c r="A17" s="20" t="s">
        <v>80</v>
      </c>
      <c r="B17" s="20"/>
    </row>
    <row r="18" spans="1:5" ht="14.25">
      <c r="A18" s="22"/>
      <c r="B18" s="23" t="s">
        <v>81</v>
      </c>
    </row>
    <row r="19" spans="1:5" ht="15">
      <c r="A19" s="24" t="s">
        <v>82</v>
      </c>
      <c r="B19" s="24" t="s">
        <v>83</v>
      </c>
      <c r="C19" s="24" t="s">
        <v>84</v>
      </c>
      <c r="D19" s="24" t="s">
        <v>85</v>
      </c>
      <c r="E19" s="24" t="s">
        <v>86</v>
      </c>
    </row>
    <row r="20" spans="1:5">
      <c r="A20" s="21" t="s">
        <v>873</v>
      </c>
      <c r="B20" s="5" t="s">
        <v>81</v>
      </c>
      <c r="C20" s="5" t="s">
        <v>164</v>
      </c>
      <c r="D20" s="5" t="s">
        <v>1415</v>
      </c>
      <c r="E20" s="25" t="s">
        <v>1419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sqref="A1:IV65536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5.28515625" style="5" bestFit="1" customWidth="1"/>
    <col min="7" max="7" width="4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1420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1331</v>
      </c>
      <c r="H3" s="49"/>
      <c r="I3" s="49" t="s">
        <v>1332</v>
      </c>
      <c r="J3" s="49" t="s">
        <v>6</v>
      </c>
      <c r="K3" s="37" t="s">
        <v>5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 t="s">
        <v>1333</v>
      </c>
      <c r="H4" s="55" t="s">
        <v>1334</v>
      </c>
      <c r="I4" s="48"/>
      <c r="J4" s="48"/>
      <c r="K4" s="38"/>
    </row>
    <row r="5" spans="1:11" ht="15">
      <c r="A5" s="53" t="s">
        <v>1412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12" t="s">
        <v>1276</v>
      </c>
      <c r="B6" s="12" t="s">
        <v>1421</v>
      </c>
      <c r="C6" s="12" t="s">
        <v>1278</v>
      </c>
      <c r="D6" s="12" t="str">
        <f>"0,5914"</f>
        <v>0,5914</v>
      </c>
      <c r="E6" s="12" t="s">
        <v>37</v>
      </c>
      <c r="F6" s="12" t="s">
        <v>121</v>
      </c>
      <c r="G6" s="13" t="s">
        <v>481</v>
      </c>
      <c r="H6" s="57" t="s">
        <v>475</v>
      </c>
      <c r="I6" s="12" t="str">
        <f>"3575,0"</f>
        <v>3575,0</v>
      </c>
      <c r="J6" s="13" t="str">
        <f>"2120,5979"</f>
        <v>2120,5979</v>
      </c>
      <c r="K6" s="12" t="s">
        <v>43</v>
      </c>
    </row>
    <row r="7" spans="1:11">
      <c r="A7" s="15" t="s">
        <v>930</v>
      </c>
      <c r="B7" s="15" t="s">
        <v>1422</v>
      </c>
      <c r="C7" s="15" t="s">
        <v>932</v>
      </c>
      <c r="D7" s="15" t="str">
        <f>"0,5326"</f>
        <v>0,5326</v>
      </c>
      <c r="E7" s="15" t="s">
        <v>155</v>
      </c>
      <c r="F7" s="15" t="s">
        <v>156</v>
      </c>
      <c r="G7" s="16" t="s">
        <v>481</v>
      </c>
      <c r="H7" s="58" t="s">
        <v>481</v>
      </c>
      <c r="I7" s="15" t="str">
        <f>"3025,0"</f>
        <v>3025,0</v>
      </c>
      <c r="J7" s="16" t="str">
        <f>"2142,7829"</f>
        <v>2142,7829</v>
      </c>
      <c r="K7" s="15" t="s">
        <v>43</v>
      </c>
    </row>
    <row r="9" spans="1:11" ht="15">
      <c r="E9" s="18" t="s">
        <v>74</v>
      </c>
    </row>
    <row r="10" spans="1:11" ht="15">
      <c r="E10" s="18" t="s">
        <v>75</v>
      </c>
    </row>
    <row r="11" spans="1:11" ht="15">
      <c r="E11" s="18" t="s">
        <v>76</v>
      </c>
    </row>
    <row r="12" spans="1:11" ht="15">
      <c r="E12" s="18" t="s">
        <v>77</v>
      </c>
    </row>
    <row r="13" spans="1:11" ht="15">
      <c r="E13" s="18" t="s">
        <v>77</v>
      </c>
    </row>
    <row r="14" spans="1:11" ht="15">
      <c r="E14" s="18" t="s">
        <v>78</v>
      </c>
    </row>
    <row r="15" spans="1:11" ht="15">
      <c r="E15" s="18"/>
    </row>
    <row r="17" spans="1:5" ht="18">
      <c r="A17" s="19" t="s">
        <v>79</v>
      </c>
      <c r="B17" s="19"/>
    </row>
    <row r="18" spans="1:5" ht="15">
      <c r="A18" s="20" t="s">
        <v>80</v>
      </c>
      <c r="B18" s="20"/>
    </row>
    <row r="19" spans="1:5" ht="14.25">
      <c r="A19" s="22"/>
      <c r="B19" s="23" t="s">
        <v>267</v>
      </c>
    </row>
    <row r="20" spans="1:5" ht="15">
      <c r="A20" s="24" t="s">
        <v>82</v>
      </c>
      <c r="B20" s="24" t="s">
        <v>83</v>
      </c>
      <c r="C20" s="24" t="s">
        <v>84</v>
      </c>
      <c r="D20" s="24" t="s">
        <v>85</v>
      </c>
      <c r="E20" s="24" t="s">
        <v>86</v>
      </c>
    </row>
    <row r="21" spans="1:5">
      <c r="A21" s="21" t="s">
        <v>929</v>
      </c>
      <c r="B21" s="5" t="s">
        <v>1423</v>
      </c>
      <c r="C21" s="5" t="s">
        <v>164</v>
      </c>
      <c r="D21" s="5" t="s">
        <v>1424</v>
      </c>
      <c r="E21" s="25" t="s">
        <v>1425</v>
      </c>
    </row>
    <row r="22" spans="1:5">
      <c r="A22" s="21" t="s">
        <v>1275</v>
      </c>
      <c r="B22" s="5" t="s">
        <v>1426</v>
      </c>
      <c r="C22" s="5" t="s">
        <v>164</v>
      </c>
      <c r="D22" s="5" t="s">
        <v>1427</v>
      </c>
      <c r="E22" s="25" t="s">
        <v>1428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D15" sqref="D15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" style="5" bestFit="1" customWidth="1"/>
    <col min="7" max="7" width="4.5703125" style="4" bestFit="1" customWidth="1"/>
    <col min="8" max="8" width="4.5703125" style="29" bestFit="1" customWidth="1"/>
    <col min="9" max="9" width="7.85546875" style="5" bestFit="1" customWidth="1"/>
    <col min="10" max="10" width="8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0" t="s">
        <v>1429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1331</v>
      </c>
      <c r="H3" s="49"/>
      <c r="I3" s="49" t="s">
        <v>1332</v>
      </c>
      <c r="J3" s="49" t="s">
        <v>6</v>
      </c>
      <c r="K3" s="37" t="s">
        <v>5</v>
      </c>
    </row>
    <row r="4" spans="1:11" s="1" customFormat="1" ht="21" customHeight="1" thickBot="1">
      <c r="A4" s="46"/>
      <c r="B4" s="48"/>
      <c r="C4" s="48"/>
      <c r="D4" s="48"/>
      <c r="E4" s="48"/>
      <c r="F4" s="48"/>
      <c r="G4" s="2" t="s">
        <v>1333</v>
      </c>
      <c r="H4" s="55" t="s">
        <v>1334</v>
      </c>
      <c r="I4" s="48"/>
      <c r="J4" s="48"/>
      <c r="K4" s="38"/>
    </row>
    <row r="5" spans="1:11" ht="15">
      <c r="A5" s="53" t="s">
        <v>1412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499</v>
      </c>
      <c r="B6" s="8" t="s">
        <v>188</v>
      </c>
      <c r="C6" s="8" t="s">
        <v>1430</v>
      </c>
      <c r="D6" s="8" t="str">
        <f>"0,9124"</f>
        <v>0,9124</v>
      </c>
      <c r="E6" s="8" t="s">
        <v>461</v>
      </c>
      <c r="F6" s="8" t="s">
        <v>462</v>
      </c>
      <c r="G6" s="9" t="s">
        <v>452</v>
      </c>
      <c r="H6" s="56" t="s">
        <v>1350</v>
      </c>
      <c r="I6" s="8" t="str">
        <f>"735,0"</f>
        <v>735,0</v>
      </c>
      <c r="J6" s="9" t="str">
        <f>"670,6140"</f>
        <v>670,6140</v>
      </c>
      <c r="K6" s="8" t="s">
        <v>43</v>
      </c>
    </row>
    <row r="8" spans="1:11" ht="15">
      <c r="E8" s="18" t="s">
        <v>74</v>
      </c>
    </row>
    <row r="9" spans="1:11" ht="15">
      <c r="E9" s="18" t="s">
        <v>75</v>
      </c>
    </row>
    <row r="10" spans="1:11" ht="15">
      <c r="E10" s="18" t="s">
        <v>76</v>
      </c>
    </row>
    <row r="11" spans="1:11" ht="15">
      <c r="E11" s="18" t="s">
        <v>77</v>
      </c>
    </row>
    <row r="12" spans="1:11" ht="15">
      <c r="E12" s="18" t="s">
        <v>77</v>
      </c>
    </row>
    <row r="13" spans="1:11" ht="15">
      <c r="E13" s="18" t="s">
        <v>78</v>
      </c>
    </row>
    <row r="14" spans="1:11" ht="15">
      <c r="E14" s="18"/>
    </row>
    <row r="16" spans="1:11" ht="18">
      <c r="A16" s="19" t="s">
        <v>79</v>
      </c>
      <c r="B16" s="19"/>
    </row>
    <row r="17" spans="1:5" ht="15">
      <c r="A17" s="20" t="s">
        <v>254</v>
      </c>
      <c r="B17" s="20"/>
    </row>
    <row r="18" spans="1:5" ht="14.25">
      <c r="A18" s="22"/>
      <c r="B18" s="23" t="s">
        <v>81</v>
      </c>
    </row>
    <row r="19" spans="1:5" ht="15">
      <c r="A19" s="24" t="s">
        <v>82</v>
      </c>
      <c r="B19" s="24" t="s">
        <v>83</v>
      </c>
      <c r="C19" s="24" t="s">
        <v>84</v>
      </c>
      <c r="D19" s="24" t="s">
        <v>85</v>
      </c>
      <c r="E19" s="24" t="s">
        <v>86</v>
      </c>
    </row>
    <row r="20" spans="1:5">
      <c r="A20" s="21" t="s">
        <v>498</v>
      </c>
      <c r="B20" s="5" t="s">
        <v>81</v>
      </c>
      <c r="C20" s="5" t="s">
        <v>164</v>
      </c>
      <c r="D20" s="5" t="s">
        <v>1431</v>
      </c>
      <c r="E20" s="25" t="s">
        <v>1432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3"/>
  <sheetViews>
    <sheetView tabSelected="1" workbookViewId="0">
      <selection activeCell="A3" sqref="A3:A4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3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3.140625" style="5" bestFit="1" customWidth="1"/>
    <col min="14" max="16384" width="9.140625" style="4"/>
  </cols>
  <sheetData>
    <row r="1" spans="1:13" s="3" customFormat="1" ht="29.1" customHeight="1">
      <c r="A1" s="50" t="s">
        <v>1255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2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12" t="s">
        <v>1256</v>
      </c>
      <c r="B6" s="12" t="s">
        <v>1257</v>
      </c>
      <c r="C6" s="12" t="s">
        <v>538</v>
      </c>
      <c r="D6" s="12" t="str">
        <f>"0,8444"</f>
        <v>0,8444</v>
      </c>
      <c r="E6" s="12" t="s">
        <v>276</v>
      </c>
      <c r="F6" s="12" t="s">
        <v>374</v>
      </c>
      <c r="G6" s="14" t="s">
        <v>540</v>
      </c>
      <c r="H6" s="14" t="s">
        <v>540</v>
      </c>
      <c r="I6" s="14"/>
      <c r="J6" s="14"/>
      <c r="K6" s="12" t="str">
        <f>"0,0"</f>
        <v>0,0</v>
      </c>
      <c r="L6" s="13" t="str">
        <f>"0,0000"</f>
        <v>0,0000</v>
      </c>
      <c r="M6" s="12" t="s">
        <v>43</v>
      </c>
    </row>
    <row r="7" spans="1:13">
      <c r="A7" s="15" t="s">
        <v>1258</v>
      </c>
      <c r="B7" s="15" t="s">
        <v>1259</v>
      </c>
      <c r="C7" s="15" t="s">
        <v>1260</v>
      </c>
      <c r="D7" s="15" t="str">
        <f>"0,8187"</f>
        <v>0,8187</v>
      </c>
      <c r="E7" s="12" t="s">
        <v>276</v>
      </c>
      <c r="F7" s="15" t="s">
        <v>374</v>
      </c>
      <c r="G7" s="17" t="s">
        <v>443</v>
      </c>
      <c r="H7" s="17" t="s">
        <v>443</v>
      </c>
      <c r="I7" s="17" t="s">
        <v>443</v>
      </c>
      <c r="J7" s="17"/>
      <c r="K7" s="15" t="str">
        <f>"0,0"</f>
        <v>0,0</v>
      </c>
      <c r="L7" s="16" t="str">
        <f>"0,0000"</f>
        <v>0,0000</v>
      </c>
      <c r="M7" s="15" t="s">
        <v>43</v>
      </c>
    </row>
    <row r="9" spans="1:13" ht="15">
      <c r="A9" s="51" t="s">
        <v>15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3">
      <c r="A10" s="12" t="s">
        <v>1262</v>
      </c>
      <c r="B10" s="12" t="s">
        <v>1263</v>
      </c>
      <c r="C10" s="12" t="s">
        <v>19</v>
      </c>
      <c r="D10" s="12" t="str">
        <f>"0,7287"</f>
        <v>0,7287</v>
      </c>
      <c r="E10" s="12" t="s">
        <v>276</v>
      </c>
      <c r="F10" s="12" t="s">
        <v>374</v>
      </c>
      <c r="G10" s="13" t="s">
        <v>186</v>
      </c>
      <c r="H10" s="13" t="s">
        <v>825</v>
      </c>
      <c r="I10" s="14" t="s">
        <v>306</v>
      </c>
      <c r="J10" s="14"/>
      <c r="K10" s="12" t="str">
        <f>"167,5"</f>
        <v>167,5</v>
      </c>
      <c r="L10" s="13" t="str">
        <f>"123,2778"</f>
        <v>123,2778</v>
      </c>
      <c r="M10" s="12" t="s">
        <v>43</v>
      </c>
    </row>
    <row r="11" spans="1:13">
      <c r="A11" s="15" t="s">
        <v>1262</v>
      </c>
      <c r="B11" s="15" t="s">
        <v>1264</v>
      </c>
      <c r="C11" s="15" t="s">
        <v>19</v>
      </c>
      <c r="D11" s="15" t="str">
        <f>"0,7287"</f>
        <v>0,7287</v>
      </c>
      <c r="E11" s="15" t="s">
        <v>276</v>
      </c>
      <c r="F11" s="15" t="s">
        <v>374</v>
      </c>
      <c r="G11" s="16" t="s">
        <v>186</v>
      </c>
      <c r="H11" s="16" t="s">
        <v>825</v>
      </c>
      <c r="I11" s="17" t="s">
        <v>306</v>
      </c>
      <c r="J11" s="17"/>
      <c r="K11" s="15" t="str">
        <f>"167,5"</f>
        <v>167,5</v>
      </c>
      <c r="L11" s="16" t="str">
        <f>"122,0572"</f>
        <v>122,0572</v>
      </c>
      <c r="M11" s="15" t="s">
        <v>43</v>
      </c>
    </row>
    <row r="13" spans="1:13" ht="15">
      <c r="A13" s="51" t="s">
        <v>102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3">
      <c r="A14" s="12" t="s">
        <v>1265</v>
      </c>
      <c r="B14" s="12" t="s">
        <v>795</v>
      </c>
      <c r="C14" s="12" t="s">
        <v>796</v>
      </c>
      <c r="D14" s="12" t="str">
        <f>"0,6645"</f>
        <v>0,6645</v>
      </c>
      <c r="E14" s="12" t="s">
        <v>37</v>
      </c>
      <c r="F14" s="12" t="s">
        <v>21</v>
      </c>
      <c r="G14" s="13" t="s">
        <v>157</v>
      </c>
      <c r="H14" s="14" t="s">
        <v>253</v>
      </c>
      <c r="I14" s="14" t="s">
        <v>253</v>
      </c>
      <c r="J14" s="14"/>
      <c r="K14" s="12" t="str">
        <f>"185,0"</f>
        <v>185,0</v>
      </c>
      <c r="L14" s="13" t="str">
        <f>"122,9325"</f>
        <v>122,9325</v>
      </c>
      <c r="M14" s="12" t="s">
        <v>43</v>
      </c>
    </row>
    <row r="15" spans="1:13">
      <c r="A15" s="15" t="s">
        <v>1266</v>
      </c>
      <c r="B15" s="15" t="s">
        <v>1267</v>
      </c>
      <c r="C15" s="15" t="s">
        <v>1268</v>
      </c>
      <c r="D15" s="15" t="str">
        <f>"0,6652"</f>
        <v>0,6652</v>
      </c>
      <c r="E15" s="15" t="s">
        <v>276</v>
      </c>
      <c r="F15" s="15" t="s">
        <v>374</v>
      </c>
      <c r="G15" s="17" t="s">
        <v>157</v>
      </c>
      <c r="H15" s="17" t="s">
        <v>157</v>
      </c>
      <c r="I15" s="17" t="s">
        <v>157</v>
      </c>
      <c r="J15" s="17"/>
      <c r="K15" s="15" t="str">
        <f>"0,0"</f>
        <v>0,0</v>
      </c>
      <c r="L15" s="16" t="str">
        <f>"0,0000"</f>
        <v>0,0000</v>
      </c>
      <c r="M15" s="15" t="s">
        <v>43</v>
      </c>
    </row>
    <row r="17" spans="1:13" ht="15">
      <c r="A17" s="51" t="s">
        <v>122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3">
      <c r="A18" s="12" t="s">
        <v>1270</v>
      </c>
      <c r="B18" s="12" t="s">
        <v>1271</v>
      </c>
      <c r="C18" s="12" t="s">
        <v>125</v>
      </c>
      <c r="D18" s="12" t="str">
        <f>"0,6235"</f>
        <v>0,6235</v>
      </c>
      <c r="E18" s="12" t="s">
        <v>49</v>
      </c>
      <c r="F18" s="12" t="s">
        <v>605</v>
      </c>
      <c r="G18" s="13" t="s">
        <v>63</v>
      </c>
      <c r="H18" s="14" t="s">
        <v>253</v>
      </c>
      <c r="I18" s="14" t="s">
        <v>253</v>
      </c>
      <c r="J18" s="14"/>
      <c r="K18" s="12" t="str">
        <f>"210,0"</f>
        <v>210,0</v>
      </c>
      <c r="L18" s="13" t="str">
        <f>"130,9350"</f>
        <v>130,9350</v>
      </c>
      <c r="M18" s="12" t="s">
        <v>1272</v>
      </c>
    </row>
    <row r="19" spans="1:13">
      <c r="A19" s="15" t="s">
        <v>1273</v>
      </c>
      <c r="B19" s="15" t="s">
        <v>814</v>
      </c>
      <c r="C19" s="15" t="s">
        <v>815</v>
      </c>
      <c r="D19" s="15" t="str">
        <f>"0,6241"</f>
        <v>0,6241</v>
      </c>
      <c r="E19" s="15" t="s">
        <v>37</v>
      </c>
      <c r="F19" s="15" t="s">
        <v>21</v>
      </c>
      <c r="G19" s="17" t="s">
        <v>157</v>
      </c>
      <c r="H19" s="17" t="s">
        <v>23</v>
      </c>
      <c r="I19" s="17" t="s">
        <v>253</v>
      </c>
      <c r="J19" s="17"/>
      <c r="K19" s="15" t="str">
        <f>"0,0"</f>
        <v>0,0</v>
      </c>
      <c r="L19" s="16" t="str">
        <f>"0,0000"</f>
        <v>0,0000</v>
      </c>
      <c r="M19" s="15" t="s">
        <v>43</v>
      </c>
    </row>
    <row r="21" spans="1:13" ht="15">
      <c r="A21" s="51" t="s">
        <v>32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3">
      <c r="A22" s="12" t="s">
        <v>1274</v>
      </c>
      <c r="B22" s="12" t="s">
        <v>588</v>
      </c>
      <c r="C22" s="12" t="s">
        <v>36</v>
      </c>
      <c r="D22" s="12" t="str">
        <f>"0,6022"</f>
        <v>0,6022</v>
      </c>
      <c r="E22" s="12" t="s">
        <v>391</v>
      </c>
      <c r="F22" s="12" t="s">
        <v>21</v>
      </c>
      <c r="G22" s="14" t="s">
        <v>518</v>
      </c>
      <c r="H22" s="14" t="s">
        <v>518</v>
      </c>
      <c r="I22" s="14" t="s">
        <v>518</v>
      </c>
      <c r="J22" s="14"/>
      <c r="K22" s="12" t="str">
        <f>"0,0"</f>
        <v>0,0</v>
      </c>
      <c r="L22" s="13" t="str">
        <f>"0,0000"</f>
        <v>0,0000</v>
      </c>
      <c r="M22" s="12" t="s">
        <v>43</v>
      </c>
    </row>
    <row r="23" spans="1:13">
      <c r="A23" s="26" t="s">
        <v>1276</v>
      </c>
      <c r="B23" s="26" t="s">
        <v>1277</v>
      </c>
      <c r="C23" s="26" t="s">
        <v>1278</v>
      </c>
      <c r="D23" s="26" t="str">
        <f>"0,5914"</f>
        <v>0,5914</v>
      </c>
      <c r="E23" s="26" t="s">
        <v>37</v>
      </c>
      <c r="F23" s="26" t="s">
        <v>121</v>
      </c>
      <c r="G23" s="28" t="s">
        <v>24</v>
      </c>
      <c r="H23" s="28" t="s">
        <v>51</v>
      </c>
      <c r="I23" s="28" t="s">
        <v>354</v>
      </c>
      <c r="J23" s="27"/>
      <c r="K23" s="26" t="str">
        <f>"235,0"</f>
        <v>235,0</v>
      </c>
      <c r="L23" s="28" t="str">
        <f>"138,9790"</f>
        <v>138,9790</v>
      </c>
      <c r="M23" s="26" t="s">
        <v>43</v>
      </c>
    </row>
    <row r="24" spans="1:13">
      <c r="A24" s="15" t="s">
        <v>1276</v>
      </c>
      <c r="B24" s="15" t="s">
        <v>1279</v>
      </c>
      <c r="C24" s="15" t="s">
        <v>1278</v>
      </c>
      <c r="D24" s="15" t="str">
        <f>"0,5914"</f>
        <v>0,5914</v>
      </c>
      <c r="E24" s="15" t="s">
        <v>37</v>
      </c>
      <c r="F24" s="15" t="s">
        <v>121</v>
      </c>
      <c r="G24" s="16" t="s">
        <v>24</v>
      </c>
      <c r="H24" s="16" t="s">
        <v>51</v>
      </c>
      <c r="I24" s="16" t="s">
        <v>354</v>
      </c>
      <c r="J24" s="17"/>
      <c r="K24" s="15" t="str">
        <f>"235,0"</f>
        <v>235,0</v>
      </c>
      <c r="L24" s="16" t="str">
        <f>"139,3959"</f>
        <v>139,3959</v>
      </c>
      <c r="M24" s="15" t="s">
        <v>43</v>
      </c>
    </row>
    <row r="26" spans="1:13" ht="15">
      <c r="A26" s="51" t="s">
        <v>44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3">
      <c r="A27" s="12" t="s">
        <v>1280</v>
      </c>
      <c r="B27" s="12" t="s">
        <v>1281</v>
      </c>
      <c r="C27" s="12" t="s">
        <v>1282</v>
      </c>
      <c r="D27" s="12" t="str">
        <f>"0,5613"</f>
        <v>0,5613</v>
      </c>
      <c r="E27" s="12" t="s">
        <v>276</v>
      </c>
      <c r="F27" s="12" t="s">
        <v>374</v>
      </c>
      <c r="G27" s="14" t="s">
        <v>1283</v>
      </c>
      <c r="H27" s="14" t="s">
        <v>1283</v>
      </c>
      <c r="I27" s="14" t="s">
        <v>1283</v>
      </c>
      <c r="J27" s="14"/>
      <c r="K27" s="12" t="str">
        <f>"0,0"</f>
        <v>0,0</v>
      </c>
      <c r="L27" s="13" t="str">
        <f>"0,0000"</f>
        <v>0,0000</v>
      </c>
      <c r="M27" s="12" t="s">
        <v>43</v>
      </c>
    </row>
    <row r="28" spans="1:13">
      <c r="A28" s="15" t="s">
        <v>1280</v>
      </c>
      <c r="B28" s="15" t="s">
        <v>1284</v>
      </c>
      <c r="C28" s="15" t="s">
        <v>1282</v>
      </c>
      <c r="D28" s="15" t="str">
        <f>"0,5613"</f>
        <v>0,5613</v>
      </c>
      <c r="E28" s="15" t="s">
        <v>276</v>
      </c>
      <c r="F28" s="15" t="s">
        <v>374</v>
      </c>
      <c r="G28" s="17" t="s">
        <v>1283</v>
      </c>
      <c r="H28" s="17" t="s">
        <v>1283</v>
      </c>
      <c r="I28" s="17" t="s">
        <v>1283</v>
      </c>
      <c r="J28" s="17"/>
      <c r="K28" s="15" t="str">
        <f>"0,0"</f>
        <v>0,0</v>
      </c>
      <c r="L28" s="16" t="str">
        <f>"0,0000"</f>
        <v>0,0000</v>
      </c>
      <c r="M28" s="15" t="s">
        <v>43</v>
      </c>
    </row>
    <row r="30" spans="1:13" ht="15">
      <c r="A30" s="51" t="s">
        <v>166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3">
      <c r="A31" s="12" t="s">
        <v>1285</v>
      </c>
      <c r="B31" s="12" t="s">
        <v>1286</v>
      </c>
      <c r="C31" s="12" t="s">
        <v>1287</v>
      </c>
      <c r="D31" s="12" t="str">
        <f>"0,5399"</f>
        <v>0,5399</v>
      </c>
      <c r="E31" s="12" t="s">
        <v>276</v>
      </c>
      <c r="F31" s="12" t="s">
        <v>1288</v>
      </c>
      <c r="G31" s="14" t="s">
        <v>238</v>
      </c>
      <c r="H31" s="14" t="s">
        <v>238</v>
      </c>
      <c r="I31" s="14" t="s">
        <v>238</v>
      </c>
      <c r="J31" s="14"/>
      <c r="K31" s="12" t="str">
        <f>"0,0"</f>
        <v>0,0</v>
      </c>
      <c r="L31" s="13" t="str">
        <f>"0,0000"</f>
        <v>0,0000</v>
      </c>
      <c r="M31" s="12" t="s">
        <v>1289</v>
      </c>
    </row>
    <row r="32" spans="1:13">
      <c r="A32" s="26" t="s">
        <v>906</v>
      </c>
      <c r="B32" s="26" t="s">
        <v>907</v>
      </c>
      <c r="C32" s="26" t="s">
        <v>908</v>
      </c>
      <c r="D32" s="26" t="str">
        <f>"0,5389"</f>
        <v>0,5389</v>
      </c>
      <c r="E32" s="26" t="s">
        <v>37</v>
      </c>
      <c r="F32" s="26" t="s">
        <v>21</v>
      </c>
      <c r="G32" s="28" t="s">
        <v>63</v>
      </c>
      <c r="H32" s="28" t="s">
        <v>253</v>
      </c>
      <c r="I32" s="27" t="s">
        <v>51</v>
      </c>
      <c r="J32" s="27"/>
      <c r="K32" s="26" t="str">
        <f>"220,0"</f>
        <v>220,0</v>
      </c>
      <c r="L32" s="28" t="str">
        <f>"119,6250"</f>
        <v>119,6250</v>
      </c>
      <c r="M32" s="26" t="s">
        <v>43</v>
      </c>
    </row>
    <row r="33" spans="1:13">
      <c r="A33" s="15" t="s">
        <v>1285</v>
      </c>
      <c r="B33" s="15" t="s">
        <v>1290</v>
      </c>
      <c r="C33" s="15" t="s">
        <v>1287</v>
      </c>
      <c r="D33" s="15" t="str">
        <f>"0,5399"</f>
        <v>0,5399</v>
      </c>
      <c r="E33" s="15" t="s">
        <v>276</v>
      </c>
      <c r="F33" s="15" t="s">
        <v>1288</v>
      </c>
      <c r="G33" s="17" t="s">
        <v>238</v>
      </c>
      <c r="H33" s="17" t="s">
        <v>238</v>
      </c>
      <c r="I33" s="17" t="s">
        <v>238</v>
      </c>
      <c r="J33" s="17"/>
      <c r="K33" s="15" t="str">
        <f>"0,0"</f>
        <v>0,0</v>
      </c>
      <c r="L33" s="16" t="str">
        <f>"0,0000"</f>
        <v>0,0000</v>
      </c>
      <c r="M33" s="15" t="s">
        <v>1289</v>
      </c>
    </row>
    <row r="35" spans="1:13" ht="15">
      <c r="A35" s="51" t="s">
        <v>65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1:13">
      <c r="A36" s="8" t="s">
        <v>1235</v>
      </c>
      <c r="B36" s="8" t="s">
        <v>1236</v>
      </c>
      <c r="C36" s="8" t="s">
        <v>1237</v>
      </c>
      <c r="D36" s="8" t="str">
        <f>"0,5291"</f>
        <v>0,5291</v>
      </c>
      <c r="E36" s="8" t="s">
        <v>276</v>
      </c>
      <c r="F36" s="8" t="s">
        <v>374</v>
      </c>
      <c r="G36" s="9" t="s">
        <v>23</v>
      </c>
      <c r="H36" s="10" t="s">
        <v>600</v>
      </c>
      <c r="I36" s="10" t="s">
        <v>600</v>
      </c>
      <c r="J36" s="10"/>
      <c r="K36" s="8" t="str">
        <f>"215,0"</f>
        <v>215,0</v>
      </c>
      <c r="L36" s="9" t="str">
        <f>"113,7565"</f>
        <v>113,7565</v>
      </c>
      <c r="M36" s="8" t="s">
        <v>43</v>
      </c>
    </row>
    <row r="38" spans="1:13" ht="15">
      <c r="E38" s="18" t="s">
        <v>74</v>
      </c>
    </row>
    <row r="39" spans="1:13" ht="15">
      <c r="E39" s="18" t="s">
        <v>75</v>
      </c>
    </row>
    <row r="40" spans="1:13" ht="15">
      <c r="E40" s="18" t="s">
        <v>76</v>
      </c>
    </row>
    <row r="41" spans="1:13" ht="15">
      <c r="E41" s="18" t="s">
        <v>77</v>
      </c>
    </row>
    <row r="42" spans="1:13" ht="15">
      <c r="E42" s="18" t="s">
        <v>77</v>
      </c>
    </row>
    <row r="43" spans="1:13" ht="15">
      <c r="E43" s="18" t="s">
        <v>78</v>
      </c>
    </row>
    <row r="44" spans="1:13" ht="15">
      <c r="E44" s="18"/>
    </row>
    <row r="46" spans="1:13" ht="18">
      <c r="A46" s="19" t="s">
        <v>79</v>
      </c>
      <c r="B46" s="19"/>
    </row>
    <row r="47" spans="1:13" ht="15">
      <c r="A47" s="20" t="s">
        <v>80</v>
      </c>
      <c r="B47" s="20"/>
    </row>
    <row r="48" spans="1:13" ht="14.25">
      <c r="A48" s="22"/>
      <c r="B48" s="23" t="s">
        <v>357</v>
      </c>
    </row>
    <row r="49" spans="1:5" ht="15">
      <c r="A49" s="24" t="s">
        <v>82</v>
      </c>
      <c r="B49" s="24" t="s">
        <v>83</v>
      </c>
      <c r="C49" s="24" t="s">
        <v>84</v>
      </c>
      <c r="D49" s="24" t="s">
        <v>85</v>
      </c>
      <c r="E49" s="24" t="s">
        <v>86</v>
      </c>
    </row>
    <row r="50" spans="1:5">
      <c r="A50" s="21" t="s">
        <v>1261</v>
      </c>
      <c r="B50" s="5" t="s">
        <v>256</v>
      </c>
      <c r="C50" s="5" t="s">
        <v>87</v>
      </c>
      <c r="D50" s="5" t="s">
        <v>825</v>
      </c>
      <c r="E50" s="25" t="s">
        <v>1291</v>
      </c>
    </row>
    <row r="52" spans="1:5" ht="14.25">
      <c r="A52" s="22"/>
      <c r="B52" s="23" t="s">
        <v>81</v>
      </c>
    </row>
    <row r="53" spans="1:5" ht="15">
      <c r="A53" s="24" t="s">
        <v>82</v>
      </c>
      <c r="B53" s="24" t="s">
        <v>83</v>
      </c>
      <c r="C53" s="24" t="s">
        <v>84</v>
      </c>
      <c r="D53" s="24" t="s">
        <v>85</v>
      </c>
      <c r="E53" s="24" t="s">
        <v>86</v>
      </c>
    </row>
    <row r="54" spans="1:5">
      <c r="A54" s="21" t="s">
        <v>1275</v>
      </c>
      <c r="B54" s="5" t="s">
        <v>81</v>
      </c>
      <c r="C54" s="5" t="s">
        <v>98</v>
      </c>
      <c r="D54" s="5" t="s">
        <v>354</v>
      </c>
      <c r="E54" s="25" t="s">
        <v>1292</v>
      </c>
    </row>
    <row r="55" spans="1:5">
      <c r="A55" s="21" t="s">
        <v>1269</v>
      </c>
      <c r="B55" s="5" t="s">
        <v>81</v>
      </c>
      <c r="C55" s="5" t="s">
        <v>204</v>
      </c>
      <c r="D55" s="5" t="s">
        <v>63</v>
      </c>
      <c r="E55" s="25" t="s">
        <v>1293</v>
      </c>
    </row>
    <row r="56" spans="1:5">
      <c r="A56" s="21" t="s">
        <v>793</v>
      </c>
      <c r="B56" s="5" t="s">
        <v>81</v>
      </c>
      <c r="C56" s="5" t="s">
        <v>195</v>
      </c>
      <c r="D56" s="5" t="s">
        <v>157</v>
      </c>
      <c r="E56" s="25" t="s">
        <v>1294</v>
      </c>
    </row>
    <row r="57" spans="1:5">
      <c r="A57" s="21" t="s">
        <v>1261</v>
      </c>
      <c r="B57" s="5" t="s">
        <v>81</v>
      </c>
      <c r="C57" s="5" t="s">
        <v>87</v>
      </c>
      <c r="D57" s="5" t="s">
        <v>825</v>
      </c>
      <c r="E57" s="25" t="s">
        <v>1295</v>
      </c>
    </row>
    <row r="58" spans="1:5">
      <c r="A58" s="21" t="s">
        <v>1234</v>
      </c>
      <c r="B58" s="5" t="s">
        <v>81</v>
      </c>
      <c r="C58" s="5" t="s">
        <v>90</v>
      </c>
      <c r="D58" s="5" t="s">
        <v>23</v>
      </c>
      <c r="E58" s="25" t="s">
        <v>1296</v>
      </c>
    </row>
    <row r="60" spans="1:5" ht="14.25">
      <c r="A60" s="22"/>
      <c r="B60" s="23" t="s">
        <v>267</v>
      </c>
    </row>
    <row r="61" spans="1:5" ht="15">
      <c r="A61" s="24" t="s">
        <v>82</v>
      </c>
      <c r="B61" s="24" t="s">
        <v>83</v>
      </c>
      <c r="C61" s="24" t="s">
        <v>84</v>
      </c>
      <c r="D61" s="24" t="s">
        <v>85</v>
      </c>
      <c r="E61" s="24" t="s">
        <v>86</v>
      </c>
    </row>
    <row r="62" spans="1:5">
      <c r="A62" s="21" t="s">
        <v>1275</v>
      </c>
      <c r="B62" s="5" t="s">
        <v>985</v>
      </c>
      <c r="C62" s="5" t="s">
        <v>98</v>
      </c>
      <c r="D62" s="5" t="s">
        <v>354</v>
      </c>
      <c r="E62" s="25" t="s">
        <v>1297</v>
      </c>
    </row>
    <row r="63" spans="1:5">
      <c r="A63" s="21" t="s">
        <v>905</v>
      </c>
      <c r="B63" s="5" t="s">
        <v>985</v>
      </c>
      <c r="C63" s="5" t="s">
        <v>199</v>
      </c>
      <c r="D63" s="5" t="s">
        <v>253</v>
      </c>
      <c r="E63" s="25" t="s">
        <v>1298</v>
      </c>
    </row>
  </sheetData>
  <mergeCells count="19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A26:L26"/>
    <mergeCell ref="A30:L30"/>
    <mergeCell ref="A35:L35"/>
    <mergeCell ref="A9:L9"/>
    <mergeCell ref="A13:L13"/>
    <mergeCell ref="A17:L17"/>
    <mergeCell ref="A21:L21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7.71093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0" t="s">
        <v>1242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6</v>
      </c>
      <c r="U3" s="37" t="s">
        <v>5</v>
      </c>
    </row>
    <row r="4" spans="1:21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8"/>
      <c r="T4" s="48"/>
      <c r="U4" s="38"/>
    </row>
    <row r="5" spans="1:21" ht="15">
      <c r="A5" s="53" t="s">
        <v>32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1244</v>
      </c>
      <c r="B6" s="8" t="s">
        <v>1245</v>
      </c>
      <c r="C6" s="8" t="s">
        <v>599</v>
      </c>
      <c r="D6" s="8" t="str">
        <f>"0,5952"</f>
        <v>0,5952</v>
      </c>
      <c r="E6" s="8" t="s">
        <v>113</v>
      </c>
      <c r="F6" s="8" t="s">
        <v>21</v>
      </c>
      <c r="G6" s="9" t="s">
        <v>53</v>
      </c>
      <c r="H6" s="9" t="s">
        <v>157</v>
      </c>
      <c r="I6" s="9" t="s">
        <v>22</v>
      </c>
      <c r="J6" s="10"/>
      <c r="K6" s="9" t="s">
        <v>490</v>
      </c>
      <c r="L6" s="10" t="s">
        <v>90</v>
      </c>
      <c r="M6" s="10" t="s">
        <v>133</v>
      </c>
      <c r="N6" s="10"/>
      <c r="O6" s="9" t="s">
        <v>158</v>
      </c>
      <c r="P6" s="9" t="s">
        <v>38</v>
      </c>
      <c r="Q6" s="10" t="s">
        <v>63</v>
      </c>
      <c r="R6" s="10"/>
      <c r="S6" s="8" t="str">
        <f>"520,0"</f>
        <v>520,0</v>
      </c>
      <c r="T6" s="9" t="str">
        <f>"349,7395"</f>
        <v>349,7395</v>
      </c>
      <c r="U6" s="8" t="s">
        <v>43</v>
      </c>
    </row>
    <row r="8" spans="1:21" ht="15">
      <c r="A8" s="51" t="s">
        <v>1246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1">
      <c r="A9" s="8" t="s">
        <v>1248</v>
      </c>
      <c r="B9" s="8" t="s">
        <v>1249</v>
      </c>
      <c r="C9" s="8" t="s">
        <v>1250</v>
      </c>
      <c r="D9" s="8" t="str">
        <f>"0,4868"</f>
        <v>0,4868</v>
      </c>
      <c r="E9" s="8" t="s">
        <v>20</v>
      </c>
      <c r="F9" s="8" t="s">
        <v>21</v>
      </c>
      <c r="G9" s="10" t="s">
        <v>28</v>
      </c>
      <c r="H9" s="9" t="s">
        <v>57</v>
      </c>
      <c r="I9" s="9" t="s">
        <v>245</v>
      </c>
      <c r="J9" s="10"/>
      <c r="K9" s="9" t="s">
        <v>56</v>
      </c>
      <c r="L9" s="10" t="s">
        <v>57</v>
      </c>
      <c r="M9" s="10" t="s">
        <v>57</v>
      </c>
      <c r="N9" s="10"/>
      <c r="O9" s="9" t="s">
        <v>23</v>
      </c>
      <c r="P9" s="9" t="s">
        <v>24</v>
      </c>
      <c r="Q9" s="9" t="s">
        <v>354</v>
      </c>
      <c r="R9" s="10"/>
      <c r="S9" s="8" t="str">
        <f>"810,0"</f>
        <v>810,0</v>
      </c>
      <c r="T9" s="9" t="str">
        <f>"394,3323"</f>
        <v>394,3323</v>
      </c>
      <c r="U9" s="8" t="s">
        <v>43</v>
      </c>
    </row>
    <row r="11" spans="1:21" ht="15">
      <c r="E11" s="18" t="s">
        <v>74</v>
      </c>
    </row>
    <row r="12" spans="1:21" ht="15">
      <c r="E12" s="18" t="s">
        <v>75</v>
      </c>
    </row>
    <row r="13" spans="1:21" ht="15">
      <c r="E13" s="18" t="s">
        <v>76</v>
      </c>
    </row>
    <row r="14" spans="1:21" ht="15">
      <c r="E14" s="18" t="s">
        <v>77</v>
      </c>
    </row>
    <row r="15" spans="1:21" ht="15">
      <c r="E15" s="18" t="s">
        <v>77</v>
      </c>
    </row>
    <row r="16" spans="1:21" ht="15">
      <c r="E16" s="18" t="s">
        <v>78</v>
      </c>
    </row>
    <row r="17" spans="1:5" ht="15">
      <c r="E17" s="18"/>
    </row>
    <row r="19" spans="1:5" ht="18">
      <c r="A19" s="19" t="s">
        <v>79</v>
      </c>
      <c r="B19" s="19"/>
    </row>
    <row r="20" spans="1:5" ht="15">
      <c r="A20" s="20" t="s">
        <v>80</v>
      </c>
      <c r="B20" s="20"/>
    </row>
    <row r="21" spans="1:5" ht="14.25">
      <c r="A21" s="22"/>
      <c r="B21" s="23" t="s">
        <v>190</v>
      </c>
    </row>
    <row r="22" spans="1:5" ht="15">
      <c r="A22" s="24" t="s">
        <v>82</v>
      </c>
      <c r="B22" s="24" t="s">
        <v>83</v>
      </c>
      <c r="C22" s="24" t="s">
        <v>84</v>
      </c>
      <c r="D22" s="24" t="s">
        <v>85</v>
      </c>
      <c r="E22" s="24" t="s">
        <v>86</v>
      </c>
    </row>
    <row r="23" spans="1:5">
      <c r="A23" s="21" t="s">
        <v>1243</v>
      </c>
      <c r="B23" s="5" t="s">
        <v>191</v>
      </c>
      <c r="C23" s="5" t="s">
        <v>98</v>
      </c>
      <c r="D23" s="5" t="s">
        <v>1251</v>
      </c>
      <c r="E23" s="25" t="s">
        <v>1252</v>
      </c>
    </row>
    <row r="25" spans="1:5" ht="14.25">
      <c r="A25" s="22"/>
      <c r="B25" s="23" t="s">
        <v>81</v>
      </c>
    </row>
    <row r="26" spans="1:5" ht="15">
      <c r="A26" s="24" t="s">
        <v>82</v>
      </c>
      <c r="B26" s="24" t="s">
        <v>83</v>
      </c>
      <c r="C26" s="24" t="s">
        <v>84</v>
      </c>
      <c r="D26" s="24" t="s">
        <v>85</v>
      </c>
      <c r="E26" s="24" t="s">
        <v>86</v>
      </c>
    </row>
    <row r="27" spans="1:5">
      <c r="A27" s="21" t="s">
        <v>1247</v>
      </c>
      <c r="B27" s="5" t="s">
        <v>81</v>
      </c>
      <c r="C27" s="5" t="s">
        <v>164</v>
      </c>
      <c r="D27" s="5" t="s">
        <v>1253</v>
      </c>
      <c r="E27" s="25" t="s">
        <v>1254</v>
      </c>
    </row>
  </sheetData>
  <mergeCells count="15">
    <mergeCell ref="E3:E4"/>
    <mergeCell ref="F3:F4"/>
    <mergeCell ref="G3:J3"/>
    <mergeCell ref="K3:N3"/>
    <mergeCell ref="O3:R3"/>
    <mergeCell ref="A8:T8"/>
    <mergeCell ref="S3:S4"/>
    <mergeCell ref="T3:T4"/>
    <mergeCell ref="U3:U4"/>
    <mergeCell ref="A5:T5"/>
    <mergeCell ref="A1:U2"/>
    <mergeCell ref="A3:A4"/>
    <mergeCell ref="B3:B4"/>
    <mergeCell ref="C3:C4"/>
    <mergeCell ref="D3:D4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1241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1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1240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/>
      <c r="E3" s="49" t="s">
        <v>7</v>
      </c>
      <c r="F3" s="49" t="s">
        <v>11</v>
      </c>
      <c r="G3" s="49" t="s">
        <v>3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6" spans="1:13" ht="15">
      <c r="E6" s="18" t="s">
        <v>74</v>
      </c>
    </row>
    <row r="7" spans="1:13" ht="15">
      <c r="E7" s="18" t="s">
        <v>75</v>
      </c>
    </row>
    <row r="8" spans="1:13" ht="15">
      <c r="E8" s="18" t="s">
        <v>76</v>
      </c>
    </row>
    <row r="9" spans="1:13" ht="15">
      <c r="E9" s="18" t="s">
        <v>77</v>
      </c>
    </row>
    <row r="10" spans="1:13" ht="15">
      <c r="E10" s="18" t="s">
        <v>77</v>
      </c>
    </row>
    <row r="11" spans="1:13" ht="15">
      <c r="E11" s="18" t="s">
        <v>78</v>
      </c>
    </row>
    <row r="12" spans="1:13" ht="15">
      <c r="E12" s="18"/>
    </row>
    <row r="14" spans="1:13" ht="18">
      <c r="A14" s="19" t="s">
        <v>79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7.71093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3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0" t="s">
        <v>1229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3" customFormat="1" ht="62.1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0</v>
      </c>
      <c r="B3" s="47" t="s">
        <v>9</v>
      </c>
      <c r="C3" s="47" t="s">
        <v>12</v>
      </c>
      <c r="D3" s="49" t="s">
        <v>14</v>
      </c>
      <c r="E3" s="49" t="s">
        <v>7</v>
      </c>
      <c r="F3" s="49" t="s">
        <v>11</v>
      </c>
      <c r="G3" s="49" t="s">
        <v>3</v>
      </c>
      <c r="H3" s="49"/>
      <c r="I3" s="49"/>
      <c r="J3" s="49"/>
      <c r="K3" s="49" t="s">
        <v>208</v>
      </c>
      <c r="L3" s="49" t="s">
        <v>6</v>
      </c>
      <c r="M3" s="37" t="s">
        <v>5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2">
        <v>1</v>
      </c>
      <c r="H4" s="2">
        <v>2</v>
      </c>
      <c r="I4" s="2">
        <v>3</v>
      </c>
      <c r="J4" s="2" t="s">
        <v>8</v>
      </c>
      <c r="K4" s="48"/>
      <c r="L4" s="48"/>
      <c r="M4" s="38"/>
    </row>
    <row r="5" spans="1:13" ht="15">
      <c r="A5" s="53" t="s">
        <v>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1231</v>
      </c>
      <c r="B6" s="8" t="s">
        <v>1232</v>
      </c>
      <c r="C6" s="8" t="s">
        <v>1233</v>
      </c>
      <c r="D6" s="8" t="str">
        <f>"0,5666"</f>
        <v>0,5666</v>
      </c>
      <c r="E6" s="8" t="s">
        <v>276</v>
      </c>
      <c r="F6" s="8" t="s">
        <v>374</v>
      </c>
      <c r="G6" s="9" t="s">
        <v>38</v>
      </c>
      <c r="H6" s="9" t="s">
        <v>63</v>
      </c>
      <c r="I6" s="10" t="s">
        <v>253</v>
      </c>
      <c r="J6" s="10"/>
      <c r="K6" s="8" t="str">
        <f>"210,0"</f>
        <v>210,0</v>
      </c>
      <c r="L6" s="9" t="str">
        <f>"128,5049"</f>
        <v>128,5049</v>
      </c>
      <c r="M6" s="8" t="s">
        <v>43</v>
      </c>
    </row>
    <row r="8" spans="1:13" ht="15">
      <c r="A8" s="51" t="s">
        <v>65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1235</v>
      </c>
      <c r="B9" s="8" t="s">
        <v>1236</v>
      </c>
      <c r="C9" s="8" t="s">
        <v>1237</v>
      </c>
      <c r="D9" s="8" t="str">
        <f>"0,5291"</f>
        <v>0,5291</v>
      </c>
      <c r="E9" s="8" t="s">
        <v>276</v>
      </c>
      <c r="F9" s="8" t="s">
        <v>374</v>
      </c>
      <c r="G9" s="9" t="s">
        <v>52</v>
      </c>
      <c r="H9" s="9" t="s">
        <v>28</v>
      </c>
      <c r="I9" s="10" t="s">
        <v>29</v>
      </c>
      <c r="J9" s="10"/>
      <c r="K9" s="8" t="str">
        <f>"260,0"</f>
        <v>260,0</v>
      </c>
      <c r="L9" s="9" t="str">
        <f>"137,5660"</f>
        <v>137,5660</v>
      </c>
      <c r="M9" s="8" t="s">
        <v>43</v>
      </c>
    </row>
    <row r="11" spans="1:13" ht="15">
      <c r="E11" s="18" t="s">
        <v>74</v>
      </c>
    </row>
    <row r="12" spans="1:13" ht="15">
      <c r="E12" s="18" t="s">
        <v>75</v>
      </c>
    </row>
    <row r="13" spans="1:13" ht="15">
      <c r="E13" s="18" t="s">
        <v>76</v>
      </c>
    </row>
    <row r="14" spans="1:13" ht="15">
      <c r="E14" s="18" t="s">
        <v>77</v>
      </c>
    </row>
    <row r="15" spans="1:13" ht="15">
      <c r="E15" s="18" t="s">
        <v>77</v>
      </c>
    </row>
    <row r="16" spans="1:13" ht="15">
      <c r="E16" s="18" t="s">
        <v>78</v>
      </c>
    </row>
    <row r="17" spans="1:5" ht="15">
      <c r="E17" s="18"/>
    </row>
    <row r="19" spans="1:5" ht="18">
      <c r="A19" s="19" t="s">
        <v>79</v>
      </c>
      <c r="B19" s="19"/>
    </row>
    <row r="20" spans="1:5" ht="15">
      <c r="A20" s="20" t="s">
        <v>80</v>
      </c>
      <c r="B20" s="20"/>
    </row>
    <row r="21" spans="1:5" ht="14.25">
      <c r="A21" s="22"/>
      <c r="B21" s="23" t="s">
        <v>190</v>
      </c>
    </row>
    <row r="22" spans="1:5" ht="15">
      <c r="A22" s="24" t="s">
        <v>82</v>
      </c>
      <c r="B22" s="24" t="s">
        <v>83</v>
      </c>
      <c r="C22" s="24" t="s">
        <v>84</v>
      </c>
      <c r="D22" s="24" t="s">
        <v>85</v>
      </c>
      <c r="E22" s="24" t="s">
        <v>86</v>
      </c>
    </row>
    <row r="23" spans="1:5">
      <c r="A23" s="21" t="s">
        <v>1230</v>
      </c>
      <c r="B23" s="5" t="s">
        <v>191</v>
      </c>
      <c r="C23" s="5" t="s">
        <v>93</v>
      </c>
      <c r="D23" s="5" t="s">
        <v>63</v>
      </c>
      <c r="E23" s="25" t="s">
        <v>1238</v>
      </c>
    </row>
    <row r="25" spans="1:5" ht="14.25">
      <c r="A25" s="22"/>
      <c r="B25" s="23" t="s">
        <v>81</v>
      </c>
    </row>
    <row r="26" spans="1:5" ht="15">
      <c r="A26" s="24" t="s">
        <v>82</v>
      </c>
      <c r="B26" s="24" t="s">
        <v>83</v>
      </c>
      <c r="C26" s="24" t="s">
        <v>84</v>
      </c>
      <c r="D26" s="24" t="s">
        <v>85</v>
      </c>
      <c r="E26" s="24" t="s">
        <v>86</v>
      </c>
    </row>
    <row r="27" spans="1:5">
      <c r="A27" s="21" t="s">
        <v>1234</v>
      </c>
      <c r="B27" s="5" t="s">
        <v>81</v>
      </c>
      <c r="C27" s="5" t="s">
        <v>90</v>
      </c>
      <c r="D27" s="5" t="s">
        <v>28</v>
      </c>
      <c r="E27" s="25" t="s">
        <v>1239</v>
      </c>
    </row>
  </sheetData>
  <mergeCells count="13">
    <mergeCell ref="E3:E4"/>
    <mergeCell ref="F3:F4"/>
    <mergeCell ref="G3:J3"/>
    <mergeCell ref="A8:L8"/>
    <mergeCell ref="K3:K4"/>
    <mergeCell ref="L3:L4"/>
    <mergeCell ref="M3:M4"/>
    <mergeCell ref="A5:L5"/>
    <mergeCell ref="A1:M2"/>
    <mergeCell ref="A3:A4"/>
    <mergeCell ref="B3:B4"/>
    <mergeCell ref="C3:C4"/>
    <mergeCell ref="D3:D4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45</vt:i4>
      </vt:variant>
    </vt:vector>
  </HeadingPairs>
  <TitlesOfParts>
    <vt:vector size="45" baseType="lpstr">
      <vt:lpstr>Лист35</vt:lpstr>
      <vt:lpstr>Люб. присед софт экип.</vt:lpstr>
      <vt:lpstr>Люб. тяга софт экип.</vt:lpstr>
      <vt:lpstr>Люб. присед мн.слой</vt:lpstr>
      <vt:lpstr>Люб. жим софт экип.</vt:lpstr>
      <vt:lpstr>Люб. ПЛ. софт экип.</vt:lpstr>
      <vt:lpstr>Люб. присед 1.слой</vt:lpstr>
      <vt:lpstr>Люб. тяга мн.слой</vt:lpstr>
      <vt:lpstr>Люб. тяга 1.слой</vt:lpstr>
      <vt:lpstr>Люб. присед б.э.</vt:lpstr>
      <vt:lpstr>Люб. жим мн.слой</vt:lpstr>
      <vt:lpstr>Люб. ПЛ. мн.слой</vt:lpstr>
      <vt:lpstr>Люб. Военный жим</vt:lpstr>
      <vt:lpstr>Люб. жим 1.слой</vt:lpstr>
      <vt:lpstr>Люб. ПЛ. 1.слой</vt:lpstr>
      <vt:lpstr>Люб. тяга б.э.</vt:lpstr>
      <vt:lpstr>Люб. жим б.э.</vt:lpstr>
      <vt:lpstr>Люб. ПЛ. б.э.</vt:lpstr>
      <vt:lpstr>Проф. Военный жим</vt:lpstr>
      <vt:lpstr>ПРО жим софт экип. 3сл.</vt:lpstr>
      <vt:lpstr>ПРО присед софт экип.</vt:lpstr>
      <vt:lpstr>ПРО тяга софт экип.</vt:lpstr>
      <vt:lpstr>ПРО присед мн.слой</vt:lpstr>
      <vt:lpstr>ПРО жим софт экип.</vt:lpstr>
      <vt:lpstr>ПРО ПЛ. софт экип.</vt:lpstr>
      <vt:lpstr>ПРО присед 1.слой</vt:lpstr>
      <vt:lpstr>ПРО тяга мн.слой</vt:lpstr>
      <vt:lpstr>ПРО тяга 1.слой</vt:lpstr>
      <vt:lpstr>ПРО присед б.э.</vt:lpstr>
      <vt:lpstr>ПРО жим мн.слой</vt:lpstr>
      <vt:lpstr>ПРО ПЛ. мн.слой</vt:lpstr>
      <vt:lpstr>ПРО жим 1.слой</vt:lpstr>
      <vt:lpstr>ПРО ПЛ. 1.слой</vt:lpstr>
      <vt:lpstr>ПРО тяга б.э.</vt:lpstr>
      <vt:lpstr>ПРО жим б.э.</vt:lpstr>
      <vt:lpstr>ПРО ПЛ. б.э.</vt:lpstr>
      <vt:lpstr>ПРО Нж 1_2 вес</vt:lpstr>
      <vt:lpstr>ПРО Нж 1 вес</vt:lpstr>
      <vt:lpstr>Люб.Нж 1_2 вес</vt:lpstr>
      <vt:lpstr>Люб.Нж 1 вес</vt:lpstr>
      <vt:lpstr>ПРО пауэрспорт</vt:lpstr>
      <vt:lpstr>ПРО Рж 100 кг</vt:lpstr>
      <vt:lpstr>Люб.Рж 75 кг</vt:lpstr>
      <vt:lpstr>Люб.Рж 55 кг</vt:lpstr>
      <vt:lpstr>Люб.Рж 35 кг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2017-12-26T15:46:34Z</dcterms:modified>
</cp:coreProperties>
</file>