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5" windowWidth="11340" windowHeight="9690" activeTab="2"/>
  </bookViews>
  <sheets>
    <sheet name="Люб. Военный жим" sheetId="6" r:id="rId1"/>
    <sheet name="ПРО Военный жим" sheetId="5" r:id="rId2"/>
    <sheet name="жимовое двоеборье" sheetId="7" r:id="rId3"/>
    <sheet name="народная становая тяга" sheetId="8" r:id="rId4"/>
    <sheet name="любители нж 1_2 веса" sheetId="9" r:id="rId5"/>
    <sheet name="любители нж 1 вес" sheetId="10" r:id="rId6"/>
    <sheet name="парная тяга" sheetId="11" r:id="rId7"/>
    <sheet name="Люб. присед софт экип." sheetId="12" r:id="rId8"/>
    <sheet name="ПРО присед 1.слой" sheetId="13" r:id="rId9"/>
    <sheet name="Люб. тяга софт экип." sheetId="14" r:id="rId10"/>
    <sheet name="ПРО тяга 1 слой" sheetId="15" r:id="rId11"/>
    <sheet name="Люб. тяга 1.слой" sheetId="16" r:id="rId12"/>
    <sheet name="Люб. тяга б.э." sheetId="17" r:id="rId13"/>
    <sheet name="ПРО тяга б.э." sheetId="18" r:id="rId14"/>
    <sheet name="Люб. жим софт экип." sheetId="19" r:id="rId15"/>
    <sheet name="Люб. жим 1.слой" sheetId="20" r:id="rId16"/>
    <sheet name="Люб. жим б.э." sheetId="21" r:id="rId17"/>
    <sheet name="ПРО жим софт экип. 3сл." sheetId="22" r:id="rId18"/>
    <sheet name="ПРО жим софт экип." sheetId="23" r:id="rId19"/>
    <sheet name="ПРО жим 1.слой" sheetId="24" r:id="rId20"/>
    <sheet name="ПРО жим б.э." sheetId="25" r:id="rId21"/>
    <sheet name="Люб. ПЛ. софт экип." sheetId="26" r:id="rId22"/>
    <sheet name="Люб. ПЛ. 1.слой" sheetId="27" r:id="rId23"/>
    <sheet name="Люб. ПЛ. б.э." sheetId="28" r:id="rId24"/>
    <sheet name="ПРО ПЛ. софт экип." sheetId="29" r:id="rId25"/>
    <sheet name="ПРО ПЛ. б.э." sheetId="30" r:id="rId26"/>
    <sheet name="СОВ ПЛ." sheetId="31" r:id="rId27"/>
    <sheet name="подъем штанги на бицепс" sheetId="32" r:id="rId28"/>
    <sheet name="пауэрспорт Любители" sheetId="33" r:id="rId29"/>
    <sheet name="Люб. 55 кг." sheetId="34" r:id="rId30"/>
    <sheet name="Люб. 35 кг." sheetId="35" r:id="rId31"/>
    <sheet name="Про. 100 кг." sheetId="36" r:id="rId32"/>
    <sheet name="Про. 75 кг." sheetId="37" r:id="rId33"/>
    <sheet name="17-27-53Про. 55 кг." sheetId="38" r:id="rId34"/>
    <sheet name="Силовое двоеборье" sheetId="39" r:id="rId35"/>
  </sheets>
  <definedNames>
    <definedName name="_xlnm._FilterDatabase" localSheetId="28" hidden="1">'пауэрспорт Любители'!$A$1:$O$3</definedName>
    <definedName name="_xlnm._FilterDatabase" localSheetId="1" hidden="1">'ПРО Военный жим'!$A$1:$K$3</definedName>
    <definedName name="_xlnm._FilterDatabase" localSheetId="26" hidden="1">'СОВ ПЛ.'!$A$1:$S$3</definedName>
  </definedNames>
  <calcPr calcId="124519" refMode="R1C1"/>
</workbook>
</file>

<file path=xl/calcChain.xml><?xml version="1.0" encoding="utf-8"?>
<calcChain xmlns="http://schemas.openxmlformats.org/spreadsheetml/2006/main">
  <c r="D6" i="38"/>
  <c r="I6"/>
  <c r="J6"/>
  <c r="D7"/>
  <c r="I7"/>
  <c r="J7"/>
  <c r="D22"/>
  <c r="E22"/>
  <c r="D6" i="37"/>
  <c r="I6"/>
  <c r="J6"/>
  <c r="D7"/>
  <c r="I7"/>
  <c r="J7"/>
  <c r="D8"/>
  <c r="I8"/>
  <c r="J8"/>
  <c r="D6" i="36"/>
  <c r="I6"/>
  <c r="J6"/>
  <c r="D6" i="35"/>
  <c r="I6"/>
  <c r="J6"/>
  <c r="D6" i="34"/>
  <c r="I6"/>
  <c r="J6"/>
  <c r="D7"/>
  <c r="I7"/>
  <c r="J7"/>
  <c r="D8"/>
  <c r="I8"/>
  <c r="J8"/>
  <c r="D9"/>
  <c r="I9"/>
  <c r="J9"/>
  <c r="D10"/>
  <c r="I10"/>
  <c r="J10"/>
  <c r="D11"/>
  <c r="I11"/>
  <c r="J11"/>
  <c r="D12"/>
  <c r="I12"/>
  <c r="J12"/>
  <c r="D13"/>
  <c r="I13"/>
  <c r="J13"/>
  <c r="D14"/>
  <c r="I14"/>
  <c r="J14"/>
  <c r="D15"/>
  <c r="I15"/>
  <c r="J15"/>
  <c r="D16"/>
  <c r="I16"/>
  <c r="J16"/>
  <c r="D17"/>
  <c r="I17"/>
  <c r="J17"/>
  <c r="D6" i="33"/>
  <c r="O6"/>
  <c r="P6"/>
  <c r="D8"/>
  <c r="O8"/>
  <c r="P8"/>
  <c r="D6" i="31"/>
  <c r="S6"/>
  <c r="T6"/>
  <c r="D9"/>
  <c r="S9"/>
  <c r="T9"/>
  <c r="D12"/>
  <c r="S12"/>
  <c r="T12"/>
  <c r="D6" i="30"/>
  <c r="S6"/>
  <c r="T6"/>
  <c r="D7"/>
  <c r="S7"/>
  <c r="T7"/>
  <c r="D10"/>
  <c r="S10"/>
  <c r="T10"/>
  <c r="D13"/>
  <c r="S13"/>
  <c r="T13"/>
  <c r="D16"/>
  <c r="S16"/>
  <c r="T16"/>
  <c r="D6" i="29"/>
  <c r="S6"/>
  <c r="T6"/>
  <c r="D6" i="28"/>
  <c r="S6"/>
  <c r="T6"/>
  <c r="D9"/>
  <c r="S9"/>
  <c r="T9"/>
  <c r="D12"/>
  <c r="S12"/>
  <c r="T12"/>
  <c r="D15"/>
  <c r="S15"/>
  <c r="T15"/>
  <c r="D18"/>
  <c r="S18"/>
  <c r="T18"/>
  <c r="D21"/>
  <c r="S21"/>
  <c r="T21"/>
  <c r="D24"/>
  <c r="S24"/>
  <c r="T24"/>
  <c r="D25"/>
  <c r="S25"/>
  <c r="T25"/>
  <c r="D28"/>
  <c r="S28"/>
  <c r="T28"/>
  <c r="D31"/>
  <c r="S31"/>
  <c r="T31"/>
  <c r="D32"/>
  <c r="S32"/>
  <c r="T32"/>
  <c r="D33"/>
  <c r="S33"/>
  <c r="T33"/>
  <c r="D6" i="27"/>
  <c r="S6"/>
  <c r="T6"/>
  <c r="D9"/>
  <c r="S9"/>
  <c r="T9"/>
  <c r="D12"/>
  <c r="S12"/>
  <c r="T12"/>
  <c r="D6" i="26"/>
  <c r="S6"/>
  <c r="T6"/>
  <c r="D6" i="25"/>
  <c r="K6"/>
  <c r="L6"/>
  <c r="D7"/>
  <c r="K7"/>
  <c r="L7"/>
  <c r="D10"/>
  <c r="K10"/>
  <c r="L10"/>
  <c r="D16"/>
  <c r="K16"/>
  <c r="L16"/>
  <c r="D17"/>
  <c r="K17"/>
  <c r="L17"/>
  <c r="D18"/>
  <c r="K18"/>
  <c r="L18"/>
  <c r="D21"/>
  <c r="K21"/>
  <c r="L21"/>
  <c r="D22"/>
  <c r="K22"/>
  <c r="L22"/>
  <c r="D25"/>
  <c r="K25"/>
  <c r="L25"/>
  <c r="D26"/>
  <c r="K26"/>
  <c r="L26"/>
  <c r="D29"/>
  <c r="K29"/>
  <c r="L29"/>
  <c r="D30"/>
  <c r="K30"/>
  <c r="L30"/>
  <c r="D33"/>
  <c r="K33"/>
  <c r="L33"/>
  <c r="D6" i="24"/>
  <c r="K6"/>
  <c r="L6"/>
  <c r="D6" i="23"/>
  <c r="K6"/>
  <c r="L6"/>
  <c r="D9"/>
  <c r="K9"/>
  <c r="L9"/>
  <c r="D12"/>
  <c r="K12"/>
  <c r="L12"/>
  <c r="D15"/>
  <c r="K15"/>
  <c r="L15"/>
  <c r="D6" i="22"/>
  <c r="K6"/>
  <c r="L6"/>
  <c r="D7"/>
  <c r="K7"/>
  <c r="L7"/>
  <c r="D10"/>
  <c r="K10"/>
  <c r="L10"/>
  <c r="D13"/>
  <c r="K13"/>
  <c r="L13"/>
  <c r="D6" i="21"/>
  <c r="K6"/>
  <c r="L6"/>
  <c r="D9"/>
  <c r="K9"/>
  <c r="L9"/>
  <c r="D12"/>
  <c r="K12"/>
  <c r="L12"/>
  <c r="D15"/>
  <c r="K15"/>
  <c r="L15"/>
  <c r="D16"/>
  <c r="K16"/>
  <c r="L16"/>
  <c r="D19"/>
  <c r="K19"/>
  <c r="L19"/>
  <c r="D22"/>
  <c r="K22"/>
  <c r="L22"/>
  <c r="D23"/>
  <c r="K23"/>
  <c r="L23"/>
  <c r="D26"/>
  <c r="K26"/>
  <c r="L26"/>
  <c r="D27"/>
  <c r="K27"/>
  <c r="L27"/>
  <c r="D28"/>
  <c r="K28"/>
  <c r="L28"/>
  <c r="D29"/>
  <c r="K29"/>
  <c r="L29"/>
  <c r="D32"/>
  <c r="K32"/>
  <c r="L32"/>
  <c r="D33"/>
  <c r="K33"/>
  <c r="L33"/>
  <c r="D34"/>
  <c r="K34"/>
  <c r="L34"/>
  <c r="D35"/>
  <c r="K35"/>
  <c r="L35"/>
  <c r="D38"/>
  <c r="K38"/>
  <c r="L38"/>
  <c r="D39"/>
  <c r="K39"/>
  <c r="L39"/>
  <c r="D40"/>
  <c r="K40"/>
  <c r="L40"/>
  <c r="D41"/>
  <c r="K41"/>
  <c r="L41"/>
  <c r="D42"/>
  <c r="K42"/>
  <c r="L42"/>
  <c r="D43"/>
  <c r="K43"/>
  <c r="L43"/>
  <c r="D46"/>
  <c r="K46"/>
  <c r="L46"/>
  <c r="D47"/>
  <c r="K47"/>
  <c r="L47"/>
  <c r="D48"/>
  <c r="K48"/>
  <c r="L48"/>
  <c r="D49"/>
  <c r="K49"/>
  <c r="L49"/>
  <c r="D50"/>
  <c r="K50"/>
  <c r="L50"/>
  <c r="D51"/>
  <c r="K51"/>
  <c r="L51"/>
  <c r="D52"/>
  <c r="K52"/>
  <c r="L52"/>
  <c r="D53"/>
  <c r="K53"/>
  <c r="L53"/>
  <c r="D56"/>
  <c r="K56"/>
  <c r="L56"/>
  <c r="D59"/>
  <c r="K59"/>
  <c r="L59"/>
  <c r="D62"/>
  <c r="K62"/>
  <c r="L62"/>
  <c r="D63"/>
  <c r="K63"/>
  <c r="L63"/>
  <c r="D6" i="20"/>
  <c r="K6"/>
  <c r="L6"/>
  <c r="D9"/>
  <c r="K9"/>
  <c r="L9"/>
  <c r="D6" i="19"/>
  <c r="K6"/>
  <c r="L6"/>
  <c r="D9"/>
  <c r="K9"/>
  <c r="L9"/>
  <c r="D10"/>
  <c r="K10"/>
  <c r="L10"/>
  <c r="D11"/>
  <c r="K11"/>
  <c r="L11"/>
  <c r="D14"/>
  <c r="K14"/>
  <c r="L14"/>
  <c r="D17"/>
  <c r="K17"/>
  <c r="L17"/>
  <c r="D19"/>
  <c r="K19"/>
  <c r="L19"/>
  <c r="D6" i="18"/>
  <c r="K6"/>
  <c r="L6"/>
  <c r="D9"/>
  <c r="K9"/>
  <c r="L9"/>
  <c r="D12"/>
  <c r="K12"/>
  <c r="L12"/>
  <c r="D15"/>
  <c r="K15"/>
  <c r="L15"/>
  <c r="D16"/>
  <c r="K16"/>
  <c r="L16"/>
  <c r="D19"/>
  <c r="K19"/>
  <c r="L19"/>
  <c r="D6" i="17"/>
  <c r="K6"/>
  <c r="L6"/>
  <c r="D9"/>
  <c r="K9"/>
  <c r="L9"/>
  <c r="D12"/>
  <c r="K12"/>
  <c r="L12"/>
  <c r="D16"/>
  <c r="K16"/>
  <c r="L16"/>
  <c r="D17"/>
  <c r="K17"/>
  <c r="L17"/>
  <c r="D18"/>
  <c r="K18"/>
  <c r="L18"/>
  <c r="D19"/>
  <c r="K19"/>
  <c r="L19"/>
  <c r="D22"/>
  <c r="K22"/>
  <c r="L22"/>
  <c r="D25"/>
  <c r="K25"/>
  <c r="L25"/>
  <c r="D26"/>
  <c r="K26"/>
  <c r="L26"/>
  <c r="D30"/>
  <c r="K30"/>
  <c r="L30"/>
  <c r="D31"/>
  <c r="K31"/>
  <c r="L31"/>
  <c r="D32"/>
  <c r="K32"/>
  <c r="L32"/>
  <c r="D35"/>
  <c r="K35"/>
  <c r="L35"/>
  <c r="D6" i="16"/>
  <c r="K6"/>
  <c r="L6"/>
  <c r="D6" i="15"/>
  <c r="K6"/>
  <c r="L6"/>
  <c r="D6" i="14"/>
  <c r="K6"/>
  <c r="L6"/>
  <c r="D6" i="13"/>
  <c r="K6"/>
  <c r="L6"/>
  <c r="D6" i="12"/>
  <c r="K6"/>
  <c r="L6"/>
  <c r="J15" i="10"/>
  <c r="I15"/>
  <c r="D15"/>
  <c r="J14"/>
  <c r="I14"/>
  <c r="D14"/>
  <c r="J13"/>
  <c r="I13"/>
  <c r="D13"/>
  <c r="J10"/>
  <c r="I10"/>
  <c r="D10"/>
  <c r="J7"/>
  <c r="I7"/>
  <c r="D7"/>
  <c r="J6"/>
  <c r="I6"/>
  <c r="D6"/>
  <c r="J6" i="9"/>
  <c r="I6"/>
  <c r="D6"/>
  <c r="L22" i="6"/>
  <c r="K22"/>
  <c r="D22"/>
  <c r="L19"/>
  <c r="K19"/>
  <c r="D19"/>
  <c r="L18"/>
  <c r="K18"/>
  <c r="D18"/>
  <c r="L15"/>
  <c r="K15"/>
  <c r="D15"/>
  <c r="L12"/>
  <c r="K12"/>
  <c r="D12"/>
  <c r="L11"/>
  <c r="K11"/>
  <c r="D11"/>
  <c r="L10"/>
  <c r="K10"/>
  <c r="D10"/>
  <c r="L7"/>
  <c r="K7"/>
  <c r="D7"/>
  <c r="L6"/>
  <c r="K6"/>
  <c r="D6"/>
  <c r="L9" i="5"/>
  <c r="K9"/>
  <c r="D9"/>
  <c r="L6"/>
  <c r="K6"/>
  <c r="D6"/>
</calcChain>
</file>

<file path=xl/sharedStrings.xml><?xml version="1.0" encoding="utf-8"?>
<sst xmlns="http://schemas.openxmlformats.org/spreadsheetml/2006/main" count="4437" uniqueCount="1160">
  <si>
    <t>ФИО</t>
  </si>
  <si>
    <t>Жим</t>
  </si>
  <si>
    <t>Тренер</t>
  </si>
  <si>
    <t>Очки</t>
  </si>
  <si>
    <t>Команда</t>
  </si>
  <si>
    <t>Рек</t>
  </si>
  <si>
    <t>Возр груп
Год. р./Возраст</t>
  </si>
  <si>
    <t>Город/область</t>
  </si>
  <si>
    <t>Соб.
Вес</t>
  </si>
  <si>
    <t>Кубок Европы Военный жим Zeus II
ПРО военный жим
Белгород/Белгородская область апреля 2018 г.</t>
  </si>
  <si>
    <t>Shv/Mel</t>
  </si>
  <si>
    <t>ВЕСОВАЯ КАТЕГОРИЯ   110</t>
  </si>
  <si>
    <t>Толстых Виктор</t>
  </si>
  <si>
    <t>1. Толстых Виктор</t>
  </si>
  <si>
    <t>Мастера 50 - 54 (07.06.1965)/52</t>
  </si>
  <si>
    <t>107,20</t>
  </si>
  <si>
    <t xml:space="preserve">Вольные стрелки </t>
  </si>
  <si>
    <t xml:space="preserve">Воронеж/Воронежская область </t>
  </si>
  <si>
    <t>120,0</t>
  </si>
  <si>
    <t>130,0</t>
  </si>
  <si>
    <t>140,0</t>
  </si>
  <si>
    <t xml:space="preserve"> </t>
  </si>
  <si>
    <t>ВЕСОВАЯ КАТЕГОРИЯ   125</t>
  </si>
  <si>
    <t>Лазарев Виталий</t>
  </si>
  <si>
    <t>1. Лазарев Виталий</t>
  </si>
  <si>
    <t>Открытая (25.08.1988)/29</t>
  </si>
  <si>
    <t>114,00</t>
  </si>
  <si>
    <t xml:space="preserve">ДЮСШ №4 </t>
  </si>
  <si>
    <t xml:space="preserve">Белгород/Белгородская область </t>
  </si>
  <si>
    <t>155,0</t>
  </si>
  <si>
    <t>165,0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</si>
  <si>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</si>
  <si>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</si>
  <si>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</si>
  <si>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</si>
  <si>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</si>
  <si>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</si>
  <si>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</si>
  <si>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</si>
  <si>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</si>
  <si>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</si>
  <si>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</si>
  <si>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</si>
  <si>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</si>
  <si>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125,0</t>
  </si>
  <si>
    <t>82,5065</t>
  </si>
  <si>
    <t xml:space="preserve">Мастера </t>
  </si>
  <si>
    <t xml:space="preserve">Мастера 50 - 54 </t>
  </si>
  <si>
    <t>110,0</t>
  </si>
  <si>
    <t>91,4343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</si>
  <si>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</si>
  <si>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</si>
  <si>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</si>
  <si>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</si>
  <si>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12(12) </t>
  </si>
  <si>
    <t xml:space="preserve">Лазарев Виталий </t>
  </si>
  <si>
    <t xml:space="preserve">Толстых Виктор </t>
  </si>
  <si>
    <t>Результат</t>
  </si>
  <si>
    <t>Кубок Европы Военный жим Zeus II
Любители военный жим
Белгород/Белгородская область апреля 2018 г.</t>
  </si>
  <si>
    <t>ВЕСОВАЯ КАТЕГОРИЯ   60</t>
  </si>
  <si>
    <t>Махфузов Афраим</t>
  </si>
  <si>
    <t>1. Махфузов Афраим</t>
  </si>
  <si>
    <t>Юниоры 20 - 23 (19.10.1997)/20</t>
  </si>
  <si>
    <t>60,00</t>
  </si>
  <si>
    <t xml:space="preserve">Лично </t>
  </si>
  <si>
    <t xml:space="preserve">Валуйки/Белгородская область </t>
  </si>
  <si>
    <t>95,0o</t>
  </si>
  <si>
    <t>100,0o</t>
  </si>
  <si>
    <t>105,0o</t>
  </si>
  <si>
    <t>Открытая (19.10.1997)/20</t>
  </si>
  <si>
    <t>ВЕСОВАЯ КАТЕГОРИЯ   75</t>
  </si>
  <si>
    <t>Бугаев Артем</t>
  </si>
  <si>
    <t>1. Бугаев Артем</t>
  </si>
  <si>
    <t>Юноши 18 - 19 (26.01.2000)/18</t>
  </si>
  <si>
    <t>73,20</t>
  </si>
  <si>
    <t xml:space="preserve">Титан </t>
  </si>
  <si>
    <t xml:space="preserve">Новый Оскол/Белгородская область </t>
  </si>
  <si>
    <t>100,0</t>
  </si>
  <si>
    <t>Шульгин Виталий</t>
  </si>
  <si>
    <t>1. Шульгин Виталий</t>
  </si>
  <si>
    <t>Юниоры 20 - 23 (22.09.1997)/20</t>
  </si>
  <si>
    <t>74,75</t>
  </si>
  <si>
    <t>115,0</t>
  </si>
  <si>
    <t>127,5</t>
  </si>
  <si>
    <t>Чубарых Петр</t>
  </si>
  <si>
    <t>1. Чубарых Петр</t>
  </si>
  <si>
    <t>Открытая (17.04.1980)/38</t>
  </si>
  <si>
    <t>ВЕСОВАЯ КАТЕГОРИЯ   82.5</t>
  </si>
  <si>
    <t>Образцов Андрей</t>
  </si>
  <si>
    <t>1. Образцов Андрей</t>
  </si>
  <si>
    <t>Юниоры 20 - 23 (26.01.1995)/23</t>
  </si>
  <si>
    <t>82,50</t>
  </si>
  <si>
    <t>ВЕСОВАЯ КАТЕГОРИЯ   90</t>
  </si>
  <si>
    <t>Качала Сергей</t>
  </si>
  <si>
    <t>1. Качала Сергей</t>
  </si>
  <si>
    <t>Открытая (17.08.1985)/32</t>
  </si>
  <si>
    <t>89,80</t>
  </si>
  <si>
    <t>150,0o</t>
  </si>
  <si>
    <t>160,0o</t>
  </si>
  <si>
    <t>165,0o</t>
  </si>
  <si>
    <t>-. Шульгин Сергей</t>
  </si>
  <si>
    <t>Мастера 40 - 44 (20.10.1975)/42</t>
  </si>
  <si>
    <t>89,00</t>
  </si>
  <si>
    <t>Алхазов Алихан</t>
  </si>
  <si>
    <t>1. Алхазов Алихан</t>
  </si>
  <si>
    <t>Мастера 50 - 54 (21.01.1968)/50</t>
  </si>
  <si>
    <t>103,40</t>
  </si>
  <si>
    <t xml:space="preserve">Карачаевск/Карачаево-Черкесия </t>
  </si>
  <si>
    <t>157,5o</t>
  </si>
  <si>
    <t xml:space="preserve">Юноши </t>
  </si>
  <si>
    <t xml:space="preserve">Юноши 18 - 19 </t>
  </si>
  <si>
    <t>75,0</t>
  </si>
  <si>
    <t>78,9848</t>
  </si>
  <si>
    <t xml:space="preserve">Юниоры </t>
  </si>
  <si>
    <t xml:space="preserve">Юниоры 20 - 23 </t>
  </si>
  <si>
    <t>60,0</t>
  </si>
  <si>
    <t>105,0</t>
  </si>
  <si>
    <t>87,9043</t>
  </si>
  <si>
    <t>78,9173</t>
  </si>
  <si>
    <t>82,5</t>
  </si>
  <si>
    <t>74,3160</t>
  </si>
  <si>
    <t>90,0</t>
  </si>
  <si>
    <t>96,7065</t>
  </si>
  <si>
    <t>85,3440</t>
  </si>
  <si>
    <t>73,2875</t>
  </si>
  <si>
    <t>157,5</t>
  </si>
  <si>
    <t>101,0015</t>
  </si>
  <si>
    <t xml:space="preserve">48(12+12+12+12) </t>
  </si>
  <si>
    <t xml:space="preserve">Качала Сергей, Алхазов Алихан, Махфузов Афраим, Махфузов Афраим </t>
  </si>
  <si>
    <t xml:space="preserve">Чубарых Петр, Бугаев Артем, Шульгин Виталий, Образцов Андрей </t>
  </si>
  <si>
    <t>Коробейников Д.Ю.</t>
  </si>
  <si>
    <t>Коробейникова О.В.</t>
  </si>
  <si>
    <t>Коробейников М.Ю.</t>
  </si>
  <si>
    <t>Лыков Н.А.</t>
  </si>
  <si>
    <t>Крузина А.А.</t>
  </si>
  <si>
    <t>Кузьменко Е.В.</t>
  </si>
  <si>
    <t>Кубок Европы Жимовое двоеборье Zeus II
Белгород/Белгородская область апреля 2018 г.</t>
  </si>
  <si>
    <t>Народный жим</t>
  </si>
  <si>
    <t>Сумма</t>
  </si>
  <si>
    <t>1</t>
  </si>
  <si>
    <t>3</t>
  </si>
  <si>
    <t>вес штанги</t>
  </si>
  <si>
    <t>Повторения</t>
  </si>
  <si>
    <t>ВЕСОВАЯ КАТЕГОРИЯ  100 кг</t>
  </si>
  <si>
    <t>Литовченко Александр Сергеевич</t>
  </si>
  <si>
    <t>Открытая</t>
  </si>
  <si>
    <t>98</t>
  </si>
  <si>
    <t>Лично</t>
  </si>
  <si>
    <t>Белгород</t>
  </si>
  <si>
    <t>160</t>
  </si>
  <si>
    <t>100</t>
  </si>
  <si>
    <t>25</t>
  </si>
  <si>
    <t>190</t>
  </si>
  <si>
    <t>Кубок Европы  Zeus II
Народная тяга
Белгород/Белгородская область апреля 2018 г.</t>
  </si>
  <si>
    <t>Тяга</t>
  </si>
  <si>
    <t>Тоннаж</t>
  </si>
  <si>
    <t>Вес штанги</t>
  </si>
  <si>
    <t>ВЕСОВАЯ КАТЕГОРИЯ  56 кг</t>
  </si>
  <si>
    <t>Локтионов Антон Игорьевич</t>
  </si>
  <si>
    <t>55,8</t>
  </si>
  <si>
    <t>790,4325</t>
  </si>
  <si>
    <t>825</t>
  </si>
  <si>
    <t>Обухов Игорь Михайлович</t>
  </si>
  <si>
    <t>90 кг</t>
  </si>
  <si>
    <t>Кубок Европы Народный жим Zeus II
Любители народный жим (1/2 вес)
Белгород/Белгородская область апреля 2018 г.</t>
  </si>
  <si>
    <t>НАП Н.Ж.</t>
  </si>
  <si>
    <t>Жим мн. повт.</t>
  </si>
  <si>
    <t>Вес</t>
  </si>
  <si>
    <t>Повторы</t>
  </si>
  <si>
    <t>1. Селезнева Ольга</t>
  </si>
  <si>
    <t>Открытая (07.09.1987)/30</t>
  </si>
  <si>
    <t>59,90</t>
  </si>
  <si>
    <t>30,0o</t>
  </si>
  <si>
    <t>26,0</t>
  </si>
  <si>
    <t xml:space="preserve">Женщины </t>
  </si>
  <si>
    <t xml:space="preserve">НАП Н.Ж. </t>
  </si>
  <si>
    <t>Селезнева Ольга</t>
  </si>
  <si>
    <t>780,0</t>
  </si>
  <si>
    <t>707,7720</t>
  </si>
  <si>
    <t xml:space="preserve">Селезнева Ольга </t>
  </si>
  <si>
    <t>Кубок Европы Народный жим Zeus II
Любители народный жим (1 вес)
Белгород/Белгородская область апреля 2018 г.</t>
  </si>
  <si>
    <t>60,0o</t>
  </si>
  <si>
    <t>24,0</t>
  </si>
  <si>
    <t>1. Алхазов Радмир</t>
  </si>
  <si>
    <t>Юниоры 20 - 23 (01.12.1996)/21</t>
  </si>
  <si>
    <t>82,10</t>
  </si>
  <si>
    <t>82,5o</t>
  </si>
  <si>
    <t>13,0</t>
  </si>
  <si>
    <t>1. Мазиев Алексей</t>
  </si>
  <si>
    <t>Юниоры 20 - 23 (01.12.1995)/22</t>
  </si>
  <si>
    <t xml:space="preserve">Ростов-на-Дону/Ростовская область </t>
  </si>
  <si>
    <t>90,0o</t>
  </si>
  <si>
    <t>30,0</t>
  </si>
  <si>
    <t>2. Самодуров Борис</t>
  </si>
  <si>
    <t>Юниоры 20 - 23 (26.12.1994)/23</t>
  </si>
  <si>
    <t>84,85</t>
  </si>
  <si>
    <t>85,0o</t>
  </si>
  <si>
    <t>1. Клюев Игорь</t>
  </si>
  <si>
    <t>Открытая (04.04.1989)/29</t>
  </si>
  <si>
    <t>88,15</t>
  </si>
  <si>
    <t xml:space="preserve">Курск </t>
  </si>
  <si>
    <t xml:space="preserve">Курск/Курская область </t>
  </si>
  <si>
    <t>32,0</t>
  </si>
  <si>
    <t>Мазиев Алексей</t>
  </si>
  <si>
    <t>2700,0</t>
  </si>
  <si>
    <t>1948,5900</t>
  </si>
  <si>
    <t>Самодуров Борис</t>
  </si>
  <si>
    <t>2210,0</t>
  </si>
  <si>
    <t>1672,9701</t>
  </si>
  <si>
    <t>1440,0</t>
  </si>
  <si>
    <t>1310,4000</t>
  </si>
  <si>
    <t>Алхазов Радмир</t>
  </si>
  <si>
    <t>1072,5</t>
  </si>
  <si>
    <t>815,1000</t>
  </si>
  <si>
    <t>Клюев Игорь</t>
  </si>
  <si>
    <t>2880,0</t>
  </si>
  <si>
    <t>2098,6559</t>
  </si>
  <si>
    <t xml:space="preserve">57(12+12+9+12+12) </t>
  </si>
  <si>
    <t xml:space="preserve">Мазиев Алексей, Алхазов Радмир, Самодуров Борис, Махфузов Афраим, Махфузов Афраим </t>
  </si>
  <si>
    <t xml:space="preserve">Клюев Игорь </t>
  </si>
  <si>
    <t>Кубок Европы Zeus II
Парная тяга
Белгород/Белгородская область апреля 2018 г.</t>
  </si>
  <si>
    <t>ВЕСОВАЯ КАТЕГОРИЯ  90 кг</t>
  </si>
  <si>
    <t>1. Обухов Игорь Михайлович</t>
  </si>
  <si>
    <t>89</t>
  </si>
  <si>
    <t>253.39</t>
  </si>
  <si>
    <t>Курск</t>
  </si>
  <si>
    <t>360</t>
  </si>
  <si>
    <t>430</t>
  </si>
  <si>
    <t>2. Караякин Виталий</t>
  </si>
  <si>
    <t>87,40</t>
  </si>
  <si>
    <t>256.28</t>
  </si>
  <si>
    <t>Карякин Виталий</t>
  </si>
  <si>
    <t xml:space="preserve">24(12+12) </t>
  </si>
  <si>
    <t>Карякин Виталий, Обухов Игорь</t>
  </si>
  <si>
    <t xml:space="preserve">Долгополова Юлия </t>
  </si>
  <si>
    <t xml:space="preserve">ФОК Строитель </t>
  </si>
  <si>
    <t>112,0795</t>
  </si>
  <si>
    <t>Долгополова Юлия</t>
  </si>
  <si>
    <t xml:space="preserve">Строитель/Белгородская область </t>
  </si>
  <si>
    <t>Открытая (19.01.1988)/30</t>
  </si>
  <si>
    <t>1. Долгополова Юлия</t>
  </si>
  <si>
    <t>Присед</t>
  </si>
  <si>
    <t>Кубок Европы Zeus II
Любители присед в софт экипировке
Белгород/Белгородская область 28 - 29 апреля 2018 г.</t>
  </si>
  <si>
    <t xml:space="preserve">Маслов Эдуард </t>
  </si>
  <si>
    <t>114,0666</t>
  </si>
  <si>
    <t>150,0</t>
  </si>
  <si>
    <t>Маслов Эдуард</t>
  </si>
  <si>
    <t>137,5</t>
  </si>
  <si>
    <t>68,40</t>
  </si>
  <si>
    <t>Юноши 18 - 19 (01.03.2000)/18</t>
  </si>
  <si>
    <t>1. Маслов Эдуард</t>
  </si>
  <si>
    <t>Кубок Европы Zeus II
ПРО присед в однослойной экипировке
Белгород/Белгородская область 28 - 29 апреля 2018 г.</t>
  </si>
  <si>
    <t>105,6134</t>
  </si>
  <si>
    <t>122,5</t>
  </si>
  <si>
    <t>Кубок Европы Zeus II
Любители становая тяга в софт экипировке
Белгород/Белгородская область 28 - 29 апреля 2018 г.</t>
  </si>
  <si>
    <t>Журавлёв Ярослав</t>
  </si>
  <si>
    <t>ДЮСШ № 4</t>
  </si>
  <si>
    <t>131,5742</t>
  </si>
  <si>
    <t>190,0</t>
  </si>
  <si>
    <t xml:space="preserve">Юноши 16 - 17 </t>
  </si>
  <si>
    <t>Журавлев Ярослав</t>
  </si>
  <si>
    <t>197,5</t>
  </si>
  <si>
    <t>180,0</t>
  </si>
  <si>
    <t>78,60</t>
  </si>
  <si>
    <t>Юноши 16 - 17 (06.09.2000)/17</t>
  </si>
  <si>
    <t>1. Журавлев Ярослав</t>
  </si>
  <si>
    <t>Кубок Европы Zeus II
ПРО становая тяга в однослойной экипировке
Белгород/Белгородская область 28 - 29 апреля 2018 г.</t>
  </si>
  <si>
    <t xml:space="preserve">Борисов Максим </t>
  </si>
  <si>
    <t>159,6172</t>
  </si>
  <si>
    <t>255,0</t>
  </si>
  <si>
    <t>Борисов Максим</t>
  </si>
  <si>
    <t>260,0</t>
  </si>
  <si>
    <t>245,0</t>
  </si>
  <si>
    <t>81,25</t>
  </si>
  <si>
    <t>Открытая (13.08.1992)/25</t>
  </si>
  <si>
    <t>1. Борисов Максим</t>
  </si>
  <si>
    <t>Кубок Европы Zeus II
Любители становая тяга в однослойной экипировке
Белгород/Белгородская область 28 - 29 апреля 2018 г.</t>
  </si>
  <si>
    <t xml:space="preserve">Виноходов Сергей </t>
  </si>
  <si>
    <t xml:space="preserve">Курская область </t>
  </si>
  <si>
    <t xml:space="preserve">Иванов Дмитрий </t>
  </si>
  <si>
    <t xml:space="preserve">Алмосов Александр, Баранова Ксения </t>
  </si>
  <si>
    <t xml:space="preserve">21(9+12) </t>
  </si>
  <si>
    <t xml:space="preserve">Ярченко Андрей, Ярченко Андрей </t>
  </si>
  <si>
    <t xml:space="preserve">Луганск </t>
  </si>
  <si>
    <t xml:space="preserve">Котляров Владимир, Манагаров Владислав </t>
  </si>
  <si>
    <t xml:space="preserve">Православный клуб </t>
  </si>
  <si>
    <t xml:space="preserve">Малышко Андрей, Ляпкалов Никита, Селезнева Ольга, Шеховцов Артем, Порядин Валерий, Порядин Валерий </t>
  </si>
  <si>
    <t xml:space="preserve">84(12+12+12+12+12+12+12) </t>
  </si>
  <si>
    <t>119,0490</t>
  </si>
  <si>
    <t>210,0</t>
  </si>
  <si>
    <t xml:space="preserve">Мастера 40 - 44 </t>
  </si>
  <si>
    <t>Малышко Андрей</t>
  </si>
  <si>
    <t>141,0366</t>
  </si>
  <si>
    <t>200,0</t>
  </si>
  <si>
    <t>Порядин Валерий</t>
  </si>
  <si>
    <t>117,1400</t>
  </si>
  <si>
    <t>120,6580</t>
  </si>
  <si>
    <t>230,0</t>
  </si>
  <si>
    <t>Виноходов Сергей</t>
  </si>
  <si>
    <t>121,8060</t>
  </si>
  <si>
    <t>Алмосов Александр</t>
  </si>
  <si>
    <t>136,2460</t>
  </si>
  <si>
    <t>220,0</t>
  </si>
  <si>
    <t>Иванов Дмитрий</t>
  </si>
  <si>
    <t>139,6000</t>
  </si>
  <si>
    <t>Ярченко Андрей</t>
  </si>
  <si>
    <t>147,4725</t>
  </si>
  <si>
    <t>265,0</t>
  </si>
  <si>
    <t>Шеховцов Артем</t>
  </si>
  <si>
    <t>129,5476</t>
  </si>
  <si>
    <t>170,0</t>
  </si>
  <si>
    <t>67,5</t>
  </si>
  <si>
    <t>Котляров Владимир</t>
  </si>
  <si>
    <t>139,7750</t>
  </si>
  <si>
    <t>250,0</t>
  </si>
  <si>
    <t>Ляпкалов Никита</t>
  </si>
  <si>
    <t>190,6829</t>
  </si>
  <si>
    <t>Гатаев Димислам</t>
  </si>
  <si>
    <t>147,9760</t>
  </si>
  <si>
    <t>157,6858</t>
  </si>
  <si>
    <t>Манагаров Владислав</t>
  </si>
  <si>
    <t>68,9720</t>
  </si>
  <si>
    <t>80,0</t>
  </si>
  <si>
    <t>130,2700</t>
  </si>
  <si>
    <t>56,0</t>
  </si>
  <si>
    <t>Баранова Ксения</t>
  </si>
  <si>
    <t>240,0</t>
  </si>
  <si>
    <t>122,30</t>
  </si>
  <si>
    <t>Открытая (17.09.1982)/35</t>
  </si>
  <si>
    <t>1. Виноходов Сергей</t>
  </si>
  <si>
    <t>235,0</t>
  </si>
  <si>
    <t>210,0o</t>
  </si>
  <si>
    <t>95,30</t>
  </si>
  <si>
    <t>Мастера 40 - 44 (30.03.1978)/40</t>
  </si>
  <si>
    <t>1. Малышко Андрей</t>
  </si>
  <si>
    <t>280,0</t>
  </si>
  <si>
    <t>265,0o</t>
  </si>
  <si>
    <t xml:space="preserve">Славянск-на-Кубани/Краснодарский край </t>
  </si>
  <si>
    <t>99,00</t>
  </si>
  <si>
    <t>Открытая (25.01.1985)/33</t>
  </si>
  <si>
    <t>1. Шеховцов Артем</t>
  </si>
  <si>
    <t>250,0o</t>
  </si>
  <si>
    <t>245,0o</t>
  </si>
  <si>
    <t>235,0o</t>
  </si>
  <si>
    <t>98,00</t>
  </si>
  <si>
    <t>Юниоры 20 - 23 (28.05.1994)/23</t>
  </si>
  <si>
    <t>1. Ляпкалов Никита</t>
  </si>
  <si>
    <t>ВЕСОВАЯ КАТЕГОРИЯ   100</t>
  </si>
  <si>
    <t>225,0</t>
  </si>
  <si>
    <t>200,0o</t>
  </si>
  <si>
    <t>89,90</t>
  </si>
  <si>
    <t>Мастера 50 - 54 (20.05.1966)/51</t>
  </si>
  <si>
    <t>1. Порядин Валерий</t>
  </si>
  <si>
    <t>Открытая (20.05.1966)/51</t>
  </si>
  <si>
    <t>217,5</t>
  </si>
  <si>
    <t>Открытая (13.10.1992)/25</t>
  </si>
  <si>
    <t>1. Иванов Дмитрий</t>
  </si>
  <si>
    <t>73,30</t>
  </si>
  <si>
    <t>Открытая (15.11.1989)/28</t>
  </si>
  <si>
    <t>2. Алмосов Александр</t>
  </si>
  <si>
    <t>205,0</t>
  </si>
  <si>
    <t>70,60</t>
  </si>
  <si>
    <t>Открытая (15.08.1999)/18</t>
  </si>
  <si>
    <t>1. Ярченко Андрей</t>
  </si>
  <si>
    <t>Юноши 18 - 19 (15.08.1999)/18</t>
  </si>
  <si>
    <t xml:space="preserve">Старый Оскол/Белгородская область </t>
  </si>
  <si>
    <t>75,00</t>
  </si>
  <si>
    <t>Юноши 16 - 17 (31.12.2001)/16</t>
  </si>
  <si>
    <t>1. Манагаров Владислав</t>
  </si>
  <si>
    <t>192,5</t>
  </si>
  <si>
    <t>64,70</t>
  </si>
  <si>
    <t>Юниоры 20 - 23 (01.05.1995)/22</t>
  </si>
  <si>
    <t>1. Котляров Владимир</t>
  </si>
  <si>
    <t>ВЕСОВАЯ КАТЕГОРИЯ   67.5</t>
  </si>
  <si>
    <t>Юниоры 20 - 23 (23.10.1996)/21</t>
  </si>
  <si>
    <t>1. Гатаев Димислам</t>
  </si>
  <si>
    <t>54,65</t>
  </si>
  <si>
    <t>Открытая (30.12.1993)/24</t>
  </si>
  <si>
    <t>1. Баранова Ксения</t>
  </si>
  <si>
    <t>ВЕСОВАЯ КАТЕГОРИЯ   56</t>
  </si>
  <si>
    <t>Кубок Европы Zeus II
Любители становая тяга без экипировки
Белгород/Белгородская область 28 - 29 апреля 2018 г.</t>
  </si>
  <si>
    <t xml:space="preserve">Подпорина Любовь </t>
  </si>
  <si>
    <t xml:space="preserve">Сталь Белогорья </t>
  </si>
  <si>
    <t xml:space="preserve">Беглов Юрий </t>
  </si>
  <si>
    <t xml:space="preserve">Круглов Виктор </t>
  </si>
  <si>
    <t>180,7606</t>
  </si>
  <si>
    <t>Беглов Юрий</t>
  </si>
  <si>
    <t>79,7323</t>
  </si>
  <si>
    <t xml:space="preserve">Юноши 14 - 15 </t>
  </si>
  <si>
    <t>Цыганко Андрей</t>
  </si>
  <si>
    <t>123,1169</t>
  </si>
  <si>
    <t>145,0</t>
  </si>
  <si>
    <t>Солодовников Данил</t>
  </si>
  <si>
    <t>163,7361</t>
  </si>
  <si>
    <t>Круглов Виктор</t>
  </si>
  <si>
    <t>85,0870</t>
  </si>
  <si>
    <t xml:space="preserve">Мастера 45 - 49 </t>
  </si>
  <si>
    <t>Подпорина Любовь</t>
  </si>
  <si>
    <t>110,0o</t>
  </si>
  <si>
    <t>Юноши 14 - 15 (09.09.2003)/14</t>
  </si>
  <si>
    <t>1. Цыганко Андрей</t>
  </si>
  <si>
    <t>215,0</t>
  </si>
  <si>
    <t>Мастера 50 - 54 (06.05.1965)/52</t>
  </si>
  <si>
    <t>1. Беглов Юрий</t>
  </si>
  <si>
    <t>242,5</t>
  </si>
  <si>
    <t>74,00</t>
  </si>
  <si>
    <t>Юноши 18 - 19 (01.06.1999)/18</t>
  </si>
  <si>
    <t>1. Круглов Виктор</t>
  </si>
  <si>
    <t>65,00</t>
  </si>
  <si>
    <t>Юноши 16 - 17 (14.06.2001)/16</t>
  </si>
  <si>
    <t>1. Солодовников Данил</t>
  </si>
  <si>
    <t>77,00</t>
  </si>
  <si>
    <t>Мастера 45 - 49 (30.09.1970)/47</t>
  </si>
  <si>
    <t>1. Подпорина Любовь</t>
  </si>
  <si>
    <t>85,0</t>
  </si>
  <si>
    <t>70,0o</t>
  </si>
  <si>
    <t>Кубок Европы Zeus II
ПРО становая тяга без экипировки
Белгород/Белгородская область 28 - 29 апреля 2018 г.</t>
  </si>
  <si>
    <t xml:space="preserve">Телепнев Александр </t>
  </si>
  <si>
    <t xml:space="preserve">9(9) </t>
  </si>
  <si>
    <t xml:space="preserve">Карпачев Михаил, Карпачев Михаил, Карпачев Андрей, Симкин Александр, Симкин Александр </t>
  </si>
  <si>
    <t xml:space="preserve">60(12+12+12+12+12) </t>
  </si>
  <si>
    <t>128,1341</t>
  </si>
  <si>
    <t xml:space="preserve">Мастера 55 - 59 </t>
  </si>
  <si>
    <t>Карпачев Михаил</t>
  </si>
  <si>
    <t>83,4750</t>
  </si>
  <si>
    <t>108,6637</t>
  </si>
  <si>
    <t>162,5</t>
  </si>
  <si>
    <t>Симкин Александр</t>
  </si>
  <si>
    <t>130,1520</t>
  </si>
  <si>
    <t>Карпачев Андрей</t>
  </si>
  <si>
    <t>109,7504</t>
  </si>
  <si>
    <t>111,8065</t>
  </si>
  <si>
    <t>Телепнев Александр</t>
  </si>
  <si>
    <t>64,6613</t>
  </si>
  <si>
    <t>Мастера 55 - 59 (11.11.1959)/58</t>
  </si>
  <si>
    <t>1. Карпачев Михаил</t>
  </si>
  <si>
    <t>Открытая (11.11.1959)/58</t>
  </si>
  <si>
    <t>88,45</t>
  </si>
  <si>
    <t>Открытая (26.02.1986)/32</t>
  </si>
  <si>
    <t>1. Карпачев Андрей</t>
  </si>
  <si>
    <t>167,5</t>
  </si>
  <si>
    <t>74,40</t>
  </si>
  <si>
    <t>Открытая (13.12.1995)/22</t>
  </si>
  <si>
    <t>1. Симкин Александр</t>
  </si>
  <si>
    <t>74,50</t>
  </si>
  <si>
    <t>Юниоры 20 - 23 (06.01.1998)/20</t>
  </si>
  <si>
    <t>2. Телепнев Александр</t>
  </si>
  <si>
    <t>Юниоры 20 - 23 (13.12.1995)/22</t>
  </si>
  <si>
    <t>70,0</t>
  </si>
  <si>
    <t>Кубок Европы Zeus II
Любители жим лежа в софт экипировке
Белгород/Белгородская область 28 - 29 апреля 2018 г.</t>
  </si>
  <si>
    <t xml:space="preserve">Бабичев Евгений, Кузубов Александр </t>
  </si>
  <si>
    <t>96,4180</t>
  </si>
  <si>
    <t>177,5</t>
  </si>
  <si>
    <t>Бабичев Евгений</t>
  </si>
  <si>
    <t>119,2968</t>
  </si>
  <si>
    <t>175,0</t>
  </si>
  <si>
    <t>Кузубов Александр</t>
  </si>
  <si>
    <t>185,0</t>
  </si>
  <si>
    <t>105,30</t>
  </si>
  <si>
    <t>Открытая (18.12.1986)/31</t>
  </si>
  <si>
    <t>1. Бабичев Евгений</t>
  </si>
  <si>
    <t>80,30</t>
  </si>
  <si>
    <t>Юноши 16 - 17 (25.04.2001)/17</t>
  </si>
  <si>
    <t>1. Кузубов Александр</t>
  </si>
  <si>
    <t>Кубок Европы Zeus II
Любители жим лежа в однослойной экипировке
Белгород/Белгородская область 28 - 29 апреля 2018 г.</t>
  </si>
  <si>
    <t xml:space="preserve">Евлоев Муслим </t>
  </si>
  <si>
    <t xml:space="preserve">Шушпанов Андрей </t>
  </si>
  <si>
    <t xml:space="preserve">Валуйки </t>
  </si>
  <si>
    <t xml:space="preserve">Чернов Владислав </t>
  </si>
  <si>
    <t xml:space="preserve">Анищенко Артем </t>
  </si>
  <si>
    <t xml:space="preserve">Спарта </t>
  </si>
  <si>
    <t xml:space="preserve">Тарасов Александр, Тарасов Александр </t>
  </si>
  <si>
    <t xml:space="preserve">Шебекино </t>
  </si>
  <si>
    <t xml:space="preserve">Пресняков Сергей, Коломенский Владислав, Коломенский Владислав </t>
  </si>
  <si>
    <t xml:space="preserve">36(12+12+12) </t>
  </si>
  <si>
    <t xml:space="preserve">Атлант </t>
  </si>
  <si>
    <t xml:space="preserve">Эрнандес Ирина, Русинов Виктор, Воронова Елизавета </t>
  </si>
  <si>
    <t xml:space="preserve">Бугаев Артем, Козка Павел, Анискин Дмитрий, Образцов Андрей </t>
  </si>
  <si>
    <t xml:space="preserve">42(12+12+9+9) </t>
  </si>
  <si>
    <t xml:space="preserve">Косинов Олег, Ковалев Андрей, Бычкова Екатерина </t>
  </si>
  <si>
    <t xml:space="preserve">33(9+12+12) </t>
  </si>
  <si>
    <t xml:space="preserve">Исаев Табриз, Миляев Дмитрий, Апалькин Михаил, Салахутдинов Никита </t>
  </si>
  <si>
    <t xml:space="preserve">45(12+12+9+12) </t>
  </si>
  <si>
    <t xml:space="preserve">Нехаев Игорь, Фирсов Андрей, Костин Евгений, Ляпкалов Никита, Ляпкалов Никита, Иванов Егор, Коровин Артем, Грицков Евгений, Федченко Александр, Сильченко Александр, Дрыгола Александр </t>
  </si>
  <si>
    <t xml:space="preserve">117(12+9+12+8+12+12+12+7+9+12+12) </t>
  </si>
  <si>
    <t>56,0167</t>
  </si>
  <si>
    <t>Козка Павел</t>
  </si>
  <si>
    <t>72,9144</t>
  </si>
  <si>
    <t>Сильченко Александр</t>
  </si>
  <si>
    <t>93,6347</t>
  </si>
  <si>
    <t>Нехаев Игорь</t>
  </si>
  <si>
    <t>115,8455</t>
  </si>
  <si>
    <t>Дрыгола Александр</t>
  </si>
  <si>
    <t>130,6551</t>
  </si>
  <si>
    <t>Тарасов Александр</t>
  </si>
  <si>
    <t>67,6315</t>
  </si>
  <si>
    <t>Фирсов Андрей</t>
  </si>
  <si>
    <t>88,1872</t>
  </si>
  <si>
    <t>Грицков Евгений</t>
  </si>
  <si>
    <t>90,8537</t>
  </si>
  <si>
    <t>93,9435</t>
  </si>
  <si>
    <t>172,5</t>
  </si>
  <si>
    <t>Ковалев Андрей</t>
  </si>
  <si>
    <t>94,0320</t>
  </si>
  <si>
    <t>160,0</t>
  </si>
  <si>
    <t>Косинов Олег</t>
  </si>
  <si>
    <t>94,3740</t>
  </si>
  <si>
    <t>Пресняков Сергей</t>
  </si>
  <si>
    <t>95,8650</t>
  </si>
  <si>
    <t>Шушпанов Андрей</t>
  </si>
  <si>
    <t>97,8425</t>
  </si>
  <si>
    <t>Апалькин Михаил</t>
  </si>
  <si>
    <t>108,3155</t>
  </si>
  <si>
    <t>212,5</t>
  </si>
  <si>
    <t>Миляев Дмитрий</t>
  </si>
  <si>
    <t>119,6475</t>
  </si>
  <si>
    <t>83,6055</t>
  </si>
  <si>
    <t>135,0</t>
  </si>
  <si>
    <t>85,1913</t>
  </si>
  <si>
    <t>Костин Евгений</t>
  </si>
  <si>
    <t>86,6477</t>
  </si>
  <si>
    <t>Исаев Табриз</t>
  </si>
  <si>
    <t>94,2276</t>
  </si>
  <si>
    <t>Федченко Александр</t>
  </si>
  <si>
    <t>102,3264</t>
  </si>
  <si>
    <t>142,5</t>
  </si>
  <si>
    <t>Иванов Егор</t>
  </si>
  <si>
    <t>103,5505</t>
  </si>
  <si>
    <t>Коровин Артем</t>
  </si>
  <si>
    <t>107,8571</t>
  </si>
  <si>
    <t>Коломенский Владислав</t>
  </si>
  <si>
    <t>32,3072</t>
  </si>
  <si>
    <t>20,0</t>
  </si>
  <si>
    <t>44,0</t>
  </si>
  <si>
    <t>Евлоев Муслим</t>
  </si>
  <si>
    <t>39,2699</t>
  </si>
  <si>
    <t>Русинов Виктор</t>
  </si>
  <si>
    <t>43,2579</t>
  </si>
  <si>
    <t>Анищенко Артем</t>
  </si>
  <si>
    <t>77,0713</t>
  </si>
  <si>
    <t>Анискин Дмитрий</t>
  </si>
  <si>
    <t>87,8180</t>
  </si>
  <si>
    <t>Чернов Владислав</t>
  </si>
  <si>
    <t>91,9041</t>
  </si>
  <si>
    <t>Салахутдинов Никита</t>
  </si>
  <si>
    <t>111,7092</t>
  </si>
  <si>
    <t>62,9978</t>
  </si>
  <si>
    <t>Эрнандес Ирина</t>
  </si>
  <si>
    <t>64,5659</t>
  </si>
  <si>
    <t>Бычкова Екатерина</t>
  </si>
  <si>
    <t>86,7093</t>
  </si>
  <si>
    <t>72,5</t>
  </si>
  <si>
    <t>52,0</t>
  </si>
  <si>
    <t>Воронова Елизавета</t>
  </si>
  <si>
    <t xml:space="preserve">Девушки </t>
  </si>
  <si>
    <t>207,5</t>
  </si>
  <si>
    <t>134,40</t>
  </si>
  <si>
    <t>Открытая (06.03.1993)/25</t>
  </si>
  <si>
    <t>1. Миляев Дмитрий</t>
  </si>
  <si>
    <t>132,70</t>
  </si>
  <si>
    <t>Юноши 18 - 19 (29.03.1999)/19</t>
  </si>
  <si>
    <t>1. Чернов Владислав</t>
  </si>
  <si>
    <t>ВЕСОВАЯ КАТЕГОРИЯ   140</t>
  </si>
  <si>
    <t xml:space="preserve">Алексеевка/Белгородская область </t>
  </si>
  <si>
    <t>122,50</t>
  </si>
  <si>
    <t>Открытая (11.12.1986)/31</t>
  </si>
  <si>
    <t>1. Пресняков Сергей</t>
  </si>
  <si>
    <t>104,50</t>
  </si>
  <si>
    <t>Открытая (14.09.1992)/25</t>
  </si>
  <si>
    <t>1. Ковалев Андрей</t>
  </si>
  <si>
    <t>140,0o</t>
  </si>
  <si>
    <t>135,0o</t>
  </si>
  <si>
    <t>130,0o</t>
  </si>
  <si>
    <t xml:space="preserve">Волоконовка/Белгородская область </t>
  </si>
  <si>
    <t>Мастера 55 - 59 (18.05.1960)/57</t>
  </si>
  <si>
    <t>1. Дрыгола Александр</t>
  </si>
  <si>
    <t xml:space="preserve">Шебекино/Белгородская область </t>
  </si>
  <si>
    <t>Мастера 45 - 49 (16.05.1970)/47</t>
  </si>
  <si>
    <t>1. Тарасов Александр</t>
  </si>
  <si>
    <t>155,0o</t>
  </si>
  <si>
    <t>145,0o</t>
  </si>
  <si>
    <t>94,65</t>
  </si>
  <si>
    <t>Открытая (28.06.1984)/33</t>
  </si>
  <si>
    <t>4. Грицков Евгений</t>
  </si>
  <si>
    <t>Открытая (28.05.1994)/23</t>
  </si>
  <si>
    <t>3. Ляпкалов Никита</t>
  </si>
  <si>
    <t>182,5</t>
  </si>
  <si>
    <t>Открытая (09.07.1987)/30</t>
  </si>
  <si>
    <t>2. Апалькин Михаил</t>
  </si>
  <si>
    <t>Открытая (16.05.1970)/47</t>
  </si>
  <si>
    <t>162,5o</t>
  </si>
  <si>
    <t>62,5</t>
  </si>
  <si>
    <t>97,90</t>
  </si>
  <si>
    <t>Юноши 18 - 19 (11.01.1999)/19</t>
  </si>
  <si>
    <t>1. Русинов Виктор</t>
  </si>
  <si>
    <t>92,5</t>
  </si>
  <si>
    <t>87,90</t>
  </si>
  <si>
    <t>Мастера 45 - 49 (21.06.1972)/45</t>
  </si>
  <si>
    <t>1. Козка Павел</t>
  </si>
  <si>
    <t>120,0o</t>
  </si>
  <si>
    <t>86,00</t>
  </si>
  <si>
    <t>Мастера 40 - 44 (24.07.1975)/42</t>
  </si>
  <si>
    <t>1. Сильченко Александр</t>
  </si>
  <si>
    <t>89,30</t>
  </si>
  <si>
    <t>Открытая (06.08.1985)/32</t>
  </si>
  <si>
    <t>2. Фирсов Андрей</t>
  </si>
  <si>
    <t>89,40</t>
  </si>
  <si>
    <t>Открытая (04.01.1982)/36</t>
  </si>
  <si>
    <t>1. Косинов Олег</t>
  </si>
  <si>
    <t>Юниоры 20 - 23 (20.05.1996)/21</t>
  </si>
  <si>
    <t>2. Федченко Александр</t>
  </si>
  <si>
    <t>84,50</t>
  </si>
  <si>
    <t>Юниоры 20 - 23 (08.06.1997)/20</t>
  </si>
  <si>
    <t>1. Коровин Артем</t>
  </si>
  <si>
    <t>78,95</t>
  </si>
  <si>
    <t>Открытая (01.06.1979)/38</t>
  </si>
  <si>
    <t>1. Шушпанов Андрей</t>
  </si>
  <si>
    <t>2. Образцов Андрей</t>
  </si>
  <si>
    <t>147,5</t>
  </si>
  <si>
    <t>80,65</t>
  </si>
  <si>
    <t>Юниоры 20 - 23 (10.03.1997)/21</t>
  </si>
  <si>
    <t>1. Исаев Табриз</t>
  </si>
  <si>
    <t>Юноши 18 - 19 (30.06.1999)/18</t>
  </si>
  <si>
    <t>1. Салахутдинов Никита</t>
  </si>
  <si>
    <t>112,5</t>
  </si>
  <si>
    <t>Мастера 50 - 54 (03.04.1965)/53</t>
  </si>
  <si>
    <t>1. Нехаев Игорь</t>
  </si>
  <si>
    <t>142,5o</t>
  </si>
  <si>
    <t>137,5o</t>
  </si>
  <si>
    <t xml:space="preserve">Губкин/Белгородская область </t>
  </si>
  <si>
    <t>69,90</t>
  </si>
  <si>
    <t>Юниоры 20 - 23 (26.07.1996)/21</t>
  </si>
  <si>
    <t>1. Иванов Егор</t>
  </si>
  <si>
    <t>73,70</t>
  </si>
  <si>
    <t>Юноши 18 - 19 (01.05.1998)/19</t>
  </si>
  <si>
    <t>2. Анискин Дмитрий</t>
  </si>
  <si>
    <t>67,40</t>
  </si>
  <si>
    <t>Юниоры 20 - 23 (30.06.1999)/18</t>
  </si>
  <si>
    <t>1. Коломенский Владислав</t>
  </si>
  <si>
    <t>59,00</t>
  </si>
  <si>
    <t>Юниоры 20 - 23 (19.07.1997)/20</t>
  </si>
  <si>
    <t>1. Костин Евгений</t>
  </si>
  <si>
    <t>25,0</t>
  </si>
  <si>
    <t>22,5</t>
  </si>
  <si>
    <t>25,00</t>
  </si>
  <si>
    <t>Юноши 14 - 15 (08.04.2011)/7</t>
  </si>
  <si>
    <t>2. Евлоев Муслим</t>
  </si>
  <si>
    <t>32,5</t>
  </si>
  <si>
    <t>43,80</t>
  </si>
  <si>
    <t>Юноши 14 - 15 (27.11.2007)/10</t>
  </si>
  <si>
    <t>1. Анищенко Артем</t>
  </si>
  <si>
    <t>ВЕСОВАЯ КАТЕГОРИЯ   44</t>
  </si>
  <si>
    <t>65,0</t>
  </si>
  <si>
    <t>64,30</t>
  </si>
  <si>
    <t>Девушки 18 - 19 (14.10.1999)/18</t>
  </si>
  <si>
    <t>1. Бычкова Екатерина</t>
  </si>
  <si>
    <t>54,45</t>
  </si>
  <si>
    <t>Открытая (24.01.1994)/24</t>
  </si>
  <si>
    <t>1. Эрнандес Ирина</t>
  </si>
  <si>
    <t>51,80</t>
  </si>
  <si>
    <t>Девушки 14 - 15 (09.06.2005)/12</t>
  </si>
  <si>
    <t>1. Воронова Елизавета</t>
  </si>
  <si>
    <t>ВЕСОВАЯ КАТЕГОРИЯ   52</t>
  </si>
  <si>
    <t>Кубок Европы Zeus II
Любители жим лежа без экипировки
Белгород/Белгородская область 28 - 29 апреля 2018 г.</t>
  </si>
  <si>
    <t xml:space="preserve">Громов Сергей </t>
  </si>
  <si>
    <t xml:space="preserve">Евтушенко Павел </t>
  </si>
  <si>
    <t>171,3894</t>
  </si>
  <si>
    <t>Громов Сергей</t>
  </si>
  <si>
    <t>180,3097</t>
  </si>
  <si>
    <t>322,5</t>
  </si>
  <si>
    <t>Евтушенко Павел</t>
  </si>
  <si>
    <t>227,5</t>
  </si>
  <si>
    <t>-. Виноходов Сергей</t>
  </si>
  <si>
    <t xml:space="preserve">Самост </t>
  </si>
  <si>
    <t>272,5</t>
  </si>
  <si>
    <t>103,00</t>
  </si>
  <si>
    <t>Мастера 50 - 54 (02.09.1966)/51</t>
  </si>
  <si>
    <t>1. Громов Сергей</t>
  </si>
  <si>
    <t>98,85</t>
  </si>
  <si>
    <t>Открытая (22.04.1979)/39</t>
  </si>
  <si>
    <t>-. Калакуцкий Руслан</t>
  </si>
  <si>
    <t>322,5o</t>
  </si>
  <si>
    <t>290,0o</t>
  </si>
  <si>
    <t>290,0</t>
  </si>
  <si>
    <t>Открытая (09.01.1985)/33</t>
  </si>
  <si>
    <t>1. Евтушенко Павел</t>
  </si>
  <si>
    <t>Кубок Европы Zeus II
ПРО жим лежа в софт экипировке3сл.
Белгород/Белгородская область 28 - 29 апреля 2018 г.</t>
  </si>
  <si>
    <t xml:space="preserve">Огурцова Юлия, Лохмоткин Михаил, Гостева Валентина </t>
  </si>
  <si>
    <t>136,8385</t>
  </si>
  <si>
    <t>Лохмоткин Михаил</t>
  </si>
  <si>
    <t>121,8321</t>
  </si>
  <si>
    <t xml:space="preserve">Мастера 60 - 64 </t>
  </si>
  <si>
    <t>Гостева Валентина</t>
  </si>
  <si>
    <t>74,7000</t>
  </si>
  <si>
    <t>Огурцова Юлия</t>
  </si>
  <si>
    <t>98,30</t>
  </si>
  <si>
    <t>Мастера 45 - 49 (29.03.1971)/47</t>
  </si>
  <si>
    <t>-. Анищенко Вадим</t>
  </si>
  <si>
    <t>230,0o</t>
  </si>
  <si>
    <t xml:space="preserve">Дмитров/Московская область </t>
  </si>
  <si>
    <t>87,65</t>
  </si>
  <si>
    <t>Открытая (24.01.1989)/29</t>
  </si>
  <si>
    <t>1. Лохмоткин Михаил</t>
  </si>
  <si>
    <t>75,0o</t>
  </si>
  <si>
    <t>55,00</t>
  </si>
  <si>
    <t>Мастера 60 - 64 (07.08.1955)/62</t>
  </si>
  <si>
    <t>1. Гостева Валентина</t>
  </si>
  <si>
    <t>72,5o</t>
  </si>
  <si>
    <t>50,30</t>
  </si>
  <si>
    <t>Открытая (26.06.1990)/27</t>
  </si>
  <si>
    <t>1. Огурцова Юлия</t>
  </si>
  <si>
    <t>Кубок Европы Zeus II
ПРО жим лежа в софт экипировке
Белгород/Белгородская область 28 - 29 апреля 2018 г.</t>
  </si>
  <si>
    <t xml:space="preserve">Парамонов Евгений </t>
  </si>
  <si>
    <t xml:space="preserve">AlexFitnes </t>
  </si>
  <si>
    <t>110,6300</t>
  </si>
  <si>
    <t>Парамонов Евгений</t>
  </si>
  <si>
    <t>86,95</t>
  </si>
  <si>
    <t>Открытая (23.12.1991)/26</t>
  </si>
  <si>
    <t>1. Парамонов Евгений</t>
  </si>
  <si>
    <t>Кубок Европы Zeus II
ПРО жим лежа в однослойной экипировке
Белгород/Белгородская область 28 - 29 апреля 2018 г.</t>
  </si>
  <si>
    <t xml:space="preserve">Каплий Алексей </t>
  </si>
  <si>
    <t>Алимова Анна</t>
  </si>
  <si>
    <t>12</t>
  </si>
  <si>
    <t xml:space="preserve">Сечкина Дарья, Коровяковский Владимир </t>
  </si>
  <si>
    <t xml:space="preserve">Кильдюшев Андрей </t>
  </si>
  <si>
    <t xml:space="preserve">Литвинова Елена, Копылов Алексей, Водопьянов Евгений </t>
  </si>
  <si>
    <t xml:space="preserve">33(12+12+9) </t>
  </si>
  <si>
    <t xml:space="preserve">Тюнин Никита, Толстых Виктор, Толстых Виктор, Умаров Стас, Наумов Дмитрий, Быстрюков Андрей </t>
  </si>
  <si>
    <t xml:space="preserve">65(12+12+12+9+8+12) </t>
  </si>
  <si>
    <t>96,3860</t>
  </si>
  <si>
    <t>69,6480</t>
  </si>
  <si>
    <t>Каплий Алексей</t>
  </si>
  <si>
    <t>79,7237</t>
  </si>
  <si>
    <t>82,2125</t>
  </si>
  <si>
    <t>Наумов Дмитрий</t>
  </si>
  <si>
    <t>88,5450</t>
  </si>
  <si>
    <t>Водопьянов Евгений</t>
  </si>
  <si>
    <t>99.9165</t>
  </si>
  <si>
    <t>Копылов Алексей</t>
  </si>
  <si>
    <t>103,9703</t>
  </si>
  <si>
    <t>Коровяковский Владимир</t>
  </si>
  <si>
    <t>108,8978</t>
  </si>
  <si>
    <t>Тюнин Никита</t>
  </si>
  <si>
    <t>112,2660</t>
  </si>
  <si>
    <t>Быстрюков Андрей</t>
  </si>
  <si>
    <t>116,4575</t>
  </si>
  <si>
    <t>Умаров Стас</t>
  </si>
  <si>
    <t>119,3115</t>
  </si>
  <si>
    <t>Кильдюшев Андрей</t>
  </si>
  <si>
    <t>41,9040</t>
  </si>
  <si>
    <t>45,0</t>
  </si>
  <si>
    <t>57,7560</t>
  </si>
  <si>
    <t>Литвинова Елена</t>
  </si>
  <si>
    <t>33,5079</t>
  </si>
  <si>
    <t>Сечкина Дарья</t>
  </si>
  <si>
    <t xml:space="preserve">Семилуки/Воронежская область </t>
  </si>
  <si>
    <t>111,70</t>
  </si>
  <si>
    <t>Открытая (14.07.1980)/37</t>
  </si>
  <si>
    <t>1. Быстрюков Андрей</t>
  </si>
  <si>
    <t>107,00</t>
  </si>
  <si>
    <t>Открытая (07.06.1965)/52</t>
  </si>
  <si>
    <t>91,30</t>
  </si>
  <si>
    <t>Открытая (25.06.1988)/29</t>
  </si>
  <si>
    <t>2. Каплий Алексей</t>
  </si>
  <si>
    <t>94,40</t>
  </si>
  <si>
    <t>Открытая (08.11.1986)/31</t>
  </si>
  <si>
    <t>1. Коровяковский Владимир</t>
  </si>
  <si>
    <t>152,5</t>
  </si>
  <si>
    <t>88,75</t>
  </si>
  <si>
    <t>Открытая (22.01.1994)/24</t>
  </si>
  <si>
    <t>2. Водопьянов Евгений</t>
  </si>
  <si>
    <t>87,25</t>
  </si>
  <si>
    <t>Открытая (26.11.1990)/27</t>
  </si>
  <si>
    <t>1. Тюнин Никита</t>
  </si>
  <si>
    <t>76,00</t>
  </si>
  <si>
    <t>Открытая (24.10.1984)/33</t>
  </si>
  <si>
    <t>3. Наумов Дмитрий</t>
  </si>
  <si>
    <t xml:space="preserve">Лиски/Воронежская область </t>
  </si>
  <si>
    <t>80,60</t>
  </si>
  <si>
    <t>Открытая (12.09.1986)/31</t>
  </si>
  <si>
    <t>2. Умаров Стас</t>
  </si>
  <si>
    <t>82,40</t>
  </si>
  <si>
    <t>Открытая (04.08.1988)/29</t>
  </si>
  <si>
    <t>1. Кильдюшев Андрей</t>
  </si>
  <si>
    <t>135</t>
  </si>
  <si>
    <t>Валуйки. Белгородская область.</t>
  </si>
  <si>
    <t>0.6774</t>
  </si>
  <si>
    <t>1. Копылов Алексей</t>
  </si>
  <si>
    <t>80,0o</t>
  </si>
  <si>
    <t>Открытая (10.04.1991)/27</t>
  </si>
  <si>
    <t>1. Литвинова Елена</t>
  </si>
  <si>
    <t>50,0</t>
  </si>
  <si>
    <t>40,0</t>
  </si>
  <si>
    <t>54,60</t>
  </si>
  <si>
    <t>Открытая (16.02.1994)/24</t>
  </si>
  <si>
    <t>2. Алимова Анна</t>
  </si>
  <si>
    <t>27,5</t>
  </si>
  <si>
    <t>56,00</t>
  </si>
  <si>
    <t>Девушки 16 - 17 (11.02.2002)/16</t>
  </si>
  <si>
    <t>1. Сечкина Дарья</t>
  </si>
  <si>
    <t>Кубок Европы Zeus II
ПРО жим лежа без экипировки
Белгород/Белгородская область 28 - 29 апреля 2018 г.</t>
  </si>
  <si>
    <t>282,3541</t>
  </si>
  <si>
    <t>327,5</t>
  </si>
  <si>
    <t>Кубок Европы Zeus II
Любители пауэрлифтинг в софт экипировке
Белгород/Белгородская область 28 - 29 апреля 2018 г.</t>
  </si>
  <si>
    <t xml:space="preserve">Иванов Александр </t>
  </si>
  <si>
    <t xml:space="preserve">Боднарюк Эдуард, Сафонова Вероника </t>
  </si>
  <si>
    <t>412,9535</t>
  </si>
  <si>
    <t>745,0</t>
  </si>
  <si>
    <t>Иванов Александр</t>
  </si>
  <si>
    <t>294,3209</t>
  </si>
  <si>
    <t>427,5</t>
  </si>
  <si>
    <t>Боднарюк Эдуард</t>
  </si>
  <si>
    <t>358,0361</t>
  </si>
  <si>
    <t>262,5</t>
  </si>
  <si>
    <t>Сафонова Вероника</t>
  </si>
  <si>
    <t>270,0</t>
  </si>
  <si>
    <t>285,0</t>
  </si>
  <si>
    <t>99,90</t>
  </si>
  <si>
    <t>Открытая (11.01.1982)/36</t>
  </si>
  <si>
    <t>1. Иванов Александр</t>
  </si>
  <si>
    <t>97,5</t>
  </si>
  <si>
    <t>77,25</t>
  </si>
  <si>
    <t>Юноши 18 - 19 (18.12.1999)/18</t>
  </si>
  <si>
    <t>1. Боднарюк Эдуард</t>
  </si>
  <si>
    <t>102,5</t>
  </si>
  <si>
    <t>57,5</t>
  </si>
  <si>
    <t>52,5</t>
  </si>
  <si>
    <t>95,0</t>
  </si>
  <si>
    <t>44,00</t>
  </si>
  <si>
    <t>Девушки 14 - 15 (12.08.2004)/13</t>
  </si>
  <si>
    <t>1. Сафонова Вероника</t>
  </si>
  <si>
    <t>Кубок Европы Zeus II
Любители пауэрлифтинг в однослойной экипировке
Белгород/Белгородская область 28 - 29 апреля 2018 г.</t>
  </si>
  <si>
    <t xml:space="preserve">Лукьянова Алина </t>
  </si>
  <si>
    <t xml:space="preserve">Москва </t>
  </si>
  <si>
    <t xml:space="preserve">Гребнев Алексей </t>
  </si>
  <si>
    <t xml:space="preserve">Редькин Александр </t>
  </si>
  <si>
    <t xml:space="preserve">Орлов Александр </t>
  </si>
  <si>
    <t xml:space="preserve">Тихонов Андрей, Крузина Ася, Баранова Ксения </t>
  </si>
  <si>
    <t xml:space="preserve">Коныхов Игорь, Коныхов Игорь, Губарев Вячеслав, Борискина Инга </t>
  </si>
  <si>
    <t xml:space="preserve">45(9+12+12+12) </t>
  </si>
  <si>
    <t>369,3253</t>
  </si>
  <si>
    <t>620,0</t>
  </si>
  <si>
    <t>Коныхов Игорь</t>
  </si>
  <si>
    <t>324,1497</t>
  </si>
  <si>
    <t>485,0</t>
  </si>
  <si>
    <t>Гребнев Алексей</t>
  </si>
  <si>
    <t>338,2100</t>
  </si>
  <si>
    <t>348,8055</t>
  </si>
  <si>
    <t>635,0</t>
  </si>
  <si>
    <t>Тихонов Андрей</t>
  </si>
  <si>
    <t>151,4025</t>
  </si>
  <si>
    <t>234,3846</t>
  </si>
  <si>
    <t>300,0</t>
  </si>
  <si>
    <t>Губарев Вячеслав</t>
  </si>
  <si>
    <t>262,0011</t>
  </si>
  <si>
    <t>48,0</t>
  </si>
  <si>
    <t>Орлов Александр</t>
  </si>
  <si>
    <t>318,6934</t>
  </si>
  <si>
    <t>520,0</t>
  </si>
  <si>
    <t>Редькин Александр</t>
  </si>
  <si>
    <t>210,3432</t>
  </si>
  <si>
    <t>Борискина Инга</t>
  </si>
  <si>
    <t>172,5240</t>
  </si>
  <si>
    <t>Лукьянова Алина</t>
  </si>
  <si>
    <t>262,2365</t>
  </si>
  <si>
    <t>Крузина Ася</t>
  </si>
  <si>
    <t>283,8025</t>
  </si>
  <si>
    <t>305,0</t>
  </si>
  <si>
    <t>104,00</t>
  </si>
  <si>
    <t>Мастера 45 - 49 (01.01.1971)/47</t>
  </si>
  <si>
    <t>1. Коныхов Игорь</t>
  </si>
  <si>
    <t>Открытая (01.01.1971)/47</t>
  </si>
  <si>
    <t>2. Коныхов Игорь</t>
  </si>
  <si>
    <t>295,0</t>
  </si>
  <si>
    <t>102,10</t>
  </si>
  <si>
    <t>Открытая (08.11.1980)/37</t>
  </si>
  <si>
    <t>1. Тихонов Андрей</t>
  </si>
  <si>
    <t>195,0</t>
  </si>
  <si>
    <t>117,5</t>
  </si>
  <si>
    <t>Юноши 18 - 19 (02.03.1999)/19</t>
  </si>
  <si>
    <t>1. Редькин Александр</t>
  </si>
  <si>
    <t>74,45</t>
  </si>
  <si>
    <t>1. Гребнев Алексей</t>
  </si>
  <si>
    <t>71,40</t>
  </si>
  <si>
    <t>Юноши 16 - 17 (07.08.2001)/16</t>
  </si>
  <si>
    <t>1. Губарев Вячеслав</t>
  </si>
  <si>
    <t>47,5</t>
  </si>
  <si>
    <t>45,40</t>
  </si>
  <si>
    <t>Юноши 14 - 15 (18.09.2004)/13</t>
  </si>
  <si>
    <t>1. Орлов Александр</t>
  </si>
  <si>
    <t>ВЕСОВАЯ КАТЕГОРИЯ   48</t>
  </si>
  <si>
    <t>35,0</t>
  </si>
  <si>
    <t>45,0o</t>
  </si>
  <si>
    <t>40,0o</t>
  </si>
  <si>
    <t>67,00</t>
  </si>
  <si>
    <t>Открытая (05.10.1992)/25</t>
  </si>
  <si>
    <t>1. Лукьянова Алина</t>
  </si>
  <si>
    <t>55,0</t>
  </si>
  <si>
    <t>50,50</t>
  </si>
  <si>
    <t>Мастера 40 - 44 (18.04.1976)/42</t>
  </si>
  <si>
    <t>1. Борискина Инга</t>
  </si>
  <si>
    <t>43,65</t>
  </si>
  <si>
    <t>Открытая (24.12.1986)/31</t>
  </si>
  <si>
    <t>1. Крузина Ася</t>
  </si>
  <si>
    <t>Кубок Европы Zeus II
Любители пауэрлифтинг без экипировки
Белгород/Белгородская область 28 - 29 апреля 2018 г.</t>
  </si>
  <si>
    <t>Кубок Европы Zeus II
ПРО пауэрлифтинг в софт экипировке
Белгород/Белгородская область 28 - 29 апреля 2018 г.</t>
  </si>
  <si>
    <t xml:space="preserve">Гринев Дмитрий </t>
  </si>
  <si>
    <t xml:space="preserve">Фомин Сергей </t>
  </si>
  <si>
    <t>365,0400</t>
  </si>
  <si>
    <t>650,0</t>
  </si>
  <si>
    <t>Гринев Дмитрий</t>
  </si>
  <si>
    <t>381,6057</t>
  </si>
  <si>
    <t>475,0</t>
  </si>
  <si>
    <t>425,8912</t>
  </si>
  <si>
    <t>675,0</t>
  </si>
  <si>
    <t>Фомин Сергей</t>
  </si>
  <si>
    <t>389,7631</t>
  </si>
  <si>
    <t>547,5</t>
  </si>
  <si>
    <t>97,10</t>
  </si>
  <si>
    <t>Мастера 40 - 44 (16.05.1977)/40</t>
  </si>
  <si>
    <t>1. Гринев Дмитрий</t>
  </si>
  <si>
    <t>Открытая (11.04.1981)/37</t>
  </si>
  <si>
    <t>-. Перьков Александр</t>
  </si>
  <si>
    <t>280,0o</t>
  </si>
  <si>
    <t>170,0o</t>
  </si>
  <si>
    <t>225,0o</t>
  </si>
  <si>
    <t>215,0o</t>
  </si>
  <si>
    <t xml:space="preserve">Липецк/Липецкая область </t>
  </si>
  <si>
    <t>80,35</t>
  </si>
  <si>
    <t>Открытая (16.04.1983)/35</t>
  </si>
  <si>
    <t>1. Фомин Сергей</t>
  </si>
  <si>
    <t>132,5</t>
  </si>
  <si>
    <t>Кубок Европы Zeus II
ПРО пауэрлифтинг без экипировки
Белгород/Белгородская область 28 - 29 апреля 2018 г.</t>
  </si>
  <si>
    <t xml:space="preserve">Ларин Алексей, Тихонов Ростислав </t>
  </si>
  <si>
    <t>371,2590</t>
  </si>
  <si>
    <t>630,0</t>
  </si>
  <si>
    <t>Ларин Алексей</t>
  </si>
  <si>
    <t>312,3627</t>
  </si>
  <si>
    <t>457,5</t>
  </si>
  <si>
    <t>Тихонов Ростислав</t>
  </si>
  <si>
    <t>220,0o</t>
  </si>
  <si>
    <t>167,5o</t>
  </si>
  <si>
    <t>190,0o</t>
  </si>
  <si>
    <t xml:space="preserve">Калининград/Калининградская область </t>
  </si>
  <si>
    <t>Открытая (21.04.1988)/30</t>
  </si>
  <si>
    <t>1. Ларин Алексей</t>
  </si>
  <si>
    <t>185,0o</t>
  </si>
  <si>
    <t xml:space="preserve">Казань/Татарстан </t>
  </si>
  <si>
    <t>73,40</t>
  </si>
  <si>
    <t>Юниоры 20 - 23 (21.03.1996)/22</t>
  </si>
  <si>
    <t>1. Тихонов Ростислав</t>
  </si>
  <si>
    <t>65,0o</t>
  </si>
  <si>
    <t>97,5o</t>
  </si>
  <si>
    <t>Мастера 40 - 44 (07.11.1974)/43</t>
  </si>
  <si>
    <t>-. Морарь Василий</t>
  </si>
  <si>
    <t>Кубок Европы Zeus II
СОВ пауэрлифтинг
Белгород/Белгородская область 28 - 29 апреля 2018 г.</t>
  </si>
  <si>
    <t>Вольные стрелки</t>
  </si>
  <si>
    <t>32(12+10+10)</t>
  </si>
  <si>
    <t>Сталь Белогорья</t>
  </si>
  <si>
    <t xml:space="preserve">72(12+12+12+12+12+12) </t>
  </si>
  <si>
    <t>31,17</t>
  </si>
  <si>
    <t>90</t>
  </si>
  <si>
    <t>Мастера 45-49</t>
  </si>
  <si>
    <t>33,88</t>
  </si>
  <si>
    <t>Мастера 40-44</t>
  </si>
  <si>
    <t>Шульгин Сергей</t>
  </si>
  <si>
    <t>32,51</t>
  </si>
  <si>
    <t>40</t>
  </si>
  <si>
    <t>60</t>
  </si>
  <si>
    <t>37,71</t>
  </si>
  <si>
    <t>75</t>
  </si>
  <si>
    <t>39,03</t>
  </si>
  <si>
    <t>Осетров Евгений</t>
  </si>
  <si>
    <t>39,13</t>
  </si>
  <si>
    <t>70</t>
  </si>
  <si>
    <t>Литовченко Александр</t>
  </si>
  <si>
    <t>41,91</t>
  </si>
  <si>
    <t>Рядинский Денис</t>
  </si>
  <si>
    <t>43,54</t>
  </si>
  <si>
    <t>Тюпко Григорий</t>
  </si>
  <si>
    <t>35,79</t>
  </si>
  <si>
    <t>Шишкин Владислав</t>
  </si>
  <si>
    <t>42,45</t>
  </si>
  <si>
    <t>42,53</t>
  </si>
  <si>
    <t>Аванесов Марлен</t>
  </si>
  <si>
    <t>26,34</t>
  </si>
  <si>
    <t>30</t>
  </si>
  <si>
    <t>56</t>
  </si>
  <si>
    <t>Локтионов Артем</t>
  </si>
  <si>
    <t>37,37</t>
  </si>
  <si>
    <t>Величко Владимир</t>
  </si>
  <si>
    <t>42,10</t>
  </si>
  <si>
    <t>39.13</t>
  </si>
  <si>
    <t>0.55</t>
  </si>
  <si>
    <t>31.17</t>
  </si>
  <si>
    <t>Титан</t>
  </si>
  <si>
    <t>0.59</t>
  </si>
  <si>
    <t>87,9</t>
  </si>
  <si>
    <t>33.88</t>
  </si>
  <si>
    <t>0.58</t>
  </si>
  <si>
    <t>34.37</t>
  </si>
  <si>
    <t>87</t>
  </si>
  <si>
    <t>Юноши 18-19</t>
  </si>
  <si>
    <t>41.91</t>
  </si>
  <si>
    <t>0.62</t>
  </si>
  <si>
    <t>82,2</t>
  </si>
  <si>
    <t>39.03</t>
  </si>
  <si>
    <t>0.65</t>
  </si>
  <si>
    <t>77,1</t>
  </si>
  <si>
    <t>Юниоры 20-23</t>
  </si>
  <si>
    <t>42.53</t>
  </si>
  <si>
    <t>50</t>
  </si>
  <si>
    <t>0.63</t>
  </si>
  <si>
    <t>80,45</t>
  </si>
  <si>
    <t>42.45</t>
  </si>
  <si>
    <t>73</t>
  </si>
  <si>
    <t>80,7</t>
  </si>
  <si>
    <t>ВЕСОВАЯ КАТЕГОРИЯ   82,5</t>
  </si>
  <si>
    <t>37.71</t>
  </si>
  <si>
    <t>42.10</t>
  </si>
  <si>
    <t>55</t>
  </si>
  <si>
    <t>0.72</t>
  </si>
  <si>
    <t>73,7</t>
  </si>
  <si>
    <t>43.54</t>
  </si>
  <si>
    <t>Челябинск</t>
  </si>
  <si>
    <t>67,45</t>
  </si>
  <si>
    <t>35.79</t>
  </si>
  <si>
    <t>42,5</t>
  </si>
  <si>
    <t>35</t>
  </si>
  <si>
    <t>Шебекино</t>
  </si>
  <si>
    <t>0.75</t>
  </si>
  <si>
    <t>64,85</t>
  </si>
  <si>
    <t>ВЕСОВАЯ КАТЕГОРИЯ   67,5</t>
  </si>
  <si>
    <t>32.51</t>
  </si>
  <si>
    <t>45</t>
  </si>
  <si>
    <t>Валуйки</t>
  </si>
  <si>
    <t>0.81</t>
  </si>
  <si>
    <t>26.34</t>
  </si>
  <si>
    <t xml:space="preserve"> 0.87</t>
  </si>
  <si>
    <t>Локтионов Антон</t>
  </si>
  <si>
    <t>Кубок Европы Подъем штанги на бицепс Zeus II
Белгород/Белгородская область апреля 2018 г.</t>
  </si>
  <si>
    <t xml:space="preserve">Бугаев Артем </t>
  </si>
  <si>
    <t xml:space="preserve">Сурин Вадим </t>
  </si>
  <si>
    <t>89,7555</t>
  </si>
  <si>
    <t>100,4525</t>
  </si>
  <si>
    <t>Сурин Вадим</t>
  </si>
  <si>
    <t>66,00</t>
  </si>
  <si>
    <t>Юноши 16 - 17 (10.05.2001)/16</t>
  </si>
  <si>
    <t>1. Сурин Вадим</t>
  </si>
  <si>
    <t>Подъем на бицепс</t>
  </si>
  <si>
    <t>Кубок Европы пауэрспорт Zeus II
Любители
Белгород/Белгородская область апреля 2018 г.</t>
  </si>
  <si>
    <t xml:space="preserve">Чубарых Петр </t>
  </si>
  <si>
    <t xml:space="preserve">8(8) </t>
  </si>
  <si>
    <t xml:space="preserve">Патриотический Центр </t>
  </si>
  <si>
    <t xml:space="preserve">Киян Андрей, Киян Андрей, Плеханов Андрей, Дацюк Виталий, Махфузов Афраим, Махфузов Афраим </t>
  </si>
  <si>
    <t xml:space="preserve">54(12+12+9+7+6+8) </t>
  </si>
  <si>
    <t xml:space="preserve">Бугаев Артем, Козка Павел, Шульгин Виталий, Величко Владимир, Анискин Дмитрий, Образцов Андрей </t>
  </si>
  <si>
    <t xml:space="preserve">59(8+9+9+12+9+12) </t>
  </si>
  <si>
    <t>24,4027</t>
  </si>
  <si>
    <t>2145,0</t>
  </si>
  <si>
    <t>All</t>
  </si>
  <si>
    <t xml:space="preserve">Мастера 40 - 49 </t>
  </si>
  <si>
    <t>93,5271</t>
  </si>
  <si>
    <t>8525,0</t>
  </si>
  <si>
    <t>Киян Андрей</t>
  </si>
  <si>
    <t>24,6023</t>
  </si>
  <si>
    <t>2475,0</t>
  </si>
  <si>
    <t>Дацюк Виталий</t>
  </si>
  <si>
    <t>30,2500</t>
  </si>
  <si>
    <t>1815,0</t>
  </si>
  <si>
    <t>35,3086</t>
  </si>
  <si>
    <t>2860,0</t>
  </si>
  <si>
    <t>Плеханов Андрей</t>
  </si>
  <si>
    <t>36,0535</t>
  </si>
  <si>
    <t>2695,0</t>
  </si>
  <si>
    <t>34,6666</t>
  </si>
  <si>
    <t>35,3177</t>
  </si>
  <si>
    <t>2640,0</t>
  </si>
  <si>
    <t>34,5628</t>
  </si>
  <si>
    <t>2530,0</t>
  </si>
  <si>
    <t xml:space="preserve">Юноши 13 - 19 </t>
  </si>
  <si>
    <t>41,0447</t>
  </si>
  <si>
    <t>3025,0</t>
  </si>
  <si>
    <t>53,7356</t>
  </si>
  <si>
    <t>4675,0</t>
  </si>
  <si>
    <t>39,0</t>
  </si>
  <si>
    <t>Мастера 40 - 49 (21.06.1972)/45</t>
  </si>
  <si>
    <t>2. Козка Павел</t>
  </si>
  <si>
    <t>91,15</t>
  </si>
  <si>
    <t>Мастера 40 - 49 (17.06.1974)/43</t>
  </si>
  <si>
    <t>1. Киян Андрей</t>
  </si>
  <si>
    <t>33,0</t>
  </si>
  <si>
    <t>5. Махфузов Афраим</t>
  </si>
  <si>
    <t>49,0</t>
  </si>
  <si>
    <t>3. Чубарых Петр</t>
  </si>
  <si>
    <t>81,00</t>
  </si>
  <si>
    <t>Открытая (25.09.1980)/37</t>
  </si>
  <si>
    <t>2. Плеханов Андрей</t>
  </si>
  <si>
    <t>Открытая (17.06.1974)/43</t>
  </si>
  <si>
    <t>55,0o</t>
  </si>
  <si>
    <t>3. Махфузов Афраим</t>
  </si>
  <si>
    <t>2. Шульгин Виталий</t>
  </si>
  <si>
    <t>46,0</t>
  </si>
  <si>
    <t>Юноши 13 - 19 (26.01.2000)/18</t>
  </si>
  <si>
    <t>3. Бугаев Артем</t>
  </si>
  <si>
    <t>Юноши 13 - 19 (01.05.1998)/19</t>
  </si>
  <si>
    <t>87,00</t>
  </si>
  <si>
    <t>Юноши 13 - 19 (01.04.2000)/18</t>
  </si>
  <si>
    <t>1. Величко Владимир</t>
  </si>
  <si>
    <t>ВЕСОВАЯ КАТЕГОРИЯ   All</t>
  </si>
  <si>
    <t>Кубок Европы Русский Жим Zeus II
Любители 55 кг.
Белгород/Белгородская область апреля 2018 г.</t>
  </si>
  <si>
    <t xml:space="preserve">Астанина Элеонора </t>
  </si>
  <si>
    <t>22,6041</t>
  </si>
  <si>
    <t>1085,0</t>
  </si>
  <si>
    <t>Астанина Элеонора</t>
  </si>
  <si>
    <t>31,0</t>
  </si>
  <si>
    <t>48,00</t>
  </si>
  <si>
    <t>Открытая (14.09.1991)/26</t>
  </si>
  <si>
    <t>1. Астанина Элеонора</t>
  </si>
  <si>
    <t>Кубок Европы Русский Жим Zeus II
Любители 35 кг.
Белгород/Белгородская область апреля 2018 г.</t>
  </si>
  <si>
    <t>1,0</t>
  </si>
  <si>
    <t xml:space="preserve">Симферополь/Крым </t>
  </si>
  <si>
    <t>100,60</t>
  </si>
  <si>
    <t>Открытая (23.09.1980)/37</t>
  </si>
  <si>
    <t>-. Дацюк Виталий</t>
  </si>
  <si>
    <t>Кубок Европы Русский Жим Zeus II
Профессионалы 100 кг.
Белгород/Белгородская область апреля 2018 г.</t>
  </si>
  <si>
    <t xml:space="preserve">Шамей Давид, Шамей Давид, Дацюк Виталий </t>
  </si>
  <si>
    <t>22,3658</t>
  </si>
  <si>
    <t>2250,0</t>
  </si>
  <si>
    <t>39,1959</t>
  </si>
  <si>
    <t>3900,0</t>
  </si>
  <si>
    <t>Шамей Давид</t>
  </si>
  <si>
    <t>2. Дацюк Виталий</t>
  </si>
  <si>
    <t>99,50</t>
  </si>
  <si>
    <t>Открытая (04.03.1997)/21</t>
  </si>
  <si>
    <t>1. Шамей Давид</t>
  </si>
  <si>
    <t>Юниоры 20 - 23 (04.03.1997)/21</t>
  </si>
  <si>
    <t>Кубок Европы Русский Жим Zeus II
Профессионалы 75 кг.
Белгород/Белгородская область апреля 2018 г.</t>
  </si>
  <si>
    <t xml:space="preserve">Киян Андрей </t>
  </si>
  <si>
    <t>1. Дацюк Виталий</t>
  </si>
  <si>
    <t>Кубок Европы Русский Жим Zeus II
Профессионалы 55 кг.
Белгород/Белгородская область апреля 2018 г.</t>
  </si>
  <si>
    <t>Сущенко Алексей</t>
  </si>
  <si>
    <t>292.60</t>
  </si>
  <si>
    <t>60 кг</t>
  </si>
  <si>
    <t>Гатаев Данислам Бияславовчи</t>
  </si>
  <si>
    <t>252.84</t>
  </si>
  <si>
    <t>432,5</t>
  </si>
  <si>
    <t>222,5</t>
  </si>
  <si>
    <t>210</t>
  </si>
  <si>
    <t>155</t>
  </si>
  <si>
    <t>145</t>
  </si>
  <si>
    <t>Воронеж</t>
  </si>
  <si>
    <t>1. Сущенко Алексей</t>
  </si>
  <si>
    <t>240</t>
  </si>
  <si>
    <t>230</t>
  </si>
  <si>
    <t>130</t>
  </si>
  <si>
    <t>2. Гатаев Данислам Бияславовчи</t>
  </si>
  <si>
    <t>ВЕСОВАЯ КАТЕГОРИЯ  60 кг</t>
  </si>
  <si>
    <t>2</t>
  </si>
  <si>
    <t>Кубок Европы Силовое двоеборье Zeus II
Белгород/Белгородская область апреля 2018 г.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</si>
</sst>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/>
    </xf>
    <xf numFmtId="49" fontId="6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left" indent="1"/>
    </xf>
    <xf numFmtId="49" fontId="6" fillId="0" borderId="0" xfId="0" applyNumberFormat="1" applyFont="1" applyFill="1" applyBorder="1" applyAlignment="1">
      <alignment horizontal="center"/>
    </xf>
    <xf numFmtId="49" fontId="5" fillId="0" borderId="22" xfId="0" applyNumberFormat="1" applyFont="1" applyFill="1" applyBorder="1" applyAlignment="1">
      <alignment horizontal="center"/>
    </xf>
    <xf numFmtId="49" fontId="5" fillId="0" borderId="23" xfId="0" applyNumberFormat="1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49" fontId="5" fillId="0" borderId="19" xfId="0" applyNumberFormat="1" applyFont="1" applyFill="1" applyBorder="1" applyAlignment="1">
      <alignment horizontal="center"/>
    </xf>
    <xf numFmtId="49" fontId="5" fillId="0" borderId="25" xfId="0" applyNumberFormat="1" applyFont="1" applyFill="1" applyBorder="1" applyAlignment="1">
      <alignment horizontal="center"/>
    </xf>
    <xf numFmtId="49" fontId="5" fillId="0" borderId="26" xfId="0" applyNumberFormat="1" applyFont="1" applyFill="1" applyBorder="1" applyAlignment="1">
      <alignment horizontal="center"/>
    </xf>
    <xf numFmtId="49" fontId="0" fillId="0" borderId="21" xfId="0" applyNumberFormat="1" applyFont="1" applyFill="1" applyBorder="1" applyAlignment="1">
      <alignment horizontal="left"/>
    </xf>
    <xf numFmtId="49" fontId="0" fillId="0" borderId="24" xfId="0" applyNumberFormat="1" applyFont="1" applyFill="1" applyBorder="1" applyAlignment="1">
      <alignment horizontal="left"/>
    </xf>
    <xf numFmtId="49" fontId="0" fillId="0" borderId="27" xfId="0" applyNumberFormat="1" applyFont="1" applyFill="1" applyBorder="1" applyAlignment="1">
      <alignment horizontal="left"/>
    </xf>
    <xf numFmtId="49" fontId="0" fillId="0" borderId="28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left"/>
    </xf>
    <xf numFmtId="0" fontId="0" fillId="0" borderId="0" xfId="0" applyFill="1"/>
    <xf numFmtId="0" fontId="0" fillId="0" borderId="2" xfId="0" applyFill="1" applyBorder="1"/>
    <xf numFmtId="49" fontId="0" fillId="0" borderId="3" xfId="0" applyNumberFormat="1" applyFill="1" applyBorder="1" applyAlignment="1">
      <alignment horizontal="left"/>
    </xf>
    <xf numFmtId="49" fontId="0" fillId="0" borderId="3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zoomScale="70" zoomScaleNormal="70" workbookViewId="0">
      <selection activeCell="F24" sqref="F24:F29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65.85546875" style="5" bestFit="1" customWidth="1"/>
    <col min="4" max="4" width="9.28515625" style="5" bestFit="1" customWidth="1"/>
    <col min="5" max="5" width="22.7109375" style="5" bestFit="1" customWidth="1"/>
    <col min="6" max="6" width="33.5703125" style="5" bestFit="1" customWidth="1"/>
    <col min="7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59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17" t="s">
        <v>61</v>
      </c>
      <c r="B6" s="17" t="s">
        <v>62</v>
      </c>
      <c r="C6" s="17" t="s">
        <v>63</v>
      </c>
      <c r="D6" s="17" t="str">
        <f>"0,8128"</f>
        <v>0,8128</v>
      </c>
      <c r="E6" s="17" t="s">
        <v>64</v>
      </c>
      <c r="F6" s="17" t="s">
        <v>65</v>
      </c>
      <c r="G6" s="19" t="s">
        <v>66</v>
      </c>
      <c r="H6" s="19" t="s">
        <v>67</v>
      </c>
      <c r="I6" s="19" t="s">
        <v>68</v>
      </c>
      <c r="J6" s="18"/>
      <c r="K6" s="17" t="str">
        <f>"105,0"</f>
        <v>105,0</v>
      </c>
      <c r="L6" s="19" t="str">
        <f>"87,9043"</f>
        <v>87,9043</v>
      </c>
      <c r="M6" s="17" t="s">
        <v>21</v>
      </c>
    </row>
    <row r="7" spans="1:13">
      <c r="A7" s="20" t="s">
        <v>61</v>
      </c>
      <c r="B7" s="20" t="s">
        <v>69</v>
      </c>
      <c r="C7" s="20" t="s">
        <v>63</v>
      </c>
      <c r="D7" s="20" t="str">
        <f>"0,8128"</f>
        <v>0,8128</v>
      </c>
      <c r="E7" s="20" t="s">
        <v>64</v>
      </c>
      <c r="F7" s="20" t="s">
        <v>65</v>
      </c>
      <c r="G7" s="22" t="s">
        <v>66</v>
      </c>
      <c r="H7" s="22" t="s">
        <v>67</v>
      </c>
      <c r="I7" s="22" t="s">
        <v>68</v>
      </c>
      <c r="J7" s="21"/>
      <c r="K7" s="20" t="str">
        <f>"105,0"</f>
        <v>105,0</v>
      </c>
      <c r="L7" s="22" t="str">
        <f>"85,3440"</f>
        <v>85,3440</v>
      </c>
      <c r="M7" s="20" t="s">
        <v>21</v>
      </c>
    </row>
    <row r="9" spans="1:13" ht="15">
      <c r="A9" s="37" t="s">
        <v>70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3">
      <c r="A10" s="17" t="s">
        <v>72</v>
      </c>
      <c r="B10" s="17" t="s">
        <v>73</v>
      </c>
      <c r="C10" s="17" t="s">
        <v>74</v>
      </c>
      <c r="D10" s="17" t="str">
        <f>"0,6774"</f>
        <v>0,6774</v>
      </c>
      <c r="E10" s="17" t="s">
        <v>75</v>
      </c>
      <c r="F10" s="17" t="s">
        <v>76</v>
      </c>
      <c r="G10" s="19" t="s">
        <v>77</v>
      </c>
      <c r="H10" s="18" t="s">
        <v>48</v>
      </c>
      <c r="I10" s="19" t="s">
        <v>48</v>
      </c>
      <c r="J10" s="18"/>
      <c r="K10" s="17" t="str">
        <f>"110,0"</f>
        <v>110,0</v>
      </c>
      <c r="L10" s="19" t="str">
        <f>"78,9848"</f>
        <v>78,9848</v>
      </c>
      <c r="M10" s="17" t="s">
        <v>21</v>
      </c>
    </row>
    <row r="11" spans="1:13">
      <c r="A11" s="23" t="s">
        <v>79</v>
      </c>
      <c r="B11" s="23" t="s">
        <v>80</v>
      </c>
      <c r="C11" s="23" t="s">
        <v>81</v>
      </c>
      <c r="D11" s="23" t="str">
        <f>"0,6662"</f>
        <v>0,6662</v>
      </c>
      <c r="E11" s="23" t="s">
        <v>75</v>
      </c>
      <c r="F11" s="23" t="s">
        <v>76</v>
      </c>
      <c r="G11" s="25" t="s">
        <v>48</v>
      </c>
      <c r="H11" s="25" t="s">
        <v>82</v>
      </c>
      <c r="I11" s="24" t="s">
        <v>83</v>
      </c>
      <c r="J11" s="24"/>
      <c r="K11" s="23" t="str">
        <f>"115,0"</f>
        <v>115,0</v>
      </c>
      <c r="L11" s="25" t="str">
        <f>"78,9173"</f>
        <v>78,9173</v>
      </c>
      <c r="M11" s="23" t="s">
        <v>21</v>
      </c>
    </row>
    <row r="12" spans="1:13">
      <c r="A12" s="20" t="s">
        <v>85</v>
      </c>
      <c r="B12" s="20" t="s">
        <v>86</v>
      </c>
      <c r="C12" s="20" t="s">
        <v>81</v>
      </c>
      <c r="D12" s="20" t="str">
        <f>"0,6662"</f>
        <v>0,6662</v>
      </c>
      <c r="E12" s="20" t="s">
        <v>75</v>
      </c>
      <c r="F12" s="20" t="s">
        <v>76</v>
      </c>
      <c r="G12" s="22" t="s">
        <v>77</v>
      </c>
      <c r="H12" s="22" t="s">
        <v>48</v>
      </c>
      <c r="I12" s="21" t="s">
        <v>83</v>
      </c>
      <c r="J12" s="21"/>
      <c r="K12" s="20" t="str">
        <f>"110,0"</f>
        <v>110,0</v>
      </c>
      <c r="L12" s="22" t="str">
        <f>"73,2875"</f>
        <v>73,2875</v>
      </c>
      <c r="M12" s="20" t="s">
        <v>21</v>
      </c>
    </row>
    <row r="14" spans="1:13" ht="15">
      <c r="A14" s="37" t="s">
        <v>87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3">
      <c r="A15" s="6" t="s">
        <v>89</v>
      </c>
      <c r="B15" s="6" t="s">
        <v>90</v>
      </c>
      <c r="C15" s="6" t="s">
        <v>91</v>
      </c>
      <c r="D15" s="6" t="str">
        <f>"0,6193"</f>
        <v>0,6193</v>
      </c>
      <c r="E15" s="6" t="s">
        <v>75</v>
      </c>
      <c r="F15" s="6" t="s">
        <v>76</v>
      </c>
      <c r="G15" s="8" t="s">
        <v>18</v>
      </c>
      <c r="H15" s="7" t="s">
        <v>44</v>
      </c>
      <c r="I15" s="7"/>
      <c r="J15" s="7"/>
      <c r="K15" s="6" t="str">
        <f>"120,0"</f>
        <v>120,0</v>
      </c>
      <c r="L15" s="8" t="str">
        <f>"74,3160"</f>
        <v>74,3160</v>
      </c>
      <c r="M15" s="6" t="s">
        <v>21</v>
      </c>
    </row>
    <row r="17" spans="1:13" ht="15">
      <c r="A17" s="37" t="s">
        <v>92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3">
      <c r="A18" s="17" t="s">
        <v>94</v>
      </c>
      <c r="B18" s="17" t="s">
        <v>95</v>
      </c>
      <c r="C18" s="17" t="s">
        <v>96</v>
      </c>
      <c r="D18" s="17" t="str">
        <f>"0,5861"</f>
        <v>0,5861</v>
      </c>
      <c r="E18" s="17" t="s">
        <v>64</v>
      </c>
      <c r="F18" s="17" t="s">
        <v>28</v>
      </c>
      <c r="G18" s="19" t="s">
        <v>97</v>
      </c>
      <c r="H18" s="19" t="s">
        <v>98</v>
      </c>
      <c r="I18" s="19" t="s">
        <v>99</v>
      </c>
      <c r="J18" s="18"/>
      <c r="K18" s="17" t="str">
        <f>"165,0"</f>
        <v>165,0</v>
      </c>
      <c r="L18" s="19" t="str">
        <f>"96,7065"</f>
        <v>96,7065</v>
      </c>
      <c r="M18" s="17" t="s">
        <v>21</v>
      </c>
    </row>
    <row r="19" spans="1:13">
      <c r="A19" s="20" t="s">
        <v>100</v>
      </c>
      <c r="B19" s="20" t="s">
        <v>101</v>
      </c>
      <c r="C19" s="20" t="s">
        <v>102</v>
      </c>
      <c r="D19" s="20" t="str">
        <f>"0,5893"</f>
        <v>0,5893</v>
      </c>
      <c r="E19" s="20" t="s">
        <v>75</v>
      </c>
      <c r="F19" s="20" t="s">
        <v>76</v>
      </c>
      <c r="G19" s="21" t="s">
        <v>48</v>
      </c>
      <c r="H19" s="21" t="s">
        <v>48</v>
      </c>
      <c r="I19" s="21"/>
      <c r="J19" s="21"/>
      <c r="K19" s="20" t="str">
        <f>"0.00"</f>
        <v>0.00</v>
      </c>
      <c r="L19" s="22" t="str">
        <f>"0,0000"</f>
        <v>0,0000</v>
      </c>
      <c r="M19" s="20" t="s">
        <v>21</v>
      </c>
    </row>
    <row r="21" spans="1:13" ht="15">
      <c r="A21" s="37" t="s">
        <v>11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3">
      <c r="A22" s="6" t="s">
        <v>104</v>
      </c>
      <c r="B22" s="6" t="s">
        <v>105</v>
      </c>
      <c r="C22" s="6" t="s">
        <v>106</v>
      </c>
      <c r="D22" s="6" t="str">
        <f>"0,5467"</f>
        <v>0,5467</v>
      </c>
      <c r="E22" s="6" t="s">
        <v>64</v>
      </c>
      <c r="F22" s="6" t="s">
        <v>107</v>
      </c>
      <c r="G22" s="8" t="s">
        <v>108</v>
      </c>
      <c r="H22" s="7"/>
      <c r="I22" s="7"/>
      <c r="J22" s="7"/>
      <c r="K22" s="6" t="str">
        <f>"157,5"</f>
        <v>157,5</v>
      </c>
      <c r="L22" s="8" t="str">
        <f>"101,0015"</f>
        <v>101,0015</v>
      </c>
      <c r="M22" s="6" t="s">
        <v>21</v>
      </c>
    </row>
    <row r="24" spans="1:13" ht="15">
      <c r="E24" s="9" t="s">
        <v>31</v>
      </c>
      <c r="F24" s="5" t="s">
        <v>130</v>
      </c>
    </row>
    <row r="25" spans="1:13" ht="15">
      <c r="E25" s="9" t="s">
        <v>32</v>
      </c>
      <c r="F25" s="5" t="s">
        <v>131</v>
      </c>
    </row>
    <row r="26" spans="1:13" ht="15">
      <c r="E26" s="9" t="s">
        <v>33</v>
      </c>
      <c r="F26" s="5" t="s">
        <v>132</v>
      </c>
    </row>
    <row r="27" spans="1:13" ht="15">
      <c r="E27" s="9" t="s">
        <v>34</v>
      </c>
      <c r="F27" s="5" t="s">
        <v>133</v>
      </c>
    </row>
    <row r="28" spans="1:13" ht="15">
      <c r="E28" s="9" t="s">
        <v>34</v>
      </c>
      <c r="F28" s="5" t="s">
        <v>134</v>
      </c>
    </row>
    <row r="29" spans="1:13" ht="15">
      <c r="E29" s="9" t="s">
        <v>35</v>
      </c>
      <c r="F29" s="5" t="s">
        <v>135</v>
      </c>
    </row>
    <row r="30" spans="1:13" ht="15">
      <c r="E30" s="9"/>
    </row>
    <row r="32" spans="1:13" ht="18">
      <c r="A32" s="10" t="s">
        <v>36</v>
      </c>
      <c r="B32" s="10"/>
    </row>
    <row r="33" spans="1:5" ht="15">
      <c r="A33" s="11" t="s">
        <v>37</v>
      </c>
      <c r="B33" s="11"/>
    </row>
    <row r="34" spans="1:5" ht="14.25">
      <c r="A34" s="13"/>
      <c r="B34" s="14" t="s">
        <v>109</v>
      </c>
    </row>
    <row r="35" spans="1:5" ht="15">
      <c r="A35" s="15" t="s">
        <v>39</v>
      </c>
      <c r="B35" s="15" t="s">
        <v>40</v>
      </c>
      <c r="C35" s="15" t="s">
        <v>41</v>
      </c>
      <c r="D35" s="15" t="s">
        <v>42</v>
      </c>
      <c r="E35" s="15" t="s">
        <v>43</v>
      </c>
    </row>
    <row r="36" spans="1:5">
      <c r="A36" s="12" t="s">
        <v>71</v>
      </c>
      <c r="B36" s="5" t="s">
        <v>110</v>
      </c>
      <c r="C36" s="5" t="s">
        <v>111</v>
      </c>
      <c r="D36" s="5" t="s">
        <v>48</v>
      </c>
      <c r="E36" s="16" t="s">
        <v>112</v>
      </c>
    </row>
    <row r="38" spans="1:5" ht="14.25">
      <c r="A38" s="13"/>
      <c r="B38" s="14" t="s">
        <v>113</v>
      </c>
    </row>
    <row r="39" spans="1:5" ht="15">
      <c r="A39" s="15" t="s">
        <v>39</v>
      </c>
      <c r="B39" s="15" t="s">
        <v>40</v>
      </c>
      <c r="C39" s="15" t="s">
        <v>41</v>
      </c>
      <c r="D39" s="15" t="s">
        <v>42</v>
      </c>
      <c r="E39" s="15" t="s">
        <v>43</v>
      </c>
    </row>
    <row r="40" spans="1:5">
      <c r="A40" s="12" t="s">
        <v>60</v>
      </c>
      <c r="B40" s="5" t="s">
        <v>114</v>
      </c>
      <c r="C40" s="5" t="s">
        <v>115</v>
      </c>
      <c r="D40" s="5" t="s">
        <v>116</v>
      </c>
      <c r="E40" s="16" t="s">
        <v>117</v>
      </c>
    </row>
    <row r="41" spans="1:5">
      <c r="A41" s="12" t="s">
        <v>78</v>
      </c>
      <c r="B41" s="5" t="s">
        <v>114</v>
      </c>
      <c r="C41" s="5" t="s">
        <v>111</v>
      </c>
      <c r="D41" s="5" t="s">
        <v>82</v>
      </c>
      <c r="E41" s="16" t="s">
        <v>118</v>
      </c>
    </row>
    <row r="42" spans="1:5">
      <c r="A42" s="12" t="s">
        <v>88</v>
      </c>
      <c r="B42" s="5" t="s">
        <v>114</v>
      </c>
      <c r="C42" s="5" t="s">
        <v>119</v>
      </c>
      <c r="D42" s="5" t="s">
        <v>18</v>
      </c>
      <c r="E42" s="16" t="s">
        <v>120</v>
      </c>
    </row>
    <row r="44" spans="1:5" ht="14.25">
      <c r="A44" s="13"/>
      <c r="B44" s="14" t="s">
        <v>38</v>
      </c>
    </row>
    <row r="45" spans="1:5" ht="15">
      <c r="A45" s="15" t="s">
        <v>39</v>
      </c>
      <c r="B45" s="15" t="s">
        <v>40</v>
      </c>
      <c r="C45" s="15" t="s">
        <v>41</v>
      </c>
      <c r="D45" s="15" t="s">
        <v>42</v>
      </c>
      <c r="E45" s="15" t="s">
        <v>43</v>
      </c>
    </row>
    <row r="46" spans="1:5">
      <c r="A46" s="12" t="s">
        <v>93</v>
      </c>
      <c r="B46" s="5" t="s">
        <v>38</v>
      </c>
      <c r="C46" s="5" t="s">
        <v>121</v>
      </c>
      <c r="D46" s="5" t="s">
        <v>30</v>
      </c>
      <c r="E46" s="16" t="s">
        <v>122</v>
      </c>
    </row>
    <row r="47" spans="1:5">
      <c r="A47" s="12" t="s">
        <v>60</v>
      </c>
      <c r="B47" s="5" t="s">
        <v>38</v>
      </c>
      <c r="C47" s="5" t="s">
        <v>115</v>
      </c>
      <c r="D47" s="5" t="s">
        <v>116</v>
      </c>
      <c r="E47" s="16" t="s">
        <v>123</v>
      </c>
    </row>
    <row r="48" spans="1:5">
      <c r="A48" s="12" t="s">
        <v>84</v>
      </c>
      <c r="B48" s="5" t="s">
        <v>38</v>
      </c>
      <c r="C48" s="5" t="s">
        <v>111</v>
      </c>
      <c r="D48" s="5" t="s">
        <v>48</v>
      </c>
      <c r="E48" s="16" t="s">
        <v>124</v>
      </c>
    </row>
    <row r="50" spans="1:5" ht="14.25">
      <c r="A50" s="13"/>
      <c r="B50" s="14" t="s">
        <v>46</v>
      </c>
    </row>
    <row r="51" spans="1:5" ht="15">
      <c r="A51" s="15" t="s">
        <v>39</v>
      </c>
      <c r="B51" s="15" t="s">
        <v>40</v>
      </c>
      <c r="C51" s="15" t="s">
        <v>41</v>
      </c>
      <c r="D51" s="15" t="s">
        <v>42</v>
      </c>
      <c r="E51" s="15" t="s">
        <v>43</v>
      </c>
    </row>
    <row r="52" spans="1:5">
      <c r="A52" s="12" t="s">
        <v>103</v>
      </c>
      <c r="B52" s="5" t="s">
        <v>47</v>
      </c>
      <c r="C52" s="5" t="s">
        <v>48</v>
      </c>
      <c r="D52" s="5" t="s">
        <v>125</v>
      </c>
      <c r="E52" s="16" t="s">
        <v>126</v>
      </c>
    </row>
    <row r="57" spans="1:5" ht="18">
      <c r="A57" s="10" t="s">
        <v>50</v>
      </c>
      <c r="B57" s="10"/>
    </row>
    <row r="58" spans="1:5" ht="15">
      <c r="A58" s="15" t="s">
        <v>51</v>
      </c>
      <c r="B58" s="15" t="s">
        <v>52</v>
      </c>
      <c r="C58" s="15" t="s">
        <v>53</v>
      </c>
    </row>
    <row r="59" spans="1:5">
      <c r="A59" s="5" t="s">
        <v>64</v>
      </c>
      <c r="B59" s="5" t="s">
        <v>127</v>
      </c>
      <c r="C59" s="5" t="s">
        <v>128</v>
      </c>
    </row>
    <row r="60" spans="1:5">
      <c r="A60" s="5" t="s">
        <v>75</v>
      </c>
      <c r="B60" s="5" t="s">
        <v>127</v>
      </c>
      <c r="C60" s="5" t="s">
        <v>129</v>
      </c>
    </row>
  </sheetData>
  <mergeCells count="16">
    <mergeCell ref="A17:L17"/>
    <mergeCell ref="A21:L21"/>
    <mergeCell ref="K3:K4"/>
    <mergeCell ref="L3:L4"/>
    <mergeCell ref="M3:M4"/>
    <mergeCell ref="A5:L5"/>
    <mergeCell ref="A9:L9"/>
    <mergeCell ref="A14:L1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8.28515625" style="5" bestFit="1" customWidth="1"/>
    <col min="4" max="4" width="9.28515625" style="5" bestFit="1" customWidth="1"/>
    <col min="5" max="5" width="22.7109375" style="5" bestFit="1" customWidth="1"/>
    <col min="6" max="6" width="30.85546875" style="5" bestFit="1" customWidth="1"/>
    <col min="7" max="8" width="5.5703125" style="4" bestFit="1" customWidth="1"/>
    <col min="9" max="9" width="2.1406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254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154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59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240</v>
      </c>
      <c r="B6" s="6" t="s">
        <v>239</v>
      </c>
      <c r="C6" s="6" t="s">
        <v>171</v>
      </c>
      <c r="D6" s="6" t="str">
        <f>"0,8622"</f>
        <v>0,8622</v>
      </c>
      <c r="E6" s="6" t="s">
        <v>235</v>
      </c>
      <c r="F6" s="6" t="s">
        <v>238</v>
      </c>
      <c r="G6" s="8" t="s">
        <v>48</v>
      </c>
      <c r="H6" s="8" t="s">
        <v>253</v>
      </c>
      <c r="I6" s="7"/>
      <c r="J6" s="7"/>
      <c r="K6" s="6" t="str">
        <f>"122,5"</f>
        <v>122,5</v>
      </c>
      <c r="L6" s="8" t="str">
        <f>"105,6134"</f>
        <v>105,6134</v>
      </c>
      <c r="M6" s="6" t="s">
        <v>21</v>
      </c>
    </row>
    <row r="8" spans="1:13" ht="15">
      <c r="E8" s="9" t="s">
        <v>31</v>
      </c>
      <c r="F8" s="5" t="s">
        <v>130</v>
      </c>
    </row>
    <row r="9" spans="1:13" ht="15">
      <c r="E9" s="9" t="s">
        <v>32</v>
      </c>
      <c r="F9" s="5" t="s">
        <v>131</v>
      </c>
    </row>
    <row r="10" spans="1:13" ht="15">
      <c r="E10" s="9" t="s">
        <v>33</v>
      </c>
      <c r="F10" s="5" t="s">
        <v>132</v>
      </c>
    </row>
    <row r="11" spans="1:13" ht="15">
      <c r="E11" s="9" t="s">
        <v>34</v>
      </c>
      <c r="F11" s="5" t="s">
        <v>133</v>
      </c>
    </row>
    <row r="12" spans="1:13" ht="15">
      <c r="E12" s="9" t="s">
        <v>34</v>
      </c>
      <c r="F12" s="5" t="s">
        <v>134</v>
      </c>
    </row>
    <row r="13" spans="1:13" ht="15">
      <c r="E13" s="9" t="s">
        <v>35</v>
      </c>
      <c r="F13" s="5" t="s">
        <v>135</v>
      </c>
    </row>
    <row r="14" spans="1:13" ht="15">
      <c r="E14" s="9"/>
    </row>
    <row r="16" spans="1:13" ht="18">
      <c r="A16" s="10" t="s">
        <v>36</v>
      </c>
      <c r="B16" s="10"/>
    </row>
    <row r="17" spans="1:5" s="4" customFormat="1" ht="15">
      <c r="A17" s="11" t="s">
        <v>174</v>
      </c>
      <c r="B17" s="11"/>
      <c r="C17" s="5"/>
      <c r="D17" s="5"/>
      <c r="E17" s="5"/>
    </row>
    <row r="18" spans="1:5" s="4" customFormat="1" ht="14.25">
      <c r="A18" s="13"/>
      <c r="B18" s="14" t="s">
        <v>38</v>
      </c>
      <c r="C18" s="5"/>
      <c r="D18" s="5"/>
      <c r="E18" s="5"/>
    </row>
    <row r="19" spans="1:5" s="4" customFormat="1" ht="15">
      <c r="A19" s="15" t="s">
        <v>39</v>
      </c>
      <c r="B19" s="15" t="s">
        <v>40</v>
      </c>
      <c r="C19" s="15" t="s">
        <v>41</v>
      </c>
      <c r="D19" s="15" t="s">
        <v>42</v>
      </c>
      <c r="E19" s="15" t="s">
        <v>43</v>
      </c>
    </row>
    <row r="20" spans="1:5" s="4" customFormat="1">
      <c r="A20" s="12" t="s">
        <v>237</v>
      </c>
      <c r="B20" s="5" t="s">
        <v>38</v>
      </c>
      <c r="C20" s="5" t="s">
        <v>115</v>
      </c>
      <c r="D20" s="5" t="s">
        <v>253</v>
      </c>
      <c r="E20" s="16" t="s">
        <v>252</v>
      </c>
    </row>
    <row r="25" spans="1:5" s="4" customFormat="1" ht="18">
      <c r="A25" s="10" t="s">
        <v>50</v>
      </c>
      <c r="B25" s="10"/>
      <c r="C25" s="5"/>
      <c r="D25" s="5"/>
      <c r="E25" s="5"/>
    </row>
    <row r="26" spans="1:5" s="4" customFormat="1" ht="15">
      <c r="A26" s="15" t="s">
        <v>51</v>
      </c>
      <c r="B26" s="15" t="s">
        <v>52</v>
      </c>
      <c r="C26" s="15" t="s">
        <v>53</v>
      </c>
      <c r="D26" s="5"/>
      <c r="E26" s="5"/>
    </row>
    <row r="27" spans="1:5" s="4" customFormat="1">
      <c r="A27" s="5" t="s">
        <v>235</v>
      </c>
      <c r="B27" s="5" t="s">
        <v>54</v>
      </c>
      <c r="C27" s="5" t="s">
        <v>234</v>
      </c>
      <c r="D27" s="5"/>
      <c r="E27" s="5"/>
    </row>
  </sheetData>
  <mergeCells count="12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C13" sqref="C13"/>
    </sheetView>
  </sheetViews>
  <sheetFormatPr defaultRowHeight="12.75"/>
  <cols>
    <col min="1" max="1" width="22.42578125" customWidth="1"/>
    <col min="2" max="2" width="29.5703125" customWidth="1"/>
    <col min="3" max="3" width="18.28515625" customWidth="1"/>
    <col min="5" max="5" width="21.7109375" customWidth="1"/>
    <col min="6" max="6" width="31.85546875" customWidth="1"/>
  </cols>
  <sheetData>
    <row r="1" spans="1:13" ht="77.25" customHeight="1">
      <c r="A1" s="26" t="s">
        <v>266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13.5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ht="15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154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ht="15.75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87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5"/>
    </row>
    <row r="6" spans="1:13">
      <c r="A6" s="6" t="s">
        <v>265</v>
      </c>
      <c r="B6" s="8" t="s">
        <v>264</v>
      </c>
      <c r="C6" s="8" t="s">
        <v>263</v>
      </c>
      <c r="D6" s="8" t="str">
        <f>"0,6412"</f>
        <v>0,6412</v>
      </c>
      <c r="E6" s="8" t="s">
        <v>27</v>
      </c>
      <c r="F6" s="8" t="s">
        <v>28</v>
      </c>
      <c r="G6" s="8" t="s">
        <v>262</v>
      </c>
      <c r="H6" s="8" t="s">
        <v>258</v>
      </c>
      <c r="I6" s="7" t="s">
        <v>261</v>
      </c>
      <c r="J6" s="7"/>
      <c r="K6" s="8" t="str">
        <f>"190,0"</f>
        <v>190,0</v>
      </c>
      <c r="L6" s="8" t="str">
        <f>"131,5742"</f>
        <v>131,5742</v>
      </c>
      <c r="M6" s="6" t="s">
        <v>21</v>
      </c>
    </row>
    <row r="7" spans="1:13">
      <c r="A7" s="5"/>
      <c r="B7" s="5"/>
      <c r="C7" s="5"/>
      <c r="D7" s="5"/>
      <c r="E7" s="5"/>
      <c r="F7" s="5"/>
      <c r="G7" s="4"/>
      <c r="H7" s="4"/>
      <c r="I7" s="67"/>
      <c r="J7" s="67"/>
      <c r="K7" s="5"/>
      <c r="L7" s="4"/>
      <c r="M7" s="5" t="s">
        <v>21</v>
      </c>
    </row>
    <row r="8" spans="1:13" ht="15">
      <c r="A8" s="5"/>
      <c r="B8" s="5"/>
      <c r="C8" s="5"/>
      <c r="D8" s="5"/>
      <c r="E8" s="9" t="s">
        <v>31</v>
      </c>
      <c r="F8" s="5" t="s">
        <v>130</v>
      </c>
      <c r="G8" s="4"/>
      <c r="H8" s="4"/>
      <c r="I8" s="4"/>
      <c r="J8" s="4"/>
      <c r="K8" s="5"/>
      <c r="L8" s="4"/>
      <c r="M8" s="5"/>
    </row>
    <row r="9" spans="1:13" ht="15">
      <c r="A9" s="5"/>
      <c r="B9" s="5"/>
      <c r="C9" s="5"/>
      <c r="D9" s="5"/>
      <c r="E9" s="9" t="s">
        <v>32</v>
      </c>
      <c r="F9" s="5" t="s">
        <v>131</v>
      </c>
      <c r="G9" s="4"/>
      <c r="H9" s="4"/>
      <c r="I9" s="4"/>
      <c r="J9" s="4"/>
      <c r="K9" s="5"/>
      <c r="L9" s="4"/>
      <c r="M9" s="5"/>
    </row>
    <row r="10" spans="1:13" ht="15">
      <c r="A10" s="5"/>
      <c r="B10" s="5"/>
      <c r="C10" s="5"/>
      <c r="D10" s="5"/>
      <c r="E10" s="9" t="s">
        <v>33</v>
      </c>
      <c r="F10" s="5" t="s">
        <v>132</v>
      </c>
      <c r="G10" s="4"/>
      <c r="H10" s="4"/>
      <c r="I10" s="4"/>
      <c r="J10" s="4"/>
      <c r="K10" s="5"/>
      <c r="L10" s="4"/>
      <c r="M10" s="5"/>
    </row>
    <row r="11" spans="1:13" ht="15">
      <c r="A11" s="5"/>
      <c r="B11" s="5"/>
      <c r="C11" s="5"/>
      <c r="D11" s="5"/>
      <c r="E11" s="9" t="s">
        <v>34</v>
      </c>
      <c r="F11" s="5" t="s">
        <v>133</v>
      </c>
      <c r="G11" s="4"/>
      <c r="H11" s="4"/>
      <c r="I11" s="4"/>
      <c r="J11" s="4"/>
      <c r="K11" s="5"/>
      <c r="L11" s="4"/>
      <c r="M11" s="5"/>
    </row>
    <row r="12" spans="1:13" ht="15">
      <c r="A12" s="5"/>
      <c r="B12" s="5"/>
      <c r="C12" s="5"/>
      <c r="D12" s="5"/>
      <c r="E12" s="9" t="s">
        <v>34</v>
      </c>
      <c r="F12" s="5" t="s">
        <v>134</v>
      </c>
      <c r="G12" s="4"/>
      <c r="H12" s="4"/>
      <c r="I12" s="4"/>
      <c r="J12" s="4"/>
      <c r="K12" s="5"/>
      <c r="L12" s="4"/>
      <c r="M12" s="5"/>
    </row>
    <row r="13" spans="1:13" ht="15">
      <c r="A13" s="5"/>
      <c r="B13" s="5"/>
      <c r="C13" s="5"/>
      <c r="D13" s="5"/>
      <c r="E13" s="9" t="s">
        <v>35</v>
      </c>
      <c r="F13" s="5" t="s">
        <v>135</v>
      </c>
      <c r="G13" s="4"/>
      <c r="H13" s="4"/>
      <c r="I13" s="4"/>
      <c r="J13" s="4"/>
      <c r="K13" s="5"/>
      <c r="L13" s="4"/>
      <c r="M13" s="5"/>
    </row>
    <row r="14" spans="1:13">
      <c r="A14" s="5"/>
      <c r="B14" s="5"/>
      <c r="C14" s="5"/>
      <c r="D14" s="5"/>
      <c r="G14" s="4"/>
      <c r="H14" s="4"/>
      <c r="I14" s="4"/>
      <c r="J14" s="4"/>
      <c r="K14" s="5"/>
      <c r="L14" s="4"/>
      <c r="M14" s="5"/>
    </row>
    <row r="15" spans="1:13" ht="15">
      <c r="A15" s="5"/>
      <c r="B15" s="5"/>
      <c r="C15" s="5"/>
      <c r="D15" s="5"/>
      <c r="E15" s="9"/>
      <c r="F15" s="5"/>
      <c r="G15" s="4"/>
      <c r="H15" s="4"/>
      <c r="I15" s="4"/>
      <c r="J15" s="4"/>
      <c r="K15" s="5"/>
      <c r="L15" s="4"/>
      <c r="M15" s="5"/>
    </row>
    <row r="16" spans="1:13">
      <c r="A16" s="5"/>
      <c r="B16" s="5"/>
      <c r="C16" s="5"/>
      <c r="D16" s="5"/>
      <c r="E16" s="5"/>
      <c r="F16" s="5"/>
      <c r="G16" s="4"/>
      <c r="H16" s="4"/>
      <c r="I16" s="4"/>
      <c r="J16" s="4"/>
      <c r="K16" s="5"/>
      <c r="L16" s="4"/>
      <c r="M16" s="5"/>
    </row>
    <row r="17" spans="1:13" ht="18">
      <c r="A17" s="10" t="s">
        <v>36</v>
      </c>
      <c r="B17" s="10"/>
      <c r="C17" s="5"/>
      <c r="D17" s="5"/>
      <c r="E17" s="5"/>
      <c r="F17" s="5"/>
      <c r="G17" s="4"/>
      <c r="H17" s="4"/>
      <c r="I17" s="4"/>
      <c r="J17" s="4"/>
      <c r="K17" s="5"/>
      <c r="L17" s="4"/>
      <c r="M17" s="5"/>
    </row>
    <row r="18" spans="1:13" ht="15">
      <c r="A18" s="11" t="s">
        <v>37</v>
      </c>
      <c r="B18" s="11"/>
      <c r="C18" s="5"/>
      <c r="D18" s="5"/>
      <c r="E18" s="5"/>
      <c r="F18" s="5"/>
      <c r="G18" s="4"/>
      <c r="H18" s="4"/>
      <c r="I18" s="4"/>
      <c r="J18" s="4"/>
      <c r="K18" s="5"/>
      <c r="L18" s="4"/>
      <c r="M18" s="5"/>
    </row>
    <row r="19" spans="1:13" ht="14.25">
      <c r="A19" s="13"/>
      <c r="B19" s="14" t="s">
        <v>109</v>
      </c>
      <c r="C19" s="5"/>
      <c r="D19" s="5"/>
      <c r="E19" s="5"/>
      <c r="F19" s="5"/>
      <c r="G19" s="4"/>
      <c r="H19" s="4"/>
      <c r="I19" s="4"/>
      <c r="J19" s="4"/>
      <c r="K19" s="5"/>
      <c r="L19" s="4"/>
      <c r="M19" s="5"/>
    </row>
    <row r="20" spans="1:13" ht="15">
      <c r="A20" s="15" t="s">
        <v>39</v>
      </c>
      <c r="B20" s="15" t="s">
        <v>40</v>
      </c>
      <c r="C20" s="15" t="s">
        <v>41</v>
      </c>
      <c r="D20" s="15" t="s">
        <v>42</v>
      </c>
      <c r="E20" s="15" t="s">
        <v>43</v>
      </c>
      <c r="F20" s="5"/>
      <c r="G20" s="4"/>
      <c r="H20" s="4"/>
      <c r="I20" s="4"/>
      <c r="J20" s="4"/>
      <c r="K20" s="5"/>
      <c r="L20" s="4"/>
      <c r="M20" s="5"/>
    </row>
    <row r="21" spans="1:13">
      <c r="A21" s="66" t="s">
        <v>260</v>
      </c>
      <c r="B21" s="6" t="s">
        <v>259</v>
      </c>
      <c r="C21" s="6" t="s">
        <v>119</v>
      </c>
      <c r="D21" s="6" t="s">
        <v>258</v>
      </c>
      <c r="E21" s="65" t="s">
        <v>257</v>
      </c>
      <c r="F21" s="5"/>
      <c r="G21" s="4"/>
      <c r="H21" s="4"/>
      <c r="I21" s="4"/>
      <c r="J21" s="4"/>
      <c r="K21" s="5"/>
      <c r="L21" s="4"/>
      <c r="M21" s="5"/>
    </row>
    <row r="22" spans="1:13">
      <c r="A22" s="5"/>
      <c r="B22" s="5"/>
      <c r="C22" s="5"/>
      <c r="D22" s="5"/>
      <c r="E22" s="5"/>
      <c r="F22" s="5"/>
      <c r="G22" s="4"/>
      <c r="H22" s="4"/>
      <c r="I22" s="4"/>
      <c r="J22" s="4"/>
      <c r="K22" s="5"/>
      <c r="L22" s="4"/>
      <c r="M22" s="5"/>
    </row>
    <row r="23" spans="1:13" ht="14.25">
      <c r="A23" s="13"/>
      <c r="B23" s="14"/>
      <c r="C23" s="5"/>
      <c r="D23" s="5"/>
      <c r="E23" s="5"/>
      <c r="F23" s="5"/>
      <c r="G23" s="4"/>
      <c r="H23" s="4"/>
      <c r="I23" s="4"/>
      <c r="J23" s="4"/>
      <c r="K23" s="5"/>
      <c r="L23" s="4"/>
      <c r="M23" s="5"/>
    </row>
    <row r="24" spans="1:13" ht="18">
      <c r="A24" s="10" t="s">
        <v>50</v>
      </c>
      <c r="B24" s="10"/>
      <c r="C24" s="5"/>
      <c r="D24" s="1"/>
      <c r="E24" s="1"/>
      <c r="F24" s="5"/>
      <c r="G24" s="4"/>
      <c r="H24" s="4"/>
      <c r="I24" s="4"/>
      <c r="J24" s="4"/>
      <c r="K24" s="5"/>
      <c r="L24" s="4"/>
      <c r="M24" s="5"/>
    </row>
    <row r="25" spans="1:13" ht="15">
      <c r="A25" s="15" t="s">
        <v>51</v>
      </c>
      <c r="B25" s="15" t="s">
        <v>52</v>
      </c>
      <c r="C25" s="15" t="s">
        <v>53</v>
      </c>
      <c r="D25" s="5"/>
      <c r="E25" s="16"/>
      <c r="F25" s="5"/>
      <c r="G25" s="4"/>
      <c r="H25" s="4"/>
      <c r="I25" s="4"/>
      <c r="J25" s="4"/>
      <c r="K25" s="5"/>
      <c r="L25" s="4"/>
      <c r="M25" s="5"/>
    </row>
    <row r="26" spans="1:13">
      <c r="A26" s="59" t="s">
        <v>256</v>
      </c>
      <c r="B26" s="5" t="s">
        <v>54</v>
      </c>
      <c r="C26" s="59" t="s">
        <v>255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7.7109375" style="5" bestFit="1" customWidth="1"/>
    <col min="3" max="3" width="18.285156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276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154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87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275</v>
      </c>
      <c r="B6" s="8" t="s">
        <v>274</v>
      </c>
      <c r="C6" s="8" t="s">
        <v>273</v>
      </c>
      <c r="D6" s="8" t="str">
        <f>"0,6259"</f>
        <v>0,6259</v>
      </c>
      <c r="E6" s="8" t="s">
        <v>64</v>
      </c>
      <c r="F6" s="8" t="s">
        <v>28</v>
      </c>
      <c r="G6" s="8" t="s">
        <v>272</v>
      </c>
      <c r="H6" s="8" t="s">
        <v>269</v>
      </c>
      <c r="I6" s="7" t="s">
        <v>271</v>
      </c>
      <c r="J6" s="7"/>
      <c r="K6" s="8" t="str">
        <f>"255,0"</f>
        <v>255,0</v>
      </c>
      <c r="L6" s="8" t="str">
        <f>"159,6172"</f>
        <v>159,6172</v>
      </c>
      <c r="M6" s="6" t="s">
        <v>21</v>
      </c>
    </row>
    <row r="8" spans="1:13" ht="15">
      <c r="E8" s="9" t="s">
        <v>31</v>
      </c>
      <c r="F8" s="5" t="s">
        <v>130</v>
      </c>
    </row>
    <row r="9" spans="1:13" ht="15">
      <c r="E9" s="9" t="s">
        <v>32</v>
      </c>
      <c r="F9" s="5" t="s">
        <v>131</v>
      </c>
    </row>
    <row r="10" spans="1:13" ht="15">
      <c r="E10" s="9" t="s">
        <v>33</v>
      </c>
      <c r="F10" s="5" t="s">
        <v>132</v>
      </c>
    </row>
    <row r="11" spans="1:13" ht="15">
      <c r="E11" s="9" t="s">
        <v>34</v>
      </c>
      <c r="F11" s="5" t="s">
        <v>133</v>
      </c>
    </row>
    <row r="12" spans="1:13" ht="15">
      <c r="E12" s="9" t="s">
        <v>34</v>
      </c>
      <c r="F12" s="5" t="s">
        <v>134</v>
      </c>
    </row>
    <row r="13" spans="1:13" ht="15">
      <c r="E13" s="9" t="s">
        <v>35</v>
      </c>
      <c r="F13" s="5" t="s">
        <v>135</v>
      </c>
    </row>
    <row r="15" spans="1:13" ht="15">
      <c r="E15" s="9"/>
    </row>
    <row r="17" spans="1:5" s="4" customFormat="1" ht="18">
      <c r="A17" s="10" t="s">
        <v>36</v>
      </c>
      <c r="B17" s="10"/>
      <c r="C17" s="5"/>
      <c r="D17" s="5"/>
      <c r="E17" s="5"/>
    </row>
    <row r="18" spans="1:5" s="4" customFormat="1" ht="15">
      <c r="A18" s="11" t="s">
        <v>37</v>
      </c>
      <c r="B18" s="11"/>
      <c r="C18" s="5"/>
      <c r="D18" s="5"/>
      <c r="E18" s="5"/>
    </row>
    <row r="19" spans="1:5" s="4" customFormat="1" ht="14.25">
      <c r="A19" s="13"/>
      <c r="B19" s="14" t="s">
        <v>38</v>
      </c>
      <c r="C19" s="5"/>
      <c r="D19" s="5"/>
      <c r="E19" s="5"/>
    </row>
    <row r="20" spans="1:5" s="4" customFormat="1" ht="15">
      <c r="A20" s="15" t="s">
        <v>39</v>
      </c>
      <c r="B20" s="15" t="s">
        <v>40</v>
      </c>
      <c r="C20" s="15" t="s">
        <v>41</v>
      </c>
      <c r="D20" s="15" t="s">
        <v>42</v>
      </c>
      <c r="E20" s="15" t="s">
        <v>43</v>
      </c>
    </row>
    <row r="21" spans="1:5" s="4" customFormat="1">
      <c r="A21" s="12" t="s">
        <v>270</v>
      </c>
      <c r="B21" s="5" t="s">
        <v>38</v>
      </c>
      <c r="C21" s="5" t="s">
        <v>119</v>
      </c>
      <c r="D21" s="5" t="s">
        <v>269</v>
      </c>
      <c r="E21" s="16" t="s">
        <v>268</v>
      </c>
    </row>
    <row r="26" spans="1:5" s="4" customFormat="1" ht="18">
      <c r="A26" s="10" t="s">
        <v>50</v>
      </c>
      <c r="B26" s="10"/>
      <c r="C26" s="5"/>
      <c r="D26" s="5"/>
      <c r="E26" s="5"/>
    </row>
    <row r="27" spans="1:5" s="4" customFormat="1" ht="15">
      <c r="A27" s="15" t="s">
        <v>51</v>
      </c>
      <c r="B27" s="15" t="s">
        <v>52</v>
      </c>
      <c r="C27" s="15" t="s">
        <v>53</v>
      </c>
      <c r="D27" s="5"/>
      <c r="E27" s="5"/>
    </row>
    <row r="28" spans="1:5" s="4" customFormat="1">
      <c r="A28" s="5" t="s">
        <v>64</v>
      </c>
      <c r="B28" s="5" t="s">
        <v>54</v>
      </c>
      <c r="C28" s="5" t="s">
        <v>267</v>
      </c>
      <c r="D28" s="5"/>
      <c r="E28" s="5"/>
    </row>
  </sheetData>
  <mergeCells count="12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93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16" style="5" bestFit="1" customWidth="1"/>
    <col min="4" max="4" width="9.28515625" style="5" bestFit="1" customWidth="1"/>
    <col min="5" max="5" width="22.7109375" style="5" bestFit="1" customWidth="1"/>
    <col min="6" max="6" width="38.140625" style="5" bestFit="1" customWidth="1"/>
    <col min="7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380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154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69" t="s">
        <v>379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>
      <c r="A6" s="6" t="s">
        <v>378</v>
      </c>
      <c r="B6" s="6" t="s">
        <v>377</v>
      </c>
      <c r="C6" s="6" t="s">
        <v>376</v>
      </c>
      <c r="D6" s="6" t="str">
        <f>"0,9305"</f>
        <v>0,9305</v>
      </c>
      <c r="E6" s="6" t="s">
        <v>200</v>
      </c>
      <c r="F6" s="6" t="s">
        <v>201</v>
      </c>
      <c r="G6" s="8" t="s">
        <v>82</v>
      </c>
      <c r="H6" s="8" t="s">
        <v>44</v>
      </c>
      <c r="I6" s="8" t="s">
        <v>20</v>
      </c>
      <c r="J6" s="7"/>
      <c r="K6" s="6" t="str">
        <f>"140,0"</f>
        <v>140,0</v>
      </c>
      <c r="L6" s="8" t="str">
        <f>"130,2700"</f>
        <v>130,2700</v>
      </c>
      <c r="M6" s="6" t="s">
        <v>21</v>
      </c>
    </row>
    <row r="8" spans="1:13" ht="15">
      <c r="A8" s="37" t="s">
        <v>59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>
      <c r="A9" s="6" t="s">
        <v>375</v>
      </c>
      <c r="B9" s="6" t="s">
        <v>374</v>
      </c>
      <c r="C9" s="6" t="s">
        <v>63</v>
      </c>
      <c r="D9" s="6" t="str">
        <f>"0,8128"</f>
        <v>0,8128</v>
      </c>
      <c r="E9" s="6" t="s">
        <v>64</v>
      </c>
      <c r="F9" s="6" t="s">
        <v>107</v>
      </c>
      <c r="G9" s="8" t="s">
        <v>297</v>
      </c>
      <c r="H9" s="7"/>
      <c r="I9" s="7"/>
      <c r="J9" s="7"/>
      <c r="K9" s="6" t="str">
        <f>"230,0"</f>
        <v>230,0</v>
      </c>
      <c r="L9" s="8" t="str">
        <f>"190,6829"</f>
        <v>190,6829</v>
      </c>
      <c r="M9" s="6"/>
    </row>
    <row r="11" spans="1:13" ht="15">
      <c r="A11" s="68" t="s">
        <v>373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3">
      <c r="A12" s="6" t="s">
        <v>372</v>
      </c>
      <c r="B12" s="6" t="s">
        <v>371</v>
      </c>
      <c r="C12" s="6" t="s">
        <v>370</v>
      </c>
      <c r="D12" s="6" t="str">
        <f>"0,7545"</f>
        <v>0,7545</v>
      </c>
      <c r="E12" s="6" t="s">
        <v>285</v>
      </c>
      <c r="F12" s="6" t="s">
        <v>365</v>
      </c>
      <c r="G12" s="8" t="s">
        <v>310</v>
      </c>
      <c r="H12" s="7" t="s">
        <v>369</v>
      </c>
      <c r="I12" s="7" t="s">
        <v>369</v>
      </c>
      <c r="J12" s="7"/>
      <c r="K12" s="6" t="str">
        <f>"170,0"</f>
        <v>170,0</v>
      </c>
      <c r="L12" s="8" t="str">
        <f>"129,5476"</f>
        <v>129,5476</v>
      </c>
      <c r="M12" s="6" t="s">
        <v>21</v>
      </c>
    </row>
    <row r="15" spans="1:13" ht="15">
      <c r="A15" s="37" t="s">
        <v>70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spans="1:13">
      <c r="A16" s="6" t="s">
        <v>368</v>
      </c>
      <c r="B16" s="6" t="s">
        <v>367</v>
      </c>
      <c r="C16" s="6" t="s">
        <v>366</v>
      </c>
      <c r="D16" s="6" t="str">
        <f>"0,6645"</f>
        <v>0,6645</v>
      </c>
      <c r="E16" s="6" t="s">
        <v>285</v>
      </c>
      <c r="F16" s="6" t="s">
        <v>365</v>
      </c>
      <c r="G16" s="8" t="s">
        <v>262</v>
      </c>
      <c r="H16" s="8" t="s">
        <v>360</v>
      </c>
      <c r="I16" s="8" t="s">
        <v>289</v>
      </c>
      <c r="J16" s="7"/>
      <c r="K16" s="6" t="str">
        <f>"210,0"</f>
        <v>210,0</v>
      </c>
      <c r="L16" s="8" t="str">
        <f>"157,6858"</f>
        <v>157,6858</v>
      </c>
      <c r="M16" s="6"/>
    </row>
    <row r="17" spans="1:13">
      <c r="A17" s="6" t="s">
        <v>363</v>
      </c>
      <c r="B17" s="6" t="s">
        <v>364</v>
      </c>
      <c r="C17" s="6" t="s">
        <v>361</v>
      </c>
      <c r="D17" s="6" t="str">
        <f>"0,6980"</f>
        <v>0,6980</v>
      </c>
      <c r="E17" s="6" t="s">
        <v>283</v>
      </c>
      <c r="F17" s="6" t="s">
        <v>28</v>
      </c>
      <c r="G17" s="8" t="s">
        <v>262</v>
      </c>
      <c r="H17" s="8" t="s">
        <v>293</v>
      </c>
      <c r="I17" s="7" t="s">
        <v>360</v>
      </c>
      <c r="J17" s="7"/>
      <c r="K17" s="6" t="str">
        <f>"200,0"</f>
        <v>200,0</v>
      </c>
      <c r="L17" s="8" t="str">
        <f>"147,9760"</f>
        <v>147,9760</v>
      </c>
      <c r="M17" s="6"/>
    </row>
    <row r="18" spans="1:13">
      <c r="A18" s="6" t="s">
        <v>363</v>
      </c>
      <c r="B18" s="6" t="s">
        <v>362</v>
      </c>
      <c r="C18" s="6" t="s">
        <v>361</v>
      </c>
      <c r="D18" s="6" t="str">
        <f>"0,6980"</f>
        <v>0,6980</v>
      </c>
      <c r="E18" s="6" t="s">
        <v>283</v>
      </c>
      <c r="F18" s="6" t="s">
        <v>28</v>
      </c>
      <c r="G18" s="8" t="s">
        <v>262</v>
      </c>
      <c r="H18" s="8" t="s">
        <v>293</v>
      </c>
      <c r="I18" s="7" t="s">
        <v>360</v>
      </c>
      <c r="J18" s="7"/>
      <c r="K18" s="6" t="str">
        <f>"200,0"</f>
        <v>200,0</v>
      </c>
      <c r="L18" s="8" t="str">
        <f>"139,6000"</f>
        <v>139,6000</v>
      </c>
      <c r="M18" s="6"/>
    </row>
    <row r="19" spans="1:13">
      <c r="A19" s="6" t="s">
        <v>359</v>
      </c>
      <c r="B19" s="6" t="s">
        <v>358</v>
      </c>
      <c r="C19" s="6" t="s">
        <v>357</v>
      </c>
      <c r="D19" s="6" t="str">
        <f>"0,6767"</f>
        <v>0,6767</v>
      </c>
      <c r="E19" s="6" t="s">
        <v>200</v>
      </c>
      <c r="F19" s="6" t="s">
        <v>201</v>
      </c>
      <c r="G19" s="7" t="s">
        <v>262</v>
      </c>
      <c r="H19" s="8" t="s">
        <v>262</v>
      </c>
      <c r="I19" s="7" t="s">
        <v>258</v>
      </c>
      <c r="J19" s="7"/>
      <c r="K19" s="6" t="str">
        <f>"180,0"</f>
        <v>180,0</v>
      </c>
      <c r="L19" s="8" t="str">
        <f>"121,8060"</f>
        <v>121,8060</v>
      </c>
      <c r="M19" s="6" t="s">
        <v>21</v>
      </c>
    </row>
    <row r="20" spans="1:13">
      <c r="M20" s="5" t="s">
        <v>21</v>
      </c>
    </row>
    <row r="21" spans="1:13" ht="15">
      <c r="A21" s="37" t="s">
        <v>87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3">
      <c r="A22" s="6" t="s">
        <v>356</v>
      </c>
      <c r="B22" s="6" t="s">
        <v>355</v>
      </c>
      <c r="C22" s="6" t="s">
        <v>91</v>
      </c>
      <c r="D22" s="6" t="str">
        <f>"0,6193"</f>
        <v>0,6193</v>
      </c>
      <c r="E22" s="6" t="s">
        <v>16</v>
      </c>
      <c r="F22" s="6" t="s">
        <v>17</v>
      </c>
      <c r="G22" s="8" t="s">
        <v>289</v>
      </c>
      <c r="H22" s="8" t="s">
        <v>354</v>
      </c>
      <c r="I22" s="8" t="s">
        <v>302</v>
      </c>
      <c r="J22" s="7"/>
      <c r="K22" s="6" t="str">
        <f>"220,0"</f>
        <v>220,0</v>
      </c>
      <c r="L22" s="8" t="str">
        <f>"136,2460"</f>
        <v>136,2460</v>
      </c>
      <c r="M22" s="6" t="s">
        <v>21</v>
      </c>
    </row>
    <row r="24" spans="1:13" ht="15">
      <c r="A24" s="68" t="s">
        <v>92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</row>
    <row r="25" spans="1:13">
      <c r="A25" s="23" t="s">
        <v>352</v>
      </c>
      <c r="B25" s="23" t="s">
        <v>353</v>
      </c>
      <c r="C25" s="23" t="s">
        <v>350</v>
      </c>
      <c r="D25" s="23" t="str">
        <f>"0,5857"</f>
        <v>0,5857</v>
      </c>
      <c r="E25" s="23" t="s">
        <v>64</v>
      </c>
      <c r="F25" s="23" t="s">
        <v>28</v>
      </c>
      <c r="G25" s="25" t="s">
        <v>293</v>
      </c>
      <c r="H25" s="24" t="s">
        <v>348</v>
      </c>
      <c r="I25" s="24"/>
      <c r="J25" s="24"/>
      <c r="K25" s="23" t="str">
        <f>"200,0"</f>
        <v>200,0</v>
      </c>
      <c r="L25" s="25" t="str">
        <f>"117,1400"</f>
        <v>117,1400</v>
      </c>
      <c r="M25" s="6"/>
    </row>
    <row r="26" spans="1:13">
      <c r="A26" s="20" t="s">
        <v>352</v>
      </c>
      <c r="B26" s="20" t="s">
        <v>351</v>
      </c>
      <c r="C26" s="20" t="s">
        <v>350</v>
      </c>
      <c r="D26" s="20" t="str">
        <f>"0,5857"</f>
        <v>0,5857</v>
      </c>
      <c r="E26" s="20" t="s">
        <v>64</v>
      </c>
      <c r="F26" s="20" t="s">
        <v>28</v>
      </c>
      <c r="G26" s="22" t="s">
        <v>349</v>
      </c>
      <c r="H26" s="21" t="s">
        <v>348</v>
      </c>
      <c r="I26" s="21"/>
      <c r="J26" s="21"/>
      <c r="K26" s="20" t="str">
        <f>"200,0"</f>
        <v>200,0</v>
      </c>
      <c r="L26" s="22" t="str">
        <f>"141,0366"</f>
        <v>141,0366</v>
      </c>
      <c r="M26" s="6"/>
    </row>
    <row r="28" spans="1:13">
      <c r="M28" s="5" t="s">
        <v>21</v>
      </c>
    </row>
    <row r="29" spans="1:13" ht="15">
      <c r="A29" s="37" t="s">
        <v>347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>
      <c r="A30" s="17" t="s">
        <v>346</v>
      </c>
      <c r="B30" s="17" t="s">
        <v>345</v>
      </c>
      <c r="C30" s="17" t="s">
        <v>344</v>
      </c>
      <c r="D30" s="17" t="str">
        <f>"0,5591"</f>
        <v>0,5591</v>
      </c>
      <c r="E30" s="17" t="s">
        <v>64</v>
      </c>
      <c r="F30" s="17" t="s">
        <v>28</v>
      </c>
      <c r="G30" s="19" t="s">
        <v>343</v>
      </c>
      <c r="H30" s="19" t="s">
        <v>342</v>
      </c>
      <c r="I30" s="19" t="s">
        <v>341</v>
      </c>
      <c r="J30" s="18"/>
      <c r="K30" s="17" t="str">
        <f>"250,0"</f>
        <v>250,0</v>
      </c>
      <c r="L30" s="19" t="str">
        <f>"139,7750"</f>
        <v>139,7750</v>
      </c>
      <c r="M30" s="6" t="s">
        <v>21</v>
      </c>
    </row>
    <row r="31" spans="1:13">
      <c r="A31" s="23" t="s">
        <v>340</v>
      </c>
      <c r="B31" s="23" t="s">
        <v>339</v>
      </c>
      <c r="C31" s="23" t="s">
        <v>338</v>
      </c>
      <c r="D31" s="23" t="str">
        <f>"0,5565"</f>
        <v>0,5565</v>
      </c>
      <c r="E31" s="23" t="s">
        <v>64</v>
      </c>
      <c r="F31" s="23" t="s">
        <v>337</v>
      </c>
      <c r="G31" s="25" t="s">
        <v>336</v>
      </c>
      <c r="H31" s="24" t="s">
        <v>335</v>
      </c>
      <c r="I31" s="24"/>
      <c r="J31" s="24"/>
      <c r="K31" s="23" t="str">
        <f>"265,0"</f>
        <v>265,0</v>
      </c>
      <c r="L31" s="25" t="str">
        <f>"147,4725"</f>
        <v>147,4725</v>
      </c>
    </row>
    <row r="32" spans="1:13">
      <c r="A32" s="20" t="s">
        <v>334</v>
      </c>
      <c r="B32" s="20" t="s">
        <v>333</v>
      </c>
      <c r="C32" s="20" t="s">
        <v>332</v>
      </c>
      <c r="D32" s="20" t="str">
        <f>"0,5669"</f>
        <v>0,5669</v>
      </c>
      <c r="E32" s="20" t="s">
        <v>64</v>
      </c>
      <c r="F32" s="20" t="s">
        <v>28</v>
      </c>
      <c r="G32" s="22" t="s">
        <v>331</v>
      </c>
      <c r="H32" s="21" t="s">
        <v>330</v>
      </c>
      <c r="I32" s="21" t="s">
        <v>330</v>
      </c>
      <c r="J32" s="21"/>
      <c r="K32" s="20" t="str">
        <f>"210,0"</f>
        <v>210,0</v>
      </c>
      <c r="L32" s="22" t="str">
        <f>"119,0490"</f>
        <v>119,0490</v>
      </c>
    </row>
    <row r="33" spans="1:13">
      <c r="M33" s="5" t="s">
        <v>21</v>
      </c>
    </row>
    <row r="34" spans="1:13" ht="15">
      <c r="A34" s="68" t="s">
        <v>22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pans="1:13">
      <c r="A35" s="6" t="s">
        <v>329</v>
      </c>
      <c r="B35" s="6" t="s">
        <v>328</v>
      </c>
      <c r="C35" s="6" t="s">
        <v>327</v>
      </c>
      <c r="D35" s="6" t="str">
        <f>"0,5246"</f>
        <v>0,5246</v>
      </c>
      <c r="E35" s="6" t="s">
        <v>278</v>
      </c>
      <c r="F35" s="6" t="s">
        <v>201</v>
      </c>
      <c r="G35" s="8" t="s">
        <v>297</v>
      </c>
      <c r="H35" s="7" t="s">
        <v>326</v>
      </c>
      <c r="I35" s="7" t="s">
        <v>314</v>
      </c>
      <c r="J35" s="7"/>
      <c r="K35" s="6" t="str">
        <f>"230,0"</f>
        <v>230,0</v>
      </c>
      <c r="L35" s="8" t="str">
        <f>"120,6580"</f>
        <v>120,6580</v>
      </c>
      <c r="M35" s="6" t="s">
        <v>21</v>
      </c>
    </row>
    <row r="38" spans="1:13">
      <c r="M38" s="5" t="s">
        <v>21</v>
      </c>
    </row>
    <row r="40" spans="1:13" ht="15">
      <c r="E40" s="9" t="s">
        <v>31</v>
      </c>
      <c r="F40" s="5" t="s">
        <v>130</v>
      </c>
    </row>
    <row r="41" spans="1:13" ht="15">
      <c r="E41" s="9" t="s">
        <v>32</v>
      </c>
      <c r="F41" s="5" t="s">
        <v>131</v>
      </c>
    </row>
    <row r="42" spans="1:13" ht="15">
      <c r="E42" s="9" t="s">
        <v>33</v>
      </c>
      <c r="F42" s="5" t="s">
        <v>132</v>
      </c>
    </row>
    <row r="43" spans="1:13" ht="15">
      <c r="E43" s="9" t="s">
        <v>34</v>
      </c>
      <c r="F43" s="5" t="s">
        <v>133</v>
      </c>
    </row>
    <row r="44" spans="1:13" ht="15">
      <c r="E44" s="9" t="s">
        <v>34</v>
      </c>
      <c r="F44" s="5" t="s">
        <v>134</v>
      </c>
    </row>
    <row r="45" spans="1:13" ht="15">
      <c r="E45" s="9" t="s">
        <v>35</v>
      </c>
      <c r="F45" s="5" t="s">
        <v>135</v>
      </c>
    </row>
    <row r="46" spans="1:13" ht="15">
      <c r="E46" s="9"/>
    </row>
    <row r="48" spans="1:13" ht="18">
      <c r="A48" s="10" t="s">
        <v>36</v>
      </c>
      <c r="B48" s="10"/>
    </row>
    <row r="49" spans="1:5" s="4" customFormat="1" ht="15">
      <c r="A49" s="11" t="s">
        <v>174</v>
      </c>
      <c r="B49" s="11"/>
      <c r="C49" s="5"/>
      <c r="D49" s="5"/>
      <c r="E49" s="5"/>
    </row>
    <row r="50" spans="1:5" s="4" customFormat="1" ht="14.25">
      <c r="A50" s="13"/>
      <c r="B50" s="14" t="s">
        <v>38</v>
      </c>
      <c r="C50" s="5"/>
      <c r="D50" s="5"/>
      <c r="E50" s="5"/>
    </row>
    <row r="51" spans="1:5" s="4" customFormat="1" ht="15">
      <c r="A51" s="15" t="s">
        <v>39</v>
      </c>
      <c r="B51" s="15" t="s">
        <v>40</v>
      </c>
      <c r="C51" s="15" t="s">
        <v>41</v>
      </c>
      <c r="D51" s="15" t="s">
        <v>42</v>
      </c>
      <c r="E51" s="15" t="s">
        <v>43</v>
      </c>
    </row>
    <row r="52" spans="1:5" s="4" customFormat="1">
      <c r="A52" s="12" t="s">
        <v>325</v>
      </c>
      <c r="B52" s="5" t="s">
        <v>38</v>
      </c>
      <c r="C52" s="5" t="s">
        <v>324</v>
      </c>
      <c r="D52" s="5" t="s">
        <v>20</v>
      </c>
      <c r="E52" s="16" t="s">
        <v>323</v>
      </c>
    </row>
    <row r="53" spans="1:5" s="4" customFormat="1">
      <c r="A53" s="12" t="s">
        <v>176</v>
      </c>
      <c r="B53" s="5" t="s">
        <v>38</v>
      </c>
      <c r="C53" s="5" t="s">
        <v>115</v>
      </c>
      <c r="D53" s="5" t="s">
        <v>322</v>
      </c>
      <c r="E53" s="16" t="s">
        <v>321</v>
      </c>
    </row>
    <row r="56" spans="1:5" s="4" customFormat="1" ht="15">
      <c r="A56" s="11" t="s">
        <v>37</v>
      </c>
      <c r="B56" s="11"/>
      <c r="C56" s="5"/>
      <c r="D56" s="5"/>
      <c r="E56" s="5"/>
    </row>
    <row r="57" spans="1:5" s="4" customFormat="1" ht="14.25">
      <c r="A57" s="13"/>
      <c r="B57" s="14" t="s">
        <v>109</v>
      </c>
      <c r="C57" s="5"/>
      <c r="D57" s="5"/>
      <c r="E57" s="5"/>
    </row>
    <row r="58" spans="1:5" s="4" customFormat="1" ht="15">
      <c r="A58" s="15" t="s">
        <v>39</v>
      </c>
      <c r="B58" s="15" t="s">
        <v>40</v>
      </c>
      <c r="C58" s="15" t="s">
        <v>41</v>
      </c>
      <c r="D58" s="15" t="s">
        <v>42</v>
      </c>
      <c r="E58" s="15" t="s">
        <v>43</v>
      </c>
    </row>
    <row r="59" spans="1:5" s="4" customFormat="1">
      <c r="A59" s="12" t="s">
        <v>320</v>
      </c>
      <c r="B59" s="5" t="s">
        <v>259</v>
      </c>
      <c r="C59" s="5" t="s">
        <v>111</v>
      </c>
      <c r="D59" s="5" t="s">
        <v>289</v>
      </c>
      <c r="E59" s="16" t="s">
        <v>319</v>
      </c>
    </row>
    <row r="60" spans="1:5" s="4" customFormat="1">
      <c r="A60" s="12" t="s">
        <v>305</v>
      </c>
      <c r="B60" s="5" t="s">
        <v>110</v>
      </c>
      <c r="C60" s="5" t="s">
        <v>111</v>
      </c>
      <c r="D60" s="5" t="s">
        <v>293</v>
      </c>
      <c r="E60" s="16" t="s">
        <v>318</v>
      </c>
    </row>
    <row r="63" spans="1:5" s="4" customFormat="1" ht="14.25">
      <c r="A63" s="13"/>
      <c r="B63" s="14" t="s">
        <v>113</v>
      </c>
      <c r="C63" s="5"/>
      <c r="D63" s="5"/>
      <c r="E63" s="5"/>
    </row>
    <row r="64" spans="1:5" s="4" customFormat="1" ht="15">
      <c r="A64" s="15" t="s">
        <v>39</v>
      </c>
      <c r="B64" s="15" t="s">
        <v>40</v>
      </c>
      <c r="C64" s="15" t="s">
        <v>41</v>
      </c>
      <c r="D64" s="15" t="s">
        <v>42</v>
      </c>
      <c r="E64" s="15" t="s">
        <v>43</v>
      </c>
    </row>
    <row r="65" spans="1:5" s="4" customFormat="1">
      <c r="A65" s="12" t="s">
        <v>317</v>
      </c>
      <c r="B65" s="5" t="s">
        <v>114</v>
      </c>
      <c r="C65" s="5" t="s">
        <v>115</v>
      </c>
      <c r="D65" s="5" t="s">
        <v>297</v>
      </c>
      <c r="E65" s="16" t="s">
        <v>316</v>
      </c>
    </row>
    <row r="66" spans="1:5" s="4" customFormat="1">
      <c r="A66" s="12" t="s">
        <v>315</v>
      </c>
      <c r="B66" s="5" t="s">
        <v>114</v>
      </c>
      <c r="C66" s="5" t="s">
        <v>77</v>
      </c>
      <c r="D66" s="5" t="s">
        <v>314</v>
      </c>
      <c r="E66" s="16" t="s">
        <v>313</v>
      </c>
    </row>
    <row r="67" spans="1:5" s="4" customFormat="1">
      <c r="A67" s="12" t="s">
        <v>312</v>
      </c>
      <c r="B67" s="5" t="s">
        <v>114</v>
      </c>
      <c r="C67" s="5" t="s">
        <v>311</v>
      </c>
      <c r="D67" s="5" t="s">
        <v>310</v>
      </c>
      <c r="E67" s="16" t="s">
        <v>309</v>
      </c>
    </row>
    <row r="69" spans="1:5" s="4" customFormat="1" ht="14.25">
      <c r="A69" s="13"/>
      <c r="B69" s="14" t="s">
        <v>38</v>
      </c>
      <c r="C69" s="5"/>
      <c r="D69" s="5"/>
      <c r="E69" s="5"/>
    </row>
    <row r="70" spans="1:5" s="4" customFormat="1" ht="15">
      <c r="A70" s="15" t="s">
        <v>39</v>
      </c>
      <c r="B70" s="15" t="s">
        <v>40</v>
      </c>
      <c r="C70" s="15" t="s">
        <v>41</v>
      </c>
      <c r="D70" s="15" t="s">
        <v>42</v>
      </c>
      <c r="E70" s="15" t="s">
        <v>43</v>
      </c>
    </row>
    <row r="71" spans="1:5" s="4" customFormat="1">
      <c r="A71" s="12" t="s">
        <v>308</v>
      </c>
      <c r="B71" s="5" t="s">
        <v>38</v>
      </c>
      <c r="C71" s="5" t="s">
        <v>77</v>
      </c>
      <c r="D71" s="5" t="s">
        <v>307</v>
      </c>
      <c r="E71" s="16" t="s">
        <v>306</v>
      </c>
    </row>
    <row r="72" spans="1:5" s="4" customFormat="1">
      <c r="A72" s="12" t="s">
        <v>305</v>
      </c>
      <c r="B72" s="5" t="s">
        <v>38</v>
      </c>
      <c r="C72" s="5" t="s">
        <v>111</v>
      </c>
      <c r="D72" s="5" t="s">
        <v>293</v>
      </c>
      <c r="E72" s="16" t="s">
        <v>304</v>
      </c>
    </row>
    <row r="73" spans="1:5" s="4" customFormat="1">
      <c r="A73" s="12" t="s">
        <v>303</v>
      </c>
      <c r="B73" s="5" t="s">
        <v>38</v>
      </c>
      <c r="C73" s="5" t="s">
        <v>119</v>
      </c>
      <c r="D73" s="5" t="s">
        <v>302</v>
      </c>
      <c r="E73" s="16" t="s">
        <v>301</v>
      </c>
    </row>
    <row r="74" spans="1:5" s="4" customFormat="1">
      <c r="A74" s="12" t="s">
        <v>300</v>
      </c>
      <c r="B74" s="5" t="s">
        <v>38</v>
      </c>
      <c r="C74" s="5" t="s">
        <v>111</v>
      </c>
      <c r="D74" s="5" t="s">
        <v>262</v>
      </c>
      <c r="E74" s="16" t="s">
        <v>299</v>
      </c>
    </row>
    <row r="75" spans="1:5" s="4" customFormat="1">
      <c r="A75" s="12" t="s">
        <v>298</v>
      </c>
      <c r="B75" s="5" t="s">
        <v>38</v>
      </c>
      <c r="C75" s="5" t="s">
        <v>44</v>
      </c>
      <c r="D75" s="5" t="s">
        <v>297</v>
      </c>
      <c r="E75" s="16" t="s">
        <v>296</v>
      </c>
    </row>
    <row r="76" spans="1:5" s="4" customFormat="1">
      <c r="A76" s="12" t="s">
        <v>294</v>
      </c>
      <c r="B76" s="5" t="s">
        <v>38</v>
      </c>
      <c r="C76" s="5" t="s">
        <v>121</v>
      </c>
      <c r="D76" s="5" t="s">
        <v>293</v>
      </c>
      <c r="E76" s="16" t="s">
        <v>295</v>
      </c>
    </row>
    <row r="78" spans="1:5" s="4" customFormat="1" ht="14.25">
      <c r="A78" s="13"/>
      <c r="B78" s="14" t="s">
        <v>46</v>
      </c>
      <c r="C78" s="5"/>
      <c r="D78" s="5"/>
      <c r="E78" s="5"/>
    </row>
    <row r="79" spans="1:5" s="4" customFormat="1" ht="15">
      <c r="A79" s="15" t="s">
        <v>39</v>
      </c>
      <c r="B79" s="15" t="s">
        <v>40</v>
      </c>
      <c r="C79" s="15" t="s">
        <v>41</v>
      </c>
      <c r="D79" s="15" t="s">
        <v>42</v>
      </c>
      <c r="E79" s="15" t="s">
        <v>43</v>
      </c>
    </row>
    <row r="80" spans="1:5" s="4" customFormat="1">
      <c r="A80" s="12" t="s">
        <v>294</v>
      </c>
      <c r="B80" s="5" t="s">
        <v>47</v>
      </c>
      <c r="C80" s="5" t="s">
        <v>121</v>
      </c>
      <c r="D80" s="5" t="s">
        <v>293</v>
      </c>
      <c r="E80" s="16" t="s">
        <v>292</v>
      </c>
    </row>
    <row r="81" spans="1:5" s="4" customFormat="1">
      <c r="A81" s="12" t="s">
        <v>291</v>
      </c>
      <c r="B81" s="5" t="s">
        <v>290</v>
      </c>
      <c r="C81" s="5" t="s">
        <v>77</v>
      </c>
      <c r="D81" s="5" t="s">
        <v>289</v>
      </c>
      <c r="E81" s="16" t="s">
        <v>288</v>
      </c>
    </row>
    <row r="86" spans="1:5" s="4" customFormat="1" ht="18">
      <c r="A86" s="10" t="s">
        <v>50</v>
      </c>
      <c r="B86" s="10"/>
      <c r="C86" s="5"/>
      <c r="D86" s="5"/>
      <c r="E86" s="5"/>
    </row>
    <row r="87" spans="1:5" s="4" customFormat="1" ht="15">
      <c r="A87" s="15" t="s">
        <v>51</v>
      </c>
      <c r="B87" s="15" t="s">
        <v>52</v>
      </c>
      <c r="C87" s="15" t="s">
        <v>53</v>
      </c>
      <c r="D87" s="5"/>
      <c r="E87" s="5"/>
    </row>
    <row r="88" spans="1:5" s="4" customFormat="1">
      <c r="A88" s="5" t="s">
        <v>64</v>
      </c>
      <c r="B88" s="5" t="s">
        <v>287</v>
      </c>
      <c r="C88" s="59" t="s">
        <v>286</v>
      </c>
      <c r="D88" s="5"/>
      <c r="E88" s="5"/>
    </row>
    <row r="89" spans="1:5" s="4" customFormat="1">
      <c r="A89" s="5" t="s">
        <v>285</v>
      </c>
      <c r="B89" s="5" t="s">
        <v>232</v>
      </c>
      <c r="C89" s="5" t="s">
        <v>284</v>
      </c>
      <c r="D89" s="5"/>
      <c r="E89" s="5"/>
    </row>
    <row r="90" spans="1:5" s="4" customFormat="1">
      <c r="A90" s="5" t="s">
        <v>283</v>
      </c>
      <c r="B90" s="5" t="s">
        <v>232</v>
      </c>
      <c r="C90" s="5" t="s">
        <v>282</v>
      </c>
      <c r="D90" s="5"/>
      <c r="E90" s="5"/>
    </row>
    <row r="91" spans="1:5" s="4" customFormat="1">
      <c r="A91" s="5" t="s">
        <v>200</v>
      </c>
      <c r="B91" s="5" t="s">
        <v>281</v>
      </c>
      <c r="C91" s="5" t="s">
        <v>280</v>
      </c>
      <c r="D91" s="5"/>
      <c r="E91" s="5"/>
    </row>
    <row r="92" spans="1:5" s="4" customFormat="1">
      <c r="A92" s="5" t="s">
        <v>16</v>
      </c>
      <c r="B92" s="5" t="s">
        <v>54</v>
      </c>
      <c r="C92" s="5" t="s">
        <v>279</v>
      </c>
      <c r="D92" s="5"/>
      <c r="E92" s="5"/>
    </row>
    <row r="93" spans="1:5" s="4" customFormat="1">
      <c r="A93" s="5" t="s">
        <v>278</v>
      </c>
      <c r="B93" s="5" t="s">
        <v>54</v>
      </c>
      <c r="C93" s="5" t="s">
        <v>277</v>
      </c>
      <c r="D93" s="5"/>
      <c r="E93" s="5"/>
    </row>
  </sheetData>
  <mergeCells count="19">
    <mergeCell ref="F3:F4"/>
    <mergeCell ref="G3:J3"/>
    <mergeCell ref="K3:K4"/>
    <mergeCell ref="A5:M5"/>
    <mergeCell ref="A24:M24"/>
    <mergeCell ref="A8:M8"/>
    <mergeCell ref="A11:M11"/>
    <mergeCell ref="A15:M15"/>
    <mergeCell ref="A21:M21"/>
    <mergeCell ref="L3:L4"/>
    <mergeCell ref="M3:M4"/>
    <mergeCell ref="A29:M29"/>
    <mergeCell ref="A34:M34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8.57031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416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154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69" t="s">
        <v>59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>
      <c r="A6" s="6" t="s">
        <v>169</v>
      </c>
      <c r="B6" s="6" t="s">
        <v>170</v>
      </c>
      <c r="C6" s="6" t="s">
        <v>171</v>
      </c>
      <c r="D6" s="6" t="str">
        <f>"0,8622"</f>
        <v>0,8622</v>
      </c>
      <c r="E6" s="6" t="s">
        <v>64</v>
      </c>
      <c r="F6" s="6" t="s">
        <v>28</v>
      </c>
      <c r="G6" s="8" t="s">
        <v>415</v>
      </c>
      <c r="H6" s="8" t="s">
        <v>322</v>
      </c>
      <c r="I6" s="7" t="s">
        <v>414</v>
      </c>
      <c r="J6" s="7"/>
      <c r="K6" s="6" t="str">
        <f>"80,0"</f>
        <v>80,0</v>
      </c>
      <c r="L6" s="8" t="str">
        <f>"68,9720"</f>
        <v>68,9720</v>
      </c>
      <c r="M6" s="6" t="s">
        <v>21</v>
      </c>
    </row>
    <row r="7" spans="1:13">
      <c r="A7" s="4"/>
      <c r="B7" s="4"/>
      <c r="C7" s="4"/>
      <c r="D7" s="4"/>
      <c r="E7" s="4"/>
      <c r="F7" s="4"/>
      <c r="K7" s="4"/>
      <c r="M7" s="4"/>
    </row>
    <row r="8" spans="1:13" ht="15">
      <c r="A8" s="68" t="s">
        <v>87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>
      <c r="A9" s="6" t="s">
        <v>413</v>
      </c>
      <c r="B9" s="6" t="s">
        <v>412</v>
      </c>
      <c r="C9" s="6" t="s">
        <v>411</v>
      </c>
      <c r="D9" s="6" t="str">
        <f>"0,7084"</f>
        <v>0,7084</v>
      </c>
      <c r="E9" s="6" t="s">
        <v>382</v>
      </c>
      <c r="F9" s="6" t="s">
        <v>28</v>
      </c>
      <c r="G9" s="8" t="s">
        <v>121</v>
      </c>
      <c r="H9" s="8" t="s">
        <v>77</v>
      </c>
      <c r="I9" s="8" t="s">
        <v>48</v>
      </c>
      <c r="J9" s="7"/>
      <c r="K9" s="6" t="str">
        <f>"110,0"</f>
        <v>110,0</v>
      </c>
      <c r="L9" s="8" t="str">
        <f>"85,0870"</f>
        <v>85,0870</v>
      </c>
      <c r="M9" s="6" t="s">
        <v>21</v>
      </c>
    </row>
    <row r="10" spans="1:13">
      <c r="J10" s="67"/>
    </row>
    <row r="11" spans="1:13" ht="15">
      <c r="A11" s="37" t="s">
        <v>373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3">
      <c r="A12" s="6" t="s">
        <v>410</v>
      </c>
      <c r="B12" s="6" t="s">
        <v>409</v>
      </c>
      <c r="C12" s="6" t="s">
        <v>408</v>
      </c>
      <c r="D12" s="6" t="str">
        <f>"0,7514"</f>
        <v>0,7514</v>
      </c>
      <c r="E12" s="6" t="s">
        <v>27</v>
      </c>
      <c r="F12" s="6" t="s">
        <v>238</v>
      </c>
      <c r="G12" s="8" t="s">
        <v>18</v>
      </c>
      <c r="H12" s="8" t="s">
        <v>19</v>
      </c>
      <c r="I12" s="8" t="s">
        <v>391</v>
      </c>
      <c r="J12" s="7"/>
      <c r="K12" s="6" t="str">
        <f>"145,0"</f>
        <v>145,0</v>
      </c>
      <c r="L12" s="8" t="str">
        <f>"123,1169"</f>
        <v>123,1169</v>
      </c>
      <c r="M12" s="6" t="s">
        <v>21</v>
      </c>
    </row>
    <row r="14" spans="1:13" ht="15">
      <c r="A14" s="37" t="s">
        <v>70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3">
      <c r="A15" s="17" t="s">
        <v>407</v>
      </c>
      <c r="B15" s="17" t="s">
        <v>406</v>
      </c>
      <c r="C15" s="17" t="s">
        <v>405</v>
      </c>
      <c r="D15" s="17" t="str">
        <f>"0,6716"</f>
        <v>0,6716</v>
      </c>
      <c r="E15" s="17" t="s">
        <v>27</v>
      </c>
      <c r="F15" s="17" t="s">
        <v>28</v>
      </c>
      <c r="G15" s="19" t="s">
        <v>289</v>
      </c>
      <c r="H15" s="19" t="s">
        <v>297</v>
      </c>
      <c r="I15" s="18" t="s">
        <v>404</v>
      </c>
      <c r="J15" s="18"/>
      <c r="K15" s="17" t="str">
        <f>"230,0"</f>
        <v>230,0</v>
      </c>
      <c r="L15" s="19" t="str">
        <f>"163,7361"</f>
        <v>163,7361</v>
      </c>
      <c r="M15" s="17" t="s">
        <v>21</v>
      </c>
    </row>
    <row r="16" spans="1:13">
      <c r="A16" s="20" t="s">
        <v>403</v>
      </c>
      <c r="B16" s="20" t="s">
        <v>402</v>
      </c>
      <c r="C16" s="20" t="s">
        <v>366</v>
      </c>
      <c r="D16" s="20" t="str">
        <f>"0,6645"</f>
        <v>0,6645</v>
      </c>
      <c r="E16" s="20" t="s">
        <v>16</v>
      </c>
      <c r="F16" s="20" t="s">
        <v>17</v>
      </c>
      <c r="G16" s="22" t="s">
        <v>293</v>
      </c>
      <c r="H16" s="22" t="s">
        <v>401</v>
      </c>
      <c r="I16" s="22" t="s">
        <v>348</v>
      </c>
      <c r="J16" s="21"/>
      <c r="K16" s="20" t="str">
        <f>"225,0"</f>
        <v>225,0</v>
      </c>
      <c r="L16" s="22" t="str">
        <f>"180,7606"</f>
        <v>180,7606</v>
      </c>
      <c r="M16" s="20" t="s">
        <v>21</v>
      </c>
    </row>
    <row r="17" spans="1:13">
      <c r="J17" s="67"/>
    </row>
    <row r="18" spans="1:13" ht="15">
      <c r="A18" s="68" t="s">
        <v>92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</row>
    <row r="19" spans="1:13">
      <c r="A19" s="6" t="s">
        <v>400</v>
      </c>
      <c r="B19" s="6" t="s">
        <v>399</v>
      </c>
      <c r="C19" s="6" t="s">
        <v>102</v>
      </c>
      <c r="D19" s="6" t="str">
        <f>"0,5893"</f>
        <v>0,5893</v>
      </c>
      <c r="E19" s="6" t="s">
        <v>64</v>
      </c>
      <c r="F19" s="6" t="s">
        <v>28</v>
      </c>
      <c r="G19" s="8" t="s">
        <v>191</v>
      </c>
      <c r="H19" s="8" t="s">
        <v>67</v>
      </c>
      <c r="I19" s="8" t="s">
        <v>398</v>
      </c>
      <c r="J19" s="7"/>
      <c r="K19" s="6" t="str">
        <f>"110,0"</f>
        <v>110,0</v>
      </c>
      <c r="L19" s="8" t="str">
        <f>"79,7323"</f>
        <v>79,7323</v>
      </c>
      <c r="M19" s="6" t="s">
        <v>21</v>
      </c>
    </row>
    <row r="20" spans="1:13">
      <c r="J20" s="67"/>
    </row>
    <row r="22" spans="1:13" ht="15">
      <c r="E22" s="9" t="s">
        <v>31</v>
      </c>
      <c r="F22" s="5" t="s">
        <v>130</v>
      </c>
    </row>
    <row r="23" spans="1:13" ht="15">
      <c r="E23" s="9" t="s">
        <v>32</v>
      </c>
      <c r="F23" s="5" t="s">
        <v>131</v>
      </c>
    </row>
    <row r="24" spans="1:13" ht="15">
      <c r="E24" s="9" t="s">
        <v>33</v>
      </c>
      <c r="F24" s="5" t="s">
        <v>132</v>
      </c>
    </row>
    <row r="25" spans="1:13" ht="15">
      <c r="E25" s="9" t="s">
        <v>34</v>
      </c>
      <c r="F25" s="5" t="s">
        <v>133</v>
      </c>
    </row>
    <row r="26" spans="1:13" ht="15">
      <c r="E26" s="9" t="s">
        <v>34</v>
      </c>
      <c r="F26" s="5" t="s">
        <v>134</v>
      </c>
    </row>
    <row r="27" spans="1:13" ht="15">
      <c r="E27" s="9" t="s">
        <v>35</v>
      </c>
      <c r="F27" s="5" t="s">
        <v>135</v>
      </c>
    </row>
    <row r="28" spans="1:13" ht="15">
      <c r="E28" s="9"/>
    </row>
    <row r="30" spans="1:13" ht="18">
      <c r="A30" s="10" t="s">
        <v>36</v>
      </c>
      <c r="B30" s="10"/>
    </row>
    <row r="31" spans="1:13" ht="15">
      <c r="A31" s="11" t="s">
        <v>174</v>
      </c>
      <c r="B31" s="11"/>
    </row>
    <row r="32" spans="1:13" ht="14.25">
      <c r="A32" s="13"/>
      <c r="B32" s="14" t="s">
        <v>46</v>
      </c>
    </row>
    <row r="33" spans="1:5" s="4" customFormat="1" ht="15">
      <c r="A33" s="15" t="s">
        <v>39</v>
      </c>
      <c r="B33" s="15" t="s">
        <v>40</v>
      </c>
      <c r="C33" s="15" t="s">
        <v>41</v>
      </c>
      <c r="D33" s="15" t="s">
        <v>42</v>
      </c>
      <c r="E33" s="15" t="s">
        <v>43</v>
      </c>
    </row>
    <row r="34" spans="1:5" s="4" customFormat="1">
      <c r="A34" s="12" t="s">
        <v>397</v>
      </c>
      <c r="B34" s="5" t="s">
        <v>396</v>
      </c>
      <c r="C34" s="5" t="s">
        <v>119</v>
      </c>
      <c r="D34" s="5" t="s">
        <v>48</v>
      </c>
      <c r="E34" s="16" t="s">
        <v>395</v>
      </c>
    </row>
    <row r="37" spans="1:5" s="4" customFormat="1" ht="15">
      <c r="A37" s="11" t="s">
        <v>37</v>
      </c>
      <c r="B37" s="11"/>
      <c r="C37" s="5"/>
      <c r="D37" s="5"/>
      <c r="E37" s="5"/>
    </row>
    <row r="38" spans="1:5" s="4" customFormat="1" ht="14.25">
      <c r="A38" s="13"/>
      <c r="B38" s="14" t="s">
        <v>109</v>
      </c>
      <c r="C38" s="5"/>
      <c r="D38" s="5"/>
      <c r="E38" s="5"/>
    </row>
    <row r="39" spans="1:5" s="4" customFormat="1" ht="15">
      <c r="A39" s="15" t="s">
        <v>39</v>
      </c>
      <c r="B39" s="15" t="s">
        <v>40</v>
      </c>
      <c r="C39" s="15" t="s">
        <v>41</v>
      </c>
      <c r="D39" s="15" t="s">
        <v>42</v>
      </c>
      <c r="E39" s="15" t="s">
        <v>43</v>
      </c>
    </row>
    <row r="40" spans="1:5" s="4" customFormat="1">
      <c r="A40" s="12" t="s">
        <v>394</v>
      </c>
      <c r="B40" s="5" t="s">
        <v>110</v>
      </c>
      <c r="C40" s="5" t="s">
        <v>111</v>
      </c>
      <c r="D40" s="5" t="s">
        <v>297</v>
      </c>
      <c r="E40" s="16" t="s">
        <v>393</v>
      </c>
    </row>
    <row r="41" spans="1:5" s="4" customFormat="1">
      <c r="A41" s="12" t="s">
        <v>392</v>
      </c>
      <c r="B41" s="5" t="s">
        <v>259</v>
      </c>
      <c r="C41" s="5" t="s">
        <v>311</v>
      </c>
      <c r="D41" s="5" t="s">
        <v>391</v>
      </c>
      <c r="E41" s="16" t="s">
        <v>390</v>
      </c>
    </row>
    <row r="42" spans="1:5" s="4" customFormat="1">
      <c r="A42" s="12" t="s">
        <v>389</v>
      </c>
      <c r="B42" s="5" t="s">
        <v>388</v>
      </c>
      <c r="C42" s="5" t="s">
        <v>121</v>
      </c>
      <c r="D42" s="5" t="s">
        <v>48</v>
      </c>
      <c r="E42" s="16" t="s">
        <v>387</v>
      </c>
    </row>
    <row r="43" spans="1:5" s="4" customFormat="1" ht="14.25">
      <c r="A43" s="13"/>
      <c r="B43" s="14" t="s">
        <v>46</v>
      </c>
      <c r="C43" s="5"/>
      <c r="D43" s="5"/>
      <c r="E43" s="5"/>
    </row>
    <row r="44" spans="1:5" s="4" customFormat="1" ht="15">
      <c r="A44" s="15" t="s">
        <v>39</v>
      </c>
      <c r="B44" s="15" t="s">
        <v>40</v>
      </c>
      <c r="C44" s="15" t="s">
        <v>41</v>
      </c>
      <c r="D44" s="15" t="s">
        <v>42</v>
      </c>
      <c r="E44" s="15" t="s">
        <v>43</v>
      </c>
    </row>
    <row r="45" spans="1:5" s="4" customFormat="1">
      <c r="A45" s="12" t="s">
        <v>386</v>
      </c>
      <c r="B45" s="5" t="s">
        <v>47</v>
      </c>
      <c r="C45" s="5" t="s">
        <v>111</v>
      </c>
      <c r="D45" s="5" t="s">
        <v>348</v>
      </c>
      <c r="E45" s="16" t="s">
        <v>385</v>
      </c>
    </row>
    <row r="50" spans="1:3" s="4" customFormat="1" ht="18">
      <c r="A50" s="10" t="s">
        <v>50</v>
      </c>
      <c r="B50" s="10"/>
      <c r="C50" s="5"/>
    </row>
    <row r="51" spans="1:3" s="4" customFormat="1" ht="15">
      <c r="A51" s="15" t="s">
        <v>51</v>
      </c>
      <c r="B51" s="15" t="s">
        <v>52</v>
      </c>
      <c r="C51" s="15" t="s">
        <v>53</v>
      </c>
    </row>
    <row r="52" spans="1:3" s="4" customFormat="1">
      <c r="A52" s="5" t="s">
        <v>27</v>
      </c>
      <c r="B52" s="59" t="s">
        <v>232</v>
      </c>
      <c r="C52" s="5" t="s">
        <v>384</v>
      </c>
    </row>
    <row r="53" spans="1:3" s="4" customFormat="1">
      <c r="A53" s="5" t="s">
        <v>16</v>
      </c>
      <c r="B53" s="5" t="s">
        <v>54</v>
      </c>
      <c r="C53" s="5" t="s">
        <v>383</v>
      </c>
    </row>
    <row r="54" spans="1:3" s="4" customFormat="1">
      <c r="A54" s="5" t="s">
        <v>382</v>
      </c>
      <c r="B54" s="5" t="s">
        <v>54</v>
      </c>
      <c r="C54" s="5" t="s">
        <v>381</v>
      </c>
    </row>
  </sheetData>
  <mergeCells count="16">
    <mergeCell ref="A11:L11"/>
    <mergeCell ref="A18:M18"/>
    <mergeCell ref="A14:L14"/>
    <mergeCell ref="A1:M2"/>
    <mergeCell ref="A3:A4"/>
    <mergeCell ref="B3:B4"/>
    <mergeCell ref="C3:C4"/>
    <mergeCell ref="D3:D4"/>
    <mergeCell ref="A8:M8"/>
    <mergeCell ref="A5:M5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58"/>
  <sheetViews>
    <sheetView topLeftCell="A16" workbookViewId="0">
      <selection activeCell="A13" sqref="A13:L13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87" style="5" bestFit="1" customWidth="1"/>
    <col min="4" max="4" width="9.28515625" style="5" bestFit="1" customWidth="1"/>
    <col min="5" max="5" width="22.7109375" style="5" bestFit="1" customWidth="1"/>
    <col min="6" max="6" width="30.855468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449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59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240</v>
      </c>
      <c r="B6" s="6" t="s">
        <v>239</v>
      </c>
      <c r="C6" s="6" t="s">
        <v>171</v>
      </c>
      <c r="D6" s="6" t="str">
        <f>"0,8622"</f>
        <v>0,8622</v>
      </c>
      <c r="E6" s="6" t="s">
        <v>235</v>
      </c>
      <c r="F6" s="6" t="s">
        <v>238</v>
      </c>
      <c r="G6" s="8" t="s">
        <v>115</v>
      </c>
      <c r="H6" s="8" t="s">
        <v>448</v>
      </c>
      <c r="I6" s="8" t="s">
        <v>111</v>
      </c>
      <c r="J6" s="7"/>
      <c r="K6" s="6" t="str">
        <f>"75,0"</f>
        <v>75,0</v>
      </c>
      <c r="L6" s="8" t="str">
        <f>"64,6613"</f>
        <v>64,6613</v>
      </c>
      <c r="M6" s="6" t="s">
        <v>21</v>
      </c>
    </row>
    <row r="8" spans="1:13" ht="15">
      <c r="A8" s="37" t="s">
        <v>70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17" t="s">
        <v>443</v>
      </c>
      <c r="B9" s="17" t="s">
        <v>447</v>
      </c>
      <c r="C9" s="17" t="s">
        <v>441</v>
      </c>
      <c r="D9" s="17" t="str">
        <f>"0,6687"</f>
        <v>0,6687</v>
      </c>
      <c r="E9" s="17" t="s">
        <v>278</v>
      </c>
      <c r="F9" s="17" t="s">
        <v>201</v>
      </c>
      <c r="G9" s="19" t="s">
        <v>29</v>
      </c>
      <c r="H9" s="19" t="s">
        <v>426</v>
      </c>
      <c r="I9" s="18" t="s">
        <v>440</v>
      </c>
      <c r="J9" s="18"/>
      <c r="K9" s="17" t="str">
        <f>"162,5"</f>
        <v>162,5</v>
      </c>
      <c r="L9" s="19" t="str">
        <f>"109,7504"</f>
        <v>109,7504</v>
      </c>
      <c r="M9" s="17" t="s">
        <v>21</v>
      </c>
    </row>
    <row r="10" spans="1:13">
      <c r="A10" s="23" t="s">
        <v>446</v>
      </c>
      <c r="B10" s="23" t="s">
        <v>445</v>
      </c>
      <c r="C10" s="23" t="s">
        <v>444</v>
      </c>
      <c r="D10" s="23" t="str">
        <f>"0,6680"</f>
        <v>0,6680</v>
      </c>
      <c r="E10" s="23" t="s">
        <v>27</v>
      </c>
      <c r="F10" s="23" t="s">
        <v>28</v>
      </c>
      <c r="G10" s="25" t="s">
        <v>245</v>
      </c>
      <c r="H10" s="25" t="s">
        <v>125</v>
      </c>
      <c r="I10" s="25" t="s">
        <v>426</v>
      </c>
      <c r="J10" s="24"/>
      <c r="K10" s="23" t="str">
        <f>"162,5"</f>
        <v>162,5</v>
      </c>
      <c r="L10" s="25" t="str">
        <f>"111,8065"</f>
        <v>111,8065</v>
      </c>
      <c r="M10" s="23" t="s">
        <v>21</v>
      </c>
    </row>
    <row r="11" spans="1:13">
      <c r="A11" s="20" t="s">
        <v>443</v>
      </c>
      <c r="B11" s="20" t="s">
        <v>442</v>
      </c>
      <c r="C11" s="20" t="s">
        <v>441</v>
      </c>
      <c r="D11" s="20" t="str">
        <f>"0,6687"</f>
        <v>0,6687</v>
      </c>
      <c r="E11" s="20" t="s">
        <v>278</v>
      </c>
      <c r="F11" s="20" t="s">
        <v>201</v>
      </c>
      <c r="G11" s="22" t="s">
        <v>29</v>
      </c>
      <c r="H11" s="22" t="s">
        <v>426</v>
      </c>
      <c r="I11" s="21" t="s">
        <v>440</v>
      </c>
      <c r="J11" s="21"/>
      <c r="K11" s="20" t="str">
        <f>"162,5"</f>
        <v>162,5</v>
      </c>
      <c r="L11" s="22" t="str">
        <f>"108,6637"</f>
        <v>108,6637</v>
      </c>
      <c r="M11" s="20" t="s">
        <v>21</v>
      </c>
    </row>
    <row r="13" spans="1:13" ht="15">
      <c r="A13" s="37" t="s">
        <v>92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3">
      <c r="A14" s="6" t="s">
        <v>439</v>
      </c>
      <c r="B14" s="6" t="s">
        <v>438</v>
      </c>
      <c r="C14" s="6" t="s">
        <v>437</v>
      </c>
      <c r="D14" s="6" t="str">
        <f>"0,5916"</f>
        <v>0,5916</v>
      </c>
      <c r="E14" s="6" t="s">
        <v>278</v>
      </c>
      <c r="F14" s="6" t="s">
        <v>201</v>
      </c>
      <c r="G14" s="7" t="s">
        <v>302</v>
      </c>
      <c r="H14" s="8" t="s">
        <v>302</v>
      </c>
      <c r="I14" s="7" t="s">
        <v>297</v>
      </c>
      <c r="J14" s="7"/>
      <c r="K14" s="6" t="str">
        <f>"220,0"</f>
        <v>220,0</v>
      </c>
      <c r="L14" s="8" t="str">
        <f>"130,1520"</f>
        <v>130,1520</v>
      </c>
      <c r="M14" s="6" t="s">
        <v>21</v>
      </c>
    </row>
    <row r="16" spans="1:13" ht="15">
      <c r="A16" s="37" t="s">
        <v>347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3">
      <c r="A17" s="17" t="s">
        <v>435</v>
      </c>
      <c r="B17" s="17" t="s">
        <v>436</v>
      </c>
      <c r="C17" s="17" t="s">
        <v>338</v>
      </c>
      <c r="D17" s="17" t="str">
        <f>"0,5565"</f>
        <v>0,5565</v>
      </c>
      <c r="E17" s="17" t="s">
        <v>278</v>
      </c>
      <c r="F17" s="17" t="s">
        <v>201</v>
      </c>
      <c r="G17" s="18" t="s">
        <v>245</v>
      </c>
      <c r="H17" s="19" t="s">
        <v>245</v>
      </c>
      <c r="I17" s="18" t="s">
        <v>29</v>
      </c>
      <c r="J17" s="18"/>
      <c r="K17" s="17" t="str">
        <f>"150,0"</f>
        <v>150,0</v>
      </c>
      <c r="L17" s="19" t="str">
        <f>"83,4750"</f>
        <v>83,4750</v>
      </c>
      <c r="M17" s="17" t="s">
        <v>21</v>
      </c>
    </row>
    <row r="19" spans="1:13">
      <c r="A19" s="20" t="s">
        <v>435</v>
      </c>
      <c r="B19" s="20" t="s">
        <v>434</v>
      </c>
      <c r="C19" s="20" t="s">
        <v>338</v>
      </c>
      <c r="D19" s="20" t="str">
        <f>"0,5565"</f>
        <v>0,5565</v>
      </c>
      <c r="E19" s="20" t="s">
        <v>278</v>
      </c>
      <c r="F19" s="20" t="s">
        <v>201</v>
      </c>
      <c r="G19" s="21" t="s">
        <v>245</v>
      </c>
      <c r="H19" s="22" t="s">
        <v>245</v>
      </c>
      <c r="I19" s="21" t="s">
        <v>29</v>
      </c>
      <c r="J19" s="21"/>
      <c r="K19" s="20" t="str">
        <f>"150,0"</f>
        <v>150,0</v>
      </c>
      <c r="L19" s="22" t="str">
        <f>"128,1341"</f>
        <v>128,1341</v>
      </c>
      <c r="M19" s="20" t="s">
        <v>21</v>
      </c>
    </row>
    <row r="21" spans="1:13" ht="15">
      <c r="E21" s="9" t="s">
        <v>31</v>
      </c>
      <c r="F21" s="5" t="s">
        <v>130</v>
      </c>
    </row>
    <row r="22" spans="1:13" ht="15">
      <c r="E22" s="9" t="s">
        <v>32</v>
      </c>
      <c r="F22" s="5" t="s">
        <v>131</v>
      </c>
    </row>
    <row r="23" spans="1:13" ht="15">
      <c r="E23" s="9" t="s">
        <v>33</v>
      </c>
      <c r="F23" s="5" t="s">
        <v>132</v>
      </c>
    </row>
    <row r="24" spans="1:13" ht="15">
      <c r="E24" s="9" t="s">
        <v>34</v>
      </c>
      <c r="F24" s="5" t="s">
        <v>133</v>
      </c>
    </row>
    <row r="25" spans="1:13" ht="15">
      <c r="E25" s="9" t="s">
        <v>34</v>
      </c>
      <c r="F25" s="5" t="s">
        <v>134</v>
      </c>
    </row>
    <row r="26" spans="1:13" ht="15">
      <c r="E26" s="9" t="s">
        <v>35</v>
      </c>
      <c r="F26" s="5" t="s">
        <v>135</v>
      </c>
    </row>
    <row r="28" spans="1:13" ht="18">
      <c r="A28" s="10" t="s">
        <v>36</v>
      </c>
      <c r="B28" s="10"/>
    </row>
    <row r="29" spans="1:13" ht="15">
      <c r="A29" s="11" t="s">
        <v>174</v>
      </c>
      <c r="B29" s="11"/>
    </row>
    <row r="30" spans="1:13" ht="14.25">
      <c r="A30" s="13"/>
      <c r="B30" s="14" t="s">
        <v>38</v>
      </c>
    </row>
    <row r="31" spans="1:13" ht="15">
      <c r="A31" s="15" t="s">
        <v>39</v>
      </c>
      <c r="B31" s="15" t="s">
        <v>40</v>
      </c>
      <c r="C31" s="15" t="s">
        <v>41</v>
      </c>
      <c r="D31" s="15" t="s">
        <v>42</v>
      </c>
      <c r="E31" s="15" t="s">
        <v>43</v>
      </c>
    </row>
    <row r="32" spans="1:13">
      <c r="A32" s="12" t="s">
        <v>237</v>
      </c>
      <c r="B32" s="5" t="s">
        <v>38</v>
      </c>
      <c r="C32" s="5" t="s">
        <v>115</v>
      </c>
      <c r="D32" s="5" t="s">
        <v>111</v>
      </c>
      <c r="E32" s="16" t="s">
        <v>433</v>
      </c>
    </row>
    <row r="35" spans="1:5" s="4" customFormat="1" ht="15">
      <c r="A35" s="11" t="s">
        <v>37</v>
      </c>
      <c r="B35" s="11"/>
      <c r="C35" s="5"/>
      <c r="D35" s="5"/>
      <c r="E35" s="5"/>
    </row>
    <row r="36" spans="1:5" s="4" customFormat="1" ht="14.25">
      <c r="A36" s="13"/>
      <c r="B36" s="14" t="s">
        <v>113</v>
      </c>
      <c r="C36" s="5"/>
      <c r="D36" s="5"/>
      <c r="E36" s="5"/>
    </row>
    <row r="37" spans="1:5" s="4" customFormat="1" ht="15">
      <c r="A37" s="15" t="s">
        <v>39</v>
      </c>
      <c r="B37" s="15" t="s">
        <v>40</v>
      </c>
      <c r="C37" s="15" t="s">
        <v>41</v>
      </c>
      <c r="D37" s="15" t="s">
        <v>42</v>
      </c>
      <c r="E37" s="15" t="s">
        <v>43</v>
      </c>
    </row>
    <row r="38" spans="1:5" s="4" customFormat="1">
      <c r="A38" s="12" t="s">
        <v>432</v>
      </c>
      <c r="B38" s="5" t="s">
        <v>114</v>
      </c>
      <c r="C38" s="5" t="s">
        <v>111</v>
      </c>
      <c r="D38" s="5" t="s">
        <v>426</v>
      </c>
      <c r="E38" s="16" t="s">
        <v>431</v>
      </c>
    </row>
    <row r="39" spans="1:5" s="4" customFormat="1">
      <c r="A39" s="12" t="s">
        <v>427</v>
      </c>
      <c r="B39" s="5" t="s">
        <v>114</v>
      </c>
      <c r="C39" s="5" t="s">
        <v>111</v>
      </c>
      <c r="D39" s="5" t="s">
        <v>426</v>
      </c>
      <c r="E39" s="16" t="s">
        <v>430</v>
      </c>
    </row>
    <row r="41" spans="1:5" s="4" customFormat="1" ht="14.25">
      <c r="A41" s="13"/>
      <c r="B41" s="14" t="s">
        <v>38</v>
      </c>
      <c r="C41" s="5"/>
      <c r="D41" s="5"/>
      <c r="E41" s="5"/>
    </row>
    <row r="42" spans="1:5" s="4" customFormat="1" ht="15">
      <c r="A42" s="15" t="s">
        <v>39</v>
      </c>
      <c r="B42" s="15" t="s">
        <v>40</v>
      </c>
      <c r="C42" s="15" t="s">
        <v>41</v>
      </c>
      <c r="D42" s="15" t="s">
        <v>42</v>
      </c>
      <c r="E42" s="15" t="s">
        <v>43</v>
      </c>
    </row>
    <row r="43" spans="1:5" s="4" customFormat="1">
      <c r="A43" s="12" t="s">
        <v>429</v>
      </c>
      <c r="B43" s="5" t="s">
        <v>38</v>
      </c>
      <c r="C43" s="5" t="s">
        <v>121</v>
      </c>
      <c r="D43" s="5" t="s">
        <v>302</v>
      </c>
      <c r="E43" s="16" t="s">
        <v>428</v>
      </c>
    </row>
    <row r="44" spans="1:5" s="4" customFormat="1">
      <c r="A44" s="12" t="s">
        <v>427</v>
      </c>
      <c r="B44" s="5" t="s">
        <v>38</v>
      </c>
      <c r="C44" s="5" t="s">
        <v>111</v>
      </c>
      <c r="D44" s="5" t="s">
        <v>426</v>
      </c>
      <c r="E44" s="16" t="s">
        <v>425</v>
      </c>
    </row>
    <row r="45" spans="1:5" s="4" customFormat="1">
      <c r="A45" s="12" t="s">
        <v>423</v>
      </c>
      <c r="B45" s="5" t="s">
        <v>38</v>
      </c>
      <c r="C45" s="5" t="s">
        <v>77</v>
      </c>
      <c r="D45" s="5" t="s">
        <v>245</v>
      </c>
      <c r="E45" s="16" t="s">
        <v>424</v>
      </c>
    </row>
    <row r="47" spans="1:5" s="4" customFormat="1" ht="14.25">
      <c r="A47" s="13"/>
      <c r="B47" s="14" t="s">
        <v>46</v>
      </c>
      <c r="C47" s="5"/>
      <c r="D47" s="5"/>
      <c r="E47" s="5"/>
    </row>
    <row r="48" spans="1:5" s="4" customFormat="1" ht="15">
      <c r="A48" s="15" t="s">
        <v>39</v>
      </c>
      <c r="B48" s="15" t="s">
        <v>40</v>
      </c>
      <c r="C48" s="15" t="s">
        <v>41</v>
      </c>
      <c r="D48" s="15" t="s">
        <v>42</v>
      </c>
      <c r="E48" s="15" t="s">
        <v>43</v>
      </c>
    </row>
    <row r="49" spans="1:5" s="4" customFormat="1">
      <c r="A49" s="12" t="s">
        <v>423</v>
      </c>
      <c r="B49" s="5" t="s">
        <v>422</v>
      </c>
      <c r="C49" s="5" t="s">
        <v>77</v>
      </c>
      <c r="D49" s="5" t="s">
        <v>245</v>
      </c>
      <c r="E49" s="16" t="s">
        <v>421</v>
      </c>
    </row>
    <row r="54" spans="1:5" s="4" customFormat="1" ht="18">
      <c r="A54" s="10" t="s">
        <v>50</v>
      </c>
      <c r="B54" s="10"/>
      <c r="C54" s="5"/>
      <c r="D54" s="5"/>
      <c r="E54" s="5"/>
    </row>
    <row r="55" spans="1:5" s="4" customFormat="1" ht="15">
      <c r="A55" s="15" t="s">
        <v>51</v>
      </c>
      <c r="B55" s="15" t="s">
        <v>52</v>
      </c>
      <c r="C55" s="15" t="s">
        <v>53</v>
      </c>
      <c r="D55" s="5"/>
      <c r="E55" s="5"/>
    </row>
    <row r="56" spans="1:5" s="4" customFormat="1">
      <c r="A56" s="5" t="s">
        <v>278</v>
      </c>
      <c r="B56" s="5" t="s">
        <v>420</v>
      </c>
      <c r="C56" s="5" t="s">
        <v>419</v>
      </c>
      <c r="D56" s="5"/>
      <c r="E56" s="5"/>
    </row>
    <row r="57" spans="1:5" s="4" customFormat="1">
      <c r="A57" s="5" t="s">
        <v>235</v>
      </c>
      <c r="B57" s="5" t="s">
        <v>54</v>
      </c>
      <c r="C57" s="5" t="s">
        <v>234</v>
      </c>
      <c r="D57" s="5"/>
      <c r="E57" s="5"/>
    </row>
    <row r="58" spans="1:5" s="4" customFormat="1">
      <c r="A58" s="5" t="s">
        <v>27</v>
      </c>
      <c r="B58" s="5" t="s">
        <v>418</v>
      </c>
      <c r="C58" s="5" t="s">
        <v>417</v>
      </c>
      <c r="D58" s="5"/>
      <c r="E58" s="5"/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16:L16"/>
    <mergeCell ref="K3:K4"/>
    <mergeCell ref="L3:L4"/>
    <mergeCell ref="M3:M4"/>
    <mergeCell ref="A5:L5"/>
    <mergeCell ref="A8:L8"/>
    <mergeCell ref="A13:L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7.7109375" style="5" bestFit="1" customWidth="1"/>
    <col min="3" max="3" width="35.285156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464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87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463</v>
      </c>
      <c r="B6" s="6" t="s">
        <v>462</v>
      </c>
      <c r="C6" s="6" t="s">
        <v>461</v>
      </c>
      <c r="D6" s="6" t="str">
        <f>"0,6312"</f>
        <v>0,6312</v>
      </c>
      <c r="E6" s="6" t="s">
        <v>27</v>
      </c>
      <c r="F6" s="6" t="s">
        <v>28</v>
      </c>
      <c r="G6" s="7" t="s">
        <v>310</v>
      </c>
      <c r="H6" s="7" t="s">
        <v>455</v>
      </c>
      <c r="I6" s="8" t="s">
        <v>455</v>
      </c>
      <c r="J6" s="7"/>
      <c r="K6" s="6" t="str">
        <f>"175,0"</f>
        <v>175,0</v>
      </c>
      <c r="L6" s="8" t="str">
        <f>"119,2968"</f>
        <v>119,2968</v>
      </c>
      <c r="M6" s="6" t="s">
        <v>21</v>
      </c>
    </row>
    <row r="8" spans="1:13" ht="15">
      <c r="A8" s="37" t="s">
        <v>11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6" t="s">
        <v>460</v>
      </c>
      <c r="B9" s="6" t="s">
        <v>459</v>
      </c>
      <c r="C9" s="6" t="s">
        <v>458</v>
      </c>
      <c r="D9" s="6" t="str">
        <f>"0,5432"</f>
        <v>0,5432</v>
      </c>
      <c r="E9" s="6" t="s">
        <v>27</v>
      </c>
      <c r="F9" s="6" t="s">
        <v>28</v>
      </c>
      <c r="G9" s="8" t="s">
        <v>452</v>
      </c>
      <c r="H9" s="7" t="s">
        <v>457</v>
      </c>
      <c r="I9" s="7" t="s">
        <v>457</v>
      </c>
      <c r="J9" s="7"/>
      <c r="K9" s="6" t="str">
        <f>"177,5"</f>
        <v>177,5</v>
      </c>
      <c r="L9" s="8" t="str">
        <f>"96,4180"</f>
        <v>96,4180</v>
      </c>
      <c r="M9" s="6" t="s">
        <v>21</v>
      </c>
    </row>
    <row r="11" spans="1:13" ht="15">
      <c r="E11" s="9" t="s">
        <v>31</v>
      </c>
      <c r="F11" s="5" t="s">
        <v>130</v>
      </c>
    </row>
    <row r="12" spans="1:13" ht="15">
      <c r="E12" s="9" t="s">
        <v>32</v>
      </c>
      <c r="F12" s="5" t="s">
        <v>131</v>
      </c>
    </row>
    <row r="13" spans="1:13" ht="15">
      <c r="E13" s="9" t="s">
        <v>33</v>
      </c>
      <c r="F13" s="5" t="s">
        <v>132</v>
      </c>
    </row>
    <row r="14" spans="1:13" ht="15">
      <c r="E14" s="9" t="s">
        <v>34</v>
      </c>
      <c r="F14" s="5" t="s">
        <v>133</v>
      </c>
    </row>
    <row r="15" spans="1:13" ht="15">
      <c r="E15" s="9" t="s">
        <v>34</v>
      </c>
      <c r="F15" s="5" t="s">
        <v>134</v>
      </c>
    </row>
    <row r="16" spans="1:13" ht="15">
      <c r="E16" s="9" t="s">
        <v>35</v>
      </c>
      <c r="F16" s="5" t="s">
        <v>135</v>
      </c>
    </row>
    <row r="17" spans="1:5" s="4" customFormat="1" ht="15">
      <c r="A17" s="5"/>
      <c r="B17" s="5"/>
      <c r="C17" s="5"/>
      <c r="D17" s="5"/>
      <c r="E17" s="9"/>
    </row>
    <row r="19" spans="1:5" s="4" customFormat="1" ht="18">
      <c r="A19" s="10" t="s">
        <v>36</v>
      </c>
      <c r="B19" s="10"/>
      <c r="C19" s="5"/>
      <c r="D19" s="5"/>
      <c r="E19" s="5"/>
    </row>
    <row r="20" spans="1:5" s="4" customFormat="1" ht="15">
      <c r="A20" s="11" t="s">
        <v>37</v>
      </c>
      <c r="B20" s="11"/>
      <c r="C20" s="5"/>
      <c r="D20" s="5"/>
      <c r="E20" s="5"/>
    </row>
    <row r="21" spans="1:5" s="4" customFormat="1" ht="14.25">
      <c r="A21" s="13"/>
      <c r="B21" s="14" t="s">
        <v>109</v>
      </c>
      <c r="C21" s="5"/>
      <c r="D21" s="5"/>
      <c r="E21" s="5"/>
    </row>
    <row r="22" spans="1:5" s="4" customFormat="1" ht="15">
      <c r="A22" s="15" t="s">
        <v>39</v>
      </c>
      <c r="B22" s="15" t="s">
        <v>40</v>
      </c>
      <c r="C22" s="15" t="s">
        <v>41</v>
      </c>
      <c r="D22" s="15" t="s">
        <v>42</v>
      </c>
      <c r="E22" s="15" t="s">
        <v>43</v>
      </c>
    </row>
    <row r="23" spans="1:5" s="4" customFormat="1">
      <c r="A23" s="12" t="s">
        <v>456</v>
      </c>
      <c r="B23" s="5" t="s">
        <v>259</v>
      </c>
      <c r="C23" s="5" t="s">
        <v>119</v>
      </c>
      <c r="D23" s="5" t="s">
        <v>455</v>
      </c>
      <c r="E23" s="16" t="s">
        <v>454</v>
      </c>
    </row>
    <row r="25" spans="1:5" s="4" customFormat="1" ht="14.25">
      <c r="A25" s="13"/>
      <c r="B25" s="14" t="s">
        <v>38</v>
      </c>
      <c r="C25" s="5"/>
      <c r="D25" s="5"/>
      <c r="E25" s="5"/>
    </row>
    <row r="26" spans="1:5" s="4" customFormat="1" ht="15">
      <c r="A26" s="15" t="s">
        <v>39</v>
      </c>
      <c r="B26" s="15" t="s">
        <v>40</v>
      </c>
      <c r="C26" s="15" t="s">
        <v>41</v>
      </c>
      <c r="D26" s="15" t="s">
        <v>42</v>
      </c>
      <c r="E26" s="15" t="s">
        <v>43</v>
      </c>
    </row>
    <row r="27" spans="1:5" s="4" customFormat="1">
      <c r="A27" s="12" t="s">
        <v>453</v>
      </c>
      <c r="B27" s="5" t="s">
        <v>38</v>
      </c>
      <c r="C27" s="5" t="s">
        <v>48</v>
      </c>
      <c r="D27" s="5" t="s">
        <v>452</v>
      </c>
      <c r="E27" s="16" t="s">
        <v>451</v>
      </c>
    </row>
    <row r="32" spans="1:5" s="4" customFormat="1" ht="18">
      <c r="A32" s="10" t="s">
        <v>50</v>
      </c>
      <c r="B32" s="10"/>
      <c r="C32" s="5"/>
      <c r="D32" s="5"/>
      <c r="E32" s="5"/>
    </row>
    <row r="33" spans="1:3" s="4" customFormat="1" ht="15">
      <c r="A33" s="15" t="s">
        <v>51</v>
      </c>
      <c r="B33" s="15" t="s">
        <v>52</v>
      </c>
      <c r="C33" s="15" t="s">
        <v>53</v>
      </c>
    </row>
    <row r="34" spans="1:3" s="4" customFormat="1">
      <c r="A34" s="5" t="s">
        <v>27</v>
      </c>
      <c r="B34" s="5" t="s">
        <v>232</v>
      </c>
      <c r="C34" s="5" t="s">
        <v>450</v>
      </c>
    </row>
  </sheetData>
  <mergeCells count="13">
    <mergeCell ref="E3:E4"/>
    <mergeCell ref="F3:F4"/>
    <mergeCell ref="G3:J3"/>
    <mergeCell ref="K3:K4"/>
    <mergeCell ref="L3:L4"/>
    <mergeCell ref="M3:M4"/>
    <mergeCell ref="A5:L5"/>
    <mergeCell ref="A8:L8"/>
    <mergeCell ref="A1:M2"/>
    <mergeCell ref="A3:A4"/>
    <mergeCell ref="B3:B4"/>
    <mergeCell ref="C3:C4"/>
    <mergeCell ref="D3:D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48"/>
  <sheetViews>
    <sheetView zoomScale="85" zoomScaleNormal="85" workbookViewId="0">
      <selection activeCell="C13" sqref="C13"/>
    </sheetView>
  </sheetViews>
  <sheetFormatPr defaultRowHeight="12.75"/>
  <cols>
    <col min="1" max="1" width="31.85546875" style="5" bestFit="1" customWidth="1"/>
    <col min="2" max="2" width="36" style="5" bestFit="1" customWidth="1"/>
    <col min="3" max="3" width="179.7109375" style="5" bestFit="1" customWidth="1"/>
    <col min="4" max="4" width="9.28515625" style="5" bestFit="1" customWidth="1"/>
    <col min="5" max="5" width="22.7109375" style="5" bestFit="1" customWidth="1"/>
    <col min="6" max="6" width="33.5703125" style="5" bestFit="1" customWidth="1"/>
    <col min="7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663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69" t="s">
        <v>662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>
      <c r="A6" s="6" t="s">
        <v>661</v>
      </c>
      <c r="B6" s="6" t="s">
        <v>660</v>
      </c>
      <c r="C6" s="6" t="s">
        <v>659</v>
      </c>
      <c r="D6" s="6" t="str">
        <f>"0,9724"</f>
        <v>0,9724</v>
      </c>
      <c r="E6" s="6" t="s">
        <v>27</v>
      </c>
      <c r="F6" s="6" t="s">
        <v>28</v>
      </c>
      <c r="G6" s="8" t="s">
        <v>652</v>
      </c>
      <c r="H6" s="8" t="s">
        <v>448</v>
      </c>
      <c r="I6" s="8" t="s">
        <v>551</v>
      </c>
      <c r="J6" s="7"/>
      <c r="K6" s="6" t="str">
        <f>"72,5"</f>
        <v>72,5</v>
      </c>
      <c r="L6" s="8" t="str">
        <f>"86,7093"</f>
        <v>86,7093</v>
      </c>
      <c r="M6" s="17" t="s">
        <v>21</v>
      </c>
    </row>
    <row r="7" spans="1:13">
      <c r="A7" s="6"/>
      <c r="B7" s="6"/>
      <c r="C7" s="6"/>
      <c r="D7" s="6"/>
      <c r="E7" s="6"/>
      <c r="F7" s="6"/>
      <c r="G7" s="8"/>
      <c r="H7" s="8"/>
      <c r="I7" s="8"/>
      <c r="J7" s="8"/>
      <c r="K7" s="6"/>
      <c r="L7" s="8"/>
      <c r="M7" s="6"/>
    </row>
    <row r="8" spans="1:13" ht="15">
      <c r="A8" s="75" t="s">
        <v>379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3">
      <c r="A9" s="6" t="s">
        <v>658</v>
      </c>
      <c r="B9" s="6" t="s">
        <v>657</v>
      </c>
      <c r="C9" s="6" t="s">
        <v>656</v>
      </c>
      <c r="D9" s="6" t="str">
        <f>"0,9333"</f>
        <v>0,9333</v>
      </c>
      <c r="E9" s="6" t="s">
        <v>27</v>
      </c>
      <c r="F9" s="6" t="s">
        <v>28</v>
      </c>
      <c r="G9" s="8" t="s">
        <v>591</v>
      </c>
      <c r="H9" s="8" t="s">
        <v>311</v>
      </c>
      <c r="I9" s="7" t="s">
        <v>551</v>
      </c>
      <c r="J9" s="7"/>
      <c r="K9" s="6" t="str">
        <f>"67,5"</f>
        <v>67,5</v>
      </c>
      <c r="L9" s="8" t="str">
        <f>"62,9978"</f>
        <v>62,9978</v>
      </c>
      <c r="M9" s="20" t="s">
        <v>21</v>
      </c>
    </row>
    <row r="11" spans="1:13" ht="15">
      <c r="A11" s="73" t="s">
        <v>373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1"/>
    </row>
    <row r="12" spans="1:13">
      <c r="A12" s="6" t="s">
        <v>655</v>
      </c>
      <c r="B12" s="6" t="s">
        <v>654</v>
      </c>
      <c r="C12" s="6" t="s">
        <v>653</v>
      </c>
      <c r="D12" s="6" t="str">
        <f>"0,8122"</f>
        <v>0,8122</v>
      </c>
      <c r="E12" s="6" t="s">
        <v>200</v>
      </c>
      <c r="F12" s="6" t="s">
        <v>201</v>
      </c>
      <c r="G12" s="8" t="s">
        <v>652</v>
      </c>
      <c r="H12" s="8" t="s">
        <v>551</v>
      </c>
      <c r="I12" s="8" t="s">
        <v>111</v>
      </c>
      <c r="J12" s="7"/>
      <c r="K12" s="6" t="str">
        <f>"75,0"</f>
        <v>75,0</v>
      </c>
      <c r="L12" s="8" t="str">
        <f>"64,5659"</f>
        <v>64,5659</v>
      </c>
      <c r="M12" s="6"/>
    </row>
    <row r="14" spans="1:13" ht="15">
      <c r="A14" s="68" t="s">
        <v>651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70"/>
    </row>
    <row r="15" spans="1:13">
      <c r="A15" s="17" t="s">
        <v>650</v>
      </c>
      <c r="B15" s="17" t="s">
        <v>649</v>
      </c>
      <c r="C15" s="17" t="s">
        <v>648</v>
      </c>
      <c r="D15" s="17" t="str">
        <f>"1,1723"</f>
        <v>1,1723</v>
      </c>
      <c r="E15" s="17" t="s">
        <v>470</v>
      </c>
      <c r="F15" s="17" t="s">
        <v>28</v>
      </c>
      <c r="G15" s="19" t="s">
        <v>642</v>
      </c>
      <c r="H15" s="19" t="s">
        <v>192</v>
      </c>
      <c r="I15" s="18" t="s">
        <v>647</v>
      </c>
      <c r="J15" s="18"/>
      <c r="K15" s="17" t="str">
        <f>"30,0"</f>
        <v>30,0</v>
      </c>
      <c r="L15" s="19" t="str">
        <f>"43,2579"</f>
        <v>43,2579</v>
      </c>
    </row>
    <row r="16" spans="1:13">
      <c r="A16" s="20" t="s">
        <v>646</v>
      </c>
      <c r="B16" s="20" t="s">
        <v>645</v>
      </c>
      <c r="C16" s="20" t="s">
        <v>644</v>
      </c>
      <c r="D16" s="20" t="str">
        <f>"1,3133"</f>
        <v>1,3133</v>
      </c>
      <c r="E16" s="20" t="s">
        <v>382</v>
      </c>
      <c r="F16" s="20" t="s">
        <v>28</v>
      </c>
      <c r="G16" s="22" t="s">
        <v>532</v>
      </c>
      <c r="H16" s="21" t="s">
        <v>643</v>
      </c>
      <c r="I16" s="21" t="s">
        <v>642</v>
      </c>
      <c r="J16" s="21"/>
      <c r="K16" s="20" t="str">
        <f>"20,0"</f>
        <v>20,0</v>
      </c>
      <c r="L16" s="22" t="str">
        <f>"32,3072"</f>
        <v>32,3072</v>
      </c>
    </row>
    <row r="17" spans="1:13">
      <c r="M17" s="6" t="s">
        <v>21</v>
      </c>
    </row>
    <row r="18" spans="1:13" ht="15">
      <c r="A18" s="68" t="s">
        <v>59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70"/>
    </row>
    <row r="19" spans="1:13">
      <c r="A19" s="6" t="s">
        <v>641</v>
      </c>
      <c r="B19" s="6" t="s">
        <v>640</v>
      </c>
      <c r="C19" s="6" t="s">
        <v>639</v>
      </c>
      <c r="D19" s="6" t="str">
        <f>"0,8271"</f>
        <v>0,8271</v>
      </c>
      <c r="E19" s="6" t="s">
        <v>64</v>
      </c>
      <c r="F19" s="6" t="s">
        <v>201</v>
      </c>
      <c r="G19" s="8" t="s">
        <v>77</v>
      </c>
      <c r="H19" s="7" t="s">
        <v>116</v>
      </c>
      <c r="I19" s="7" t="s">
        <v>116</v>
      </c>
      <c r="J19" s="7"/>
      <c r="K19" s="6" t="str">
        <f>"100,0"</f>
        <v>100,0</v>
      </c>
      <c r="L19" s="8" t="str">
        <f>"85,1913"</f>
        <v>85,1913</v>
      </c>
    </row>
    <row r="21" spans="1:13" ht="15">
      <c r="A21" s="68" t="s">
        <v>373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70"/>
    </row>
    <row r="22" spans="1:13">
      <c r="A22" s="17" t="s">
        <v>638</v>
      </c>
      <c r="B22" s="17" t="s">
        <v>622</v>
      </c>
      <c r="C22" s="17" t="s">
        <v>636</v>
      </c>
      <c r="D22" s="17" t="str">
        <f>"0,7268"</f>
        <v>0,7268</v>
      </c>
      <c r="E22" s="17" t="s">
        <v>475</v>
      </c>
      <c r="F22" s="17" t="s">
        <v>563</v>
      </c>
      <c r="G22" s="19" t="s">
        <v>20</v>
      </c>
      <c r="H22" s="19" t="s">
        <v>391</v>
      </c>
      <c r="I22" s="18" t="s">
        <v>245</v>
      </c>
      <c r="J22" s="18"/>
      <c r="K22" s="17" t="str">
        <f>"145,0"</f>
        <v>145,0</v>
      </c>
      <c r="L22" s="19" t="str">
        <f>"111,7092"</f>
        <v>111,7092</v>
      </c>
    </row>
    <row r="23" spans="1:13">
      <c r="A23" s="20" t="s">
        <v>638</v>
      </c>
      <c r="B23" s="20" t="s">
        <v>637</v>
      </c>
      <c r="C23" s="20" t="s">
        <v>636</v>
      </c>
      <c r="D23" s="20" t="str">
        <f>"0,7268"</f>
        <v>0,7268</v>
      </c>
      <c r="E23" s="20" t="s">
        <v>475</v>
      </c>
      <c r="F23" s="20" t="s">
        <v>563</v>
      </c>
      <c r="G23" s="22" t="s">
        <v>20</v>
      </c>
      <c r="H23" s="22"/>
      <c r="I23" s="21"/>
      <c r="J23" s="21"/>
      <c r="K23" s="20" t="str">
        <f>"140,0"</f>
        <v>140,0</v>
      </c>
      <c r="L23" s="22" t="str">
        <f>"107,8571"</f>
        <v>107,8571</v>
      </c>
    </row>
    <row r="24" spans="1:13">
      <c r="M24" s="6" t="s">
        <v>21</v>
      </c>
    </row>
    <row r="25" spans="1:13" ht="15">
      <c r="A25" s="68" t="s">
        <v>70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70"/>
    </row>
    <row r="26" spans="1:13">
      <c r="A26" s="17" t="s">
        <v>72</v>
      </c>
      <c r="B26" s="17" t="s">
        <v>73</v>
      </c>
      <c r="C26" s="17" t="s">
        <v>74</v>
      </c>
      <c r="D26" s="17" t="str">
        <f>"0,6774"</f>
        <v>0,6774</v>
      </c>
      <c r="E26" s="17" t="s">
        <v>75</v>
      </c>
      <c r="F26" s="17" t="s">
        <v>76</v>
      </c>
      <c r="G26" s="19" t="s">
        <v>48</v>
      </c>
      <c r="H26" s="18" t="s">
        <v>18</v>
      </c>
      <c r="I26" s="18" t="s">
        <v>18</v>
      </c>
      <c r="J26" s="18"/>
      <c r="K26" s="17" t="str">
        <f>"110,0"</f>
        <v>110,0</v>
      </c>
      <c r="L26" s="19" t="str">
        <f>"78,9848"</f>
        <v>78,9848</v>
      </c>
    </row>
    <row r="27" spans="1:13">
      <c r="A27" s="23" t="s">
        <v>635</v>
      </c>
      <c r="B27" s="23" t="s">
        <v>634</v>
      </c>
      <c r="C27" s="23" t="s">
        <v>633</v>
      </c>
      <c r="D27" s="23" t="str">
        <f>"0,6737"</f>
        <v>0,6737</v>
      </c>
      <c r="E27" s="23" t="s">
        <v>75</v>
      </c>
      <c r="F27" s="23" t="s">
        <v>76</v>
      </c>
      <c r="G27" s="25" t="s">
        <v>48</v>
      </c>
      <c r="H27" s="24" t="s">
        <v>18</v>
      </c>
      <c r="I27" s="24" t="s">
        <v>18</v>
      </c>
      <c r="J27" s="24"/>
      <c r="K27" s="23" t="str">
        <f>"110,0"</f>
        <v>110,0</v>
      </c>
      <c r="L27" s="25" t="str">
        <f>"77,0713"</f>
        <v>77,0713</v>
      </c>
    </row>
    <row r="28" spans="1:13">
      <c r="A28" s="23" t="s">
        <v>632</v>
      </c>
      <c r="B28" s="23" t="s">
        <v>631</v>
      </c>
      <c r="C28" s="23" t="s">
        <v>630</v>
      </c>
      <c r="D28" s="23" t="str">
        <f>"0,7040"</f>
        <v>0,7040</v>
      </c>
      <c r="E28" s="23" t="s">
        <v>64</v>
      </c>
      <c r="F28" s="23" t="s">
        <v>629</v>
      </c>
      <c r="G28" s="25" t="s">
        <v>628</v>
      </c>
      <c r="H28" s="25" t="s">
        <v>627</v>
      </c>
      <c r="I28" s="24" t="s">
        <v>391</v>
      </c>
      <c r="J28" s="24"/>
      <c r="K28" s="23" t="str">
        <f>"142,5"</f>
        <v>142,5</v>
      </c>
      <c r="L28" s="25" t="str">
        <f>"102,3264"</f>
        <v>102,3264</v>
      </c>
      <c r="M28" s="6" t="s">
        <v>21</v>
      </c>
    </row>
    <row r="29" spans="1:13">
      <c r="A29" s="20" t="s">
        <v>626</v>
      </c>
      <c r="B29" s="20" t="s">
        <v>625</v>
      </c>
      <c r="C29" s="20" t="s">
        <v>366</v>
      </c>
      <c r="D29" s="20" t="str">
        <f>"0,6645"</f>
        <v>0,6645</v>
      </c>
      <c r="E29" s="20" t="s">
        <v>64</v>
      </c>
      <c r="F29" s="20" t="s">
        <v>28</v>
      </c>
      <c r="G29" s="22" t="s">
        <v>67</v>
      </c>
      <c r="H29" s="22" t="s">
        <v>398</v>
      </c>
      <c r="I29" s="21" t="s">
        <v>624</v>
      </c>
      <c r="J29" s="21"/>
      <c r="K29" s="20" t="str">
        <f>"110,0"</f>
        <v>110,0</v>
      </c>
      <c r="L29" s="22" t="str">
        <f>"93,6347"</f>
        <v>93,6347</v>
      </c>
      <c r="M29" s="6" t="s">
        <v>21</v>
      </c>
    </row>
    <row r="30" spans="1:13">
      <c r="M30" s="6" t="s">
        <v>21</v>
      </c>
    </row>
    <row r="31" spans="1:13" ht="15">
      <c r="A31" s="68" t="s">
        <v>87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70"/>
    </row>
    <row r="32" spans="1:13">
      <c r="A32" s="17" t="s">
        <v>623</v>
      </c>
      <c r="B32" s="17" t="s">
        <v>622</v>
      </c>
      <c r="C32" s="17" t="s">
        <v>91</v>
      </c>
      <c r="D32" s="17" t="str">
        <f>"0,6193"</f>
        <v>0,6193</v>
      </c>
      <c r="E32" s="17" t="s">
        <v>16</v>
      </c>
      <c r="F32" s="17" t="s">
        <v>17</v>
      </c>
      <c r="G32" s="19" t="s">
        <v>517</v>
      </c>
      <c r="H32" s="19" t="s">
        <v>20</v>
      </c>
      <c r="I32" s="18" t="s">
        <v>618</v>
      </c>
      <c r="J32" s="18"/>
      <c r="K32" s="17" t="str">
        <f>"140,0"</f>
        <v>140,0</v>
      </c>
      <c r="L32" s="19" t="str">
        <f>"91,9041"</f>
        <v>91,9041</v>
      </c>
    </row>
    <row r="33" spans="1:13">
      <c r="A33" s="23" t="s">
        <v>621</v>
      </c>
      <c r="B33" s="23" t="s">
        <v>620</v>
      </c>
      <c r="C33" s="23" t="s">
        <v>619</v>
      </c>
      <c r="D33" s="23" t="str">
        <f>"0,6292"</f>
        <v>0,6292</v>
      </c>
      <c r="E33" s="23" t="s">
        <v>16</v>
      </c>
      <c r="F33" s="23" t="s">
        <v>17</v>
      </c>
      <c r="G33" s="25" t="s">
        <v>517</v>
      </c>
      <c r="H33" s="24" t="s">
        <v>618</v>
      </c>
      <c r="I33" s="24" t="s">
        <v>618</v>
      </c>
      <c r="J33" s="24"/>
      <c r="K33" s="23" t="str">
        <f>"135,0"</f>
        <v>135,0</v>
      </c>
      <c r="L33" s="25" t="str">
        <f>"86,6477"</f>
        <v>86,6477</v>
      </c>
    </row>
    <row r="34" spans="1:13">
      <c r="A34" s="23" t="s">
        <v>617</v>
      </c>
      <c r="B34" s="23" t="s">
        <v>90</v>
      </c>
      <c r="C34" s="23" t="s">
        <v>91</v>
      </c>
      <c r="D34" s="23" t="str">
        <f>"0,6193"</f>
        <v>0,6193</v>
      </c>
      <c r="E34" s="23" t="s">
        <v>75</v>
      </c>
      <c r="F34" s="23" t="s">
        <v>76</v>
      </c>
      <c r="G34" s="25" t="s">
        <v>517</v>
      </c>
      <c r="H34" s="24" t="s">
        <v>525</v>
      </c>
      <c r="I34" s="24" t="s">
        <v>525</v>
      </c>
      <c r="J34" s="24"/>
      <c r="K34" s="23" t="str">
        <f>"135,0"</f>
        <v>135,0</v>
      </c>
      <c r="L34" s="25" t="str">
        <f>"83,6055"</f>
        <v>83,6055</v>
      </c>
      <c r="M34" s="6" t="s">
        <v>21</v>
      </c>
    </row>
    <row r="35" spans="1:13">
      <c r="A35" s="20" t="s">
        <v>616</v>
      </c>
      <c r="B35" s="20" t="s">
        <v>615</v>
      </c>
      <c r="C35" s="20" t="s">
        <v>614</v>
      </c>
      <c r="D35" s="20" t="str">
        <f>"0,6391"</f>
        <v>0,6391</v>
      </c>
      <c r="E35" s="20" t="s">
        <v>467</v>
      </c>
      <c r="F35" s="20" t="s">
        <v>65</v>
      </c>
      <c r="G35" s="22" t="s">
        <v>20</v>
      </c>
      <c r="H35" s="22" t="s">
        <v>391</v>
      </c>
      <c r="I35" s="22" t="s">
        <v>245</v>
      </c>
      <c r="J35" s="21"/>
      <c r="K35" s="20" t="str">
        <f>"150,0"</f>
        <v>150,0</v>
      </c>
      <c r="L35" s="22" t="str">
        <f>"95,8650"</f>
        <v>95,8650</v>
      </c>
      <c r="M35" s="6" t="s">
        <v>21</v>
      </c>
    </row>
    <row r="36" spans="1:13">
      <c r="M36" s="6" t="s">
        <v>21</v>
      </c>
    </row>
    <row r="37" spans="1:13" ht="15">
      <c r="A37" s="68" t="s">
        <v>92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70"/>
    </row>
    <row r="38" spans="1:13">
      <c r="A38" s="17" t="s">
        <v>613</v>
      </c>
      <c r="B38" s="17" t="s">
        <v>612</v>
      </c>
      <c r="C38" s="17" t="s">
        <v>611</v>
      </c>
      <c r="D38" s="17" t="str">
        <f>"0,6093"</f>
        <v>0,6093</v>
      </c>
      <c r="E38" s="17" t="s">
        <v>64</v>
      </c>
      <c r="F38" s="17" t="s">
        <v>28</v>
      </c>
      <c r="G38" s="19" t="s">
        <v>99</v>
      </c>
      <c r="H38" s="18" t="s">
        <v>440</v>
      </c>
      <c r="I38" s="18" t="s">
        <v>440</v>
      </c>
      <c r="J38" s="18"/>
      <c r="K38" s="17" t="str">
        <f>"165,0"</f>
        <v>165,0</v>
      </c>
      <c r="L38" s="19" t="str">
        <f>"103,5505"</f>
        <v>103,5505</v>
      </c>
    </row>
    <row r="39" spans="1:13">
      <c r="A39" s="23" t="s">
        <v>610</v>
      </c>
      <c r="B39" s="23" t="s">
        <v>609</v>
      </c>
      <c r="C39" s="23" t="s">
        <v>229</v>
      </c>
      <c r="D39" s="23" t="str">
        <f>"0,5960"</f>
        <v>0,5960</v>
      </c>
      <c r="E39" s="23" t="s">
        <v>64</v>
      </c>
      <c r="F39" s="23" t="s">
        <v>28</v>
      </c>
      <c r="G39" s="25" t="s">
        <v>391</v>
      </c>
      <c r="H39" s="25" t="s">
        <v>245</v>
      </c>
      <c r="I39" s="25" t="s">
        <v>29</v>
      </c>
      <c r="J39" s="24"/>
      <c r="K39" s="23" t="str">
        <f>"155,0"</f>
        <v>155,0</v>
      </c>
      <c r="L39" s="25" t="str">
        <f>"94,2276"</f>
        <v>94,2276</v>
      </c>
    </row>
    <row r="40" spans="1:13">
      <c r="A40" s="23" t="s">
        <v>608</v>
      </c>
      <c r="B40" s="23" t="s">
        <v>607</v>
      </c>
      <c r="C40" s="23" t="s">
        <v>606</v>
      </c>
      <c r="D40" s="23" t="str">
        <f>"0,5877"</f>
        <v>0,5877</v>
      </c>
      <c r="E40" s="23" t="s">
        <v>200</v>
      </c>
      <c r="F40" s="23" t="s">
        <v>201</v>
      </c>
      <c r="G40" s="25" t="s">
        <v>245</v>
      </c>
      <c r="H40" s="25" t="s">
        <v>29</v>
      </c>
      <c r="I40" s="25" t="s">
        <v>504</v>
      </c>
      <c r="J40" s="24"/>
      <c r="K40" s="23" t="str">
        <f>"160,0"</f>
        <v>160,0</v>
      </c>
      <c r="L40" s="25" t="str">
        <f>"94,0320"</f>
        <v>94,0320</v>
      </c>
      <c r="M40" s="17" t="s">
        <v>21</v>
      </c>
    </row>
    <row r="41" spans="1:13">
      <c r="A41" s="23" t="s">
        <v>605</v>
      </c>
      <c r="B41" s="23" t="s">
        <v>604</v>
      </c>
      <c r="C41" s="23" t="s">
        <v>603</v>
      </c>
      <c r="D41" s="23" t="str">
        <f>"0,5881"</f>
        <v>0,5881</v>
      </c>
      <c r="E41" s="23" t="s">
        <v>64</v>
      </c>
      <c r="F41" s="23" t="s">
        <v>28</v>
      </c>
      <c r="G41" s="24" t="s">
        <v>82</v>
      </c>
      <c r="H41" s="25" t="s">
        <v>82</v>
      </c>
      <c r="I41" s="24" t="s">
        <v>44</v>
      </c>
      <c r="J41" s="24"/>
      <c r="K41" s="23" t="str">
        <f>"115,0"</f>
        <v>115,0</v>
      </c>
      <c r="L41" s="25" t="str">
        <f>"67,6315"</f>
        <v>67,6315</v>
      </c>
      <c r="M41" s="23" t="s">
        <v>21</v>
      </c>
    </row>
    <row r="42" spans="1:13">
      <c r="A42" s="23" t="s">
        <v>602</v>
      </c>
      <c r="B42" s="23" t="s">
        <v>601</v>
      </c>
      <c r="C42" s="23" t="s">
        <v>600</v>
      </c>
      <c r="D42" s="23" t="str">
        <f>"0,6022"</f>
        <v>0,6022</v>
      </c>
      <c r="E42" s="23" t="s">
        <v>64</v>
      </c>
      <c r="F42" s="23" t="s">
        <v>28</v>
      </c>
      <c r="G42" s="25" t="s">
        <v>599</v>
      </c>
      <c r="H42" s="24" t="s">
        <v>517</v>
      </c>
      <c r="I42" s="24" t="s">
        <v>517</v>
      </c>
      <c r="J42" s="24"/>
      <c r="K42" s="23" t="str">
        <f>"120,0"</f>
        <v>120,0</v>
      </c>
      <c r="L42" s="25" t="str">
        <f>"72,9144"</f>
        <v>72,9144</v>
      </c>
      <c r="M42" s="23" t="s">
        <v>21</v>
      </c>
    </row>
    <row r="43" spans="1:13">
      <c r="A43" s="20" t="s">
        <v>598</v>
      </c>
      <c r="B43" s="20" t="s">
        <v>597</v>
      </c>
      <c r="C43" s="20" t="s">
        <v>596</v>
      </c>
      <c r="D43" s="20" t="str">
        <f>"0,5939"</f>
        <v>0,5939</v>
      </c>
      <c r="E43" s="20" t="s">
        <v>75</v>
      </c>
      <c r="F43" s="20" t="s">
        <v>76</v>
      </c>
      <c r="G43" s="21" t="s">
        <v>121</v>
      </c>
      <c r="H43" s="22" t="s">
        <v>121</v>
      </c>
      <c r="I43" s="21" t="s">
        <v>595</v>
      </c>
      <c r="J43" s="21"/>
      <c r="K43" s="20" t="str">
        <f>"90,0"</f>
        <v>90,0</v>
      </c>
      <c r="L43" s="22" t="str">
        <f>"56,0167"</f>
        <v>56,0167</v>
      </c>
      <c r="M43" s="23" t="s">
        <v>21</v>
      </c>
    </row>
    <row r="44" spans="1:13">
      <c r="M44" s="23" t="s">
        <v>21</v>
      </c>
    </row>
    <row r="45" spans="1:13" ht="15">
      <c r="A45" s="68" t="s">
        <v>347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70"/>
    </row>
    <row r="46" spans="1:13">
      <c r="A46" s="17" t="s">
        <v>594</v>
      </c>
      <c r="B46" s="17" t="s">
        <v>593</v>
      </c>
      <c r="C46" s="17" t="s">
        <v>592</v>
      </c>
      <c r="D46" s="17" t="str">
        <f>"0,5594"</f>
        <v>0,5594</v>
      </c>
      <c r="E46" s="17" t="s">
        <v>27</v>
      </c>
      <c r="F46" s="17" t="s">
        <v>28</v>
      </c>
      <c r="G46" s="19" t="s">
        <v>591</v>
      </c>
      <c r="H46" s="19" t="s">
        <v>311</v>
      </c>
      <c r="I46" s="18"/>
      <c r="J46" s="18"/>
      <c r="K46" s="17" t="str">
        <f>"67,5"</f>
        <v>67,5</v>
      </c>
      <c r="L46" s="19" t="str">
        <f>"39,2699"</f>
        <v>39,2699</v>
      </c>
    </row>
    <row r="47" spans="1:13">
      <c r="A47" s="23" t="s">
        <v>346</v>
      </c>
      <c r="B47" s="23" t="s">
        <v>345</v>
      </c>
      <c r="C47" s="23" t="s">
        <v>344</v>
      </c>
      <c r="D47" s="23" t="str">
        <f>"0,5591"</f>
        <v>0,5591</v>
      </c>
      <c r="E47" s="23" t="s">
        <v>64</v>
      </c>
      <c r="F47" s="23" t="s">
        <v>28</v>
      </c>
      <c r="G47" s="25" t="s">
        <v>97</v>
      </c>
      <c r="H47" s="25" t="s">
        <v>590</v>
      </c>
      <c r="I47" s="24" t="s">
        <v>30</v>
      </c>
      <c r="J47" s="24"/>
      <c r="K47" s="23" t="str">
        <f>"162,5"</f>
        <v>162,5</v>
      </c>
      <c r="L47" s="25" t="str">
        <f>"90,8537"</f>
        <v>90,8537</v>
      </c>
    </row>
    <row r="48" spans="1:13">
      <c r="A48" s="23" t="s">
        <v>578</v>
      </c>
      <c r="B48" s="23" t="s">
        <v>589</v>
      </c>
      <c r="C48" s="23" t="s">
        <v>338</v>
      </c>
      <c r="D48" s="23" t="str">
        <f>"0,5565"</f>
        <v>0,5565</v>
      </c>
      <c r="E48" s="23" t="s">
        <v>472</v>
      </c>
      <c r="F48" s="23" t="s">
        <v>576</v>
      </c>
      <c r="G48" s="24" t="s">
        <v>401</v>
      </c>
      <c r="H48" s="25" t="s">
        <v>401</v>
      </c>
      <c r="I48" s="24"/>
      <c r="J48" s="24"/>
      <c r="K48" s="23" t="str">
        <f>"215,0"</f>
        <v>215,0</v>
      </c>
      <c r="L48" s="25" t="str">
        <f>"119,6475"</f>
        <v>119,6475</v>
      </c>
      <c r="M48" s="17" t="s">
        <v>21</v>
      </c>
    </row>
    <row r="49" spans="1:13">
      <c r="A49" s="23" t="s">
        <v>588</v>
      </c>
      <c r="B49" s="23" t="s">
        <v>587</v>
      </c>
      <c r="C49" s="23" t="s">
        <v>344</v>
      </c>
      <c r="D49" s="23" t="str">
        <f>"0,5591"</f>
        <v>0,5591</v>
      </c>
      <c r="E49" s="23" t="s">
        <v>16</v>
      </c>
      <c r="F49" s="23" t="s">
        <v>17</v>
      </c>
      <c r="G49" s="25" t="s">
        <v>455</v>
      </c>
      <c r="H49" s="24" t="s">
        <v>586</v>
      </c>
      <c r="I49" s="24" t="s">
        <v>586</v>
      </c>
      <c r="J49" s="24"/>
      <c r="K49" s="23" t="str">
        <f>"175,0"</f>
        <v>175,0</v>
      </c>
      <c r="L49" s="25" t="str">
        <f>"97,8425"</f>
        <v>97,8425</v>
      </c>
      <c r="M49" s="23" t="s">
        <v>21</v>
      </c>
    </row>
    <row r="50" spans="1:13">
      <c r="A50" s="23" t="s">
        <v>585</v>
      </c>
      <c r="B50" s="23" t="s">
        <v>584</v>
      </c>
      <c r="C50" s="23" t="s">
        <v>344</v>
      </c>
      <c r="D50" s="23" t="str">
        <f>"0,5591"</f>
        <v>0,5591</v>
      </c>
      <c r="E50" s="23" t="s">
        <v>64</v>
      </c>
      <c r="F50" s="23" t="s">
        <v>28</v>
      </c>
      <c r="G50" s="25" t="s">
        <v>245</v>
      </c>
      <c r="H50" s="25" t="s">
        <v>426</v>
      </c>
      <c r="I50" s="24" t="s">
        <v>30</v>
      </c>
      <c r="J50" s="24"/>
      <c r="K50" s="23" t="str">
        <f>"162,5"</f>
        <v>162,5</v>
      </c>
      <c r="L50" s="25" t="str">
        <f>"90,8537"</f>
        <v>90,8537</v>
      </c>
      <c r="M50" s="23" t="s">
        <v>21</v>
      </c>
    </row>
    <row r="51" spans="1:13">
      <c r="A51" s="23" t="s">
        <v>583</v>
      </c>
      <c r="B51" s="23" t="s">
        <v>582</v>
      </c>
      <c r="C51" s="23" t="s">
        <v>581</v>
      </c>
      <c r="D51" s="23" t="str">
        <f>"0,5689"</f>
        <v>0,5689</v>
      </c>
      <c r="E51" s="23" t="s">
        <v>64</v>
      </c>
      <c r="F51" s="23" t="s">
        <v>28</v>
      </c>
      <c r="G51" s="25" t="s">
        <v>580</v>
      </c>
      <c r="H51" s="25" t="s">
        <v>579</v>
      </c>
      <c r="I51" s="24" t="s">
        <v>426</v>
      </c>
      <c r="J51" s="24"/>
      <c r="K51" s="23" t="str">
        <f>"155,0"</f>
        <v>155,0</v>
      </c>
      <c r="L51" s="25" t="str">
        <f>"88,1872"</f>
        <v>88,1872</v>
      </c>
      <c r="M51" s="23" t="s">
        <v>21</v>
      </c>
    </row>
    <row r="52" spans="1:13">
      <c r="A52" s="23" t="s">
        <v>578</v>
      </c>
      <c r="B52" s="23" t="s">
        <v>577</v>
      </c>
      <c r="C52" s="23" t="s">
        <v>338</v>
      </c>
      <c r="D52" s="23" t="str">
        <f>"0,5565"</f>
        <v>0,5565</v>
      </c>
      <c r="E52" s="23" t="s">
        <v>472</v>
      </c>
      <c r="F52" s="23" t="s">
        <v>576</v>
      </c>
      <c r="G52" s="24" t="s">
        <v>401</v>
      </c>
      <c r="H52" s="25" t="s">
        <v>401</v>
      </c>
      <c r="I52" s="24"/>
      <c r="J52" s="24"/>
      <c r="K52" s="23" t="str">
        <f>"215,0"</f>
        <v>215,0</v>
      </c>
      <c r="L52" s="25" t="str">
        <f>"130,6551"</f>
        <v>130,6551</v>
      </c>
      <c r="M52" s="23" t="s">
        <v>21</v>
      </c>
    </row>
    <row r="53" spans="1:13">
      <c r="A53" s="20" t="s">
        <v>575</v>
      </c>
      <c r="B53" s="20" t="s">
        <v>574</v>
      </c>
      <c r="C53" s="20" t="s">
        <v>344</v>
      </c>
      <c r="D53" s="20" t="str">
        <f>"0,5591"</f>
        <v>0,5591</v>
      </c>
      <c r="E53" s="20" t="s">
        <v>64</v>
      </c>
      <c r="F53" s="20" t="s">
        <v>573</v>
      </c>
      <c r="G53" s="22" t="s">
        <v>572</v>
      </c>
      <c r="H53" s="22" t="s">
        <v>571</v>
      </c>
      <c r="I53" s="22" t="s">
        <v>570</v>
      </c>
      <c r="J53" s="21"/>
      <c r="K53" s="20" t="str">
        <f>"140,0"</f>
        <v>140,0</v>
      </c>
      <c r="L53" s="22" t="str">
        <f>"115,8455"</f>
        <v>115,8455</v>
      </c>
      <c r="M53" s="23" t="s">
        <v>21</v>
      </c>
    </row>
    <row r="54" spans="1:13">
      <c r="B54" s="4"/>
      <c r="M54" s="23" t="s">
        <v>21</v>
      </c>
    </row>
    <row r="55" spans="1:13" ht="15">
      <c r="A55" s="68" t="s">
        <v>11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70"/>
    </row>
    <row r="56" spans="1:13">
      <c r="A56" s="6" t="s">
        <v>569</v>
      </c>
      <c r="B56" s="6" t="s">
        <v>568</v>
      </c>
      <c r="C56" s="6" t="s">
        <v>567</v>
      </c>
      <c r="D56" s="6" t="str">
        <f>"0,5446"</f>
        <v>0,5446</v>
      </c>
      <c r="E56" s="6" t="s">
        <v>200</v>
      </c>
      <c r="F56" s="6" t="s">
        <v>201</v>
      </c>
      <c r="G56" s="8" t="s">
        <v>504</v>
      </c>
      <c r="H56" s="8" t="s">
        <v>440</v>
      </c>
      <c r="I56" s="8" t="s">
        <v>501</v>
      </c>
      <c r="J56" s="7"/>
      <c r="K56" s="6" t="str">
        <f>"172,5"</f>
        <v>172,5</v>
      </c>
      <c r="L56" s="8" t="str">
        <f>"93,9435"</f>
        <v>93,9435</v>
      </c>
    </row>
    <row r="58" spans="1:13" ht="15">
      <c r="A58" s="68" t="s">
        <v>22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70"/>
    </row>
    <row r="59" spans="1:13">
      <c r="A59" s="6" t="s">
        <v>566</v>
      </c>
      <c r="B59" s="6" t="s">
        <v>565</v>
      </c>
      <c r="C59" s="6" t="s">
        <v>564</v>
      </c>
      <c r="D59" s="6" t="str">
        <f>"0,5243"</f>
        <v>0,5243</v>
      </c>
      <c r="E59" s="6" t="s">
        <v>475</v>
      </c>
      <c r="F59" s="6" t="s">
        <v>563</v>
      </c>
      <c r="G59" s="7" t="s">
        <v>310</v>
      </c>
      <c r="H59" s="8" t="s">
        <v>262</v>
      </c>
      <c r="I59" s="7" t="s">
        <v>258</v>
      </c>
      <c r="J59" s="7"/>
      <c r="K59" s="6" t="str">
        <f>"180,0"</f>
        <v>180,0</v>
      </c>
      <c r="L59" s="8" t="str">
        <f>"94,3740"</f>
        <v>94,3740</v>
      </c>
    </row>
    <row r="61" spans="1:13" ht="15">
      <c r="A61" s="68" t="s">
        <v>562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70"/>
    </row>
    <row r="62" spans="1:13">
      <c r="A62" s="17" t="s">
        <v>561</v>
      </c>
      <c r="B62" s="17" t="s">
        <v>560</v>
      </c>
      <c r="C62" s="17" t="s">
        <v>559</v>
      </c>
      <c r="D62" s="17" t="str">
        <f>"0,5118"</f>
        <v>0,5118</v>
      </c>
      <c r="E62" s="17" t="s">
        <v>235</v>
      </c>
      <c r="F62" s="17" t="s">
        <v>238</v>
      </c>
      <c r="G62" s="19" t="s">
        <v>391</v>
      </c>
      <c r="H62" s="19" t="s">
        <v>29</v>
      </c>
      <c r="I62" s="19" t="s">
        <v>30</v>
      </c>
      <c r="J62" s="18"/>
      <c r="K62" s="17" t="str">
        <f>"165,0"</f>
        <v>165,0</v>
      </c>
      <c r="L62" s="19" t="str">
        <f>"87,8180"</f>
        <v>87,8180</v>
      </c>
    </row>
    <row r="63" spans="1:13">
      <c r="A63" s="20" t="s">
        <v>558</v>
      </c>
      <c r="B63" s="20" t="s">
        <v>557</v>
      </c>
      <c r="C63" s="20" t="s">
        <v>556</v>
      </c>
      <c r="D63" s="20" t="str">
        <f>"0,5097"</f>
        <v>0,5097</v>
      </c>
      <c r="E63" s="20" t="s">
        <v>16</v>
      </c>
      <c r="F63" s="20" t="s">
        <v>17</v>
      </c>
      <c r="G63" s="22" t="s">
        <v>293</v>
      </c>
      <c r="H63" s="22" t="s">
        <v>555</v>
      </c>
      <c r="I63" s="22" t="s">
        <v>513</v>
      </c>
      <c r="J63" s="21"/>
      <c r="K63" s="20" t="str">
        <f>"212,5"</f>
        <v>212,5</v>
      </c>
      <c r="L63" s="22" t="str">
        <f>"108,3155"</f>
        <v>108,3155</v>
      </c>
    </row>
    <row r="64" spans="1:13">
      <c r="M64" s="17" t="s">
        <v>21</v>
      </c>
    </row>
    <row r="65" spans="1:13">
      <c r="M65" s="20" t="s">
        <v>21</v>
      </c>
    </row>
    <row r="67" spans="1:13" ht="15">
      <c r="E67" s="9" t="s">
        <v>31</v>
      </c>
      <c r="F67" s="5" t="s">
        <v>130</v>
      </c>
    </row>
    <row r="68" spans="1:13" ht="15">
      <c r="E68" s="9" t="s">
        <v>32</v>
      </c>
      <c r="F68" s="5" t="s">
        <v>131</v>
      </c>
    </row>
    <row r="69" spans="1:13" ht="15">
      <c r="E69" s="9" t="s">
        <v>33</v>
      </c>
      <c r="F69" s="5" t="s">
        <v>132</v>
      </c>
    </row>
    <row r="70" spans="1:13" ht="15">
      <c r="E70" s="9" t="s">
        <v>34</v>
      </c>
      <c r="F70" s="5" t="s">
        <v>133</v>
      </c>
    </row>
    <row r="71" spans="1:13" ht="15">
      <c r="E71" s="9" t="s">
        <v>34</v>
      </c>
      <c r="F71" s="5" t="s">
        <v>134</v>
      </c>
    </row>
    <row r="72" spans="1:13" ht="15">
      <c r="E72" s="9" t="s">
        <v>35</v>
      </c>
      <c r="F72" s="5" t="s">
        <v>135</v>
      </c>
    </row>
    <row r="73" spans="1:13" ht="15">
      <c r="E73" s="9"/>
    </row>
    <row r="75" spans="1:13" ht="18">
      <c r="A75" s="10" t="s">
        <v>36</v>
      </c>
      <c r="B75" s="10"/>
    </row>
    <row r="76" spans="1:13" ht="15">
      <c r="A76" s="11" t="s">
        <v>174</v>
      </c>
      <c r="B76" s="11"/>
    </row>
    <row r="77" spans="1:13" ht="14.25">
      <c r="A77" s="13"/>
      <c r="B77" s="14" t="s">
        <v>554</v>
      </c>
    </row>
    <row r="78" spans="1:13" ht="15">
      <c r="A78" s="15" t="s">
        <v>39</v>
      </c>
      <c r="B78" s="15" t="s">
        <v>40</v>
      </c>
      <c r="C78" s="15" t="s">
        <v>41</v>
      </c>
      <c r="D78" s="15" t="s">
        <v>42</v>
      </c>
      <c r="E78" s="15" t="s">
        <v>43</v>
      </c>
    </row>
    <row r="79" spans="1:13">
      <c r="A79" s="12" t="s">
        <v>553</v>
      </c>
      <c r="B79" s="5" t="s">
        <v>388</v>
      </c>
      <c r="C79" s="5" t="s">
        <v>552</v>
      </c>
      <c r="D79" s="5" t="s">
        <v>551</v>
      </c>
      <c r="E79" s="16" t="s">
        <v>550</v>
      </c>
    </row>
    <row r="80" spans="1:13">
      <c r="A80" s="12" t="s">
        <v>549</v>
      </c>
      <c r="B80" s="5" t="s">
        <v>110</v>
      </c>
      <c r="C80" s="5" t="s">
        <v>311</v>
      </c>
      <c r="D80" s="5" t="s">
        <v>111</v>
      </c>
      <c r="E80" s="16" t="s">
        <v>548</v>
      </c>
    </row>
    <row r="83" spans="1:5" s="4" customFormat="1" ht="14.25">
      <c r="A83" s="13"/>
      <c r="B83" s="14" t="s">
        <v>38</v>
      </c>
      <c r="C83" s="5"/>
      <c r="D83" s="5"/>
      <c r="E83" s="5"/>
    </row>
    <row r="84" spans="1:5" s="4" customFormat="1" ht="15">
      <c r="A84" s="15" t="s">
        <v>39</v>
      </c>
      <c r="B84" s="15" t="s">
        <v>40</v>
      </c>
      <c r="C84" s="15" t="s">
        <v>41</v>
      </c>
      <c r="D84" s="15" t="s">
        <v>42</v>
      </c>
      <c r="E84" s="15" t="s">
        <v>43</v>
      </c>
    </row>
    <row r="85" spans="1:5" s="4" customFormat="1">
      <c r="A85" s="12" t="s">
        <v>547</v>
      </c>
      <c r="B85" s="5" t="s">
        <v>38</v>
      </c>
      <c r="C85" s="5" t="s">
        <v>324</v>
      </c>
      <c r="D85" s="5" t="s">
        <v>311</v>
      </c>
      <c r="E85" s="16" t="s">
        <v>546</v>
      </c>
    </row>
    <row r="89" spans="1:5" s="4" customFormat="1" ht="15">
      <c r="A89" s="11" t="s">
        <v>37</v>
      </c>
      <c r="B89" s="11"/>
      <c r="C89" s="5"/>
      <c r="D89" s="5"/>
      <c r="E89" s="5"/>
    </row>
    <row r="90" spans="1:5" s="4" customFormat="1" ht="14.25">
      <c r="A90" s="13"/>
      <c r="B90" s="14" t="s">
        <v>109</v>
      </c>
      <c r="C90" s="5"/>
      <c r="D90" s="5"/>
      <c r="E90" s="5"/>
    </row>
    <row r="91" spans="1:5" s="4" customFormat="1" ht="15">
      <c r="A91" s="15" t="s">
        <v>39</v>
      </c>
      <c r="B91" s="15" t="s">
        <v>40</v>
      </c>
      <c r="C91" s="15" t="s">
        <v>41</v>
      </c>
      <c r="D91" s="15" t="s">
        <v>42</v>
      </c>
      <c r="E91" s="15" t="s">
        <v>43</v>
      </c>
    </row>
    <row r="92" spans="1:5" s="4" customFormat="1">
      <c r="A92" s="12" t="s">
        <v>530</v>
      </c>
      <c r="B92" s="5" t="s">
        <v>110</v>
      </c>
      <c r="C92" s="5" t="s">
        <v>311</v>
      </c>
      <c r="D92" s="5" t="s">
        <v>391</v>
      </c>
      <c r="E92" s="16" t="s">
        <v>545</v>
      </c>
    </row>
    <row r="93" spans="1:5" s="4" customFormat="1">
      <c r="A93" s="12" t="s">
        <v>544</v>
      </c>
      <c r="B93" s="5" t="s">
        <v>110</v>
      </c>
      <c r="C93" s="5" t="s">
        <v>119</v>
      </c>
      <c r="D93" s="5" t="s">
        <v>20</v>
      </c>
      <c r="E93" s="16" t="s">
        <v>543</v>
      </c>
    </row>
    <row r="94" spans="1:5" s="4" customFormat="1">
      <c r="A94" s="12" t="s">
        <v>542</v>
      </c>
      <c r="B94" s="5" t="s">
        <v>110</v>
      </c>
      <c r="C94" s="5" t="s">
        <v>20</v>
      </c>
      <c r="D94" s="5" t="s">
        <v>30</v>
      </c>
      <c r="E94" s="16" t="s">
        <v>541</v>
      </c>
    </row>
    <row r="95" spans="1:5" s="4" customFormat="1">
      <c r="A95" s="12" t="s">
        <v>71</v>
      </c>
      <c r="B95" s="5" t="s">
        <v>110</v>
      </c>
      <c r="C95" s="5" t="s">
        <v>111</v>
      </c>
      <c r="D95" s="5" t="s">
        <v>48</v>
      </c>
      <c r="E95" s="16" t="s">
        <v>112</v>
      </c>
    </row>
    <row r="96" spans="1:5" s="4" customFormat="1">
      <c r="A96" s="12" t="s">
        <v>540</v>
      </c>
      <c r="B96" s="5" t="s">
        <v>110</v>
      </c>
      <c r="C96" s="5" t="s">
        <v>111</v>
      </c>
      <c r="D96" s="5" t="s">
        <v>48</v>
      </c>
      <c r="E96" s="16" t="s">
        <v>539</v>
      </c>
    </row>
    <row r="97" spans="1:5" s="4" customFormat="1">
      <c r="A97" s="12" t="s">
        <v>538</v>
      </c>
      <c r="B97" s="5" t="s">
        <v>388</v>
      </c>
      <c r="C97" s="5" t="s">
        <v>533</v>
      </c>
      <c r="D97" s="5" t="s">
        <v>192</v>
      </c>
      <c r="E97" s="16" t="s">
        <v>537</v>
      </c>
    </row>
    <row r="98" spans="1:5" s="4" customFormat="1">
      <c r="A98" s="12" t="s">
        <v>536</v>
      </c>
      <c r="B98" s="5" t="s">
        <v>110</v>
      </c>
      <c r="C98" s="5" t="s">
        <v>77</v>
      </c>
      <c r="D98" s="5" t="s">
        <v>311</v>
      </c>
      <c r="E98" s="16" t="s">
        <v>535</v>
      </c>
    </row>
    <row r="99" spans="1:5" s="4" customFormat="1">
      <c r="A99" s="12" t="s">
        <v>534</v>
      </c>
      <c r="B99" s="5" t="s">
        <v>388</v>
      </c>
      <c r="C99" s="5" t="s">
        <v>533</v>
      </c>
      <c r="D99" s="5" t="s">
        <v>532</v>
      </c>
      <c r="E99" s="16" t="s">
        <v>531</v>
      </c>
    </row>
    <row r="101" spans="1:5" s="4" customFormat="1" ht="14.25">
      <c r="A101" s="13"/>
      <c r="B101" s="14" t="s">
        <v>113</v>
      </c>
      <c r="C101" s="5"/>
      <c r="D101" s="5"/>
      <c r="E101" s="5"/>
    </row>
    <row r="102" spans="1:5" s="4" customFormat="1" ht="15">
      <c r="A102" s="15" t="s">
        <v>39</v>
      </c>
      <c r="B102" s="15" t="s">
        <v>40</v>
      </c>
      <c r="C102" s="15" t="s">
        <v>41</v>
      </c>
      <c r="D102" s="15" t="s">
        <v>42</v>
      </c>
      <c r="E102" s="15" t="s">
        <v>43</v>
      </c>
    </row>
    <row r="103" spans="1:5" s="4" customFormat="1">
      <c r="A103" s="12" t="s">
        <v>530</v>
      </c>
      <c r="B103" s="5" t="s">
        <v>114</v>
      </c>
      <c r="C103" s="5" t="s">
        <v>311</v>
      </c>
      <c r="D103" s="5" t="s">
        <v>20</v>
      </c>
      <c r="E103" s="16" t="s">
        <v>529</v>
      </c>
    </row>
    <row r="104" spans="1:5" s="4" customFormat="1">
      <c r="A104" s="12" t="s">
        <v>528</v>
      </c>
      <c r="B104" s="5" t="s">
        <v>114</v>
      </c>
      <c r="C104" s="5" t="s">
        <v>121</v>
      </c>
      <c r="D104" s="5" t="s">
        <v>30</v>
      </c>
      <c r="E104" s="16" t="s">
        <v>527</v>
      </c>
    </row>
    <row r="105" spans="1:5" s="4" customFormat="1">
      <c r="A105" s="12" t="s">
        <v>526</v>
      </c>
      <c r="B105" s="5" t="s">
        <v>114</v>
      </c>
      <c r="C105" s="5" t="s">
        <v>111</v>
      </c>
      <c r="D105" s="5" t="s">
        <v>525</v>
      </c>
      <c r="E105" s="16" t="s">
        <v>524</v>
      </c>
    </row>
    <row r="106" spans="1:5" s="4" customFormat="1">
      <c r="A106" s="12" t="s">
        <v>523</v>
      </c>
      <c r="B106" s="5" t="s">
        <v>114</v>
      </c>
      <c r="C106" s="5" t="s">
        <v>121</v>
      </c>
      <c r="D106" s="5" t="s">
        <v>29</v>
      </c>
      <c r="E106" s="16" t="s">
        <v>522</v>
      </c>
    </row>
    <row r="107" spans="1:5" s="4" customFormat="1">
      <c r="A107" s="12" t="s">
        <v>315</v>
      </c>
      <c r="B107" s="5" t="s">
        <v>114</v>
      </c>
      <c r="C107" s="5" t="s">
        <v>77</v>
      </c>
      <c r="D107" s="5" t="s">
        <v>426</v>
      </c>
      <c r="E107" s="16" t="s">
        <v>499</v>
      </c>
    </row>
    <row r="108" spans="1:5" s="4" customFormat="1">
      <c r="A108" s="12" t="s">
        <v>521</v>
      </c>
      <c r="B108" s="5" t="s">
        <v>114</v>
      </c>
      <c r="C108" s="5" t="s">
        <v>119</v>
      </c>
      <c r="D108" s="5" t="s">
        <v>517</v>
      </c>
      <c r="E108" s="16" t="s">
        <v>520</v>
      </c>
    </row>
    <row r="109" spans="1:5" s="4" customFormat="1">
      <c r="A109" s="12" t="s">
        <v>519</v>
      </c>
      <c r="B109" s="5" t="s">
        <v>114</v>
      </c>
      <c r="C109" s="5" t="s">
        <v>115</v>
      </c>
      <c r="D109" s="5" t="s">
        <v>77</v>
      </c>
      <c r="E109" s="16" t="s">
        <v>518</v>
      </c>
    </row>
    <row r="110" spans="1:5" s="4" customFormat="1">
      <c r="A110" s="12" t="s">
        <v>88</v>
      </c>
      <c r="B110" s="5" t="s">
        <v>114</v>
      </c>
      <c r="C110" s="5" t="s">
        <v>119</v>
      </c>
      <c r="D110" s="5" t="s">
        <v>517</v>
      </c>
      <c r="E110" s="16" t="s">
        <v>516</v>
      </c>
    </row>
    <row r="112" spans="1:5" s="4" customFormat="1" ht="14.25">
      <c r="A112" s="13"/>
      <c r="B112" s="14" t="s">
        <v>38</v>
      </c>
      <c r="C112" s="5"/>
      <c r="D112" s="5"/>
      <c r="E112" s="5"/>
    </row>
    <row r="113" spans="1:5" s="4" customFormat="1" ht="15">
      <c r="A113" s="15" t="s">
        <v>39</v>
      </c>
      <c r="B113" s="15" t="s">
        <v>40</v>
      </c>
      <c r="C113" s="15" t="s">
        <v>41</v>
      </c>
      <c r="D113" s="15" t="s">
        <v>42</v>
      </c>
      <c r="E113" s="15" t="s">
        <v>43</v>
      </c>
    </row>
    <row r="114" spans="1:5" s="4" customFormat="1">
      <c r="A114" s="12" t="s">
        <v>494</v>
      </c>
      <c r="B114" s="5" t="s">
        <v>38</v>
      </c>
      <c r="C114" s="5" t="s">
        <v>77</v>
      </c>
      <c r="D114" s="5" t="s">
        <v>401</v>
      </c>
      <c r="E114" s="16" t="s">
        <v>515</v>
      </c>
    </row>
    <row r="115" spans="1:5" s="4" customFormat="1">
      <c r="A115" s="12" t="s">
        <v>514</v>
      </c>
      <c r="B115" s="5" t="s">
        <v>38</v>
      </c>
      <c r="C115" s="5" t="s">
        <v>20</v>
      </c>
      <c r="D115" s="5" t="s">
        <v>513</v>
      </c>
      <c r="E115" s="16" t="s">
        <v>512</v>
      </c>
    </row>
    <row r="116" spans="1:5" s="4" customFormat="1">
      <c r="A116" s="12" t="s">
        <v>511</v>
      </c>
      <c r="B116" s="5" t="s">
        <v>38</v>
      </c>
      <c r="C116" s="5" t="s">
        <v>77</v>
      </c>
      <c r="D116" s="5" t="s">
        <v>455</v>
      </c>
      <c r="E116" s="16" t="s">
        <v>510</v>
      </c>
    </row>
    <row r="117" spans="1:5" s="4" customFormat="1">
      <c r="A117" s="12" t="s">
        <v>509</v>
      </c>
      <c r="B117" s="5" t="s">
        <v>38</v>
      </c>
      <c r="C117" s="5" t="s">
        <v>119</v>
      </c>
      <c r="D117" s="5" t="s">
        <v>245</v>
      </c>
      <c r="E117" s="16" t="s">
        <v>508</v>
      </c>
    </row>
    <row r="118" spans="1:5" s="4" customFormat="1">
      <c r="A118" s="12" t="s">
        <v>507</v>
      </c>
      <c r="B118" s="5" t="s">
        <v>38</v>
      </c>
      <c r="C118" s="5" t="s">
        <v>44</v>
      </c>
      <c r="D118" s="5" t="s">
        <v>262</v>
      </c>
      <c r="E118" s="16" t="s">
        <v>506</v>
      </c>
    </row>
    <row r="119" spans="1:5" s="4" customFormat="1">
      <c r="A119" s="12" t="s">
        <v>505</v>
      </c>
      <c r="B119" s="5" t="s">
        <v>38</v>
      </c>
      <c r="C119" s="5" t="s">
        <v>121</v>
      </c>
      <c r="D119" s="5" t="s">
        <v>504</v>
      </c>
      <c r="E119" s="16" t="s">
        <v>503</v>
      </c>
    </row>
    <row r="120" spans="1:5" s="4" customFormat="1">
      <c r="A120" s="12" t="s">
        <v>502</v>
      </c>
      <c r="B120" s="5" t="s">
        <v>38</v>
      </c>
      <c r="C120" s="5" t="s">
        <v>48</v>
      </c>
      <c r="D120" s="5" t="s">
        <v>501</v>
      </c>
      <c r="E120" s="16" t="s">
        <v>500</v>
      </c>
    </row>
    <row r="121" spans="1:5" s="4" customFormat="1">
      <c r="A121" s="12" t="s">
        <v>315</v>
      </c>
      <c r="B121" s="5" t="s">
        <v>38</v>
      </c>
      <c r="C121" s="5" t="s">
        <v>77</v>
      </c>
      <c r="D121" s="5" t="s">
        <v>426</v>
      </c>
      <c r="E121" s="16" t="s">
        <v>499</v>
      </c>
    </row>
    <row r="122" spans="1:5" s="4" customFormat="1">
      <c r="A122" s="12" t="s">
        <v>498</v>
      </c>
      <c r="B122" s="5" t="s">
        <v>38</v>
      </c>
      <c r="C122" s="5" t="s">
        <v>77</v>
      </c>
      <c r="D122" s="5" t="s">
        <v>29</v>
      </c>
      <c r="E122" s="16" t="s">
        <v>497</v>
      </c>
    </row>
    <row r="123" spans="1:5" s="4" customFormat="1">
      <c r="A123" s="12" t="s">
        <v>496</v>
      </c>
      <c r="B123" s="5" t="s">
        <v>38</v>
      </c>
      <c r="C123" s="5" t="s">
        <v>121</v>
      </c>
      <c r="D123" s="5" t="s">
        <v>82</v>
      </c>
      <c r="E123" s="16" t="s">
        <v>495</v>
      </c>
    </row>
    <row r="125" spans="1:5" s="4" customFormat="1" ht="14.25">
      <c r="A125" s="13"/>
      <c r="B125" s="14" t="s">
        <v>46</v>
      </c>
      <c r="C125" s="5"/>
      <c r="D125" s="5"/>
      <c r="E125" s="5"/>
    </row>
    <row r="126" spans="1:5" s="4" customFormat="1" ht="15">
      <c r="A126" s="15" t="s">
        <v>39</v>
      </c>
      <c r="B126" s="15" t="s">
        <v>40</v>
      </c>
      <c r="C126" s="15" t="s">
        <v>41</v>
      </c>
      <c r="D126" s="15" t="s">
        <v>42</v>
      </c>
      <c r="E126" s="15" t="s">
        <v>43</v>
      </c>
    </row>
    <row r="127" spans="1:5" s="4" customFormat="1">
      <c r="A127" s="12" t="s">
        <v>494</v>
      </c>
      <c r="B127" s="5" t="s">
        <v>396</v>
      </c>
      <c r="C127" s="5" t="s">
        <v>77</v>
      </c>
      <c r="D127" s="5" t="s">
        <v>401</v>
      </c>
      <c r="E127" s="16" t="s">
        <v>493</v>
      </c>
    </row>
    <row r="128" spans="1:5" s="4" customFormat="1">
      <c r="A128" s="12" t="s">
        <v>492</v>
      </c>
      <c r="B128" s="5" t="s">
        <v>422</v>
      </c>
      <c r="C128" s="5" t="s">
        <v>77</v>
      </c>
      <c r="D128" s="5" t="s">
        <v>20</v>
      </c>
      <c r="E128" s="16" t="s">
        <v>491</v>
      </c>
    </row>
    <row r="129" spans="1:5" s="4" customFormat="1">
      <c r="A129" s="12" t="s">
        <v>490</v>
      </c>
      <c r="B129" s="5" t="s">
        <v>47</v>
      </c>
      <c r="C129" s="5" t="s">
        <v>111</v>
      </c>
      <c r="D129" s="5" t="s">
        <v>48</v>
      </c>
      <c r="E129" s="16" t="s">
        <v>489</v>
      </c>
    </row>
    <row r="130" spans="1:5" s="4" customFormat="1">
      <c r="A130" s="12" t="s">
        <v>488</v>
      </c>
      <c r="B130" s="5" t="s">
        <v>290</v>
      </c>
      <c r="C130" s="5" t="s">
        <v>121</v>
      </c>
      <c r="D130" s="5" t="s">
        <v>18</v>
      </c>
      <c r="E130" s="16" t="s">
        <v>487</v>
      </c>
    </row>
    <row r="131" spans="1:5" s="4" customFormat="1">
      <c r="A131" s="12" t="s">
        <v>486</v>
      </c>
      <c r="B131" s="5" t="s">
        <v>396</v>
      </c>
      <c r="C131" s="5" t="s">
        <v>121</v>
      </c>
      <c r="D131" s="5" t="s">
        <v>121</v>
      </c>
      <c r="E131" s="16" t="s">
        <v>485</v>
      </c>
    </row>
    <row r="136" spans="1:5" s="4" customFormat="1" ht="18">
      <c r="A136" s="10" t="s">
        <v>50</v>
      </c>
      <c r="B136" s="10"/>
      <c r="C136" s="5"/>
      <c r="D136" s="5"/>
      <c r="E136" s="5"/>
    </row>
    <row r="137" spans="1:5" s="4" customFormat="1" ht="15">
      <c r="A137" s="15" t="s">
        <v>51</v>
      </c>
      <c r="B137" s="15" t="s">
        <v>52</v>
      </c>
      <c r="C137" s="15" t="s">
        <v>53</v>
      </c>
      <c r="D137" s="5"/>
      <c r="E137" s="5"/>
    </row>
    <row r="138" spans="1:5" s="4" customFormat="1">
      <c r="A138" s="5" t="s">
        <v>64</v>
      </c>
      <c r="B138" s="5" t="s">
        <v>484</v>
      </c>
      <c r="C138" s="5" t="s">
        <v>483</v>
      </c>
      <c r="D138" s="5"/>
      <c r="E138" s="5"/>
    </row>
    <row r="139" spans="1:5" s="4" customFormat="1">
      <c r="A139" s="5" t="s">
        <v>16</v>
      </c>
      <c r="B139" s="5" t="s">
        <v>482</v>
      </c>
      <c r="C139" s="5" t="s">
        <v>481</v>
      </c>
      <c r="D139" s="5"/>
      <c r="E139" s="5"/>
    </row>
    <row r="140" spans="1:5" s="4" customFormat="1">
      <c r="A140" s="5" t="s">
        <v>200</v>
      </c>
      <c r="B140" s="59" t="s">
        <v>480</v>
      </c>
      <c r="C140" s="59" t="s">
        <v>479</v>
      </c>
      <c r="D140" s="5"/>
      <c r="E140" s="5"/>
    </row>
    <row r="141" spans="1:5" s="4" customFormat="1">
      <c r="A141" s="5" t="s">
        <v>75</v>
      </c>
      <c r="B141" s="5" t="s">
        <v>478</v>
      </c>
      <c r="C141" s="5" t="s">
        <v>477</v>
      </c>
      <c r="D141" s="5"/>
      <c r="E141" s="5"/>
    </row>
    <row r="142" spans="1:5" s="4" customFormat="1">
      <c r="A142" s="5" t="s">
        <v>27</v>
      </c>
      <c r="B142" s="5" t="s">
        <v>474</v>
      </c>
      <c r="C142" s="5" t="s">
        <v>476</v>
      </c>
      <c r="D142" s="5"/>
      <c r="E142" s="5"/>
    </row>
    <row r="143" spans="1:5" s="4" customFormat="1">
      <c r="A143" s="5" t="s">
        <v>475</v>
      </c>
      <c r="B143" s="5" t="s">
        <v>474</v>
      </c>
      <c r="C143" s="5" t="s">
        <v>473</v>
      </c>
      <c r="D143" s="5"/>
      <c r="E143" s="5"/>
    </row>
    <row r="144" spans="1:5" s="4" customFormat="1">
      <c r="A144" s="5" t="s">
        <v>472</v>
      </c>
      <c r="B144" s="5" t="s">
        <v>232</v>
      </c>
      <c r="C144" s="5" t="s">
        <v>471</v>
      </c>
      <c r="D144" s="5"/>
      <c r="E144" s="5"/>
    </row>
    <row r="145" spans="1:3" s="4" customFormat="1">
      <c r="A145" s="5" t="s">
        <v>470</v>
      </c>
      <c r="B145" s="59" t="s">
        <v>54</v>
      </c>
      <c r="C145" s="59" t="s">
        <v>469</v>
      </c>
    </row>
    <row r="146" spans="1:3" s="4" customFormat="1">
      <c r="A146" s="5" t="s">
        <v>235</v>
      </c>
      <c r="B146" s="5" t="s">
        <v>54</v>
      </c>
      <c r="C146" s="5" t="s">
        <v>468</v>
      </c>
    </row>
    <row r="147" spans="1:3" s="4" customFormat="1">
      <c r="A147" s="5" t="s">
        <v>467</v>
      </c>
      <c r="B147" s="5" t="s">
        <v>54</v>
      </c>
      <c r="C147" s="5" t="s">
        <v>466</v>
      </c>
    </row>
    <row r="148" spans="1:3" s="4" customFormat="1">
      <c r="A148" s="5" t="s">
        <v>382</v>
      </c>
      <c r="B148" s="5" t="s">
        <v>418</v>
      </c>
      <c r="C148" s="5" t="s">
        <v>465</v>
      </c>
    </row>
  </sheetData>
  <mergeCells count="24">
    <mergeCell ref="A61:M61"/>
    <mergeCell ref="A58:M58"/>
    <mergeCell ref="A55:M55"/>
    <mergeCell ref="A5:M5"/>
    <mergeCell ref="A8:M8"/>
    <mergeCell ref="A11:M11"/>
    <mergeCell ref="A45:M45"/>
    <mergeCell ref="A37:M37"/>
    <mergeCell ref="A31:M3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14:M14"/>
    <mergeCell ref="A25:M25"/>
    <mergeCell ref="A21:M21"/>
    <mergeCell ref="A18:M1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7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7" width="5.5703125" style="4" bestFit="1" customWidth="1"/>
    <col min="8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686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347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685</v>
      </c>
      <c r="B6" s="6" t="s">
        <v>684</v>
      </c>
      <c r="C6" s="6" t="s">
        <v>344</v>
      </c>
      <c r="D6" s="6" t="str">
        <f>"0,5591"</f>
        <v>0,5591</v>
      </c>
      <c r="E6" s="6" t="s">
        <v>64</v>
      </c>
      <c r="F6" s="6" t="s">
        <v>28</v>
      </c>
      <c r="G6" s="7" t="s">
        <v>683</v>
      </c>
      <c r="H6" s="8" t="s">
        <v>682</v>
      </c>
      <c r="I6" s="8" t="s">
        <v>681</v>
      </c>
      <c r="J6" s="7"/>
      <c r="K6" s="6" t="str">
        <f>"322,5"</f>
        <v>322,5</v>
      </c>
      <c r="L6" s="8" t="str">
        <f>"180,3097"</f>
        <v>180,3097</v>
      </c>
      <c r="M6" s="6" t="s">
        <v>21</v>
      </c>
    </row>
    <row r="7" spans="1:13">
      <c r="A7" s="6" t="s">
        <v>680</v>
      </c>
      <c r="B7" s="6" t="s">
        <v>679</v>
      </c>
      <c r="C7" s="6" t="s">
        <v>678</v>
      </c>
      <c r="D7" s="6" t="str">
        <f>"0,5569"</f>
        <v>0,5569</v>
      </c>
      <c r="E7" s="6" t="s">
        <v>278</v>
      </c>
      <c r="F7" s="6" t="s">
        <v>201</v>
      </c>
      <c r="G7" s="7" t="s">
        <v>302</v>
      </c>
      <c r="H7" s="7" t="s">
        <v>302</v>
      </c>
      <c r="I7" s="7" t="s">
        <v>302</v>
      </c>
      <c r="J7" s="7"/>
      <c r="K7" s="6" t="str">
        <f>"0.00"</f>
        <v>0.00</v>
      </c>
      <c r="L7" s="8" t="str">
        <f>"0,0000"</f>
        <v>0,0000</v>
      </c>
      <c r="M7" s="6" t="s">
        <v>21</v>
      </c>
    </row>
    <row r="9" spans="1:13" ht="15">
      <c r="A9" s="37" t="s">
        <v>11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3">
      <c r="A10" s="6" t="s">
        <v>677</v>
      </c>
      <c r="B10" s="6" t="s">
        <v>676</v>
      </c>
      <c r="C10" s="6" t="s">
        <v>675</v>
      </c>
      <c r="D10" s="6" t="str">
        <f>"0,5475"</f>
        <v>0,5475</v>
      </c>
      <c r="E10" s="6" t="s">
        <v>470</v>
      </c>
      <c r="F10" s="6" t="s">
        <v>28</v>
      </c>
      <c r="G10" s="8" t="s">
        <v>314</v>
      </c>
      <c r="H10" s="8" t="s">
        <v>271</v>
      </c>
      <c r="I10" s="7" t="s">
        <v>674</v>
      </c>
      <c r="J10" s="7"/>
      <c r="K10" s="6" t="str">
        <f>"260,0"</f>
        <v>260,0</v>
      </c>
      <c r="L10" s="8" t="str">
        <f>"171,3894"</f>
        <v>171,3894</v>
      </c>
      <c r="M10" s="6" t="s">
        <v>673</v>
      </c>
    </row>
    <row r="11" spans="1:13">
      <c r="I11" s="67"/>
      <c r="J11" s="67"/>
    </row>
    <row r="12" spans="1:13" ht="15">
      <c r="A12" s="37" t="s">
        <v>22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3">
      <c r="A13" s="6" t="s">
        <v>672</v>
      </c>
      <c r="B13" s="6" t="s">
        <v>328</v>
      </c>
      <c r="C13" s="6" t="s">
        <v>327</v>
      </c>
      <c r="D13" s="6" t="str">
        <f>"0,5246"</f>
        <v>0,5246</v>
      </c>
      <c r="E13" s="6" t="s">
        <v>278</v>
      </c>
      <c r="F13" s="6" t="s">
        <v>201</v>
      </c>
      <c r="G13" s="7" t="s">
        <v>302</v>
      </c>
      <c r="H13" s="7" t="s">
        <v>302</v>
      </c>
      <c r="I13" s="7" t="s">
        <v>671</v>
      </c>
      <c r="J13" s="7"/>
      <c r="K13" s="6" t="str">
        <f>"0.00"</f>
        <v>0.00</v>
      </c>
      <c r="L13" s="8" t="str">
        <f>"0,0000"</f>
        <v>0,0000</v>
      </c>
      <c r="M13" s="6" t="s">
        <v>21</v>
      </c>
    </row>
    <row r="15" spans="1:13" ht="15">
      <c r="E15" s="9" t="s">
        <v>31</v>
      </c>
      <c r="F15" s="5" t="s">
        <v>130</v>
      </c>
    </row>
    <row r="16" spans="1:13" ht="15">
      <c r="E16" s="9" t="s">
        <v>32</v>
      </c>
      <c r="F16" s="5" t="s">
        <v>131</v>
      </c>
    </row>
    <row r="17" spans="1:6" s="4" customFormat="1" ht="15">
      <c r="A17" s="5"/>
      <c r="B17" s="5"/>
      <c r="C17" s="5"/>
      <c r="D17" s="5"/>
      <c r="E17" s="9" t="s">
        <v>33</v>
      </c>
      <c r="F17" s="5" t="s">
        <v>132</v>
      </c>
    </row>
    <row r="18" spans="1:6" s="4" customFormat="1" ht="15">
      <c r="A18" s="5"/>
      <c r="B18" s="5"/>
      <c r="C18" s="5"/>
      <c r="D18" s="5"/>
      <c r="E18" s="9" t="s">
        <v>34</v>
      </c>
      <c r="F18" s="5" t="s">
        <v>133</v>
      </c>
    </row>
    <row r="19" spans="1:6" s="4" customFormat="1" ht="15">
      <c r="A19" s="5"/>
      <c r="B19" s="5"/>
      <c r="C19" s="5"/>
      <c r="D19" s="5"/>
      <c r="E19" s="9" t="s">
        <v>34</v>
      </c>
      <c r="F19" s="5" t="s">
        <v>134</v>
      </c>
    </row>
    <row r="20" spans="1:6" s="4" customFormat="1" ht="15">
      <c r="A20" s="5"/>
      <c r="B20" s="5"/>
      <c r="C20" s="5"/>
      <c r="D20" s="5"/>
      <c r="E20" s="9" t="s">
        <v>35</v>
      </c>
      <c r="F20" s="5" t="s">
        <v>135</v>
      </c>
    </row>
    <row r="21" spans="1:6" s="4" customFormat="1" ht="15">
      <c r="A21" s="5"/>
      <c r="B21" s="5"/>
      <c r="C21" s="5"/>
      <c r="D21" s="5"/>
      <c r="E21" s="9"/>
      <c r="F21" s="5"/>
    </row>
    <row r="23" spans="1:6" s="4" customFormat="1" ht="18">
      <c r="A23" s="10" t="s">
        <v>36</v>
      </c>
      <c r="B23" s="10"/>
      <c r="C23" s="5"/>
      <c r="D23" s="5"/>
      <c r="E23" s="5"/>
      <c r="F23" s="5"/>
    </row>
    <row r="24" spans="1:6" s="4" customFormat="1" ht="15">
      <c r="A24" s="11" t="s">
        <v>37</v>
      </c>
      <c r="B24" s="11"/>
      <c r="C24" s="5"/>
      <c r="D24" s="5"/>
      <c r="E24" s="5"/>
      <c r="F24" s="5"/>
    </row>
    <row r="25" spans="1:6" s="4" customFormat="1" ht="14.25">
      <c r="A25" s="13"/>
      <c r="B25" s="14" t="s">
        <v>38</v>
      </c>
      <c r="C25" s="5"/>
      <c r="D25" s="5"/>
      <c r="E25" s="5"/>
      <c r="F25" s="5"/>
    </row>
    <row r="26" spans="1:6" s="4" customFormat="1" ht="15">
      <c r="A26" s="15" t="s">
        <v>39</v>
      </c>
      <c r="B26" s="15" t="s">
        <v>40</v>
      </c>
      <c r="C26" s="15" t="s">
        <v>41</v>
      </c>
      <c r="D26" s="15" t="s">
        <v>42</v>
      </c>
      <c r="E26" s="15" t="s">
        <v>43</v>
      </c>
      <c r="F26" s="5"/>
    </row>
    <row r="27" spans="1:6" s="4" customFormat="1">
      <c r="A27" s="12" t="s">
        <v>670</v>
      </c>
      <c r="B27" s="5" t="s">
        <v>38</v>
      </c>
      <c r="C27" s="5" t="s">
        <v>77</v>
      </c>
      <c r="D27" s="5" t="s">
        <v>669</v>
      </c>
      <c r="E27" s="16" t="s">
        <v>668</v>
      </c>
      <c r="F27" s="5"/>
    </row>
    <row r="29" spans="1:6" s="4" customFormat="1" ht="14.25">
      <c r="A29" s="13"/>
      <c r="B29" s="14" t="s">
        <v>46</v>
      </c>
      <c r="C29" s="5"/>
      <c r="D29" s="5"/>
      <c r="E29" s="5"/>
      <c r="F29" s="5"/>
    </row>
    <row r="30" spans="1:6" s="4" customFormat="1" ht="15">
      <c r="A30" s="15" t="s">
        <v>39</v>
      </c>
      <c r="B30" s="15" t="s">
        <v>40</v>
      </c>
      <c r="C30" s="15" t="s">
        <v>41</v>
      </c>
      <c r="D30" s="15" t="s">
        <v>42</v>
      </c>
      <c r="E30" s="15" t="s">
        <v>43</v>
      </c>
      <c r="F30" s="5"/>
    </row>
    <row r="31" spans="1:6" s="4" customFormat="1">
      <c r="A31" s="12" t="s">
        <v>667</v>
      </c>
      <c r="B31" s="5" t="s">
        <v>47</v>
      </c>
      <c r="C31" s="5" t="s">
        <v>48</v>
      </c>
      <c r="D31" s="5" t="s">
        <v>271</v>
      </c>
      <c r="E31" s="16" t="s">
        <v>666</v>
      </c>
      <c r="F31" s="5"/>
    </row>
    <row r="36" spans="1:3" s="4" customFormat="1" ht="18">
      <c r="A36" s="10" t="s">
        <v>50</v>
      </c>
      <c r="B36" s="10"/>
      <c r="C36" s="5"/>
    </row>
    <row r="37" spans="1:3" s="4" customFormat="1" ht="15">
      <c r="A37" s="15" t="s">
        <v>51</v>
      </c>
      <c r="B37" s="15" t="s">
        <v>52</v>
      </c>
      <c r="C37" s="15" t="s">
        <v>53</v>
      </c>
    </row>
    <row r="38" spans="1:3" s="4" customFormat="1">
      <c r="A38" s="5" t="s">
        <v>64</v>
      </c>
      <c r="B38" s="5" t="s">
        <v>54</v>
      </c>
      <c r="C38" s="5" t="s">
        <v>665</v>
      </c>
    </row>
    <row r="39" spans="1:3" s="4" customFormat="1">
      <c r="A39" s="5" t="s">
        <v>470</v>
      </c>
      <c r="B39" s="5" t="s">
        <v>54</v>
      </c>
      <c r="C39" s="5" t="s">
        <v>664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12:L12"/>
    <mergeCell ref="A5:L5"/>
    <mergeCell ref="A9:L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51.425781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7" width="5.5703125" style="4" bestFit="1" customWidth="1"/>
    <col min="8" max="8" width="6.5703125" style="4" bestFit="1" customWidth="1"/>
    <col min="9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711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662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710</v>
      </c>
      <c r="B6" s="6" t="s">
        <v>709</v>
      </c>
      <c r="C6" s="6" t="s">
        <v>708</v>
      </c>
      <c r="D6" s="6" t="str">
        <f>"0,9960"</f>
        <v>0,9960</v>
      </c>
      <c r="E6" s="6" t="s">
        <v>64</v>
      </c>
      <c r="F6" s="6" t="s">
        <v>201</v>
      </c>
      <c r="G6" s="8" t="s">
        <v>415</v>
      </c>
      <c r="H6" s="8" t="s">
        <v>707</v>
      </c>
      <c r="I6" s="8" t="s">
        <v>703</v>
      </c>
      <c r="J6" s="7"/>
      <c r="K6" s="6" t="str">
        <f>"75,0"</f>
        <v>75,0</v>
      </c>
      <c r="L6" s="8" t="str">
        <f>"74,7000"</f>
        <v>74,7000</v>
      </c>
      <c r="M6" s="6" t="s">
        <v>21</v>
      </c>
    </row>
    <row r="8" spans="1:13" ht="15">
      <c r="A8" s="37" t="s">
        <v>379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6" t="s">
        <v>706</v>
      </c>
      <c r="B9" s="6" t="s">
        <v>705</v>
      </c>
      <c r="C9" s="6" t="s">
        <v>704</v>
      </c>
      <c r="D9" s="6" t="str">
        <f>"0,9256"</f>
        <v>0,9256</v>
      </c>
      <c r="E9" s="6" t="s">
        <v>64</v>
      </c>
      <c r="F9" s="6" t="s">
        <v>201</v>
      </c>
      <c r="G9" s="7" t="s">
        <v>448</v>
      </c>
      <c r="H9" s="8" t="s">
        <v>415</v>
      </c>
      <c r="I9" s="8" t="s">
        <v>703</v>
      </c>
      <c r="J9" s="7"/>
      <c r="K9" s="6" t="str">
        <f>"75,0"</f>
        <v>75,0</v>
      </c>
      <c r="L9" s="8" t="str">
        <f>"121,8321"</f>
        <v>121,8321</v>
      </c>
      <c r="M9" s="6" t="s">
        <v>21</v>
      </c>
    </row>
    <row r="11" spans="1:13" ht="15">
      <c r="A11" s="37" t="s">
        <v>92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3">
      <c r="A12" s="6" t="s">
        <v>702</v>
      </c>
      <c r="B12" s="6" t="s">
        <v>701</v>
      </c>
      <c r="C12" s="6" t="s">
        <v>700</v>
      </c>
      <c r="D12" s="6" t="str">
        <f>"0,5950"</f>
        <v>0,5950</v>
      </c>
      <c r="E12" s="6" t="s">
        <v>64</v>
      </c>
      <c r="F12" s="6" t="s">
        <v>699</v>
      </c>
      <c r="G12" s="7" t="s">
        <v>297</v>
      </c>
      <c r="H12" s="8" t="s">
        <v>698</v>
      </c>
      <c r="I12" s="7" t="s">
        <v>314</v>
      </c>
      <c r="J12" s="7"/>
      <c r="K12" s="6" t="str">
        <f>"230,0"</f>
        <v>230,0</v>
      </c>
      <c r="L12" s="8" t="str">
        <f>"136,8385"</f>
        <v>136,8385</v>
      </c>
      <c r="M12" s="6" t="s">
        <v>21</v>
      </c>
    </row>
    <row r="14" spans="1:13" ht="15">
      <c r="A14" s="37" t="s">
        <v>347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3">
      <c r="A15" s="6" t="s">
        <v>697</v>
      </c>
      <c r="B15" s="6" t="s">
        <v>696</v>
      </c>
      <c r="C15" s="6" t="s">
        <v>695</v>
      </c>
      <c r="D15" s="6" t="str">
        <f>"0,5583"</f>
        <v>0,5583</v>
      </c>
      <c r="E15" s="6" t="s">
        <v>470</v>
      </c>
      <c r="F15" s="6" t="s">
        <v>28</v>
      </c>
      <c r="G15" s="7" t="s">
        <v>293</v>
      </c>
      <c r="H15" s="7"/>
      <c r="I15" s="7"/>
      <c r="J15" s="7"/>
      <c r="K15" s="6" t="str">
        <f>"0.00"</f>
        <v>0.00</v>
      </c>
      <c r="L15" s="8" t="str">
        <f>"0,0000"</f>
        <v>0,0000</v>
      </c>
      <c r="M15" s="6" t="s">
        <v>21</v>
      </c>
    </row>
    <row r="17" spans="1:6" s="4" customFormat="1" ht="15">
      <c r="A17" s="5"/>
      <c r="B17" s="5"/>
      <c r="C17" s="5"/>
      <c r="D17" s="5"/>
      <c r="E17" s="9" t="s">
        <v>31</v>
      </c>
      <c r="F17" s="5" t="s">
        <v>130</v>
      </c>
    </row>
    <row r="18" spans="1:6" s="4" customFormat="1" ht="15">
      <c r="A18" s="5"/>
      <c r="B18" s="5"/>
      <c r="C18" s="5"/>
      <c r="D18" s="5"/>
      <c r="E18" s="9" t="s">
        <v>32</v>
      </c>
      <c r="F18" s="5" t="s">
        <v>131</v>
      </c>
    </row>
    <row r="19" spans="1:6" s="4" customFormat="1" ht="15">
      <c r="A19" s="5"/>
      <c r="B19" s="5"/>
      <c r="C19" s="5"/>
      <c r="D19" s="5"/>
      <c r="E19" s="9" t="s">
        <v>33</v>
      </c>
      <c r="F19" s="5" t="s">
        <v>132</v>
      </c>
    </row>
    <row r="20" spans="1:6" s="4" customFormat="1" ht="15">
      <c r="A20" s="5"/>
      <c r="B20" s="5"/>
      <c r="C20" s="5"/>
      <c r="D20" s="5"/>
      <c r="E20" s="9" t="s">
        <v>34</v>
      </c>
      <c r="F20" s="5" t="s">
        <v>133</v>
      </c>
    </row>
    <row r="21" spans="1:6" s="4" customFormat="1" ht="15">
      <c r="A21" s="5"/>
      <c r="B21" s="5"/>
      <c r="C21" s="5"/>
      <c r="D21" s="5"/>
      <c r="E21" s="9" t="s">
        <v>34</v>
      </c>
      <c r="F21" s="5" t="s">
        <v>134</v>
      </c>
    </row>
    <row r="22" spans="1:6" s="4" customFormat="1" ht="15">
      <c r="A22" s="5"/>
      <c r="B22" s="5"/>
      <c r="C22" s="5"/>
      <c r="D22" s="5"/>
      <c r="E22" s="9" t="s">
        <v>35</v>
      </c>
      <c r="F22" s="5" t="s">
        <v>135</v>
      </c>
    </row>
    <row r="23" spans="1:6" s="4" customFormat="1" ht="15">
      <c r="A23" s="5"/>
      <c r="B23" s="5"/>
      <c r="C23" s="5"/>
      <c r="D23" s="5"/>
      <c r="E23" s="9"/>
      <c r="F23" s="5"/>
    </row>
    <row r="25" spans="1:6" s="4" customFormat="1" ht="18">
      <c r="A25" s="10" t="s">
        <v>36</v>
      </c>
      <c r="B25" s="10"/>
      <c r="C25" s="5"/>
      <c r="D25" s="5"/>
      <c r="E25" s="5"/>
      <c r="F25" s="5"/>
    </row>
    <row r="26" spans="1:6" s="4" customFormat="1" ht="15">
      <c r="A26" s="11" t="s">
        <v>174</v>
      </c>
      <c r="B26" s="11"/>
      <c r="C26" s="5"/>
      <c r="D26" s="5"/>
      <c r="E26" s="5"/>
      <c r="F26" s="5"/>
    </row>
    <row r="27" spans="1:6" s="4" customFormat="1" ht="14.25">
      <c r="A27" s="13"/>
      <c r="B27" s="14" t="s">
        <v>38</v>
      </c>
      <c r="C27" s="5"/>
      <c r="D27" s="5"/>
      <c r="E27" s="5"/>
      <c r="F27" s="5"/>
    </row>
    <row r="28" spans="1:6" s="4" customFormat="1" ht="15">
      <c r="A28" s="15" t="s">
        <v>39</v>
      </c>
      <c r="B28" s="15" t="s">
        <v>40</v>
      </c>
      <c r="C28" s="15" t="s">
        <v>41</v>
      </c>
      <c r="D28" s="15" t="s">
        <v>42</v>
      </c>
      <c r="E28" s="15" t="s">
        <v>43</v>
      </c>
      <c r="F28" s="5"/>
    </row>
    <row r="29" spans="1:6" s="4" customFormat="1">
      <c r="A29" s="12" t="s">
        <v>694</v>
      </c>
      <c r="B29" s="5" t="s">
        <v>38</v>
      </c>
      <c r="C29" s="5" t="s">
        <v>552</v>
      </c>
      <c r="D29" s="5" t="s">
        <v>111</v>
      </c>
      <c r="E29" s="16" t="s">
        <v>693</v>
      </c>
      <c r="F29" s="5"/>
    </row>
    <row r="31" spans="1:6" s="4" customFormat="1" ht="14.25">
      <c r="A31" s="13"/>
      <c r="B31" s="14" t="s">
        <v>46</v>
      </c>
      <c r="C31" s="5"/>
      <c r="D31" s="5"/>
      <c r="E31" s="5"/>
      <c r="F31" s="5"/>
    </row>
    <row r="32" spans="1:6" s="4" customFormat="1" ht="15">
      <c r="A32" s="15" t="s">
        <v>39</v>
      </c>
      <c r="B32" s="15" t="s">
        <v>40</v>
      </c>
      <c r="C32" s="15" t="s">
        <v>41</v>
      </c>
      <c r="D32" s="15" t="s">
        <v>42</v>
      </c>
      <c r="E32" s="15" t="s">
        <v>43</v>
      </c>
      <c r="F32" s="5"/>
    </row>
    <row r="33" spans="1:5" s="4" customFormat="1">
      <c r="A33" s="12" t="s">
        <v>692</v>
      </c>
      <c r="B33" s="5" t="s">
        <v>691</v>
      </c>
      <c r="C33" s="5" t="s">
        <v>324</v>
      </c>
      <c r="D33" s="5" t="s">
        <v>111</v>
      </c>
      <c r="E33" s="16" t="s">
        <v>690</v>
      </c>
    </row>
    <row r="36" spans="1:5" s="4" customFormat="1" ht="15">
      <c r="A36" s="11" t="s">
        <v>37</v>
      </c>
      <c r="B36" s="11"/>
      <c r="C36" s="5"/>
      <c r="D36" s="5"/>
      <c r="E36" s="5"/>
    </row>
    <row r="37" spans="1:5" s="4" customFormat="1" ht="14.25">
      <c r="A37" s="13"/>
      <c r="B37" s="14" t="s">
        <v>38</v>
      </c>
      <c r="C37" s="5"/>
      <c r="D37" s="5"/>
      <c r="E37" s="5"/>
    </row>
    <row r="38" spans="1:5" s="4" customFormat="1" ht="15">
      <c r="A38" s="15" t="s">
        <v>39</v>
      </c>
      <c r="B38" s="15" t="s">
        <v>40</v>
      </c>
      <c r="C38" s="15" t="s">
        <v>41</v>
      </c>
      <c r="D38" s="15" t="s">
        <v>42</v>
      </c>
      <c r="E38" s="15" t="s">
        <v>43</v>
      </c>
    </row>
    <row r="39" spans="1:5" s="4" customFormat="1">
      <c r="A39" s="12" t="s">
        <v>689</v>
      </c>
      <c r="B39" s="5" t="s">
        <v>38</v>
      </c>
      <c r="C39" s="5" t="s">
        <v>121</v>
      </c>
      <c r="D39" s="5" t="s">
        <v>297</v>
      </c>
      <c r="E39" s="16" t="s">
        <v>688</v>
      </c>
    </row>
    <row r="44" spans="1:5" s="4" customFormat="1" ht="18">
      <c r="A44" s="10" t="s">
        <v>50</v>
      </c>
      <c r="B44" s="10"/>
      <c r="C44" s="5"/>
      <c r="D44" s="5"/>
      <c r="E44" s="5"/>
    </row>
    <row r="45" spans="1:5" s="4" customFormat="1" ht="15">
      <c r="A45" s="15" t="s">
        <v>51</v>
      </c>
      <c r="B45" s="15" t="s">
        <v>52</v>
      </c>
      <c r="C45" s="15" t="s">
        <v>53</v>
      </c>
      <c r="D45" s="5"/>
      <c r="E45" s="5"/>
    </row>
    <row r="46" spans="1:5" s="4" customFormat="1">
      <c r="A46" s="5" t="s">
        <v>64</v>
      </c>
      <c r="B46" s="5" t="s">
        <v>474</v>
      </c>
      <c r="C46" s="5" t="s">
        <v>687</v>
      </c>
      <c r="D46" s="5"/>
      <c r="E46" s="5"/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K3:K4"/>
    <mergeCell ref="L3:L4"/>
    <mergeCell ref="M3:M4"/>
    <mergeCell ref="A5:L5"/>
    <mergeCell ref="A8:L8"/>
    <mergeCell ref="A11:L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35"/>
  <sheetViews>
    <sheetView workbookViewId="0">
      <selection activeCell="F11" sqref="F11:F16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6.425781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7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11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13</v>
      </c>
      <c r="B6" s="6" t="s">
        <v>14</v>
      </c>
      <c r="C6" s="6" t="s">
        <v>15</v>
      </c>
      <c r="D6" s="6" t="str">
        <f>"0,5402"</f>
        <v>0,5402</v>
      </c>
      <c r="E6" s="6" t="s">
        <v>16</v>
      </c>
      <c r="F6" s="6" t="s">
        <v>17</v>
      </c>
      <c r="G6" s="8" t="s">
        <v>18</v>
      </c>
      <c r="H6" s="8" t="s">
        <v>19</v>
      </c>
      <c r="I6" s="8" t="s">
        <v>20</v>
      </c>
      <c r="J6" s="7"/>
      <c r="K6" s="6" t="str">
        <f>"140,0"</f>
        <v>140,0</v>
      </c>
      <c r="L6" s="8" t="str">
        <f>"91,4343"</f>
        <v>91,4343</v>
      </c>
      <c r="M6" s="6" t="s">
        <v>21</v>
      </c>
    </row>
    <row r="8" spans="1:13" ht="15">
      <c r="A8" s="37" t="s">
        <v>22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6" t="s">
        <v>24</v>
      </c>
      <c r="B9" s="6" t="s">
        <v>25</v>
      </c>
      <c r="C9" s="6" t="s">
        <v>26</v>
      </c>
      <c r="D9" s="6" t="str">
        <f>"0,5323"</f>
        <v>0,5323</v>
      </c>
      <c r="E9" s="6" t="s">
        <v>27</v>
      </c>
      <c r="F9" s="6" t="s">
        <v>28</v>
      </c>
      <c r="G9" s="8" t="s">
        <v>20</v>
      </c>
      <c r="H9" s="8" t="s">
        <v>29</v>
      </c>
      <c r="I9" s="7" t="s">
        <v>30</v>
      </c>
      <c r="J9" s="7"/>
      <c r="K9" s="6" t="str">
        <f>"155,0"</f>
        <v>155,0</v>
      </c>
      <c r="L9" s="8" t="str">
        <f>"82,5065"</f>
        <v>82,5065</v>
      </c>
      <c r="M9" s="6" t="s">
        <v>21</v>
      </c>
    </row>
    <row r="11" spans="1:13" ht="15">
      <c r="E11" s="9" t="s">
        <v>31</v>
      </c>
      <c r="F11" s="5" t="s">
        <v>130</v>
      </c>
    </row>
    <row r="12" spans="1:13" ht="15">
      <c r="E12" s="9" t="s">
        <v>32</v>
      </c>
      <c r="F12" s="5" t="s">
        <v>131</v>
      </c>
    </row>
    <row r="13" spans="1:13" ht="15">
      <c r="E13" s="9" t="s">
        <v>33</v>
      </c>
      <c r="F13" s="5" t="s">
        <v>132</v>
      </c>
    </row>
    <row r="14" spans="1:13" ht="15">
      <c r="E14" s="9" t="s">
        <v>34</v>
      </c>
      <c r="F14" s="5" t="s">
        <v>133</v>
      </c>
    </row>
    <row r="15" spans="1:13" ht="15">
      <c r="E15" s="9" t="s">
        <v>34</v>
      </c>
      <c r="F15" s="5" t="s">
        <v>134</v>
      </c>
    </row>
    <row r="16" spans="1:13" ht="15">
      <c r="E16" s="9" t="s">
        <v>35</v>
      </c>
      <c r="F16" s="5" t="s">
        <v>135</v>
      </c>
    </row>
    <row r="17" spans="1:5" ht="15">
      <c r="E17" s="9"/>
    </row>
    <row r="19" spans="1:5" ht="18">
      <c r="A19" s="10" t="s">
        <v>36</v>
      </c>
      <c r="B19" s="10"/>
    </row>
    <row r="20" spans="1:5" ht="15">
      <c r="A20" s="11" t="s">
        <v>37</v>
      </c>
      <c r="B20" s="11"/>
    </row>
    <row r="21" spans="1:5" ht="14.25">
      <c r="A21" s="13"/>
      <c r="B21" s="14" t="s">
        <v>38</v>
      </c>
    </row>
    <row r="22" spans="1:5" ht="15">
      <c r="A22" s="15" t="s">
        <v>39</v>
      </c>
      <c r="B22" s="15" t="s">
        <v>40</v>
      </c>
      <c r="C22" s="15" t="s">
        <v>41</v>
      </c>
      <c r="D22" s="15" t="s">
        <v>42</v>
      </c>
      <c r="E22" s="15" t="s">
        <v>43</v>
      </c>
    </row>
    <row r="23" spans="1:5">
      <c r="A23" s="12" t="s">
        <v>23</v>
      </c>
      <c r="B23" s="5" t="s">
        <v>38</v>
      </c>
      <c r="C23" s="5" t="s">
        <v>44</v>
      </c>
      <c r="D23" s="5" t="s">
        <v>29</v>
      </c>
      <c r="E23" s="16" t="s">
        <v>45</v>
      </c>
    </row>
    <row r="25" spans="1:5" ht="14.25">
      <c r="A25" s="13"/>
      <c r="B25" s="14" t="s">
        <v>46</v>
      </c>
    </row>
    <row r="26" spans="1:5" ht="15">
      <c r="A26" s="15" t="s">
        <v>39</v>
      </c>
      <c r="B26" s="15" t="s">
        <v>40</v>
      </c>
      <c r="C26" s="15" t="s">
        <v>41</v>
      </c>
      <c r="D26" s="15" t="s">
        <v>42</v>
      </c>
      <c r="E26" s="15" t="s">
        <v>43</v>
      </c>
    </row>
    <row r="27" spans="1:5">
      <c r="A27" s="12" t="s">
        <v>12</v>
      </c>
      <c r="B27" s="5" t="s">
        <v>47</v>
      </c>
      <c r="C27" s="5" t="s">
        <v>48</v>
      </c>
      <c r="D27" s="5" t="s">
        <v>20</v>
      </c>
      <c r="E27" s="16" t="s">
        <v>49</v>
      </c>
    </row>
    <row r="32" spans="1:5" ht="18">
      <c r="A32" s="10" t="s">
        <v>50</v>
      </c>
      <c r="B32" s="10"/>
    </row>
    <row r="33" spans="1:3" ht="15">
      <c r="A33" s="15" t="s">
        <v>51</v>
      </c>
      <c r="B33" s="15" t="s">
        <v>52</v>
      </c>
      <c r="C33" s="15" t="s">
        <v>53</v>
      </c>
    </row>
    <row r="34" spans="1:3">
      <c r="A34" s="5" t="s">
        <v>27</v>
      </c>
      <c r="B34" s="5" t="s">
        <v>54</v>
      </c>
      <c r="C34" s="5" t="s">
        <v>55</v>
      </c>
    </row>
    <row r="35" spans="1:3">
      <c r="A35" s="5" t="s">
        <v>16</v>
      </c>
      <c r="B35" s="5" t="s">
        <v>54</v>
      </c>
      <c r="C35" s="5" t="s">
        <v>56</v>
      </c>
    </row>
  </sheetData>
  <mergeCells count="13">
    <mergeCell ref="A5:L5"/>
    <mergeCell ref="A8:L8"/>
    <mergeCell ref="A1:M2"/>
    <mergeCell ref="G3:J3"/>
    <mergeCell ref="A3:A4"/>
    <mergeCell ref="B3:B4"/>
    <mergeCell ref="C3:C4"/>
    <mergeCell ref="M3:M4"/>
    <mergeCell ref="F3:F4"/>
    <mergeCell ref="E3:E4"/>
    <mergeCell ref="D3:D4"/>
    <mergeCell ref="K3:K4"/>
    <mergeCell ref="L3:L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9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719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92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718</v>
      </c>
      <c r="B6" s="6" t="s">
        <v>717</v>
      </c>
      <c r="C6" s="6" t="s">
        <v>716</v>
      </c>
      <c r="D6" s="6" t="str">
        <f>"0,5980"</f>
        <v>0,5980</v>
      </c>
      <c r="E6" s="6" t="s">
        <v>713</v>
      </c>
      <c r="F6" s="6" t="s">
        <v>28</v>
      </c>
      <c r="G6" s="7" t="s">
        <v>457</v>
      </c>
      <c r="H6" s="8" t="s">
        <v>457</v>
      </c>
      <c r="I6" s="7" t="s">
        <v>258</v>
      </c>
      <c r="J6" s="7"/>
      <c r="K6" s="6" t="str">
        <f>"185,0"</f>
        <v>185,0</v>
      </c>
      <c r="L6" s="8" t="str">
        <f>"110,6300"</f>
        <v>110,6300</v>
      </c>
      <c r="M6" s="6" t="s">
        <v>21</v>
      </c>
    </row>
    <row r="8" spans="1:13" ht="15">
      <c r="E8" s="9" t="s">
        <v>31</v>
      </c>
      <c r="F8" s="5" t="s">
        <v>130</v>
      </c>
    </row>
    <row r="9" spans="1:13" ht="15">
      <c r="E9" s="9" t="s">
        <v>32</v>
      </c>
      <c r="F9" s="5" t="s">
        <v>131</v>
      </c>
    </row>
    <row r="10" spans="1:13" ht="15">
      <c r="E10" s="9" t="s">
        <v>33</v>
      </c>
      <c r="F10" s="5" t="s">
        <v>132</v>
      </c>
    </row>
    <row r="11" spans="1:13" ht="15">
      <c r="E11" s="9" t="s">
        <v>34</v>
      </c>
      <c r="F11" s="5" t="s">
        <v>133</v>
      </c>
    </row>
    <row r="12" spans="1:13" ht="15">
      <c r="E12" s="9" t="s">
        <v>34</v>
      </c>
      <c r="F12" s="5" t="s">
        <v>134</v>
      </c>
    </row>
    <row r="13" spans="1:13" ht="15">
      <c r="E13" s="9" t="s">
        <v>35</v>
      </c>
      <c r="F13" s="5" t="s">
        <v>135</v>
      </c>
    </row>
    <row r="14" spans="1:13" ht="15">
      <c r="E14" s="9"/>
    </row>
    <row r="16" spans="1:13" ht="18">
      <c r="A16" s="10" t="s">
        <v>36</v>
      </c>
      <c r="B16" s="10"/>
    </row>
    <row r="17" spans="1:5" s="4" customFormat="1" ht="15">
      <c r="A17" s="11" t="s">
        <v>37</v>
      </c>
      <c r="B17" s="11"/>
      <c r="C17" s="5"/>
      <c r="D17" s="5"/>
      <c r="E17" s="5"/>
    </row>
    <row r="18" spans="1:5" s="4" customFormat="1" ht="14.25">
      <c r="A18" s="13"/>
      <c r="B18" s="14" t="s">
        <v>38</v>
      </c>
      <c r="C18" s="5"/>
      <c r="D18" s="5"/>
      <c r="E18" s="5"/>
    </row>
    <row r="19" spans="1:5" s="4" customFormat="1" ht="15">
      <c r="A19" s="15" t="s">
        <v>39</v>
      </c>
      <c r="B19" s="15" t="s">
        <v>40</v>
      </c>
      <c r="C19" s="15" t="s">
        <v>41</v>
      </c>
      <c r="D19" s="15" t="s">
        <v>42</v>
      </c>
      <c r="E19" s="15" t="s">
        <v>43</v>
      </c>
    </row>
    <row r="20" spans="1:5" s="4" customFormat="1">
      <c r="A20" s="12" t="s">
        <v>715</v>
      </c>
      <c r="B20" s="5" t="s">
        <v>38</v>
      </c>
      <c r="C20" s="5" t="s">
        <v>121</v>
      </c>
      <c r="D20" s="5" t="s">
        <v>457</v>
      </c>
      <c r="E20" s="16" t="s">
        <v>714</v>
      </c>
    </row>
    <row r="25" spans="1:5" s="4" customFormat="1" ht="18">
      <c r="A25" s="10" t="s">
        <v>50</v>
      </c>
      <c r="B25" s="10"/>
      <c r="C25" s="5"/>
      <c r="D25" s="5"/>
      <c r="E25" s="5"/>
    </row>
    <row r="26" spans="1:5" s="4" customFormat="1" ht="15">
      <c r="A26" s="15" t="s">
        <v>51</v>
      </c>
      <c r="B26" s="15" t="s">
        <v>52</v>
      </c>
      <c r="C26" s="15" t="s">
        <v>53</v>
      </c>
      <c r="D26" s="5"/>
      <c r="E26" s="5"/>
    </row>
    <row r="27" spans="1:5" s="4" customFormat="1">
      <c r="A27" s="5" t="s">
        <v>713</v>
      </c>
      <c r="B27" s="5" t="s">
        <v>54</v>
      </c>
      <c r="C27" s="5" t="s">
        <v>712</v>
      </c>
      <c r="D27" s="5"/>
      <c r="E27" s="5"/>
    </row>
  </sheetData>
  <mergeCells count="12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82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90.7109375" style="5" bestFit="1" customWidth="1"/>
    <col min="4" max="4" width="9.28515625" style="5" bestFit="1" customWidth="1"/>
    <col min="5" max="5" width="22.7109375" style="5" bestFit="1" customWidth="1"/>
    <col min="6" max="6" width="34.42578125" style="5" bestFit="1" customWidth="1"/>
    <col min="7" max="7" width="6.5703125" style="4" bestFit="1" customWidth="1"/>
    <col min="8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800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82"/>
      <c r="B4" s="80"/>
      <c r="C4" s="80"/>
      <c r="D4" s="80"/>
      <c r="E4" s="80"/>
      <c r="F4" s="80"/>
      <c r="G4" s="81">
        <v>1</v>
      </c>
      <c r="H4" s="81">
        <v>2</v>
      </c>
      <c r="I4" s="81">
        <v>3</v>
      </c>
      <c r="J4" s="81" t="s">
        <v>5</v>
      </c>
      <c r="K4" s="80"/>
      <c r="L4" s="80"/>
      <c r="M4" s="39"/>
    </row>
    <row r="5" spans="1:13" ht="15">
      <c r="A5" s="57" t="s">
        <v>379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3">
      <c r="A6" s="17" t="s">
        <v>799</v>
      </c>
      <c r="B6" s="17" t="s">
        <v>798</v>
      </c>
      <c r="C6" s="17" t="s">
        <v>797</v>
      </c>
      <c r="D6" s="17" t="str">
        <f>"0,9124"</f>
        <v>0,9124</v>
      </c>
      <c r="E6" s="17" t="s">
        <v>470</v>
      </c>
      <c r="F6" s="17" t="s">
        <v>28</v>
      </c>
      <c r="G6" s="19" t="s">
        <v>796</v>
      </c>
      <c r="H6" s="19" t="s">
        <v>192</v>
      </c>
      <c r="I6" s="19" t="s">
        <v>647</v>
      </c>
      <c r="J6" s="18"/>
      <c r="K6" s="17" t="str">
        <f>"32,5"</f>
        <v>32,5</v>
      </c>
      <c r="L6" s="19" t="str">
        <f>"33,5079"</f>
        <v>33,5079</v>
      </c>
      <c r="M6" s="17" t="s">
        <v>21</v>
      </c>
    </row>
    <row r="7" spans="1:13">
      <c r="A7" s="20" t="s">
        <v>795</v>
      </c>
      <c r="B7" s="20" t="s">
        <v>794</v>
      </c>
      <c r="C7" s="20" t="s">
        <v>793</v>
      </c>
      <c r="D7" s="20" t="str">
        <f>"0,9312"</f>
        <v>0,9312</v>
      </c>
      <c r="E7" s="20" t="s">
        <v>200</v>
      </c>
      <c r="F7" s="20" t="s">
        <v>201</v>
      </c>
      <c r="G7" s="22" t="s">
        <v>792</v>
      </c>
      <c r="H7" s="22" t="s">
        <v>750</v>
      </c>
      <c r="I7" s="21" t="s">
        <v>791</v>
      </c>
      <c r="J7" s="21"/>
      <c r="K7" s="20" t="str">
        <f>"45,0"</f>
        <v>45,0</v>
      </c>
      <c r="L7" s="22" t="str">
        <f>"41,9040"</f>
        <v>41,9040</v>
      </c>
      <c r="M7" s="20" t="s">
        <v>21</v>
      </c>
    </row>
    <row r="8" spans="1:13">
      <c r="A8" s="17"/>
      <c r="B8" s="17"/>
      <c r="C8" s="17"/>
      <c r="D8" s="17"/>
      <c r="E8" s="17"/>
      <c r="F8" s="17"/>
      <c r="G8" s="19"/>
      <c r="H8" s="19"/>
      <c r="I8" s="18"/>
      <c r="J8" s="18"/>
      <c r="K8" s="17"/>
      <c r="L8" s="19"/>
      <c r="M8" s="78"/>
    </row>
    <row r="9" spans="1:13" ht="15">
      <c r="A9" s="57" t="s">
        <v>70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78"/>
    </row>
    <row r="10" spans="1:13">
      <c r="A10" s="6" t="s">
        <v>790</v>
      </c>
      <c r="B10" s="6" t="s">
        <v>789</v>
      </c>
      <c r="C10" s="6" t="s">
        <v>366</v>
      </c>
      <c r="D10" s="6" t="str">
        <f>"0,7219"</f>
        <v>0,7219</v>
      </c>
      <c r="E10" s="6" t="s">
        <v>64</v>
      </c>
      <c r="F10" s="6" t="s">
        <v>365</v>
      </c>
      <c r="G10" s="8" t="s">
        <v>703</v>
      </c>
      <c r="H10" s="8" t="s">
        <v>788</v>
      </c>
      <c r="I10" s="7" t="s">
        <v>119</v>
      </c>
      <c r="J10" s="7"/>
      <c r="K10" s="6" t="str">
        <f>"80,0"</f>
        <v>80,0</v>
      </c>
      <c r="L10" s="8" t="str">
        <f>"57,7560"</f>
        <v>57,7560</v>
      </c>
      <c r="M10" s="78"/>
    </row>
    <row r="11" spans="1:13">
      <c r="A11" s="4"/>
      <c r="B11" s="4"/>
      <c r="C11" s="4"/>
      <c r="D11" s="4"/>
      <c r="E11" s="4"/>
      <c r="F11" s="4"/>
      <c r="K11" s="4"/>
      <c r="M11" s="4"/>
    </row>
    <row r="12" spans="1:13" ht="15">
      <c r="A12" s="57" t="s">
        <v>70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3">
      <c r="A13" s="53" t="s">
        <v>787</v>
      </c>
      <c r="B13" s="53" t="s">
        <v>684</v>
      </c>
      <c r="C13" s="53" t="s">
        <v>74</v>
      </c>
      <c r="D13" t="s">
        <v>786</v>
      </c>
      <c r="E13" s="53" t="s">
        <v>147</v>
      </c>
      <c r="F13" s="53" t="s">
        <v>785</v>
      </c>
      <c r="G13" s="54" t="s">
        <v>784</v>
      </c>
      <c r="H13" s="54" t="s">
        <v>525</v>
      </c>
      <c r="I13" s="54" t="s">
        <v>618</v>
      </c>
      <c r="J13" s="7"/>
      <c r="K13" s="53" t="s">
        <v>618</v>
      </c>
      <c r="L13" t="s">
        <v>737</v>
      </c>
      <c r="M13" s="78" t="s">
        <v>21</v>
      </c>
    </row>
    <row r="14" spans="1:13">
      <c r="A14" s="6"/>
      <c r="B14" s="6"/>
      <c r="C14" s="6"/>
      <c r="D14" s="6"/>
      <c r="E14" s="6"/>
      <c r="F14" s="6"/>
      <c r="G14" s="8"/>
      <c r="H14" s="8"/>
      <c r="I14" s="8"/>
      <c r="J14" s="7"/>
      <c r="K14" s="6"/>
      <c r="L14" s="8"/>
    </row>
    <row r="15" spans="1:13" ht="15">
      <c r="A15" s="57" t="s">
        <v>87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3">
      <c r="A16" s="6" t="s">
        <v>783</v>
      </c>
      <c r="B16" s="6" t="s">
        <v>782</v>
      </c>
      <c r="C16" s="6" t="s">
        <v>781</v>
      </c>
      <c r="D16" s="6" t="str">
        <f>"0,6198"</f>
        <v>0,6198</v>
      </c>
      <c r="E16" s="6" t="s">
        <v>235</v>
      </c>
      <c r="F16" s="6" t="s">
        <v>238</v>
      </c>
      <c r="G16" s="8" t="s">
        <v>262</v>
      </c>
      <c r="H16" s="8" t="s">
        <v>258</v>
      </c>
      <c r="I16" s="8" t="s">
        <v>369</v>
      </c>
      <c r="J16" s="7"/>
      <c r="K16" s="6" t="str">
        <f>"192,5"</f>
        <v>192,5</v>
      </c>
      <c r="L16" s="8" t="str">
        <f>"119,3115"</f>
        <v>119,3115</v>
      </c>
      <c r="M16" s="78" t="s">
        <v>21</v>
      </c>
    </row>
    <row r="17" spans="1:13">
      <c r="A17" s="6" t="s">
        <v>780</v>
      </c>
      <c r="B17" s="6" t="s">
        <v>779</v>
      </c>
      <c r="C17" s="6" t="s">
        <v>778</v>
      </c>
      <c r="D17" s="6" t="str">
        <f>"0,6295"</f>
        <v>0,6295</v>
      </c>
      <c r="E17" s="6" t="s">
        <v>16</v>
      </c>
      <c r="F17" s="6" t="s">
        <v>777</v>
      </c>
      <c r="G17" s="8" t="s">
        <v>262</v>
      </c>
      <c r="H17" s="8" t="s">
        <v>457</v>
      </c>
      <c r="I17" s="7" t="s">
        <v>258</v>
      </c>
      <c r="J17" s="7"/>
      <c r="K17" s="6" t="str">
        <f>"185,0"</f>
        <v>185,0</v>
      </c>
      <c r="L17" s="8" t="str">
        <f>"116,4575"</f>
        <v>116,4575</v>
      </c>
      <c r="M17" s="79" t="s">
        <v>21</v>
      </c>
    </row>
    <row r="18" spans="1:13">
      <c r="A18" s="6" t="s">
        <v>776</v>
      </c>
      <c r="B18" s="6" t="s">
        <v>775</v>
      </c>
      <c r="C18" s="6" t="s">
        <v>774</v>
      </c>
      <c r="D18" s="6" t="str">
        <f>"0,6577"</f>
        <v>0,6577</v>
      </c>
      <c r="E18" s="6" t="s">
        <v>16</v>
      </c>
      <c r="F18" s="6" t="s">
        <v>755</v>
      </c>
      <c r="G18" s="8" t="s">
        <v>82</v>
      </c>
      <c r="H18" s="8" t="s">
        <v>44</v>
      </c>
      <c r="I18" s="7" t="s">
        <v>517</v>
      </c>
      <c r="J18" s="7"/>
      <c r="K18" s="6" t="str">
        <f>"125,0"</f>
        <v>125,0</v>
      </c>
      <c r="L18" s="8" t="str">
        <f>"82,2125"</f>
        <v>82,2125</v>
      </c>
      <c r="M18" s="77" t="s">
        <v>21</v>
      </c>
    </row>
    <row r="19" spans="1:13">
      <c r="A19" s="6"/>
      <c r="B19" s="6"/>
      <c r="C19" s="6"/>
      <c r="D19" s="6"/>
      <c r="E19" s="6"/>
      <c r="F19" s="6"/>
      <c r="G19" s="8"/>
      <c r="H19" s="8"/>
      <c r="I19" s="8"/>
      <c r="J19" s="8"/>
      <c r="K19" s="6"/>
      <c r="L19" s="8"/>
    </row>
    <row r="20" spans="1:13" ht="15">
      <c r="A20" s="57" t="s">
        <v>92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3">
      <c r="A21" s="6" t="s">
        <v>773</v>
      </c>
      <c r="B21" s="6" t="s">
        <v>772</v>
      </c>
      <c r="C21" s="6" t="s">
        <v>771</v>
      </c>
      <c r="D21" s="6" t="str">
        <f>"0,5967"</f>
        <v>0,5967</v>
      </c>
      <c r="E21" s="6" t="s">
        <v>16</v>
      </c>
      <c r="F21" s="6" t="s">
        <v>17</v>
      </c>
      <c r="G21" s="8" t="s">
        <v>455</v>
      </c>
      <c r="H21" s="8" t="s">
        <v>586</v>
      </c>
      <c r="I21" s="7" t="s">
        <v>258</v>
      </c>
      <c r="J21" s="7"/>
      <c r="K21" s="6" t="str">
        <f>"182,5"</f>
        <v>182,5</v>
      </c>
      <c r="L21" s="8" t="str">
        <f>"108,8978"</f>
        <v>108,8978</v>
      </c>
      <c r="M21" s="78" t="s">
        <v>21</v>
      </c>
    </row>
    <row r="22" spans="1:13">
      <c r="A22" s="6" t="s">
        <v>770</v>
      </c>
      <c r="B22" s="6" t="s">
        <v>769</v>
      </c>
      <c r="C22" s="6" t="s">
        <v>768</v>
      </c>
      <c r="D22" s="6" t="str">
        <f>"0,5903"</f>
        <v>0,5903</v>
      </c>
      <c r="E22" s="6" t="s">
        <v>64</v>
      </c>
      <c r="F22" s="6" t="s">
        <v>28</v>
      </c>
      <c r="G22" s="8" t="s">
        <v>97</v>
      </c>
      <c r="H22" s="7" t="s">
        <v>767</v>
      </c>
      <c r="I22" s="7" t="s">
        <v>767</v>
      </c>
      <c r="J22" s="7"/>
      <c r="K22" s="6" t="str">
        <f>"150,0"</f>
        <v>150,0</v>
      </c>
      <c r="L22" s="8" t="str">
        <f>"88,5450"</f>
        <v>88,5450</v>
      </c>
      <c r="M22" s="77" t="s">
        <v>21</v>
      </c>
    </row>
    <row r="23" spans="1:13">
      <c r="A23" s="6"/>
      <c r="B23" s="6"/>
      <c r="C23" s="6"/>
      <c r="D23" s="6"/>
      <c r="E23" s="6"/>
      <c r="F23" s="6"/>
      <c r="G23" s="8"/>
      <c r="H23" s="8"/>
      <c r="I23" s="8"/>
      <c r="J23" s="8"/>
      <c r="K23" s="6"/>
      <c r="L23" s="8"/>
    </row>
    <row r="24" spans="1:13" ht="15">
      <c r="A24" s="57" t="s">
        <v>347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1:13">
      <c r="A25" s="6" t="s">
        <v>766</v>
      </c>
      <c r="B25" s="6" t="s">
        <v>765</v>
      </c>
      <c r="C25" s="6" t="s">
        <v>764</v>
      </c>
      <c r="D25" s="6" t="str">
        <f>"0,5697"</f>
        <v>0,5697</v>
      </c>
      <c r="E25" s="6" t="s">
        <v>382</v>
      </c>
      <c r="F25" s="6" t="s">
        <v>28</v>
      </c>
      <c r="G25" s="8" t="s">
        <v>455</v>
      </c>
      <c r="H25" s="8" t="s">
        <v>586</v>
      </c>
      <c r="I25" s="7" t="s">
        <v>258</v>
      </c>
      <c r="J25" s="7"/>
      <c r="K25" s="6" t="str">
        <f>"182,5"</f>
        <v>182,5</v>
      </c>
      <c r="L25" s="8" t="str">
        <f>"103,9703"</f>
        <v>103,9703</v>
      </c>
      <c r="M25" s="78" t="s">
        <v>21</v>
      </c>
    </row>
    <row r="26" spans="1:13">
      <c r="A26" s="6" t="s">
        <v>763</v>
      </c>
      <c r="B26" s="6" t="s">
        <v>762</v>
      </c>
      <c r="C26" s="6" t="s">
        <v>761</v>
      </c>
      <c r="D26" s="6" t="str">
        <f>"0,5804"</f>
        <v>0,5804</v>
      </c>
      <c r="E26" s="6" t="s">
        <v>713</v>
      </c>
      <c r="F26" s="6" t="s">
        <v>629</v>
      </c>
      <c r="G26" s="8" t="s">
        <v>18</v>
      </c>
      <c r="H26" s="7" t="s">
        <v>19</v>
      </c>
      <c r="I26" s="7" t="s">
        <v>19</v>
      </c>
      <c r="J26" s="7"/>
      <c r="K26" s="6" t="str">
        <f>"120,0"</f>
        <v>120,0</v>
      </c>
      <c r="L26" s="8" t="str">
        <f>"69,6480"</f>
        <v>69,6480</v>
      </c>
      <c r="M26" s="77" t="s">
        <v>21</v>
      </c>
    </row>
    <row r="27" spans="1:13">
      <c r="A27" s="6"/>
      <c r="B27" s="6"/>
      <c r="C27" s="6"/>
      <c r="D27" s="6"/>
      <c r="E27" s="6"/>
      <c r="F27" s="6"/>
      <c r="G27" s="8"/>
      <c r="H27" s="8"/>
      <c r="I27" s="8"/>
      <c r="J27" s="8"/>
      <c r="K27" s="6"/>
      <c r="L27" s="8"/>
    </row>
    <row r="28" spans="1:13" ht="15">
      <c r="A28" s="57" t="s">
        <v>11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1:13">
      <c r="A29" s="6" t="s">
        <v>13</v>
      </c>
      <c r="B29" s="6" t="s">
        <v>760</v>
      </c>
      <c r="C29" s="6" t="s">
        <v>759</v>
      </c>
      <c r="D29" s="6" t="str">
        <f>"0,5405"</f>
        <v>0,5405</v>
      </c>
      <c r="E29" s="6" t="s">
        <v>16</v>
      </c>
      <c r="F29" s="6" t="s">
        <v>17</v>
      </c>
      <c r="G29" s="7" t="s">
        <v>20</v>
      </c>
      <c r="H29" s="8" t="s">
        <v>20</v>
      </c>
      <c r="I29" s="8" t="s">
        <v>618</v>
      </c>
      <c r="J29" s="7"/>
      <c r="K29" s="6" t="str">
        <f>"147,5"</f>
        <v>147,5</v>
      </c>
      <c r="L29" s="8" t="str">
        <f>"79,7237"</f>
        <v>79,7237</v>
      </c>
      <c r="M29" s="78" t="s">
        <v>21</v>
      </c>
    </row>
    <row r="30" spans="1:13">
      <c r="A30" s="6" t="s">
        <v>13</v>
      </c>
      <c r="B30" s="6" t="s">
        <v>14</v>
      </c>
      <c r="C30" s="6" t="s">
        <v>759</v>
      </c>
      <c r="D30" s="6" t="str">
        <f>"0,5405"</f>
        <v>0,5405</v>
      </c>
      <c r="E30" s="6" t="s">
        <v>16</v>
      </c>
      <c r="F30" s="6" t="s">
        <v>17</v>
      </c>
      <c r="G30" s="7" t="s">
        <v>20</v>
      </c>
      <c r="H30" s="8" t="s">
        <v>20</v>
      </c>
      <c r="I30" s="8" t="s">
        <v>618</v>
      </c>
      <c r="J30" s="7"/>
      <c r="K30" s="6" t="str">
        <f>"147,5"</f>
        <v>147,5</v>
      </c>
      <c r="L30" s="8" t="str">
        <f>"96,3860"</f>
        <v>96,3860</v>
      </c>
      <c r="M30" s="77" t="s">
        <v>21</v>
      </c>
    </row>
    <row r="31" spans="1:13">
      <c r="A31" s="6"/>
      <c r="B31" s="6"/>
      <c r="C31" s="6"/>
      <c r="D31" s="6"/>
      <c r="E31" s="6"/>
      <c r="F31" s="6"/>
      <c r="G31" s="8"/>
      <c r="H31" s="8"/>
      <c r="I31" s="8"/>
      <c r="J31" s="8"/>
      <c r="K31" s="6"/>
      <c r="L31" s="8"/>
    </row>
    <row r="32" spans="1:13" ht="15">
      <c r="A32" s="57" t="s">
        <v>22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3">
      <c r="A33" s="6" t="s">
        <v>758</v>
      </c>
      <c r="B33" s="6" t="s">
        <v>757</v>
      </c>
      <c r="C33" s="6" t="s">
        <v>756</v>
      </c>
      <c r="D33" s="6" t="str">
        <f>"0,5346"</f>
        <v>0,5346</v>
      </c>
      <c r="E33" s="6" t="s">
        <v>16</v>
      </c>
      <c r="F33" s="6" t="s">
        <v>755</v>
      </c>
      <c r="G33" s="8" t="s">
        <v>293</v>
      </c>
      <c r="H33" s="8" t="s">
        <v>289</v>
      </c>
      <c r="I33" s="7" t="s">
        <v>401</v>
      </c>
      <c r="J33" s="7"/>
      <c r="K33" s="6" t="str">
        <f>"210,0"</f>
        <v>210,0</v>
      </c>
      <c r="L33" s="8" t="str">
        <f>"112,2660"</f>
        <v>112,2660</v>
      </c>
      <c r="M33" s="76" t="s">
        <v>21</v>
      </c>
    </row>
    <row r="35" spans="1:13" ht="15">
      <c r="E35" s="9" t="s">
        <v>31</v>
      </c>
      <c r="F35" s="5" t="s">
        <v>130</v>
      </c>
    </row>
    <row r="36" spans="1:13" ht="15">
      <c r="E36" s="9" t="s">
        <v>32</v>
      </c>
      <c r="F36" s="5" t="s">
        <v>131</v>
      </c>
    </row>
    <row r="37" spans="1:13" ht="15">
      <c r="E37" s="9" t="s">
        <v>33</v>
      </c>
      <c r="F37" s="5" t="s">
        <v>132</v>
      </c>
    </row>
    <row r="38" spans="1:13" ht="15">
      <c r="E38" s="9" t="s">
        <v>34</v>
      </c>
      <c r="F38" s="5" t="s">
        <v>133</v>
      </c>
    </row>
    <row r="39" spans="1:13" ht="15">
      <c r="E39" s="9" t="s">
        <v>34</v>
      </c>
      <c r="F39" s="5" t="s">
        <v>134</v>
      </c>
    </row>
    <row r="40" spans="1:13" ht="15">
      <c r="E40" s="9" t="s">
        <v>35</v>
      </c>
      <c r="F40" s="5" t="s">
        <v>135</v>
      </c>
    </row>
    <row r="41" spans="1:13" ht="15">
      <c r="E41" s="9"/>
    </row>
    <row r="43" spans="1:13" ht="18">
      <c r="A43" s="10" t="s">
        <v>36</v>
      </c>
      <c r="B43" s="10"/>
    </row>
    <row r="44" spans="1:13" ht="15">
      <c r="A44" s="11" t="s">
        <v>174</v>
      </c>
      <c r="B44" s="11"/>
    </row>
    <row r="45" spans="1:13" ht="14.25">
      <c r="A45" s="13"/>
      <c r="B45" s="14" t="s">
        <v>554</v>
      </c>
    </row>
    <row r="46" spans="1:13" ht="15">
      <c r="A46" s="15" t="s">
        <v>39</v>
      </c>
      <c r="B46" s="15" t="s">
        <v>40</v>
      </c>
      <c r="C46" s="15" t="s">
        <v>41</v>
      </c>
      <c r="D46" s="15" t="s">
        <v>42</v>
      </c>
      <c r="E46" s="15" t="s">
        <v>43</v>
      </c>
    </row>
    <row r="47" spans="1:13">
      <c r="A47" s="12" t="s">
        <v>754</v>
      </c>
      <c r="B47" s="5" t="s">
        <v>259</v>
      </c>
      <c r="C47" s="5" t="s">
        <v>324</v>
      </c>
      <c r="D47" s="5" t="s">
        <v>647</v>
      </c>
      <c r="E47" s="16" t="s">
        <v>753</v>
      </c>
    </row>
    <row r="48" spans="1:13">
      <c r="A48" s="12"/>
      <c r="E48" s="16"/>
    </row>
    <row r="49" spans="1:5" s="4" customFormat="1" ht="14.25">
      <c r="A49" s="13"/>
      <c r="B49" s="14" t="s">
        <v>38</v>
      </c>
      <c r="C49" s="5"/>
      <c r="D49" s="5"/>
      <c r="E49" s="5"/>
    </row>
    <row r="50" spans="1:5" s="4" customFormat="1" ht="15">
      <c r="A50" s="15" t="s">
        <v>39</v>
      </c>
      <c r="B50" s="15" t="s">
        <v>40</v>
      </c>
      <c r="C50" s="15" t="s">
        <v>41</v>
      </c>
      <c r="D50" s="15" t="s">
        <v>42</v>
      </c>
      <c r="E50" s="15" t="s">
        <v>43</v>
      </c>
    </row>
    <row r="51" spans="1:5" s="4" customFormat="1">
      <c r="A51" s="12" t="s">
        <v>752</v>
      </c>
      <c r="B51" s="5" t="s">
        <v>38</v>
      </c>
      <c r="C51" s="5" t="s">
        <v>111</v>
      </c>
      <c r="D51" s="5" t="s">
        <v>322</v>
      </c>
      <c r="E51" s="16" t="s">
        <v>751</v>
      </c>
    </row>
    <row r="52" spans="1:5" s="4" customFormat="1">
      <c r="A52" s="12" t="s">
        <v>721</v>
      </c>
      <c r="B52" s="5" t="s">
        <v>38</v>
      </c>
      <c r="C52" s="5" t="s">
        <v>324</v>
      </c>
      <c r="D52" s="5" t="s">
        <v>750</v>
      </c>
      <c r="E52" s="16" t="s">
        <v>749</v>
      </c>
    </row>
    <row r="54" spans="1:5" s="4" customFormat="1" ht="15">
      <c r="A54" s="11" t="s">
        <v>37</v>
      </c>
      <c r="B54" s="11"/>
      <c r="C54" s="5"/>
      <c r="D54" s="5"/>
      <c r="E54" s="5"/>
    </row>
    <row r="55" spans="1:5" s="4" customFormat="1" ht="14.25">
      <c r="A55" s="13"/>
      <c r="B55" s="14" t="s">
        <v>38</v>
      </c>
      <c r="C55" s="5"/>
      <c r="D55" s="5"/>
      <c r="E55" s="5"/>
    </row>
    <row r="56" spans="1:5" s="4" customFormat="1" ht="15">
      <c r="A56" s="15" t="s">
        <v>39</v>
      </c>
      <c r="B56" s="15" t="s">
        <v>40</v>
      </c>
      <c r="C56" s="15" t="s">
        <v>41</v>
      </c>
      <c r="D56" s="15" t="s">
        <v>42</v>
      </c>
      <c r="E56" s="15" t="s">
        <v>43</v>
      </c>
    </row>
    <row r="57" spans="1:5" s="4" customFormat="1">
      <c r="A57" s="12" t="s">
        <v>748</v>
      </c>
      <c r="B57" s="5" t="s">
        <v>38</v>
      </c>
      <c r="C57" s="5" t="s">
        <v>119</v>
      </c>
      <c r="D57" s="5" t="s">
        <v>369</v>
      </c>
      <c r="E57" s="16" t="s">
        <v>747</v>
      </c>
    </row>
    <row r="58" spans="1:5" s="4" customFormat="1">
      <c r="A58" s="12" t="s">
        <v>746</v>
      </c>
      <c r="B58" s="5" t="s">
        <v>38</v>
      </c>
      <c r="C58" s="5" t="s">
        <v>119</v>
      </c>
      <c r="D58" s="5" t="s">
        <v>457</v>
      </c>
      <c r="E58" s="16" t="s">
        <v>745</v>
      </c>
    </row>
    <row r="59" spans="1:5" s="4" customFormat="1">
      <c r="A59" s="12" t="s">
        <v>744</v>
      </c>
      <c r="B59" s="5" t="s">
        <v>38</v>
      </c>
      <c r="C59" s="5" t="s">
        <v>44</v>
      </c>
      <c r="D59" s="5" t="s">
        <v>289</v>
      </c>
      <c r="E59" s="16" t="s">
        <v>743</v>
      </c>
    </row>
    <row r="60" spans="1:5" s="4" customFormat="1">
      <c r="A60" s="12" t="s">
        <v>742</v>
      </c>
      <c r="B60" s="5" t="s">
        <v>38</v>
      </c>
      <c r="C60" s="5" t="s">
        <v>121</v>
      </c>
      <c r="D60" s="5" t="s">
        <v>586</v>
      </c>
      <c r="E60" s="16" t="s">
        <v>741</v>
      </c>
    </row>
    <row r="61" spans="1:5" s="4" customFormat="1">
      <c r="A61" s="12" t="s">
        <v>740</v>
      </c>
      <c r="B61" s="5" t="s">
        <v>38</v>
      </c>
      <c r="C61" s="5" t="s">
        <v>77</v>
      </c>
      <c r="D61" s="5" t="s">
        <v>586</v>
      </c>
      <c r="E61" s="16" t="s">
        <v>739</v>
      </c>
    </row>
    <row r="62" spans="1:5" s="4" customFormat="1">
      <c r="A62" s="58" t="s">
        <v>738</v>
      </c>
      <c r="B62" s="5" t="s">
        <v>38</v>
      </c>
      <c r="C62" s="59" t="s">
        <v>111</v>
      </c>
      <c r="D62" s="59" t="s">
        <v>618</v>
      </c>
      <c r="E62" t="s">
        <v>737</v>
      </c>
    </row>
    <row r="63" spans="1:5" s="4" customFormat="1">
      <c r="A63" s="12" t="s">
        <v>736</v>
      </c>
      <c r="B63" s="5" t="s">
        <v>38</v>
      </c>
      <c r="C63" s="5" t="s">
        <v>121</v>
      </c>
      <c r="D63" s="5" t="s">
        <v>245</v>
      </c>
      <c r="E63" s="16" t="s">
        <v>735</v>
      </c>
    </row>
    <row r="64" spans="1:5" s="4" customFormat="1">
      <c r="A64" s="12" t="s">
        <v>734</v>
      </c>
      <c r="B64" s="5" t="s">
        <v>38</v>
      </c>
      <c r="C64" s="5" t="s">
        <v>119</v>
      </c>
      <c r="D64" s="5" t="s">
        <v>44</v>
      </c>
      <c r="E64" s="16" t="s">
        <v>733</v>
      </c>
    </row>
    <row r="65" spans="1:5" s="4" customFormat="1">
      <c r="A65" s="12" t="s">
        <v>12</v>
      </c>
      <c r="B65" s="5" t="s">
        <v>38</v>
      </c>
      <c r="C65" s="5" t="s">
        <v>48</v>
      </c>
      <c r="D65" s="5" t="s">
        <v>618</v>
      </c>
      <c r="E65" s="16" t="s">
        <v>732</v>
      </c>
    </row>
    <row r="66" spans="1:5" s="4" customFormat="1">
      <c r="A66" s="12" t="s">
        <v>731</v>
      </c>
      <c r="B66" s="5" t="s">
        <v>38</v>
      </c>
      <c r="C66" s="5" t="s">
        <v>77</v>
      </c>
      <c r="D66" s="5" t="s">
        <v>18</v>
      </c>
      <c r="E66" s="16" t="s">
        <v>730</v>
      </c>
    </row>
    <row r="68" spans="1:5" s="4" customFormat="1" ht="14.25">
      <c r="A68" s="13"/>
      <c r="B68" s="14" t="s">
        <v>46</v>
      </c>
      <c r="C68" s="5"/>
      <c r="D68" s="5"/>
      <c r="E68" s="5"/>
    </row>
    <row r="69" spans="1:5" s="4" customFormat="1" ht="15">
      <c r="A69" s="15" t="s">
        <v>39</v>
      </c>
      <c r="B69" s="15" t="s">
        <v>40</v>
      </c>
      <c r="C69" s="15" t="s">
        <v>41</v>
      </c>
      <c r="D69" s="15" t="s">
        <v>42</v>
      </c>
      <c r="E69" s="15" t="s">
        <v>43</v>
      </c>
    </row>
    <row r="70" spans="1:5" s="4" customFormat="1">
      <c r="A70" s="12" t="s">
        <v>12</v>
      </c>
      <c r="B70" s="5" t="s">
        <v>47</v>
      </c>
      <c r="C70" s="5" t="s">
        <v>48</v>
      </c>
      <c r="D70" s="5" t="s">
        <v>618</v>
      </c>
      <c r="E70" s="16" t="s">
        <v>729</v>
      </c>
    </row>
    <row r="75" spans="1:5" s="4" customFormat="1" ht="18">
      <c r="A75" s="10" t="s">
        <v>50</v>
      </c>
      <c r="B75" s="10"/>
      <c r="C75" s="5"/>
      <c r="D75" s="5"/>
      <c r="E75" s="5"/>
    </row>
    <row r="76" spans="1:5" s="4" customFormat="1" ht="15">
      <c r="A76" s="15" t="s">
        <v>51</v>
      </c>
      <c r="B76" s="15" t="s">
        <v>52</v>
      </c>
      <c r="C76" s="15" t="s">
        <v>53</v>
      </c>
      <c r="D76" s="5"/>
      <c r="E76" s="5"/>
    </row>
    <row r="77" spans="1:5" s="4" customFormat="1">
      <c r="A77" s="5" t="s">
        <v>16</v>
      </c>
      <c r="B77" s="5" t="s">
        <v>728</v>
      </c>
      <c r="C77" s="5" t="s">
        <v>727</v>
      </c>
      <c r="D77" s="5"/>
      <c r="E77" s="5"/>
    </row>
    <row r="78" spans="1:5" s="4" customFormat="1">
      <c r="A78" s="5" t="s">
        <v>64</v>
      </c>
      <c r="B78" s="59" t="s">
        <v>726</v>
      </c>
      <c r="C78" s="59" t="s">
        <v>725</v>
      </c>
      <c r="D78" s="5"/>
      <c r="E78" s="5"/>
    </row>
    <row r="79" spans="1:5" s="4" customFormat="1">
      <c r="A79" s="5" t="s">
        <v>235</v>
      </c>
      <c r="B79" s="5" t="s">
        <v>54</v>
      </c>
      <c r="C79" s="5" t="s">
        <v>724</v>
      </c>
      <c r="D79" s="5"/>
      <c r="E79" s="5"/>
    </row>
    <row r="80" spans="1:5" s="4" customFormat="1">
      <c r="A80" s="5" t="s">
        <v>382</v>
      </c>
      <c r="B80" s="59" t="s">
        <v>232</v>
      </c>
      <c r="C80" s="59" t="s">
        <v>723</v>
      </c>
      <c r="D80" s="5"/>
      <c r="E80" s="5"/>
    </row>
    <row r="81" spans="1:3" s="4" customFormat="1">
      <c r="A81" s="59" t="s">
        <v>225</v>
      </c>
      <c r="B81" s="59" t="s">
        <v>722</v>
      </c>
      <c r="C81" s="59" t="s">
        <v>721</v>
      </c>
    </row>
    <row r="82" spans="1:3" s="4" customFormat="1">
      <c r="A82" s="5" t="s">
        <v>713</v>
      </c>
      <c r="B82" s="5" t="s">
        <v>418</v>
      </c>
      <c r="C82" s="5" t="s">
        <v>720</v>
      </c>
    </row>
  </sheetData>
  <mergeCells count="19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24:L24"/>
    <mergeCell ref="A28:L28"/>
    <mergeCell ref="A32:L32"/>
    <mergeCell ref="K3:K4"/>
    <mergeCell ref="L3:L4"/>
    <mergeCell ref="M3:M4"/>
    <mergeCell ref="A9:L9"/>
    <mergeCell ref="A15:L15"/>
    <mergeCell ref="A20:L20"/>
    <mergeCell ref="A12:L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8.28515625" style="5" bestFit="1" customWidth="1"/>
    <col min="4" max="4" width="9.28515625" style="5" bestFit="1" customWidth="1"/>
    <col min="5" max="5" width="22.7109375" style="5" bestFit="1" customWidth="1"/>
    <col min="6" max="6" width="30.85546875" style="5" bestFit="1" customWidth="1"/>
    <col min="7" max="9" width="5.5703125" style="4" bestFit="1" customWidth="1"/>
    <col min="10" max="10" width="4.85546875" style="4" bestFit="1" customWidth="1"/>
    <col min="11" max="13" width="4.5703125" style="4" bestFit="1" customWidth="1"/>
    <col min="14" max="14" width="4.85546875" style="4" bestFit="1" customWidth="1"/>
    <col min="15" max="16" width="5.5703125" style="4" bestFit="1" customWidth="1"/>
    <col min="17" max="17" width="2.1406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26" t="s">
        <v>803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241</v>
      </c>
      <c r="H3" s="36"/>
      <c r="I3" s="36"/>
      <c r="J3" s="36"/>
      <c r="K3" s="36" t="s">
        <v>1</v>
      </c>
      <c r="L3" s="36"/>
      <c r="M3" s="36"/>
      <c r="N3" s="36"/>
      <c r="O3" s="36" t="s">
        <v>154</v>
      </c>
      <c r="P3" s="36"/>
      <c r="Q3" s="36"/>
      <c r="R3" s="36"/>
      <c r="S3" s="36" t="s">
        <v>138</v>
      </c>
      <c r="T3" s="36" t="s">
        <v>3</v>
      </c>
      <c r="U3" s="38" t="s">
        <v>2</v>
      </c>
    </row>
    <row r="4" spans="1:21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2">
        <v>1</v>
      </c>
      <c r="L4" s="2">
        <v>2</v>
      </c>
      <c r="M4" s="2">
        <v>3</v>
      </c>
      <c r="N4" s="2" t="s">
        <v>5</v>
      </c>
      <c r="O4" s="2">
        <v>1</v>
      </c>
      <c r="P4" s="2">
        <v>2</v>
      </c>
      <c r="Q4" s="2">
        <v>3</v>
      </c>
      <c r="R4" s="2" t="s">
        <v>5</v>
      </c>
      <c r="S4" s="35"/>
      <c r="T4" s="35"/>
      <c r="U4" s="39"/>
    </row>
    <row r="5" spans="1:21" ht="15">
      <c r="A5" s="40" t="s">
        <v>59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6" t="s">
        <v>240</v>
      </c>
      <c r="B6" s="6" t="s">
        <v>239</v>
      </c>
      <c r="C6" s="6" t="s">
        <v>171</v>
      </c>
      <c r="D6" s="6" t="str">
        <f>"0,8622"</f>
        <v>0,8622</v>
      </c>
      <c r="E6" s="6" t="s">
        <v>235</v>
      </c>
      <c r="F6" s="6" t="s">
        <v>238</v>
      </c>
      <c r="G6" s="8" t="s">
        <v>48</v>
      </c>
      <c r="H6" s="8" t="s">
        <v>18</v>
      </c>
      <c r="I6" s="8" t="s">
        <v>19</v>
      </c>
      <c r="J6" s="7"/>
      <c r="K6" s="8" t="s">
        <v>115</v>
      </c>
      <c r="L6" s="8" t="s">
        <v>448</v>
      </c>
      <c r="M6" s="8" t="s">
        <v>111</v>
      </c>
      <c r="N6" s="7"/>
      <c r="O6" s="8" t="s">
        <v>48</v>
      </c>
      <c r="P6" s="8" t="s">
        <v>253</v>
      </c>
      <c r="Q6" s="7"/>
      <c r="R6" s="7"/>
      <c r="S6" s="6" t="str">
        <f>"327,5"</f>
        <v>327,5</v>
      </c>
      <c r="T6" s="8" t="str">
        <f>"282,3541"</f>
        <v>282,3541</v>
      </c>
      <c r="U6" s="6" t="s">
        <v>21</v>
      </c>
    </row>
    <row r="8" spans="1:21" ht="15">
      <c r="E8" s="9" t="s">
        <v>31</v>
      </c>
      <c r="F8" s="5" t="s">
        <v>130</v>
      </c>
    </row>
    <row r="9" spans="1:21" ht="15">
      <c r="E9" s="9" t="s">
        <v>32</v>
      </c>
      <c r="F9" s="5" t="s">
        <v>131</v>
      </c>
    </row>
    <row r="10" spans="1:21" ht="15">
      <c r="E10" s="9" t="s">
        <v>33</v>
      </c>
      <c r="F10" s="5" t="s">
        <v>132</v>
      </c>
    </row>
    <row r="11" spans="1:21" ht="15">
      <c r="E11" s="9" t="s">
        <v>34</v>
      </c>
      <c r="F11" s="5" t="s">
        <v>133</v>
      </c>
    </row>
    <row r="12" spans="1:21" ht="15">
      <c r="E12" s="9" t="s">
        <v>34</v>
      </c>
      <c r="F12" s="5" t="s">
        <v>134</v>
      </c>
    </row>
    <row r="13" spans="1:21" ht="15">
      <c r="E13" s="9" t="s">
        <v>35</v>
      </c>
      <c r="F13" s="5" t="s">
        <v>135</v>
      </c>
    </row>
    <row r="14" spans="1:21" ht="15">
      <c r="E14" s="9"/>
    </row>
    <row r="16" spans="1:21" ht="18">
      <c r="A16" s="10" t="s">
        <v>36</v>
      </c>
      <c r="B16" s="10"/>
    </row>
    <row r="17" spans="1:5" s="4" customFormat="1" ht="15">
      <c r="A17" s="11" t="s">
        <v>174</v>
      </c>
      <c r="B17" s="11"/>
      <c r="C17" s="5"/>
      <c r="D17" s="5"/>
      <c r="E17" s="5"/>
    </row>
    <row r="18" spans="1:5" s="4" customFormat="1" ht="14.25">
      <c r="A18" s="13"/>
      <c r="B18" s="14" t="s">
        <v>38</v>
      </c>
      <c r="C18" s="5"/>
      <c r="D18" s="5"/>
      <c r="E18" s="5"/>
    </row>
    <row r="19" spans="1:5" s="4" customFormat="1" ht="15">
      <c r="A19" s="15" t="s">
        <v>39</v>
      </c>
      <c r="B19" s="15" t="s">
        <v>40</v>
      </c>
      <c r="C19" s="15" t="s">
        <v>41</v>
      </c>
      <c r="D19" s="15" t="s">
        <v>42</v>
      </c>
      <c r="E19" s="15" t="s">
        <v>43</v>
      </c>
    </row>
    <row r="20" spans="1:5" s="4" customFormat="1">
      <c r="A20" s="12" t="s">
        <v>237</v>
      </c>
      <c r="B20" s="5" t="s">
        <v>38</v>
      </c>
      <c r="C20" s="5" t="s">
        <v>115</v>
      </c>
      <c r="D20" s="5" t="s">
        <v>802</v>
      </c>
      <c r="E20" s="16" t="s">
        <v>801</v>
      </c>
    </row>
    <row r="25" spans="1:5" s="4" customFormat="1" ht="18">
      <c r="A25" s="10" t="s">
        <v>50</v>
      </c>
      <c r="B25" s="10"/>
      <c r="C25" s="5"/>
      <c r="D25" s="5"/>
      <c r="E25" s="5"/>
    </row>
    <row r="26" spans="1:5" s="4" customFormat="1" ht="15">
      <c r="A26" s="15" t="s">
        <v>51</v>
      </c>
      <c r="B26" s="15" t="s">
        <v>52</v>
      </c>
      <c r="C26" s="15" t="s">
        <v>53</v>
      </c>
      <c r="D26" s="5"/>
      <c r="E26" s="5"/>
    </row>
    <row r="27" spans="1:5" s="4" customFormat="1">
      <c r="A27" s="5" t="s">
        <v>235</v>
      </c>
      <c r="B27" s="5" t="s">
        <v>54</v>
      </c>
      <c r="C27" s="5" t="s">
        <v>234</v>
      </c>
      <c r="D27" s="5"/>
      <c r="E27" s="5"/>
    </row>
  </sheetData>
  <mergeCells count="14"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U44"/>
  <sheetViews>
    <sheetView zoomScale="80" zoomScaleNormal="80" workbookViewId="0">
      <selection activeCell="C13" sqref="C13"/>
    </sheetView>
  </sheetViews>
  <sheetFormatPr defaultRowHeight="12.75"/>
  <cols>
    <col min="1" max="1" width="31.85546875" style="5" bestFit="1" customWidth="1"/>
    <col min="2" max="2" width="29" style="5" bestFit="1" customWidth="1"/>
    <col min="3" max="3" width="36.7109375" style="5" bestFit="1" customWidth="1"/>
    <col min="4" max="4" width="9.28515625" style="5" bestFit="1" customWidth="1"/>
    <col min="5" max="5" width="22.7109375" style="5" bestFit="1" customWidth="1"/>
    <col min="6" max="6" width="30.8554687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26" t="s">
        <v>831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241</v>
      </c>
      <c r="H3" s="36"/>
      <c r="I3" s="36"/>
      <c r="J3" s="36"/>
      <c r="K3" s="36" t="s">
        <v>1</v>
      </c>
      <c r="L3" s="36"/>
      <c r="M3" s="36"/>
      <c r="N3" s="36"/>
      <c r="O3" s="36" t="s">
        <v>154</v>
      </c>
      <c r="P3" s="36"/>
      <c r="Q3" s="36"/>
      <c r="R3" s="36"/>
      <c r="S3" s="36" t="s">
        <v>138</v>
      </c>
      <c r="T3" s="36" t="s">
        <v>3</v>
      </c>
      <c r="U3" s="38" t="s">
        <v>2</v>
      </c>
    </row>
    <row r="4" spans="1:21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2">
        <v>1</v>
      </c>
      <c r="L4" s="2">
        <v>2</v>
      </c>
      <c r="M4" s="2">
        <v>3</v>
      </c>
      <c r="N4" s="2" t="s">
        <v>5</v>
      </c>
      <c r="O4" s="2">
        <v>1</v>
      </c>
      <c r="P4" s="2">
        <v>2</v>
      </c>
      <c r="Q4" s="2">
        <v>3</v>
      </c>
      <c r="R4" s="2" t="s">
        <v>5</v>
      </c>
      <c r="S4" s="35"/>
      <c r="T4" s="35"/>
      <c r="U4" s="39"/>
    </row>
    <row r="5" spans="1:21" ht="15">
      <c r="A5" s="40" t="s">
        <v>651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6" t="s">
        <v>830</v>
      </c>
      <c r="B6" s="6" t="s">
        <v>829</v>
      </c>
      <c r="C6" s="6" t="s">
        <v>828</v>
      </c>
      <c r="D6" s="6" t="str">
        <f>"1,1089"</f>
        <v>1,1089</v>
      </c>
      <c r="E6" s="6" t="s">
        <v>27</v>
      </c>
      <c r="F6" s="6" t="s">
        <v>28</v>
      </c>
      <c r="G6" s="8" t="s">
        <v>121</v>
      </c>
      <c r="H6" s="8" t="s">
        <v>827</v>
      </c>
      <c r="I6" s="8" t="s">
        <v>824</v>
      </c>
      <c r="J6" s="7"/>
      <c r="K6" s="8" t="s">
        <v>826</v>
      </c>
      <c r="L6" s="8" t="s">
        <v>825</v>
      </c>
      <c r="M6" s="7" t="s">
        <v>652</v>
      </c>
      <c r="N6" s="7"/>
      <c r="O6" s="8" t="s">
        <v>595</v>
      </c>
      <c r="P6" s="8" t="s">
        <v>820</v>
      </c>
      <c r="Q6" s="8" t="s">
        <v>824</v>
      </c>
      <c r="R6" s="7"/>
      <c r="S6" s="6" t="str">
        <f>"262,5"</f>
        <v>262,5</v>
      </c>
      <c r="T6" s="8" t="str">
        <f>"358,0361"</f>
        <v>358,0361</v>
      </c>
      <c r="U6" s="6" t="s">
        <v>21</v>
      </c>
    </row>
    <row r="8" spans="1:21" ht="15">
      <c r="A8" s="37" t="s">
        <v>87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1">
      <c r="A9" s="6" t="s">
        <v>823</v>
      </c>
      <c r="B9" s="6" t="s">
        <v>822</v>
      </c>
      <c r="C9" s="6" t="s">
        <v>821</v>
      </c>
      <c r="D9" s="6" t="str">
        <f>"0,6495"</f>
        <v>0,6495</v>
      </c>
      <c r="E9" s="6" t="s">
        <v>27</v>
      </c>
      <c r="F9" s="6" t="s">
        <v>28</v>
      </c>
      <c r="G9" s="8" t="s">
        <v>20</v>
      </c>
      <c r="H9" s="8" t="s">
        <v>245</v>
      </c>
      <c r="I9" s="8" t="s">
        <v>504</v>
      </c>
      <c r="J9" s="7"/>
      <c r="K9" s="8" t="s">
        <v>595</v>
      </c>
      <c r="L9" s="8" t="s">
        <v>820</v>
      </c>
      <c r="M9" s="8" t="s">
        <v>116</v>
      </c>
      <c r="N9" s="7"/>
      <c r="O9" s="8" t="s">
        <v>20</v>
      </c>
      <c r="P9" s="8" t="s">
        <v>767</v>
      </c>
      <c r="Q9" s="8" t="s">
        <v>426</v>
      </c>
      <c r="R9" s="7"/>
      <c r="S9" s="6" t="str">
        <f>"427,5"</f>
        <v>427,5</v>
      </c>
      <c r="T9" s="8" t="str">
        <f>"294,3209"</f>
        <v>294,3209</v>
      </c>
      <c r="U9" s="6" t="s">
        <v>21</v>
      </c>
    </row>
    <row r="11" spans="1:21" ht="15">
      <c r="A11" s="37" t="s">
        <v>347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1">
      <c r="A12" s="6" t="s">
        <v>819</v>
      </c>
      <c r="B12" s="6" t="s">
        <v>818</v>
      </c>
      <c r="C12" s="6" t="s">
        <v>817</v>
      </c>
      <c r="D12" s="6" t="str">
        <f>"0,5543"</f>
        <v>0,5543</v>
      </c>
      <c r="E12" s="6" t="s">
        <v>235</v>
      </c>
      <c r="F12" s="6" t="s">
        <v>238</v>
      </c>
      <c r="G12" s="8" t="s">
        <v>815</v>
      </c>
      <c r="H12" s="8" t="s">
        <v>816</v>
      </c>
      <c r="I12" s="7" t="s">
        <v>683</v>
      </c>
      <c r="J12" s="7"/>
      <c r="K12" s="7" t="s">
        <v>310</v>
      </c>
      <c r="L12" s="7" t="s">
        <v>262</v>
      </c>
      <c r="M12" s="8" t="s">
        <v>262</v>
      </c>
      <c r="N12" s="7"/>
      <c r="O12" s="8" t="s">
        <v>271</v>
      </c>
      <c r="P12" s="8" t="s">
        <v>815</v>
      </c>
      <c r="Q12" s="8" t="s">
        <v>335</v>
      </c>
      <c r="R12" s="7"/>
      <c r="S12" s="6" t="str">
        <f>"745,0"</f>
        <v>745,0</v>
      </c>
      <c r="T12" s="8" t="str">
        <f>"412,9535"</f>
        <v>412,9535</v>
      </c>
      <c r="U12" s="6" t="s">
        <v>21</v>
      </c>
    </row>
    <row r="14" spans="1:21" ht="15">
      <c r="E14" s="9" t="s">
        <v>31</v>
      </c>
      <c r="F14" s="5" t="s">
        <v>130</v>
      </c>
    </row>
    <row r="15" spans="1:21" ht="15">
      <c r="E15" s="9" t="s">
        <v>32</v>
      </c>
      <c r="F15" s="5" t="s">
        <v>131</v>
      </c>
    </row>
    <row r="16" spans="1:21" ht="15">
      <c r="E16" s="9" t="s">
        <v>33</v>
      </c>
      <c r="F16" s="5" t="s">
        <v>132</v>
      </c>
    </row>
    <row r="17" spans="1:6" s="4" customFormat="1" ht="15">
      <c r="A17" s="5"/>
      <c r="B17" s="5"/>
      <c r="C17" s="5"/>
      <c r="D17" s="5"/>
      <c r="E17" s="9" t="s">
        <v>34</v>
      </c>
      <c r="F17" s="5" t="s">
        <v>133</v>
      </c>
    </row>
    <row r="18" spans="1:6" s="4" customFormat="1" ht="15">
      <c r="A18" s="5"/>
      <c r="B18" s="5"/>
      <c r="C18" s="5"/>
      <c r="D18" s="5"/>
      <c r="E18" s="9" t="s">
        <v>34</v>
      </c>
      <c r="F18" s="5" t="s">
        <v>134</v>
      </c>
    </row>
    <row r="19" spans="1:6" s="4" customFormat="1" ht="15">
      <c r="A19" s="5"/>
      <c r="B19" s="5"/>
      <c r="C19" s="5"/>
      <c r="D19" s="5"/>
      <c r="E19" s="9" t="s">
        <v>35</v>
      </c>
      <c r="F19" s="5" t="s">
        <v>135</v>
      </c>
    </row>
    <row r="20" spans="1:6" s="4" customFormat="1" ht="15">
      <c r="A20" s="5"/>
      <c r="B20" s="5"/>
      <c r="C20" s="5"/>
      <c r="D20" s="5"/>
      <c r="E20" s="9"/>
      <c r="F20" s="5"/>
    </row>
    <row r="22" spans="1:6" s="4" customFormat="1" ht="18">
      <c r="A22" s="10" t="s">
        <v>36</v>
      </c>
      <c r="B22" s="10"/>
      <c r="C22" s="5"/>
      <c r="D22" s="5"/>
      <c r="E22" s="5"/>
      <c r="F22" s="5"/>
    </row>
    <row r="23" spans="1:6" s="4" customFormat="1" ht="15">
      <c r="A23" s="11" t="s">
        <v>174</v>
      </c>
      <c r="B23" s="11"/>
      <c r="C23" s="5"/>
      <c r="D23" s="5"/>
      <c r="E23" s="5"/>
      <c r="F23" s="5"/>
    </row>
    <row r="24" spans="1:6" s="4" customFormat="1" ht="14.25">
      <c r="A24" s="13"/>
      <c r="B24" s="14" t="s">
        <v>554</v>
      </c>
      <c r="C24" s="5"/>
      <c r="D24" s="5"/>
      <c r="E24" s="5"/>
      <c r="F24" s="5"/>
    </row>
    <row r="25" spans="1:6" s="4" customFormat="1" ht="15">
      <c r="A25" s="15" t="s">
        <v>39</v>
      </c>
      <c r="B25" s="15" t="s">
        <v>40</v>
      </c>
      <c r="C25" s="15" t="s">
        <v>41</v>
      </c>
      <c r="D25" s="15" t="s">
        <v>42</v>
      </c>
      <c r="E25" s="15" t="s">
        <v>43</v>
      </c>
      <c r="F25" s="5"/>
    </row>
    <row r="26" spans="1:6" s="4" customFormat="1">
      <c r="A26" s="12" t="s">
        <v>814</v>
      </c>
      <c r="B26" s="5" t="s">
        <v>388</v>
      </c>
      <c r="C26" s="5" t="s">
        <v>533</v>
      </c>
      <c r="D26" s="5" t="s">
        <v>813</v>
      </c>
      <c r="E26" s="16" t="s">
        <v>812</v>
      </c>
      <c r="F26" s="5"/>
    </row>
    <row r="29" spans="1:6" s="4" customFormat="1" ht="15">
      <c r="A29" s="11" t="s">
        <v>37</v>
      </c>
      <c r="B29" s="11"/>
      <c r="C29" s="5"/>
      <c r="D29" s="5"/>
      <c r="E29" s="5"/>
      <c r="F29" s="5"/>
    </row>
    <row r="30" spans="1:6" s="4" customFormat="1" ht="14.25">
      <c r="A30" s="13"/>
      <c r="B30" s="14" t="s">
        <v>109</v>
      </c>
      <c r="C30" s="5"/>
      <c r="D30" s="5"/>
      <c r="E30" s="5"/>
      <c r="F30" s="5"/>
    </row>
    <row r="31" spans="1:6" s="4" customFormat="1" ht="15">
      <c r="A31" s="15" t="s">
        <v>39</v>
      </c>
      <c r="B31" s="15" t="s">
        <v>40</v>
      </c>
      <c r="C31" s="15" t="s">
        <v>41</v>
      </c>
      <c r="D31" s="15" t="s">
        <v>42</v>
      </c>
      <c r="E31" s="15" t="s">
        <v>43</v>
      </c>
      <c r="F31" s="5"/>
    </row>
    <row r="32" spans="1:6" s="4" customFormat="1">
      <c r="A32" s="12" t="s">
        <v>811</v>
      </c>
      <c r="B32" s="5" t="s">
        <v>110</v>
      </c>
      <c r="C32" s="5" t="s">
        <v>119</v>
      </c>
      <c r="D32" s="5" t="s">
        <v>810</v>
      </c>
      <c r="E32" s="16" t="s">
        <v>809</v>
      </c>
      <c r="F32" s="5"/>
    </row>
    <row r="34" spans="1:5" s="4" customFormat="1" ht="14.25">
      <c r="A34" s="13"/>
      <c r="B34" s="14" t="s">
        <v>38</v>
      </c>
      <c r="C34" s="5"/>
      <c r="D34" s="5"/>
      <c r="E34" s="5"/>
    </row>
    <row r="35" spans="1:5" s="4" customFormat="1" ht="15">
      <c r="A35" s="15" t="s">
        <v>39</v>
      </c>
      <c r="B35" s="15" t="s">
        <v>40</v>
      </c>
      <c r="C35" s="15" t="s">
        <v>41</v>
      </c>
      <c r="D35" s="15" t="s">
        <v>42</v>
      </c>
      <c r="E35" s="15" t="s">
        <v>43</v>
      </c>
    </row>
    <row r="36" spans="1:5" s="4" customFormat="1">
      <c r="A36" s="12" t="s">
        <v>808</v>
      </c>
      <c r="B36" s="5" t="s">
        <v>38</v>
      </c>
      <c r="C36" s="5" t="s">
        <v>77</v>
      </c>
      <c r="D36" s="5" t="s">
        <v>807</v>
      </c>
      <c r="E36" s="16" t="s">
        <v>806</v>
      </c>
    </row>
    <row r="41" spans="1:5" s="4" customFormat="1" ht="18">
      <c r="A41" s="10" t="s">
        <v>50</v>
      </c>
      <c r="B41" s="10"/>
      <c r="C41" s="5"/>
      <c r="D41" s="5"/>
      <c r="E41" s="5"/>
    </row>
    <row r="42" spans="1:5" s="4" customFormat="1" ht="15">
      <c r="A42" s="15" t="s">
        <v>51</v>
      </c>
      <c r="B42" s="15" t="s">
        <v>52</v>
      </c>
      <c r="C42" s="15" t="s">
        <v>53</v>
      </c>
      <c r="D42" s="5"/>
      <c r="E42" s="5"/>
    </row>
    <row r="43" spans="1:5" s="4" customFormat="1">
      <c r="A43" s="5" t="s">
        <v>27</v>
      </c>
      <c r="B43" s="5" t="s">
        <v>232</v>
      </c>
      <c r="C43" s="5" t="s">
        <v>805</v>
      </c>
      <c r="D43" s="5"/>
      <c r="E43" s="5"/>
    </row>
    <row r="44" spans="1:5" s="4" customFormat="1">
      <c r="A44" s="5" t="s">
        <v>235</v>
      </c>
      <c r="B44" s="5" t="s">
        <v>54</v>
      </c>
      <c r="C44" s="5" t="s">
        <v>804</v>
      </c>
      <c r="D44" s="5"/>
      <c r="E44" s="5"/>
    </row>
  </sheetData>
  <mergeCells count="16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  <mergeCell ref="A11:T1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85"/>
  <sheetViews>
    <sheetView zoomScale="70" zoomScaleNormal="70" workbookViewId="0">
      <selection activeCell="C13" sqref="C13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62.28515625" style="5" bestFit="1" customWidth="1"/>
    <col min="4" max="4" width="9.28515625" style="5" bestFit="1" customWidth="1"/>
    <col min="5" max="5" width="22.7109375" style="5" bestFit="1" customWidth="1"/>
    <col min="6" max="6" width="38.140625" style="5" bestFit="1" customWidth="1"/>
    <col min="7" max="8" width="5.5703125" style="4" bestFit="1" customWidth="1"/>
    <col min="9" max="9" width="6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5" width="5.5703125" style="4" bestFit="1" customWidth="1"/>
    <col min="16" max="17" width="6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26" t="s">
        <v>904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241</v>
      </c>
      <c r="H3" s="36"/>
      <c r="I3" s="36"/>
      <c r="J3" s="36"/>
      <c r="K3" s="36" t="s">
        <v>1</v>
      </c>
      <c r="L3" s="36"/>
      <c r="M3" s="36"/>
      <c r="N3" s="36"/>
      <c r="O3" s="36" t="s">
        <v>154</v>
      </c>
      <c r="P3" s="36"/>
      <c r="Q3" s="36"/>
      <c r="R3" s="36"/>
      <c r="S3" s="36" t="s">
        <v>138</v>
      </c>
      <c r="T3" s="36" t="s">
        <v>3</v>
      </c>
      <c r="U3" s="38" t="s">
        <v>2</v>
      </c>
    </row>
    <row r="4" spans="1:21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2">
        <v>1</v>
      </c>
      <c r="L4" s="2">
        <v>2</v>
      </c>
      <c r="M4" s="2">
        <v>3</v>
      </c>
      <c r="N4" s="2" t="s">
        <v>5</v>
      </c>
      <c r="O4" s="2">
        <v>1</v>
      </c>
      <c r="P4" s="2">
        <v>2</v>
      </c>
      <c r="Q4" s="2">
        <v>3</v>
      </c>
      <c r="R4" s="2" t="s">
        <v>5</v>
      </c>
      <c r="S4" s="35"/>
      <c r="T4" s="35"/>
      <c r="U4" s="39"/>
    </row>
    <row r="5" spans="1:21" ht="15">
      <c r="A5" s="40" t="s">
        <v>651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6" t="s">
        <v>903</v>
      </c>
      <c r="B6" s="6" t="s">
        <v>902</v>
      </c>
      <c r="C6" s="6" t="s">
        <v>901</v>
      </c>
      <c r="D6" s="6" t="str">
        <f>"1,1159"</f>
        <v>1,1159</v>
      </c>
      <c r="E6" s="6" t="s">
        <v>200</v>
      </c>
      <c r="F6" s="6" t="s">
        <v>201</v>
      </c>
      <c r="G6" s="8" t="s">
        <v>322</v>
      </c>
      <c r="H6" s="7" t="s">
        <v>414</v>
      </c>
      <c r="I6" s="8" t="s">
        <v>414</v>
      </c>
      <c r="J6" s="7"/>
      <c r="K6" s="8" t="s">
        <v>750</v>
      </c>
      <c r="L6" s="8" t="s">
        <v>791</v>
      </c>
      <c r="M6" s="7" t="s">
        <v>897</v>
      </c>
      <c r="N6" s="7"/>
      <c r="O6" s="8" t="s">
        <v>121</v>
      </c>
      <c r="P6" s="8" t="s">
        <v>827</v>
      </c>
      <c r="Q6" s="8" t="s">
        <v>77</v>
      </c>
      <c r="R6" s="7"/>
      <c r="S6" s="6" t="str">
        <f>"235,0"</f>
        <v>235,0</v>
      </c>
      <c r="T6" s="8" t="str">
        <f>"262,2365"</f>
        <v>262,2365</v>
      </c>
      <c r="U6" s="6" t="s">
        <v>21</v>
      </c>
    </row>
    <row r="8" spans="1:21" ht="15">
      <c r="A8" s="37" t="s">
        <v>662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1">
      <c r="A9" s="6" t="s">
        <v>900</v>
      </c>
      <c r="B9" s="6" t="s">
        <v>899</v>
      </c>
      <c r="C9" s="6" t="s">
        <v>898</v>
      </c>
      <c r="D9" s="6" t="str">
        <f>"0,9927"</f>
        <v>0,9927</v>
      </c>
      <c r="E9" s="6" t="s">
        <v>64</v>
      </c>
      <c r="F9" s="6" t="s">
        <v>337</v>
      </c>
      <c r="G9" s="8" t="s">
        <v>703</v>
      </c>
      <c r="H9" s="7" t="s">
        <v>322</v>
      </c>
      <c r="I9" s="8" t="s">
        <v>788</v>
      </c>
      <c r="J9" s="7"/>
      <c r="K9" s="8" t="s">
        <v>893</v>
      </c>
      <c r="L9" s="7" t="s">
        <v>750</v>
      </c>
      <c r="M9" s="7" t="s">
        <v>750</v>
      </c>
      <c r="N9" s="7"/>
      <c r="O9" s="8" t="s">
        <v>191</v>
      </c>
      <c r="P9" s="7" t="s">
        <v>827</v>
      </c>
      <c r="Q9" s="7"/>
      <c r="R9" s="7"/>
      <c r="S9" s="6" t="str">
        <f>"210.00o"</f>
        <v>210.00o</v>
      </c>
      <c r="T9" s="8" t="str">
        <f>"210,3432"</f>
        <v>210,3432</v>
      </c>
      <c r="U9" s="6" t="s">
        <v>21</v>
      </c>
    </row>
    <row r="11" spans="1:21" ht="15">
      <c r="A11" s="37" t="s">
        <v>379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1">
      <c r="A12" s="6" t="s">
        <v>378</v>
      </c>
      <c r="B12" s="6" t="s">
        <v>377</v>
      </c>
      <c r="C12" s="6" t="s">
        <v>376</v>
      </c>
      <c r="D12" s="6" t="str">
        <f>"0,9305"</f>
        <v>0,9305</v>
      </c>
      <c r="E12" s="6" t="s">
        <v>200</v>
      </c>
      <c r="F12" s="6" t="s">
        <v>201</v>
      </c>
      <c r="G12" s="8" t="s">
        <v>121</v>
      </c>
      <c r="H12" s="8" t="s">
        <v>827</v>
      </c>
      <c r="I12" s="7" t="s">
        <v>77</v>
      </c>
      <c r="J12" s="7"/>
      <c r="K12" s="8" t="s">
        <v>897</v>
      </c>
      <c r="L12" s="8" t="s">
        <v>652</v>
      </c>
      <c r="M12" s="8" t="s">
        <v>448</v>
      </c>
      <c r="N12" s="7"/>
      <c r="O12" s="8" t="s">
        <v>82</v>
      </c>
      <c r="P12" s="8" t="s">
        <v>44</v>
      </c>
      <c r="Q12" s="8" t="s">
        <v>20</v>
      </c>
      <c r="R12" s="7"/>
      <c r="S12" s="6" t="str">
        <f>"305,0"</f>
        <v>305,0</v>
      </c>
      <c r="T12" s="8" t="str">
        <f>"283,8025"</f>
        <v>283,8025</v>
      </c>
      <c r="U12" s="6" t="s">
        <v>21</v>
      </c>
    </row>
    <row r="14" spans="1:21" ht="15">
      <c r="A14" s="37" t="s">
        <v>373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</row>
    <row r="15" spans="1:21">
      <c r="A15" s="6" t="s">
        <v>896</v>
      </c>
      <c r="B15" s="6" t="s">
        <v>895</v>
      </c>
      <c r="C15" s="6" t="s">
        <v>894</v>
      </c>
      <c r="D15" s="6" t="str">
        <f>"0,7842"</f>
        <v>0,7842</v>
      </c>
      <c r="E15" s="6" t="s">
        <v>833</v>
      </c>
      <c r="F15" s="6" t="s">
        <v>833</v>
      </c>
      <c r="G15" s="8" t="s">
        <v>788</v>
      </c>
      <c r="H15" s="7" t="s">
        <v>121</v>
      </c>
      <c r="I15" s="7" t="s">
        <v>121</v>
      </c>
      <c r="J15" s="7"/>
      <c r="K15" s="8" t="s">
        <v>893</v>
      </c>
      <c r="L15" s="8" t="s">
        <v>892</v>
      </c>
      <c r="M15" s="7" t="s">
        <v>886</v>
      </c>
      <c r="N15" s="7"/>
      <c r="O15" s="8" t="s">
        <v>196</v>
      </c>
      <c r="P15" s="8" t="s">
        <v>66</v>
      </c>
      <c r="Q15" s="7" t="s">
        <v>77</v>
      </c>
      <c r="R15" s="7"/>
      <c r="S15" s="6" t="str">
        <f>"220.00o"</f>
        <v>220.00o</v>
      </c>
      <c r="T15" s="8" t="str">
        <f>"172,5240"</f>
        <v>172,5240</v>
      </c>
      <c r="U15" s="6" t="s">
        <v>21</v>
      </c>
    </row>
    <row r="17" spans="1:21" ht="15">
      <c r="A17" s="37" t="s">
        <v>651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1:21">
      <c r="A18" s="6" t="s">
        <v>650</v>
      </c>
      <c r="B18" s="6" t="s">
        <v>649</v>
      </c>
      <c r="C18" s="6" t="s">
        <v>648</v>
      </c>
      <c r="D18" s="6" t="str">
        <f>"1,1723"</f>
        <v>1,1723</v>
      </c>
      <c r="E18" s="6" t="s">
        <v>470</v>
      </c>
      <c r="F18" s="6" t="s">
        <v>28</v>
      </c>
      <c r="G18" s="8" t="s">
        <v>642</v>
      </c>
      <c r="H18" s="8" t="s">
        <v>192</v>
      </c>
      <c r="I18" s="8" t="s">
        <v>891</v>
      </c>
      <c r="J18" s="7"/>
      <c r="K18" s="8" t="s">
        <v>642</v>
      </c>
      <c r="L18" s="8" t="s">
        <v>192</v>
      </c>
      <c r="M18" s="7" t="s">
        <v>647</v>
      </c>
      <c r="N18" s="7"/>
      <c r="O18" s="8" t="s">
        <v>192</v>
      </c>
      <c r="P18" s="8" t="s">
        <v>891</v>
      </c>
      <c r="Q18" s="8" t="s">
        <v>792</v>
      </c>
      <c r="R18" s="7"/>
      <c r="S18" s="6" t="str">
        <f>"105,0"</f>
        <v>105,0</v>
      </c>
      <c r="T18" s="8" t="str">
        <f>"151,4025"</f>
        <v>151,4025</v>
      </c>
      <c r="U18" s="6" t="s">
        <v>21</v>
      </c>
    </row>
    <row r="20" spans="1:21" ht="15">
      <c r="A20" s="37" t="s">
        <v>890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1">
      <c r="A21" s="6" t="s">
        <v>889</v>
      </c>
      <c r="B21" s="6" t="s">
        <v>888</v>
      </c>
      <c r="C21" s="6" t="s">
        <v>887</v>
      </c>
      <c r="D21" s="6" t="str">
        <f>"1,1211"</f>
        <v>1,1211</v>
      </c>
      <c r="E21" s="6" t="s">
        <v>235</v>
      </c>
      <c r="F21" s="6" t="s">
        <v>238</v>
      </c>
      <c r="G21" s="8" t="s">
        <v>115</v>
      </c>
      <c r="H21" s="8" t="s">
        <v>652</v>
      </c>
      <c r="I21" s="7" t="s">
        <v>311</v>
      </c>
      <c r="J21" s="7"/>
      <c r="K21" s="8" t="s">
        <v>750</v>
      </c>
      <c r="L21" s="7" t="s">
        <v>886</v>
      </c>
      <c r="M21" s="7" t="s">
        <v>886</v>
      </c>
      <c r="N21" s="7"/>
      <c r="O21" s="8" t="s">
        <v>448</v>
      </c>
      <c r="P21" s="8" t="s">
        <v>111</v>
      </c>
      <c r="Q21" s="8" t="s">
        <v>322</v>
      </c>
      <c r="R21" s="7"/>
      <c r="S21" s="6" t="str">
        <f>"190,0"</f>
        <v>190,0</v>
      </c>
      <c r="T21" s="8" t="str">
        <f>"262,0011"</f>
        <v>262,0011</v>
      </c>
      <c r="U21" s="6" t="s">
        <v>21</v>
      </c>
    </row>
    <row r="23" spans="1:21" ht="15">
      <c r="A23" s="37" t="s">
        <v>70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</row>
    <row r="24" spans="1:21">
      <c r="A24" s="17" t="s">
        <v>885</v>
      </c>
      <c r="B24" s="17" t="s">
        <v>884</v>
      </c>
      <c r="C24" s="17" t="s">
        <v>883</v>
      </c>
      <c r="D24" s="17" t="str">
        <f>"0,6914"</f>
        <v>0,6914</v>
      </c>
      <c r="E24" s="17" t="s">
        <v>64</v>
      </c>
      <c r="F24" s="17" t="s">
        <v>28</v>
      </c>
      <c r="G24" s="19" t="s">
        <v>788</v>
      </c>
      <c r="H24" s="19" t="s">
        <v>191</v>
      </c>
      <c r="I24" s="19" t="s">
        <v>67</v>
      </c>
      <c r="J24" s="18"/>
      <c r="K24" s="19" t="s">
        <v>788</v>
      </c>
      <c r="L24" s="19" t="s">
        <v>191</v>
      </c>
      <c r="M24" s="18" t="s">
        <v>77</v>
      </c>
      <c r="N24" s="18"/>
      <c r="O24" s="19" t="s">
        <v>191</v>
      </c>
      <c r="P24" s="19" t="s">
        <v>67</v>
      </c>
      <c r="Q24" s="19" t="s">
        <v>398</v>
      </c>
      <c r="R24" s="18"/>
      <c r="S24" s="17" t="str">
        <f>"300.00o"</f>
        <v>300.00o</v>
      </c>
      <c r="T24" s="19" t="str">
        <f>"234,3846"</f>
        <v>234,3846</v>
      </c>
      <c r="U24" s="17" t="s">
        <v>21</v>
      </c>
    </row>
    <row r="25" spans="1:21">
      <c r="A25" s="20" t="s">
        <v>882</v>
      </c>
      <c r="B25" s="20" t="s">
        <v>274</v>
      </c>
      <c r="C25" s="20" t="s">
        <v>881</v>
      </c>
      <c r="D25" s="20" t="str">
        <f>"0,6683"</f>
        <v>0,6683</v>
      </c>
      <c r="E25" s="20" t="s">
        <v>75</v>
      </c>
      <c r="F25" s="20" t="s">
        <v>76</v>
      </c>
      <c r="G25" s="22" t="s">
        <v>504</v>
      </c>
      <c r="H25" s="21" t="s">
        <v>310</v>
      </c>
      <c r="I25" s="22" t="s">
        <v>310</v>
      </c>
      <c r="J25" s="21"/>
      <c r="K25" s="21" t="s">
        <v>44</v>
      </c>
      <c r="L25" s="22" t="s">
        <v>44</v>
      </c>
      <c r="M25" s="21" t="s">
        <v>19</v>
      </c>
      <c r="N25" s="21"/>
      <c r="O25" s="22" t="s">
        <v>457</v>
      </c>
      <c r="P25" s="22" t="s">
        <v>258</v>
      </c>
      <c r="Q25" s="21" t="s">
        <v>877</v>
      </c>
      <c r="R25" s="21"/>
      <c r="S25" s="20" t="str">
        <f>"485,0"</f>
        <v>485,0</v>
      </c>
      <c r="T25" s="22" t="str">
        <f>"324,1497"</f>
        <v>324,1497</v>
      </c>
      <c r="U25" s="20" t="s">
        <v>21</v>
      </c>
    </row>
    <row r="27" spans="1:21" ht="15">
      <c r="A27" s="37" t="s">
        <v>92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</row>
    <row r="28" spans="1:21">
      <c r="A28" s="6" t="s">
        <v>880</v>
      </c>
      <c r="B28" s="6" t="s">
        <v>879</v>
      </c>
      <c r="C28" s="6" t="s">
        <v>102</v>
      </c>
      <c r="D28" s="6" t="str">
        <f>"0,5893"</f>
        <v>0,5893</v>
      </c>
      <c r="E28" s="6" t="s">
        <v>27</v>
      </c>
      <c r="F28" s="6" t="s">
        <v>28</v>
      </c>
      <c r="G28" s="8" t="s">
        <v>457</v>
      </c>
      <c r="H28" s="8" t="s">
        <v>877</v>
      </c>
      <c r="I28" s="8" t="s">
        <v>293</v>
      </c>
      <c r="J28" s="7"/>
      <c r="K28" s="8" t="s">
        <v>624</v>
      </c>
      <c r="L28" s="8" t="s">
        <v>878</v>
      </c>
      <c r="M28" s="8" t="s">
        <v>18</v>
      </c>
      <c r="N28" s="7"/>
      <c r="O28" s="8" t="s">
        <v>877</v>
      </c>
      <c r="P28" s="8" t="s">
        <v>293</v>
      </c>
      <c r="Q28" s="7"/>
      <c r="R28" s="7"/>
      <c r="S28" s="6" t="str">
        <f>"520,0"</f>
        <v>520,0</v>
      </c>
      <c r="T28" s="8" t="str">
        <f>"318,6934"</f>
        <v>318,6934</v>
      </c>
      <c r="U28" s="6" t="s">
        <v>21</v>
      </c>
    </row>
    <row r="30" spans="1:21" ht="15">
      <c r="A30" s="37" t="s">
        <v>11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>
      <c r="A31" s="17" t="s">
        <v>876</v>
      </c>
      <c r="B31" s="17" t="s">
        <v>875</v>
      </c>
      <c r="C31" s="17" t="s">
        <v>874</v>
      </c>
      <c r="D31" s="17" t="str">
        <f>"0,5493"</f>
        <v>0,5493</v>
      </c>
      <c r="E31" s="17" t="s">
        <v>200</v>
      </c>
      <c r="F31" s="17" t="s">
        <v>201</v>
      </c>
      <c r="G31" s="19" t="s">
        <v>293</v>
      </c>
      <c r="H31" s="18" t="s">
        <v>289</v>
      </c>
      <c r="I31" s="18" t="s">
        <v>289</v>
      </c>
      <c r="J31" s="18"/>
      <c r="K31" s="19" t="s">
        <v>504</v>
      </c>
      <c r="L31" s="19" t="s">
        <v>30</v>
      </c>
      <c r="M31" s="18" t="s">
        <v>310</v>
      </c>
      <c r="N31" s="18"/>
      <c r="O31" s="19" t="s">
        <v>815</v>
      </c>
      <c r="P31" s="18" t="s">
        <v>873</v>
      </c>
      <c r="Q31" s="18" t="s">
        <v>873</v>
      </c>
      <c r="R31" s="18"/>
      <c r="S31" s="17" t="str">
        <f>"635,0"</f>
        <v>635,0</v>
      </c>
      <c r="T31" s="19" t="str">
        <f>"348,8055"</f>
        <v>348,8055</v>
      </c>
      <c r="U31" s="6"/>
    </row>
    <row r="32" spans="1:21">
      <c r="A32" s="23" t="s">
        <v>872</v>
      </c>
      <c r="B32" s="23" t="s">
        <v>871</v>
      </c>
      <c r="C32" s="23" t="s">
        <v>868</v>
      </c>
      <c r="D32" s="23" t="str">
        <f>"0,5455"</f>
        <v>0,5455</v>
      </c>
      <c r="E32" s="23" t="s">
        <v>64</v>
      </c>
      <c r="F32" s="23" t="s">
        <v>28</v>
      </c>
      <c r="G32" s="25" t="s">
        <v>310</v>
      </c>
      <c r="H32" s="25" t="s">
        <v>258</v>
      </c>
      <c r="I32" s="25" t="s">
        <v>293</v>
      </c>
      <c r="J32" s="24"/>
      <c r="K32" s="25" t="s">
        <v>20</v>
      </c>
      <c r="L32" s="25" t="s">
        <v>245</v>
      </c>
      <c r="M32" s="25" t="s">
        <v>504</v>
      </c>
      <c r="N32" s="24"/>
      <c r="O32" s="25" t="s">
        <v>297</v>
      </c>
      <c r="P32" s="25" t="s">
        <v>314</v>
      </c>
      <c r="Q32" s="25" t="s">
        <v>271</v>
      </c>
      <c r="R32" s="24"/>
      <c r="S32" s="23" t="str">
        <f>"620,0"</f>
        <v>620,0</v>
      </c>
      <c r="T32" s="25" t="str">
        <f>"338,2100"</f>
        <v>338,2100</v>
      </c>
      <c r="U32" s="6" t="s">
        <v>21</v>
      </c>
    </row>
    <row r="33" spans="1:21">
      <c r="A33" s="20" t="s">
        <v>870</v>
      </c>
      <c r="B33" s="20" t="s">
        <v>869</v>
      </c>
      <c r="C33" s="20" t="s">
        <v>868</v>
      </c>
      <c r="D33" s="20" t="str">
        <f>"0,5455"</f>
        <v>0,5455</v>
      </c>
      <c r="E33" s="20" t="s">
        <v>64</v>
      </c>
      <c r="F33" s="20" t="s">
        <v>28</v>
      </c>
      <c r="G33" s="22" t="s">
        <v>310</v>
      </c>
      <c r="H33" s="22" t="s">
        <v>258</v>
      </c>
      <c r="I33" s="22" t="s">
        <v>293</v>
      </c>
      <c r="J33" s="21"/>
      <c r="K33" s="22" t="s">
        <v>20</v>
      </c>
      <c r="L33" s="22" t="s">
        <v>245</v>
      </c>
      <c r="M33" s="22" t="s">
        <v>504</v>
      </c>
      <c r="N33" s="21"/>
      <c r="O33" s="22" t="s">
        <v>297</v>
      </c>
      <c r="P33" s="22" t="s">
        <v>314</v>
      </c>
      <c r="Q33" s="22" t="s">
        <v>271</v>
      </c>
      <c r="R33" s="21"/>
      <c r="S33" s="20" t="str">
        <f>"620,0"</f>
        <v>620,0</v>
      </c>
      <c r="T33" s="22" t="str">
        <f>"369,3253"</f>
        <v>369,3253</v>
      </c>
      <c r="U33" s="6" t="s">
        <v>21</v>
      </c>
    </row>
    <row r="34" spans="1:21">
      <c r="U34" s="5" t="s">
        <v>21</v>
      </c>
    </row>
    <row r="35" spans="1:21" ht="15">
      <c r="E35" s="9" t="s">
        <v>31</v>
      </c>
      <c r="F35" s="5" t="s">
        <v>130</v>
      </c>
    </row>
    <row r="36" spans="1:21" ht="15">
      <c r="E36" s="9" t="s">
        <v>32</v>
      </c>
      <c r="F36" s="5" t="s">
        <v>131</v>
      </c>
    </row>
    <row r="37" spans="1:21" ht="15">
      <c r="E37" s="9" t="s">
        <v>33</v>
      </c>
      <c r="F37" s="5" t="s">
        <v>132</v>
      </c>
    </row>
    <row r="38" spans="1:21" ht="15">
      <c r="E38" s="9" t="s">
        <v>34</v>
      </c>
      <c r="F38" s="5" t="s">
        <v>133</v>
      </c>
    </row>
    <row r="39" spans="1:21" ht="15">
      <c r="E39" s="9" t="s">
        <v>34</v>
      </c>
      <c r="F39" s="5" t="s">
        <v>134</v>
      </c>
    </row>
    <row r="40" spans="1:21" ht="15">
      <c r="E40" s="9" t="s">
        <v>35</v>
      </c>
      <c r="F40" s="5" t="s">
        <v>135</v>
      </c>
    </row>
    <row r="41" spans="1:21" ht="15">
      <c r="E41" s="9"/>
    </row>
    <row r="43" spans="1:21" ht="18">
      <c r="A43" s="10" t="s">
        <v>36</v>
      </c>
      <c r="B43" s="10"/>
    </row>
    <row r="44" spans="1:21" ht="15">
      <c r="A44" s="11" t="s">
        <v>174</v>
      </c>
      <c r="B44" s="11"/>
    </row>
    <row r="45" spans="1:21" ht="14.25">
      <c r="A45" s="13"/>
      <c r="B45" s="14" t="s">
        <v>38</v>
      </c>
    </row>
    <row r="46" spans="1:21" ht="15">
      <c r="A46" s="15" t="s">
        <v>39</v>
      </c>
      <c r="B46" s="15" t="s">
        <v>40</v>
      </c>
      <c r="C46" s="15" t="s">
        <v>41</v>
      </c>
      <c r="D46" s="15" t="s">
        <v>42</v>
      </c>
      <c r="E46" s="15" t="s">
        <v>43</v>
      </c>
    </row>
    <row r="47" spans="1:21">
      <c r="A47" s="12" t="s">
        <v>325</v>
      </c>
      <c r="B47" s="5" t="s">
        <v>38</v>
      </c>
      <c r="C47" s="5" t="s">
        <v>324</v>
      </c>
      <c r="D47" s="5" t="s">
        <v>867</v>
      </c>
      <c r="E47" s="16" t="s">
        <v>866</v>
      </c>
    </row>
    <row r="48" spans="1:21">
      <c r="A48" s="12" t="s">
        <v>865</v>
      </c>
      <c r="B48" s="5" t="s">
        <v>38</v>
      </c>
      <c r="C48" s="5" t="s">
        <v>533</v>
      </c>
      <c r="D48" s="5" t="s">
        <v>330</v>
      </c>
      <c r="E48" s="16" t="s">
        <v>864</v>
      </c>
    </row>
    <row r="49" spans="1:5" s="4" customFormat="1">
      <c r="A49" s="12" t="s">
        <v>863</v>
      </c>
      <c r="B49" s="5" t="s">
        <v>38</v>
      </c>
      <c r="C49" s="5" t="s">
        <v>311</v>
      </c>
      <c r="D49" s="5" t="s">
        <v>302</v>
      </c>
      <c r="E49" s="16" t="s">
        <v>862</v>
      </c>
    </row>
    <row r="51" spans="1:5" s="4" customFormat="1" ht="14.25">
      <c r="A51" s="13"/>
      <c r="B51" s="14" t="s">
        <v>46</v>
      </c>
      <c r="C51" s="5"/>
      <c r="D51" s="5"/>
      <c r="E51" s="5"/>
    </row>
    <row r="52" spans="1:5" s="4" customFormat="1" ht="15">
      <c r="A52" s="15" t="s">
        <v>39</v>
      </c>
      <c r="B52" s="15" t="s">
        <v>40</v>
      </c>
      <c r="C52" s="15" t="s">
        <v>41</v>
      </c>
      <c r="D52" s="15" t="s">
        <v>42</v>
      </c>
      <c r="E52" s="15" t="s">
        <v>43</v>
      </c>
    </row>
    <row r="53" spans="1:5" s="4" customFormat="1">
      <c r="A53" s="12" t="s">
        <v>861</v>
      </c>
      <c r="B53" s="5" t="s">
        <v>290</v>
      </c>
      <c r="C53" s="5" t="s">
        <v>552</v>
      </c>
      <c r="D53" s="5" t="s">
        <v>289</v>
      </c>
      <c r="E53" s="16" t="s">
        <v>860</v>
      </c>
    </row>
    <row r="56" spans="1:5" s="4" customFormat="1" ht="15">
      <c r="A56" s="11" t="s">
        <v>37</v>
      </c>
      <c r="B56" s="11"/>
      <c r="C56" s="5"/>
      <c r="D56" s="5"/>
      <c r="E56" s="5"/>
    </row>
    <row r="57" spans="1:5" s="4" customFormat="1" ht="14.25">
      <c r="A57" s="13"/>
      <c r="B57" s="14" t="s">
        <v>109</v>
      </c>
      <c r="C57" s="5"/>
      <c r="D57" s="5"/>
      <c r="E57" s="5"/>
    </row>
    <row r="58" spans="1:5" s="4" customFormat="1" ht="15">
      <c r="A58" s="15" t="s">
        <v>39</v>
      </c>
      <c r="B58" s="15" t="s">
        <v>40</v>
      </c>
      <c r="C58" s="15" t="s">
        <v>41</v>
      </c>
      <c r="D58" s="15" t="s">
        <v>42</v>
      </c>
      <c r="E58" s="15" t="s">
        <v>43</v>
      </c>
    </row>
    <row r="59" spans="1:5" s="4" customFormat="1">
      <c r="A59" s="12" t="s">
        <v>859</v>
      </c>
      <c r="B59" s="5" t="s">
        <v>110</v>
      </c>
      <c r="C59" s="5" t="s">
        <v>121</v>
      </c>
      <c r="D59" s="5" t="s">
        <v>858</v>
      </c>
      <c r="E59" s="16" t="s">
        <v>857</v>
      </c>
    </row>
    <row r="60" spans="1:5" s="4" customFormat="1">
      <c r="A60" s="12" t="s">
        <v>856</v>
      </c>
      <c r="B60" s="5" t="s">
        <v>388</v>
      </c>
      <c r="C60" s="5" t="s">
        <v>855</v>
      </c>
      <c r="D60" s="5" t="s">
        <v>258</v>
      </c>
      <c r="E60" s="16" t="s">
        <v>854</v>
      </c>
    </row>
    <row r="61" spans="1:5" s="4" customFormat="1">
      <c r="A61" s="12" t="s">
        <v>853</v>
      </c>
      <c r="B61" s="5" t="s">
        <v>259</v>
      </c>
      <c r="C61" s="5" t="s">
        <v>111</v>
      </c>
      <c r="D61" s="5" t="s">
        <v>852</v>
      </c>
      <c r="E61" s="16" t="s">
        <v>851</v>
      </c>
    </row>
    <row r="62" spans="1:5" s="4" customFormat="1">
      <c r="A62" s="12" t="s">
        <v>538</v>
      </c>
      <c r="B62" s="5" t="s">
        <v>388</v>
      </c>
      <c r="C62" s="5" t="s">
        <v>533</v>
      </c>
      <c r="D62" s="5" t="s">
        <v>116</v>
      </c>
      <c r="E62" s="16" t="s">
        <v>850</v>
      </c>
    </row>
    <row r="64" spans="1:5" s="4" customFormat="1" ht="14.25">
      <c r="A64" s="13"/>
      <c r="B64" s="14" t="s">
        <v>38</v>
      </c>
      <c r="C64" s="5"/>
      <c r="D64" s="5"/>
      <c r="E64" s="5"/>
    </row>
    <row r="65" spans="1:5" s="4" customFormat="1" ht="15">
      <c r="A65" s="15" t="s">
        <v>39</v>
      </c>
      <c r="B65" s="15" t="s">
        <v>40</v>
      </c>
      <c r="C65" s="15" t="s">
        <v>41</v>
      </c>
      <c r="D65" s="15" t="s">
        <v>42</v>
      </c>
      <c r="E65" s="15" t="s">
        <v>43</v>
      </c>
    </row>
    <row r="66" spans="1:5" s="4" customFormat="1">
      <c r="A66" s="12" t="s">
        <v>849</v>
      </c>
      <c r="B66" s="5" t="s">
        <v>38</v>
      </c>
      <c r="C66" s="5" t="s">
        <v>48</v>
      </c>
      <c r="D66" s="5" t="s">
        <v>848</v>
      </c>
      <c r="E66" s="16" t="s">
        <v>847</v>
      </c>
    </row>
    <row r="67" spans="1:5" s="4" customFormat="1">
      <c r="A67" s="12" t="s">
        <v>842</v>
      </c>
      <c r="B67" s="5" t="s">
        <v>38</v>
      </c>
      <c r="C67" s="5" t="s">
        <v>48</v>
      </c>
      <c r="D67" s="5" t="s">
        <v>841</v>
      </c>
      <c r="E67" s="16" t="s">
        <v>846</v>
      </c>
    </row>
    <row r="68" spans="1:5" s="4" customFormat="1">
      <c r="A68" s="12" t="s">
        <v>845</v>
      </c>
      <c r="B68" s="5" t="s">
        <v>38</v>
      </c>
      <c r="C68" s="5" t="s">
        <v>111</v>
      </c>
      <c r="D68" s="5" t="s">
        <v>844</v>
      </c>
      <c r="E68" s="16" t="s">
        <v>843</v>
      </c>
    </row>
    <row r="70" spans="1:5" s="4" customFormat="1" ht="14.25">
      <c r="A70" s="13"/>
      <c r="B70" s="14" t="s">
        <v>46</v>
      </c>
      <c r="C70" s="5"/>
      <c r="D70" s="5"/>
      <c r="E70" s="5"/>
    </row>
    <row r="71" spans="1:5" s="4" customFormat="1" ht="15">
      <c r="A71" s="15" t="s">
        <v>39</v>
      </c>
      <c r="B71" s="15" t="s">
        <v>40</v>
      </c>
      <c r="C71" s="15" t="s">
        <v>41</v>
      </c>
      <c r="D71" s="15" t="s">
        <v>42</v>
      </c>
      <c r="E71" s="15" t="s">
        <v>43</v>
      </c>
    </row>
    <row r="72" spans="1:5" s="4" customFormat="1">
      <c r="A72" s="12" t="s">
        <v>842</v>
      </c>
      <c r="B72" s="5" t="s">
        <v>396</v>
      </c>
      <c r="C72" s="5" t="s">
        <v>48</v>
      </c>
      <c r="D72" s="5" t="s">
        <v>841</v>
      </c>
      <c r="E72" s="16" t="s">
        <v>840</v>
      </c>
    </row>
    <row r="77" spans="1:5" s="4" customFormat="1" ht="18">
      <c r="A77" s="10" t="s">
        <v>50</v>
      </c>
      <c r="B77" s="10"/>
      <c r="C77" s="5"/>
      <c r="D77" s="5"/>
      <c r="E77" s="5"/>
    </row>
    <row r="78" spans="1:5" s="4" customFormat="1" ht="15">
      <c r="A78" s="15" t="s">
        <v>51</v>
      </c>
      <c r="B78" s="15" t="s">
        <v>52</v>
      </c>
      <c r="C78" s="15" t="s">
        <v>53</v>
      </c>
      <c r="D78" s="5"/>
      <c r="E78" s="5"/>
    </row>
    <row r="79" spans="1:5" s="4" customFormat="1">
      <c r="A79" s="5" t="s">
        <v>64</v>
      </c>
      <c r="B79" s="5" t="s">
        <v>839</v>
      </c>
      <c r="C79" s="5" t="s">
        <v>838</v>
      </c>
      <c r="D79" s="5"/>
      <c r="E79" s="5"/>
    </row>
    <row r="80" spans="1:5" s="4" customFormat="1">
      <c r="A80" s="5" t="s">
        <v>200</v>
      </c>
      <c r="B80" s="5" t="s">
        <v>474</v>
      </c>
      <c r="C80" s="5" t="s">
        <v>837</v>
      </c>
      <c r="D80" s="5"/>
      <c r="E80" s="5"/>
    </row>
    <row r="81" spans="1:3" s="4" customFormat="1">
      <c r="A81" s="5" t="s">
        <v>235</v>
      </c>
      <c r="B81" s="5" t="s">
        <v>54</v>
      </c>
      <c r="C81" s="5" t="s">
        <v>836</v>
      </c>
    </row>
    <row r="82" spans="1:3" s="4" customFormat="1">
      <c r="A82" s="5" t="s">
        <v>27</v>
      </c>
      <c r="B82" s="5" t="s">
        <v>54</v>
      </c>
      <c r="C82" s="5" t="s">
        <v>835</v>
      </c>
    </row>
    <row r="83" spans="1:3" s="4" customFormat="1">
      <c r="A83" s="5" t="s">
        <v>75</v>
      </c>
      <c r="B83" s="5" t="s">
        <v>54</v>
      </c>
      <c r="C83" s="5" t="s">
        <v>834</v>
      </c>
    </row>
    <row r="84" spans="1:3" s="4" customFormat="1">
      <c r="A84" s="5" t="s">
        <v>833</v>
      </c>
      <c r="B84" s="5" t="s">
        <v>54</v>
      </c>
      <c r="C84" s="5" t="s">
        <v>832</v>
      </c>
    </row>
    <row r="85" spans="1:3" s="4" customFormat="1">
      <c r="A85" s="5" t="s">
        <v>470</v>
      </c>
      <c r="B85" s="5" t="s">
        <v>54</v>
      </c>
      <c r="C85" s="5" t="s">
        <v>469</v>
      </c>
    </row>
  </sheetData>
  <mergeCells count="22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  <mergeCell ref="A11:T11"/>
    <mergeCell ref="A30:U30"/>
    <mergeCell ref="A14:T14"/>
    <mergeCell ref="A17:T17"/>
    <mergeCell ref="A20:T20"/>
    <mergeCell ref="A23:T23"/>
    <mergeCell ref="A27:T2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C13" sqref="C13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5.710937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5.5703125" style="4" bestFit="1" customWidth="1"/>
    <col min="12" max="13" width="2.140625" style="4" bestFit="1" customWidth="1"/>
    <col min="14" max="14" width="4.85546875" style="4" bestFit="1" customWidth="1"/>
    <col min="15" max="15" width="5.5703125" style="4" bestFit="1" customWidth="1"/>
    <col min="16" max="17" width="2.140625" style="4" bestFit="1" customWidth="1"/>
    <col min="18" max="18" width="4.85546875" style="4" bestFit="1" customWidth="1"/>
    <col min="19" max="19" width="7.85546875" style="5" bestFit="1" customWidth="1"/>
    <col min="20" max="20" width="6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26" t="s">
        <v>905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241</v>
      </c>
      <c r="H3" s="36"/>
      <c r="I3" s="36"/>
      <c r="J3" s="36"/>
      <c r="K3" s="36" t="s">
        <v>1</v>
      </c>
      <c r="L3" s="36"/>
      <c r="M3" s="36"/>
      <c r="N3" s="36"/>
      <c r="O3" s="36" t="s">
        <v>154</v>
      </c>
      <c r="P3" s="36"/>
      <c r="Q3" s="36"/>
      <c r="R3" s="36"/>
      <c r="S3" s="36" t="s">
        <v>138</v>
      </c>
      <c r="T3" s="36" t="s">
        <v>3</v>
      </c>
      <c r="U3" s="38" t="s">
        <v>2</v>
      </c>
    </row>
    <row r="4" spans="1:21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2">
        <v>1</v>
      </c>
      <c r="L4" s="2">
        <v>2</v>
      </c>
      <c r="M4" s="2">
        <v>3</v>
      </c>
      <c r="N4" s="2" t="s">
        <v>5</v>
      </c>
      <c r="O4" s="2">
        <v>1</v>
      </c>
      <c r="P4" s="2">
        <v>2</v>
      </c>
      <c r="Q4" s="2">
        <v>3</v>
      </c>
      <c r="R4" s="2" t="s">
        <v>5</v>
      </c>
      <c r="S4" s="35"/>
      <c r="T4" s="35"/>
      <c r="U4" s="39"/>
    </row>
    <row r="5" spans="1:21" ht="15">
      <c r="A5" s="40" t="s">
        <v>347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6" t="s">
        <v>697</v>
      </c>
      <c r="B6" s="6" t="s">
        <v>696</v>
      </c>
      <c r="C6" s="6" t="s">
        <v>695</v>
      </c>
      <c r="D6" s="6" t="str">
        <f>"0,5583"</f>
        <v>0,5583</v>
      </c>
      <c r="E6" s="6" t="s">
        <v>470</v>
      </c>
      <c r="F6" s="6" t="s">
        <v>28</v>
      </c>
      <c r="G6" s="7" t="s">
        <v>293</v>
      </c>
      <c r="H6" s="7" t="s">
        <v>293</v>
      </c>
      <c r="I6" s="7" t="s">
        <v>293</v>
      </c>
      <c r="J6" s="7"/>
      <c r="K6" s="7" t="s">
        <v>293</v>
      </c>
      <c r="L6" s="7"/>
      <c r="M6" s="7"/>
      <c r="N6" s="7"/>
      <c r="O6" s="7" t="s">
        <v>289</v>
      </c>
      <c r="P6" s="7"/>
      <c r="Q6" s="7"/>
      <c r="R6" s="7"/>
      <c r="S6" s="6" t="str">
        <f>"0.00"</f>
        <v>0.00</v>
      </c>
      <c r="T6" s="8" t="str">
        <f>"0,0000"</f>
        <v>0,0000</v>
      </c>
      <c r="U6" s="6" t="s">
        <v>21</v>
      </c>
    </row>
    <row r="8" spans="1:21" ht="15">
      <c r="E8" s="9" t="s">
        <v>31</v>
      </c>
      <c r="F8" s="5" t="s">
        <v>130</v>
      </c>
    </row>
    <row r="9" spans="1:21" ht="15">
      <c r="E9" s="9" t="s">
        <v>32</v>
      </c>
      <c r="F9" s="5" t="s">
        <v>131</v>
      </c>
    </row>
    <row r="10" spans="1:21" ht="15">
      <c r="E10" s="9" t="s">
        <v>33</v>
      </c>
      <c r="F10" s="5" t="s">
        <v>132</v>
      </c>
    </row>
    <row r="11" spans="1:21" ht="15">
      <c r="E11" s="9" t="s">
        <v>34</v>
      </c>
      <c r="F11" s="5" t="s">
        <v>133</v>
      </c>
    </row>
    <row r="12" spans="1:21" ht="15">
      <c r="E12" s="9" t="s">
        <v>34</v>
      </c>
      <c r="F12" s="5" t="s">
        <v>134</v>
      </c>
    </row>
    <row r="13" spans="1:21" ht="15">
      <c r="E13" s="9" t="s">
        <v>35</v>
      </c>
      <c r="F13" s="5" t="s">
        <v>135</v>
      </c>
    </row>
    <row r="14" spans="1:21" ht="15">
      <c r="E14" s="9"/>
    </row>
    <row r="16" spans="1:21" ht="18">
      <c r="A16" s="10" t="s">
        <v>36</v>
      </c>
      <c r="B16" s="10"/>
    </row>
  </sheetData>
  <mergeCells count="14"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49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5.57031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8" width="6.5703125" style="4" bestFit="1" customWidth="1"/>
    <col min="9" max="9" width="5.5703125" style="4" bestFit="1" customWidth="1"/>
    <col min="10" max="10" width="4.85546875" style="4" bestFit="1" customWidth="1"/>
    <col min="11" max="11" width="6.5703125" style="4" bestFit="1" customWidth="1"/>
    <col min="12" max="13" width="5.5703125" style="4" bestFit="1" customWidth="1"/>
    <col min="14" max="14" width="4.85546875" style="4" bestFit="1" customWidth="1"/>
    <col min="15" max="15" width="6.5703125" style="4" bestFit="1" customWidth="1"/>
    <col min="16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26" t="s">
        <v>932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241</v>
      </c>
      <c r="H3" s="36"/>
      <c r="I3" s="36"/>
      <c r="J3" s="36"/>
      <c r="K3" s="36" t="s">
        <v>1</v>
      </c>
      <c r="L3" s="36"/>
      <c r="M3" s="36"/>
      <c r="N3" s="36"/>
      <c r="O3" s="36" t="s">
        <v>154</v>
      </c>
      <c r="P3" s="36"/>
      <c r="Q3" s="36"/>
      <c r="R3" s="36"/>
      <c r="S3" s="36" t="s">
        <v>138</v>
      </c>
      <c r="T3" s="36" t="s">
        <v>3</v>
      </c>
      <c r="U3" s="38" t="s">
        <v>2</v>
      </c>
    </row>
    <row r="4" spans="1:21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2">
        <v>1</v>
      </c>
      <c r="L4" s="2">
        <v>2</v>
      </c>
      <c r="M4" s="2">
        <v>3</v>
      </c>
      <c r="N4" s="2" t="s">
        <v>5</v>
      </c>
      <c r="O4" s="2">
        <v>1</v>
      </c>
      <c r="P4" s="2">
        <v>2</v>
      </c>
      <c r="Q4" s="2">
        <v>3</v>
      </c>
      <c r="R4" s="2" t="s">
        <v>5</v>
      </c>
      <c r="S4" s="35"/>
      <c r="T4" s="35"/>
      <c r="U4" s="39"/>
    </row>
    <row r="5" spans="1:21" ht="15">
      <c r="A5" s="40" t="s">
        <v>70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17" t="s">
        <v>407</v>
      </c>
      <c r="B6" s="17" t="s">
        <v>406</v>
      </c>
      <c r="C6" s="17" t="s">
        <v>405</v>
      </c>
      <c r="D6" s="17" t="str">
        <f>"0,6716"</f>
        <v>0,6716</v>
      </c>
      <c r="E6" s="17" t="s">
        <v>27</v>
      </c>
      <c r="F6" s="17" t="s">
        <v>28</v>
      </c>
      <c r="G6" s="19" t="s">
        <v>455</v>
      </c>
      <c r="H6" s="19" t="s">
        <v>457</v>
      </c>
      <c r="I6" s="18"/>
      <c r="J6" s="18"/>
      <c r="K6" s="19" t="s">
        <v>931</v>
      </c>
      <c r="L6" s="18" t="s">
        <v>525</v>
      </c>
      <c r="M6" s="18"/>
      <c r="N6" s="18"/>
      <c r="O6" s="19" t="s">
        <v>289</v>
      </c>
      <c r="P6" s="19" t="s">
        <v>297</v>
      </c>
      <c r="Q6" s="18" t="s">
        <v>404</v>
      </c>
      <c r="R6" s="18"/>
      <c r="S6" s="17" t="str">
        <f>"547,5"</f>
        <v>547,5</v>
      </c>
      <c r="T6" s="19" t="str">
        <f>"389,7631"</f>
        <v>389,7631</v>
      </c>
      <c r="U6" s="17" t="s">
        <v>21</v>
      </c>
    </row>
    <row r="7" spans="1:21">
      <c r="A7" s="20" t="s">
        <v>403</v>
      </c>
      <c r="B7" s="20" t="s">
        <v>402</v>
      </c>
      <c r="C7" s="20" t="s">
        <v>366</v>
      </c>
      <c r="D7" s="20" t="str">
        <f>"0,6645"</f>
        <v>0,6645</v>
      </c>
      <c r="E7" s="20" t="s">
        <v>16</v>
      </c>
      <c r="F7" s="20" t="s">
        <v>17</v>
      </c>
      <c r="G7" s="22" t="s">
        <v>245</v>
      </c>
      <c r="H7" s="21" t="s">
        <v>504</v>
      </c>
      <c r="I7" s="21" t="s">
        <v>504</v>
      </c>
      <c r="J7" s="21"/>
      <c r="K7" s="21" t="s">
        <v>121</v>
      </c>
      <c r="L7" s="22" t="s">
        <v>77</v>
      </c>
      <c r="M7" s="21" t="s">
        <v>116</v>
      </c>
      <c r="N7" s="21"/>
      <c r="O7" s="22" t="s">
        <v>293</v>
      </c>
      <c r="P7" s="22" t="s">
        <v>401</v>
      </c>
      <c r="Q7" s="22" t="s">
        <v>348</v>
      </c>
      <c r="R7" s="21"/>
      <c r="S7" s="20" t="str">
        <f>"475,0"</f>
        <v>475,0</v>
      </c>
      <c r="T7" s="22" t="str">
        <f>"381,6057"</f>
        <v>381,6057</v>
      </c>
      <c r="U7" s="20" t="s">
        <v>21</v>
      </c>
    </row>
    <row r="9" spans="1:21" ht="15">
      <c r="A9" s="37" t="s">
        <v>87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1">
      <c r="A10" s="6" t="s">
        <v>930</v>
      </c>
      <c r="B10" s="6" t="s">
        <v>929</v>
      </c>
      <c r="C10" s="6" t="s">
        <v>928</v>
      </c>
      <c r="D10" s="6" t="str">
        <f>"0,6309"</f>
        <v>0,6309</v>
      </c>
      <c r="E10" s="6" t="s">
        <v>64</v>
      </c>
      <c r="F10" s="6" t="s">
        <v>927</v>
      </c>
      <c r="G10" s="8" t="s">
        <v>926</v>
      </c>
      <c r="H10" s="8" t="s">
        <v>925</v>
      </c>
      <c r="I10" s="7" t="s">
        <v>297</v>
      </c>
      <c r="J10" s="7"/>
      <c r="K10" s="8" t="s">
        <v>924</v>
      </c>
      <c r="L10" s="7" t="s">
        <v>262</v>
      </c>
      <c r="M10" s="7" t="s">
        <v>262</v>
      </c>
      <c r="N10" s="7"/>
      <c r="O10" s="8" t="s">
        <v>923</v>
      </c>
      <c r="P10" s="7" t="s">
        <v>873</v>
      </c>
      <c r="Q10" s="7" t="s">
        <v>873</v>
      </c>
      <c r="R10" s="7"/>
      <c r="S10" s="6" t="str">
        <f>"675.00o"</f>
        <v>675.00o</v>
      </c>
      <c r="T10" s="8" t="str">
        <f>"425,8912"</f>
        <v>425,8912</v>
      </c>
      <c r="U10" s="6" t="s">
        <v>21</v>
      </c>
    </row>
    <row r="11" spans="1:21">
      <c r="A11" s="20"/>
      <c r="B11" s="20"/>
      <c r="C11" s="20"/>
      <c r="D11" s="20"/>
      <c r="E11" s="20"/>
      <c r="F11" s="20"/>
      <c r="G11" s="22"/>
      <c r="H11" s="22"/>
      <c r="I11" s="21"/>
      <c r="J11" s="21"/>
      <c r="K11" s="22"/>
      <c r="L11" s="21"/>
      <c r="M11" s="21"/>
      <c r="N11" s="21"/>
      <c r="O11" s="22"/>
      <c r="P11" s="21"/>
      <c r="Q11" s="21"/>
      <c r="R11" s="21"/>
      <c r="S11" s="20"/>
      <c r="T11" s="22"/>
      <c r="U11" s="20"/>
    </row>
    <row r="12" spans="1:21" ht="15">
      <c r="A12" s="37" t="s">
        <v>92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23"/>
    </row>
    <row r="13" spans="1:21">
      <c r="A13" s="6" t="s">
        <v>922</v>
      </c>
      <c r="B13" s="6" t="s">
        <v>921</v>
      </c>
      <c r="C13" s="6" t="s">
        <v>600</v>
      </c>
      <c r="D13" s="6" t="str">
        <f>"0,6022"</f>
        <v>0,6022</v>
      </c>
      <c r="E13" s="6" t="s">
        <v>200</v>
      </c>
      <c r="F13" s="6" t="s">
        <v>201</v>
      </c>
      <c r="G13" s="7" t="s">
        <v>310</v>
      </c>
      <c r="H13" s="7" t="s">
        <v>310</v>
      </c>
      <c r="I13" s="7" t="s">
        <v>310</v>
      </c>
      <c r="J13" s="7"/>
      <c r="K13" s="7" t="s">
        <v>44</v>
      </c>
      <c r="L13" s="7"/>
      <c r="M13" s="7"/>
      <c r="N13" s="7"/>
      <c r="O13" s="7" t="s">
        <v>258</v>
      </c>
      <c r="P13" s="7"/>
      <c r="Q13" s="7"/>
      <c r="R13" s="7"/>
      <c r="S13" s="6" t="str">
        <f>"0.00"</f>
        <v>0.00</v>
      </c>
      <c r="T13" s="8" t="str">
        <f>"0,0000"</f>
        <v>0,0000</v>
      </c>
      <c r="U13" s="6" t="s">
        <v>21</v>
      </c>
    </row>
    <row r="14" spans="1:21"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</row>
    <row r="15" spans="1:21" ht="15">
      <c r="A15" s="37" t="s">
        <v>347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spans="1:21">
      <c r="A16" s="6" t="s">
        <v>920</v>
      </c>
      <c r="B16" s="6" t="s">
        <v>919</v>
      </c>
      <c r="C16" s="6" t="s">
        <v>918</v>
      </c>
      <c r="D16" s="6" t="str">
        <f>"0,5616"</f>
        <v>0,5616</v>
      </c>
      <c r="E16" s="6" t="s">
        <v>470</v>
      </c>
      <c r="F16" s="6" t="s">
        <v>28</v>
      </c>
      <c r="G16" s="8" t="s">
        <v>289</v>
      </c>
      <c r="H16" s="8" t="s">
        <v>302</v>
      </c>
      <c r="I16" s="7" t="s">
        <v>348</v>
      </c>
      <c r="J16" s="7"/>
      <c r="K16" s="8" t="s">
        <v>245</v>
      </c>
      <c r="L16" s="8" t="s">
        <v>504</v>
      </c>
      <c r="M16" s="7" t="s">
        <v>310</v>
      </c>
      <c r="N16" s="7"/>
      <c r="O16" s="8" t="s">
        <v>302</v>
      </c>
      <c r="P16" s="8" t="s">
        <v>815</v>
      </c>
      <c r="Q16" s="7" t="s">
        <v>335</v>
      </c>
      <c r="R16" s="7"/>
      <c r="S16" s="6" t="str">
        <f>"650,0"</f>
        <v>650,0</v>
      </c>
      <c r="T16" s="8" t="str">
        <f>"365,0400"</f>
        <v>365,0400</v>
      </c>
      <c r="U16" s="6" t="s">
        <v>21</v>
      </c>
    </row>
    <row r="18" spans="1:6" s="4" customFormat="1" ht="15">
      <c r="A18" s="5"/>
      <c r="B18" s="5"/>
      <c r="C18" s="5"/>
      <c r="D18" s="5"/>
      <c r="E18" s="9" t="s">
        <v>31</v>
      </c>
      <c r="F18" s="5" t="s">
        <v>130</v>
      </c>
    </row>
    <row r="19" spans="1:6" s="4" customFormat="1" ht="15">
      <c r="A19" s="5"/>
      <c r="B19" s="5"/>
      <c r="C19" s="5"/>
      <c r="D19" s="5"/>
      <c r="E19" s="9" t="s">
        <v>32</v>
      </c>
      <c r="F19" s="5" t="s">
        <v>131</v>
      </c>
    </row>
    <row r="20" spans="1:6" s="4" customFormat="1" ht="15">
      <c r="A20" s="5"/>
      <c r="B20" s="5"/>
      <c r="C20" s="5"/>
      <c r="D20" s="5"/>
      <c r="E20" s="9" t="s">
        <v>33</v>
      </c>
      <c r="F20" s="5" t="s">
        <v>132</v>
      </c>
    </row>
    <row r="21" spans="1:6" s="4" customFormat="1" ht="15">
      <c r="A21" s="5"/>
      <c r="B21" s="5"/>
      <c r="C21" s="5"/>
      <c r="D21" s="5"/>
      <c r="E21" s="9" t="s">
        <v>34</v>
      </c>
      <c r="F21" s="5" t="s">
        <v>133</v>
      </c>
    </row>
    <row r="22" spans="1:6" s="4" customFormat="1" ht="15">
      <c r="A22" s="5"/>
      <c r="B22" s="5"/>
      <c r="C22" s="5"/>
      <c r="D22" s="5"/>
      <c r="E22" s="9" t="s">
        <v>34</v>
      </c>
      <c r="F22" s="5" t="s">
        <v>134</v>
      </c>
    </row>
    <row r="23" spans="1:6" s="4" customFormat="1" ht="15">
      <c r="A23" s="5"/>
      <c r="B23" s="5"/>
      <c r="C23" s="5"/>
      <c r="D23" s="5"/>
      <c r="E23" s="9" t="s">
        <v>35</v>
      </c>
      <c r="F23" s="5" t="s">
        <v>135</v>
      </c>
    </row>
    <row r="24" spans="1:6" s="4" customFormat="1" ht="15">
      <c r="A24" s="5"/>
      <c r="B24" s="5"/>
      <c r="C24" s="5"/>
      <c r="D24" s="5"/>
      <c r="E24" s="9"/>
      <c r="F24" s="5"/>
    </row>
    <row r="26" spans="1:6" s="4" customFormat="1" ht="18">
      <c r="A26" s="10" t="s">
        <v>36</v>
      </c>
      <c r="B26" s="10"/>
      <c r="C26" s="5"/>
      <c r="D26" s="5"/>
      <c r="E26" s="5"/>
      <c r="F26" s="5"/>
    </row>
    <row r="27" spans="1:6" s="4" customFormat="1" ht="15">
      <c r="A27" s="11" t="s">
        <v>37</v>
      </c>
      <c r="B27" s="11"/>
      <c r="C27" s="5"/>
      <c r="D27" s="5"/>
      <c r="E27" s="5"/>
      <c r="F27" s="5"/>
    </row>
    <row r="28" spans="1:6" s="4" customFormat="1" ht="14.25">
      <c r="A28" s="13"/>
      <c r="B28" s="14" t="s">
        <v>109</v>
      </c>
      <c r="C28" s="5"/>
      <c r="D28" s="5"/>
      <c r="E28" s="5"/>
      <c r="F28" s="5"/>
    </row>
    <row r="29" spans="1:6" s="4" customFormat="1" ht="15">
      <c r="A29" s="15" t="s">
        <v>39</v>
      </c>
      <c r="B29" s="15" t="s">
        <v>40</v>
      </c>
      <c r="C29" s="15" t="s">
        <v>41</v>
      </c>
      <c r="D29" s="15" t="s">
        <v>42</v>
      </c>
      <c r="E29" s="15" t="s">
        <v>43</v>
      </c>
      <c r="F29" s="5"/>
    </row>
    <row r="30" spans="1:6" s="4" customFormat="1">
      <c r="A30" s="12" t="s">
        <v>394</v>
      </c>
      <c r="B30" s="5" t="s">
        <v>110</v>
      </c>
      <c r="C30" s="5" t="s">
        <v>111</v>
      </c>
      <c r="D30" s="5" t="s">
        <v>917</v>
      </c>
      <c r="E30" s="16" t="s">
        <v>916</v>
      </c>
      <c r="F30" s="5"/>
    </row>
    <row r="32" spans="1:6" s="4" customFormat="1" ht="14.25">
      <c r="A32" s="13"/>
      <c r="B32" s="14" t="s">
        <v>38</v>
      </c>
      <c r="C32" s="5"/>
      <c r="D32" s="5"/>
      <c r="E32" s="5"/>
      <c r="F32" s="5"/>
    </row>
    <row r="33" spans="1:5" s="4" customFormat="1" ht="15">
      <c r="A33" s="15" t="s">
        <v>39</v>
      </c>
      <c r="B33" s="15" t="s">
        <v>40</v>
      </c>
      <c r="C33" s="15" t="s">
        <v>41</v>
      </c>
      <c r="D33" s="15" t="s">
        <v>42</v>
      </c>
      <c r="E33" s="15" t="s">
        <v>43</v>
      </c>
    </row>
    <row r="34" spans="1:5" s="4" customFormat="1">
      <c r="A34" s="12" t="s">
        <v>915</v>
      </c>
      <c r="B34" s="5" t="s">
        <v>38</v>
      </c>
      <c r="C34" s="5" t="s">
        <v>119</v>
      </c>
      <c r="D34" s="5" t="s">
        <v>914</v>
      </c>
      <c r="E34" s="16" t="s">
        <v>913</v>
      </c>
    </row>
    <row r="36" spans="1:5" s="4" customFormat="1" ht="14.25">
      <c r="A36" s="13"/>
      <c r="B36" s="14" t="s">
        <v>46</v>
      </c>
      <c r="C36" s="5"/>
      <c r="D36" s="5"/>
      <c r="E36" s="5"/>
    </row>
    <row r="37" spans="1:5" s="4" customFormat="1" ht="15">
      <c r="A37" s="15" t="s">
        <v>39</v>
      </c>
      <c r="B37" s="15" t="s">
        <v>40</v>
      </c>
      <c r="C37" s="15" t="s">
        <v>41</v>
      </c>
      <c r="D37" s="15" t="s">
        <v>42</v>
      </c>
      <c r="E37" s="15" t="s">
        <v>43</v>
      </c>
    </row>
    <row r="38" spans="1:5" s="4" customFormat="1">
      <c r="A38" s="12" t="s">
        <v>386</v>
      </c>
      <c r="B38" s="5" t="s">
        <v>47</v>
      </c>
      <c r="C38" s="5" t="s">
        <v>111</v>
      </c>
      <c r="D38" s="5" t="s">
        <v>912</v>
      </c>
      <c r="E38" s="16" t="s">
        <v>911</v>
      </c>
    </row>
    <row r="39" spans="1:5" s="4" customFormat="1">
      <c r="A39" s="12" t="s">
        <v>910</v>
      </c>
      <c r="B39" s="5" t="s">
        <v>290</v>
      </c>
      <c r="C39" s="5" t="s">
        <v>77</v>
      </c>
      <c r="D39" s="5" t="s">
        <v>909</v>
      </c>
      <c r="E39" s="16" t="s">
        <v>908</v>
      </c>
    </row>
    <row r="44" spans="1:5" s="4" customFormat="1" ht="18">
      <c r="A44" s="10" t="s">
        <v>50</v>
      </c>
      <c r="B44" s="10"/>
      <c r="C44" s="5"/>
      <c r="D44" s="5"/>
      <c r="E44" s="5"/>
    </row>
    <row r="45" spans="1:5" s="4" customFormat="1" ht="15">
      <c r="A45" s="15" t="s">
        <v>51</v>
      </c>
      <c r="B45" s="15" t="s">
        <v>52</v>
      </c>
      <c r="C45" s="15" t="s">
        <v>53</v>
      </c>
      <c r="D45" s="5"/>
      <c r="E45" s="5"/>
    </row>
    <row r="46" spans="1:5" s="4" customFormat="1">
      <c r="A46" s="5" t="s">
        <v>27</v>
      </c>
      <c r="B46" s="5" t="s">
        <v>54</v>
      </c>
      <c r="C46" s="5" t="s">
        <v>384</v>
      </c>
      <c r="D46" s="5"/>
      <c r="E46" s="5"/>
    </row>
    <row r="47" spans="1:5" s="4" customFormat="1">
      <c r="A47" s="5" t="s">
        <v>64</v>
      </c>
      <c r="B47" s="5" t="s">
        <v>54</v>
      </c>
      <c r="C47" s="5" t="s">
        <v>907</v>
      </c>
      <c r="D47" s="5"/>
      <c r="E47" s="5"/>
    </row>
    <row r="48" spans="1:5" s="4" customFormat="1">
      <c r="A48" s="5" t="s">
        <v>16</v>
      </c>
      <c r="B48" s="5" t="s">
        <v>54</v>
      </c>
      <c r="C48" s="5" t="s">
        <v>383</v>
      </c>
      <c r="D48" s="5"/>
      <c r="E48" s="5"/>
    </row>
    <row r="49" spans="1:3" s="4" customFormat="1">
      <c r="A49" s="5" t="s">
        <v>470</v>
      </c>
      <c r="B49" s="5" t="s">
        <v>54</v>
      </c>
      <c r="C49" s="5" t="s">
        <v>906</v>
      </c>
    </row>
  </sheetData>
  <mergeCells count="17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9:T9"/>
    <mergeCell ref="A15:T15"/>
    <mergeCell ref="A12:T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33" style="5" bestFit="1" customWidth="1"/>
    <col min="4" max="4" width="9.28515625" style="5" bestFit="1" customWidth="1"/>
    <col min="5" max="5" width="22.7109375" style="5" bestFit="1" customWidth="1"/>
    <col min="6" max="6" width="36.140625" style="5" bestFit="1" customWidth="1"/>
    <col min="7" max="9" width="6.5703125" style="4" bestFit="1" customWidth="1"/>
    <col min="10" max="10" width="4.85546875" style="4" bestFit="1" customWidth="1"/>
    <col min="11" max="12" width="6.5703125" style="4" bestFit="1" customWidth="1"/>
    <col min="13" max="13" width="5.5703125" style="4" bestFit="1" customWidth="1"/>
    <col min="14" max="14" width="4.85546875" style="4" bestFit="1" customWidth="1"/>
    <col min="15" max="17" width="6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26" t="s">
        <v>955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241</v>
      </c>
      <c r="H3" s="36"/>
      <c r="I3" s="36"/>
      <c r="J3" s="36"/>
      <c r="K3" s="36" t="s">
        <v>1</v>
      </c>
      <c r="L3" s="36"/>
      <c r="M3" s="36"/>
      <c r="N3" s="36"/>
      <c r="O3" s="36" t="s">
        <v>154</v>
      </c>
      <c r="P3" s="36"/>
      <c r="Q3" s="36"/>
      <c r="R3" s="36"/>
      <c r="S3" s="36" t="s">
        <v>138</v>
      </c>
      <c r="T3" s="36" t="s">
        <v>3</v>
      </c>
      <c r="U3" s="38" t="s">
        <v>2</v>
      </c>
    </row>
    <row r="4" spans="1:21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2">
        <v>1</v>
      </c>
      <c r="L4" s="2">
        <v>2</v>
      </c>
      <c r="M4" s="2">
        <v>3</v>
      </c>
      <c r="N4" s="2" t="s">
        <v>5</v>
      </c>
      <c r="O4" s="2">
        <v>1</v>
      </c>
      <c r="P4" s="2">
        <v>2</v>
      </c>
      <c r="Q4" s="2">
        <v>3</v>
      </c>
      <c r="R4" s="2" t="s">
        <v>5</v>
      </c>
      <c r="S4" s="35"/>
      <c r="T4" s="35"/>
      <c r="U4" s="39"/>
    </row>
    <row r="5" spans="1:21" ht="15">
      <c r="A5" s="40" t="s">
        <v>379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6" t="s">
        <v>954</v>
      </c>
      <c r="B6" s="6" t="s">
        <v>953</v>
      </c>
      <c r="C6" s="6" t="s">
        <v>704</v>
      </c>
      <c r="D6" s="6" t="str">
        <f>"0,8924"</f>
        <v>0,8924</v>
      </c>
      <c r="E6" s="6" t="s">
        <v>64</v>
      </c>
      <c r="F6" s="6" t="s">
        <v>201</v>
      </c>
      <c r="G6" s="8" t="s">
        <v>191</v>
      </c>
      <c r="H6" s="8" t="s">
        <v>952</v>
      </c>
      <c r="I6" s="8" t="s">
        <v>68</v>
      </c>
      <c r="J6" s="7"/>
      <c r="K6" s="8" t="s">
        <v>951</v>
      </c>
      <c r="L6" s="7" t="s">
        <v>448</v>
      </c>
      <c r="M6" s="7" t="s">
        <v>448</v>
      </c>
      <c r="N6" s="7"/>
      <c r="O6" s="7" t="s">
        <v>18</v>
      </c>
      <c r="P6" s="7" t="s">
        <v>44</v>
      </c>
      <c r="Q6" s="7" t="s">
        <v>44</v>
      </c>
      <c r="R6" s="7"/>
      <c r="S6" s="6" t="str">
        <f>"0.00"</f>
        <v>0.00</v>
      </c>
      <c r="T6" s="8" t="str">
        <f>"0,0000"</f>
        <v>0,0000</v>
      </c>
      <c r="U6" s="6" t="s">
        <v>21</v>
      </c>
    </row>
    <row r="8" spans="1:21" ht="15">
      <c r="A8" s="37" t="s">
        <v>70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1">
      <c r="A9" s="6" t="s">
        <v>950</v>
      </c>
      <c r="B9" s="6" t="s">
        <v>949</v>
      </c>
      <c r="C9" s="6" t="s">
        <v>948</v>
      </c>
      <c r="D9" s="6" t="str">
        <f>"0,6760"</f>
        <v>0,6760</v>
      </c>
      <c r="E9" s="6" t="s">
        <v>64</v>
      </c>
      <c r="F9" s="6" t="s">
        <v>947</v>
      </c>
      <c r="G9" s="8" t="s">
        <v>579</v>
      </c>
      <c r="H9" s="8" t="s">
        <v>426</v>
      </c>
      <c r="I9" s="7" t="s">
        <v>440</v>
      </c>
      <c r="J9" s="7"/>
      <c r="K9" s="8" t="s">
        <v>398</v>
      </c>
      <c r="L9" s="7" t="s">
        <v>82</v>
      </c>
      <c r="M9" s="7" t="s">
        <v>82</v>
      </c>
      <c r="N9" s="7"/>
      <c r="O9" s="8" t="s">
        <v>924</v>
      </c>
      <c r="P9" s="8" t="s">
        <v>946</v>
      </c>
      <c r="Q9" s="7" t="s">
        <v>369</v>
      </c>
      <c r="R9" s="7"/>
      <c r="S9" s="6" t="str">
        <f>"457.50o"</f>
        <v>457.50o</v>
      </c>
      <c r="T9" s="8" t="str">
        <f>"312,3627"</f>
        <v>312,3627</v>
      </c>
      <c r="U9" s="6" t="s">
        <v>21</v>
      </c>
    </row>
    <row r="11" spans="1:21" ht="15">
      <c r="A11" s="37" t="s">
        <v>92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1">
      <c r="A12" s="6" t="s">
        <v>945</v>
      </c>
      <c r="B12" s="6" t="s">
        <v>944</v>
      </c>
      <c r="C12" s="6" t="s">
        <v>102</v>
      </c>
      <c r="D12" s="6" t="str">
        <f>"0,5893"</f>
        <v>0,5893</v>
      </c>
      <c r="E12" s="6" t="s">
        <v>64</v>
      </c>
      <c r="F12" s="6" t="s">
        <v>943</v>
      </c>
      <c r="G12" s="8" t="s">
        <v>942</v>
      </c>
      <c r="H12" s="8" t="s">
        <v>349</v>
      </c>
      <c r="I12" s="8" t="s">
        <v>331</v>
      </c>
      <c r="J12" s="7"/>
      <c r="K12" s="8" t="s">
        <v>98</v>
      </c>
      <c r="L12" s="8" t="s">
        <v>941</v>
      </c>
      <c r="M12" s="8" t="s">
        <v>455</v>
      </c>
      <c r="N12" s="7"/>
      <c r="O12" s="8" t="s">
        <v>940</v>
      </c>
      <c r="P12" s="8" t="s">
        <v>343</v>
      </c>
      <c r="Q12" s="8" t="s">
        <v>342</v>
      </c>
      <c r="R12" s="7"/>
      <c r="S12" s="6" t="str">
        <f>"630.00o"</f>
        <v>630.00o</v>
      </c>
      <c r="T12" s="8" t="str">
        <f>"371,2590"</f>
        <v>371,2590</v>
      </c>
      <c r="U12" s="6" t="s">
        <v>21</v>
      </c>
    </row>
    <row r="14" spans="1:21" ht="15">
      <c r="E14" s="9" t="s">
        <v>31</v>
      </c>
      <c r="F14" s="5" t="s">
        <v>130</v>
      </c>
    </row>
    <row r="15" spans="1:21" ht="15">
      <c r="E15" s="9" t="s">
        <v>32</v>
      </c>
      <c r="F15" s="5" t="s">
        <v>131</v>
      </c>
    </row>
    <row r="16" spans="1:21" ht="15">
      <c r="E16" s="9" t="s">
        <v>33</v>
      </c>
      <c r="F16" s="5" t="s">
        <v>132</v>
      </c>
    </row>
    <row r="17" spans="1:6" s="4" customFormat="1" ht="15">
      <c r="A17" s="5"/>
      <c r="B17" s="5"/>
      <c r="C17" s="5"/>
      <c r="D17" s="5"/>
      <c r="E17" s="9" t="s">
        <v>34</v>
      </c>
      <c r="F17" s="5" t="s">
        <v>133</v>
      </c>
    </row>
    <row r="18" spans="1:6" s="4" customFormat="1" ht="15">
      <c r="A18" s="5"/>
      <c r="B18" s="5"/>
      <c r="C18" s="5"/>
      <c r="D18" s="5"/>
      <c r="E18" s="9" t="s">
        <v>34</v>
      </c>
      <c r="F18" s="5" t="s">
        <v>134</v>
      </c>
    </row>
    <row r="19" spans="1:6" s="4" customFormat="1" ht="15">
      <c r="A19" s="5"/>
      <c r="B19" s="5"/>
      <c r="C19" s="5"/>
      <c r="D19" s="5"/>
      <c r="E19" s="9" t="s">
        <v>35</v>
      </c>
      <c r="F19" s="5" t="s">
        <v>135</v>
      </c>
    </row>
    <row r="20" spans="1:6" s="4" customFormat="1" ht="15">
      <c r="A20" s="5"/>
      <c r="B20" s="5"/>
      <c r="C20" s="5"/>
      <c r="D20" s="5"/>
      <c r="E20" s="9"/>
      <c r="F20" s="5"/>
    </row>
    <row r="22" spans="1:6" s="4" customFormat="1" ht="18">
      <c r="A22" s="10" t="s">
        <v>36</v>
      </c>
      <c r="B22" s="10"/>
      <c r="C22" s="5"/>
      <c r="D22" s="5"/>
      <c r="E22" s="5"/>
      <c r="F22" s="5"/>
    </row>
    <row r="23" spans="1:6" s="4" customFormat="1" ht="15">
      <c r="A23" s="11" t="s">
        <v>37</v>
      </c>
      <c r="B23" s="11"/>
      <c r="C23" s="5"/>
      <c r="D23" s="5"/>
      <c r="E23" s="5"/>
      <c r="F23" s="5"/>
    </row>
    <row r="24" spans="1:6" s="4" customFormat="1" ht="14.25">
      <c r="A24" s="13"/>
      <c r="B24" s="14" t="s">
        <v>113</v>
      </c>
      <c r="C24" s="5"/>
      <c r="D24" s="5"/>
      <c r="E24" s="5"/>
      <c r="F24" s="5"/>
    </row>
    <row r="25" spans="1:6" s="4" customFormat="1" ht="15">
      <c r="A25" s="15" t="s">
        <v>39</v>
      </c>
      <c r="B25" s="15" t="s">
        <v>40</v>
      </c>
      <c r="C25" s="15" t="s">
        <v>41</v>
      </c>
      <c r="D25" s="15" t="s">
        <v>42</v>
      </c>
      <c r="E25" s="15" t="s">
        <v>43</v>
      </c>
      <c r="F25" s="5"/>
    </row>
    <row r="26" spans="1:6" s="4" customFormat="1">
      <c r="A26" s="12" t="s">
        <v>939</v>
      </c>
      <c r="B26" s="5" t="s">
        <v>114</v>
      </c>
      <c r="C26" s="5" t="s">
        <v>111</v>
      </c>
      <c r="D26" s="5" t="s">
        <v>938</v>
      </c>
      <c r="E26" s="16" t="s">
        <v>937</v>
      </c>
      <c r="F26" s="5"/>
    </row>
    <row r="28" spans="1:6" s="4" customFormat="1" ht="14.25">
      <c r="A28" s="13"/>
      <c r="B28" s="14" t="s">
        <v>38</v>
      </c>
      <c r="C28" s="5"/>
      <c r="D28" s="5"/>
      <c r="E28" s="5"/>
      <c r="F28" s="5"/>
    </row>
    <row r="29" spans="1:6" s="4" customFormat="1" ht="15">
      <c r="A29" s="15" t="s">
        <v>39</v>
      </c>
      <c r="B29" s="15" t="s">
        <v>40</v>
      </c>
      <c r="C29" s="15" t="s">
        <v>41</v>
      </c>
      <c r="D29" s="15" t="s">
        <v>42</v>
      </c>
      <c r="E29" s="15" t="s">
        <v>43</v>
      </c>
      <c r="F29" s="5"/>
    </row>
    <row r="30" spans="1:6" s="4" customFormat="1">
      <c r="A30" s="12" t="s">
        <v>936</v>
      </c>
      <c r="B30" s="5" t="s">
        <v>38</v>
      </c>
      <c r="C30" s="5" t="s">
        <v>121</v>
      </c>
      <c r="D30" s="5" t="s">
        <v>935</v>
      </c>
      <c r="E30" s="16" t="s">
        <v>934</v>
      </c>
      <c r="F30" s="5"/>
    </row>
    <row r="35" spans="1:3" s="4" customFormat="1" ht="18">
      <c r="A35" s="10" t="s">
        <v>50</v>
      </c>
      <c r="B35" s="10"/>
      <c r="C35" s="5"/>
    </row>
    <row r="36" spans="1:3" s="4" customFormat="1" ht="15">
      <c r="A36" s="15" t="s">
        <v>51</v>
      </c>
      <c r="B36" s="15" t="s">
        <v>52</v>
      </c>
      <c r="C36" s="15" t="s">
        <v>53</v>
      </c>
    </row>
    <row r="37" spans="1:3" s="4" customFormat="1">
      <c r="A37" s="5" t="s">
        <v>64</v>
      </c>
      <c r="B37" s="5" t="s">
        <v>232</v>
      </c>
      <c r="C37" s="5" t="s">
        <v>933</v>
      </c>
    </row>
  </sheetData>
  <mergeCells count="16"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D3:D4"/>
    <mergeCell ref="S3:S4"/>
    <mergeCell ref="T3:T4"/>
    <mergeCell ref="A5:T5"/>
    <mergeCell ref="A8:T8"/>
    <mergeCell ref="A11:T11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75"/>
  <sheetViews>
    <sheetView zoomScale="70" zoomScaleNormal="70" workbookViewId="0">
      <selection activeCell="F41" sqref="F41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65.85546875" style="5" bestFit="1" customWidth="1"/>
    <col min="4" max="4" width="9.28515625" style="5" bestFit="1" customWidth="1"/>
    <col min="5" max="5" width="22.7109375" style="5" bestFit="1" customWidth="1"/>
    <col min="6" max="6" width="33.5703125" style="5" bestFit="1" customWidth="1"/>
    <col min="7" max="9" width="6.5703125" style="4" bestFit="1" customWidth="1"/>
    <col min="10" max="10" width="4.85546875" style="4" bestFit="1" customWidth="1"/>
    <col min="11" max="11" width="11.4257812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1040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379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87" t="s">
        <v>1039</v>
      </c>
      <c r="B6" s="87" t="s">
        <v>1002</v>
      </c>
      <c r="C6" s="87" t="s">
        <v>159</v>
      </c>
      <c r="D6" s="87" t="s">
        <v>1038</v>
      </c>
      <c r="E6" s="17" t="s">
        <v>64</v>
      </c>
      <c r="F6" s="87" t="s">
        <v>148</v>
      </c>
      <c r="G6" s="88" t="s">
        <v>151</v>
      </c>
      <c r="H6" s="88" t="s">
        <v>986</v>
      </c>
      <c r="I6" s="18" t="s">
        <v>1028</v>
      </c>
      <c r="J6" s="18"/>
      <c r="K6" s="87" t="s">
        <v>986</v>
      </c>
      <c r="L6" s="88" t="s">
        <v>1037</v>
      </c>
      <c r="M6" s="17" t="s">
        <v>21</v>
      </c>
    </row>
    <row r="8" spans="1:13" ht="15">
      <c r="A8" s="37" t="s">
        <v>59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87" t="s">
        <v>60</v>
      </c>
      <c r="B9" s="87" t="s">
        <v>1009</v>
      </c>
      <c r="C9" s="87" t="s">
        <v>968</v>
      </c>
      <c r="D9" s="87" t="s">
        <v>1036</v>
      </c>
      <c r="E9" s="87" t="s">
        <v>147</v>
      </c>
      <c r="F9" s="87" t="s">
        <v>1035</v>
      </c>
      <c r="G9" s="88" t="s">
        <v>1028</v>
      </c>
      <c r="H9" s="19" t="s">
        <v>967</v>
      </c>
      <c r="I9" s="18" t="s">
        <v>1034</v>
      </c>
      <c r="J9" s="18"/>
      <c r="K9" s="87" t="s">
        <v>967</v>
      </c>
      <c r="L9" s="85" t="s">
        <v>1033</v>
      </c>
      <c r="M9" s="17" t="s">
        <v>21</v>
      </c>
    </row>
    <row r="10" spans="1:13">
      <c r="A10" s="87" t="s">
        <v>60</v>
      </c>
      <c r="B10" s="89" t="s">
        <v>86</v>
      </c>
      <c r="C10" s="87" t="s">
        <v>968</v>
      </c>
      <c r="D10" s="87" t="s">
        <v>1036</v>
      </c>
      <c r="E10" s="87" t="s">
        <v>147</v>
      </c>
      <c r="F10" s="87" t="s">
        <v>1035</v>
      </c>
      <c r="G10" s="88" t="s">
        <v>1028</v>
      </c>
      <c r="H10" s="19" t="s">
        <v>967</v>
      </c>
      <c r="I10" s="18" t="s">
        <v>1034</v>
      </c>
      <c r="J10" s="18"/>
      <c r="K10" s="87" t="s">
        <v>967</v>
      </c>
      <c r="L10" s="85" t="s">
        <v>1033</v>
      </c>
      <c r="M10" s="17" t="s">
        <v>21</v>
      </c>
    </row>
    <row r="11" spans="1:13" ht="15">
      <c r="A11" s="37" t="s">
        <v>1032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3">
      <c r="A12" s="53" t="s">
        <v>981</v>
      </c>
      <c r="B12" s="53" t="s">
        <v>1009</v>
      </c>
      <c r="C12" s="53" t="s">
        <v>1031</v>
      </c>
      <c r="D12" s="53" t="s">
        <v>1030</v>
      </c>
      <c r="E12" s="53" t="s">
        <v>147</v>
      </c>
      <c r="F12" s="53" t="s">
        <v>1029</v>
      </c>
      <c r="G12" s="54" t="s">
        <v>1028</v>
      </c>
      <c r="H12" s="8" t="s">
        <v>1027</v>
      </c>
      <c r="I12" s="8" t="s">
        <v>886</v>
      </c>
      <c r="J12" s="7"/>
      <c r="K12" s="53" t="s">
        <v>886</v>
      </c>
      <c r="L12" s="54" t="s">
        <v>1026</v>
      </c>
      <c r="M12" s="6" t="s">
        <v>21</v>
      </c>
    </row>
    <row r="13" spans="1:13">
      <c r="A13" s="59" t="s">
        <v>979</v>
      </c>
      <c r="B13" s="59" t="s">
        <v>145</v>
      </c>
      <c r="C13" s="59" t="s">
        <v>1025</v>
      </c>
      <c r="D13" s="59" t="s">
        <v>1021</v>
      </c>
      <c r="E13" s="59" t="s">
        <v>147</v>
      </c>
      <c r="F13" s="59" t="s">
        <v>1024</v>
      </c>
      <c r="G13" s="83" t="s">
        <v>1011</v>
      </c>
      <c r="H13" s="83" t="s">
        <v>1020</v>
      </c>
      <c r="I13" s="83" t="s">
        <v>968</v>
      </c>
      <c r="J13" s="67"/>
      <c r="K13" s="59" t="s">
        <v>968</v>
      </c>
      <c r="L13" s="83" t="s">
        <v>1023</v>
      </c>
    </row>
    <row r="14" spans="1:13" ht="15">
      <c r="A14" s="37" t="s">
        <v>70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3">
      <c r="A15" s="53" t="s">
        <v>540</v>
      </c>
      <c r="B15" s="53" t="s">
        <v>1002</v>
      </c>
      <c r="C15" s="53" t="s">
        <v>1022</v>
      </c>
      <c r="D15" s="53" t="s">
        <v>1021</v>
      </c>
      <c r="E15" s="53" t="s">
        <v>75</v>
      </c>
      <c r="F15" s="53" t="s">
        <v>76</v>
      </c>
      <c r="G15" s="54" t="s">
        <v>886</v>
      </c>
      <c r="H15" s="54" t="s">
        <v>1020</v>
      </c>
      <c r="I15" s="54" t="s">
        <v>591</v>
      </c>
      <c r="J15" s="7"/>
      <c r="K15" s="53" t="s">
        <v>591</v>
      </c>
      <c r="L15" s="86" t="s">
        <v>1019</v>
      </c>
      <c r="M15" s="6" t="s">
        <v>21</v>
      </c>
    </row>
    <row r="16" spans="1:13">
      <c r="A16" s="53" t="s">
        <v>78</v>
      </c>
      <c r="B16" s="53" t="s">
        <v>1009</v>
      </c>
      <c r="C16" s="53" t="s">
        <v>81</v>
      </c>
      <c r="D16" s="53" t="s">
        <v>1007</v>
      </c>
      <c r="E16" s="6" t="s">
        <v>75</v>
      </c>
      <c r="F16" s="6" t="s">
        <v>76</v>
      </c>
      <c r="G16" s="8" t="s">
        <v>886</v>
      </c>
      <c r="H16" s="8" t="s">
        <v>826</v>
      </c>
      <c r="I16" s="8" t="s">
        <v>825</v>
      </c>
      <c r="J16" s="7"/>
      <c r="K16" s="53" t="s">
        <v>825</v>
      </c>
      <c r="L16" s="54" t="s">
        <v>1018</v>
      </c>
      <c r="M16" s="6" t="s">
        <v>21</v>
      </c>
    </row>
    <row r="17" spans="1:13">
      <c r="A17" s="53" t="s">
        <v>84</v>
      </c>
      <c r="B17" s="53" t="s">
        <v>145</v>
      </c>
      <c r="C17" s="53" t="s">
        <v>81</v>
      </c>
      <c r="D17" s="53" t="s">
        <v>1007</v>
      </c>
      <c r="E17" s="53" t="s">
        <v>75</v>
      </c>
      <c r="F17" s="53" t="s">
        <v>76</v>
      </c>
      <c r="G17" s="54" t="s">
        <v>886</v>
      </c>
      <c r="H17" s="54" t="s">
        <v>826</v>
      </c>
      <c r="I17" s="54" t="s">
        <v>825</v>
      </c>
      <c r="J17" s="8"/>
      <c r="K17" s="53" t="s">
        <v>825</v>
      </c>
      <c r="L17" s="54" t="s">
        <v>1018</v>
      </c>
      <c r="M17" s="6"/>
    </row>
    <row r="18" spans="1:13">
      <c r="A18" s="59"/>
      <c r="B18" s="59"/>
      <c r="C18" s="59"/>
      <c r="D18" s="59"/>
      <c r="E18" s="59"/>
      <c r="F18" s="59"/>
      <c r="G18" s="83"/>
      <c r="H18" s="83"/>
      <c r="I18" s="83"/>
      <c r="K18" s="59"/>
      <c r="L18" s="83"/>
    </row>
    <row r="19" spans="1:13" ht="15">
      <c r="A19" s="37" t="s">
        <v>1017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3">
      <c r="A20" s="53" t="s">
        <v>521</v>
      </c>
      <c r="B20" s="53" t="s">
        <v>1009</v>
      </c>
      <c r="C20" s="53" t="s">
        <v>1016</v>
      </c>
      <c r="D20" s="53" t="s">
        <v>1004</v>
      </c>
      <c r="E20" s="53" t="s">
        <v>956</v>
      </c>
      <c r="F20" s="53" t="s">
        <v>76</v>
      </c>
      <c r="G20" s="54" t="s">
        <v>1011</v>
      </c>
      <c r="H20" s="8" t="s">
        <v>825</v>
      </c>
      <c r="I20" s="8" t="s">
        <v>311</v>
      </c>
      <c r="J20" s="8" t="s">
        <v>1015</v>
      </c>
      <c r="K20" s="53" t="s">
        <v>311</v>
      </c>
      <c r="L20" s="54" t="s">
        <v>1014</v>
      </c>
      <c r="M20" s="6" t="s">
        <v>21</v>
      </c>
    </row>
    <row r="21" spans="1:13">
      <c r="A21" s="59" t="s">
        <v>984</v>
      </c>
      <c r="B21" s="59" t="s">
        <v>1009</v>
      </c>
      <c r="C21" s="59" t="s">
        <v>1013</v>
      </c>
      <c r="D21" s="59" t="s">
        <v>1012</v>
      </c>
      <c r="E21" s="59" t="s">
        <v>147</v>
      </c>
      <c r="F21" s="59" t="s">
        <v>148</v>
      </c>
      <c r="G21" s="83" t="s">
        <v>1011</v>
      </c>
      <c r="H21" s="83" t="s">
        <v>825</v>
      </c>
      <c r="I21" s="83" t="s">
        <v>591</v>
      </c>
      <c r="K21" s="59" t="s">
        <v>591</v>
      </c>
      <c r="L21" s="85" t="s">
        <v>1010</v>
      </c>
    </row>
    <row r="22" spans="1:13">
      <c r="A22" s="59" t="s">
        <v>972</v>
      </c>
      <c r="B22" s="59" t="s">
        <v>1009</v>
      </c>
      <c r="C22" s="59" t="s">
        <v>1008</v>
      </c>
      <c r="D22" s="59" t="s">
        <v>1007</v>
      </c>
      <c r="E22" s="59" t="s">
        <v>958</v>
      </c>
      <c r="F22" s="59" t="s">
        <v>148</v>
      </c>
      <c r="G22" s="83" t="s">
        <v>826</v>
      </c>
      <c r="H22" s="83" t="s">
        <v>825</v>
      </c>
      <c r="I22" s="83" t="s">
        <v>968</v>
      </c>
      <c r="K22" s="59" t="s">
        <v>968</v>
      </c>
      <c r="L22" s="83" t="s">
        <v>1006</v>
      </c>
    </row>
    <row r="23" spans="1:13">
      <c r="A23" s="59" t="s">
        <v>972</v>
      </c>
      <c r="B23" s="59" t="s">
        <v>145</v>
      </c>
      <c r="C23" s="59" t="s">
        <v>1008</v>
      </c>
      <c r="D23" s="59" t="s">
        <v>1007</v>
      </c>
      <c r="E23" s="59" t="s">
        <v>958</v>
      </c>
      <c r="F23" s="59" t="s">
        <v>148</v>
      </c>
      <c r="G23" s="83" t="s">
        <v>826</v>
      </c>
      <c r="H23" s="83" t="s">
        <v>825</v>
      </c>
      <c r="I23" s="83" t="s">
        <v>968</v>
      </c>
      <c r="K23" s="59" t="s">
        <v>968</v>
      </c>
      <c r="L23" s="83" t="s">
        <v>1006</v>
      </c>
    </row>
    <row r="24" spans="1:13">
      <c r="A24" s="59" t="s">
        <v>977</v>
      </c>
      <c r="B24" s="59" t="s">
        <v>145</v>
      </c>
      <c r="C24" s="59" t="s">
        <v>1005</v>
      </c>
      <c r="D24" s="59" t="s">
        <v>1004</v>
      </c>
      <c r="E24" s="59" t="s">
        <v>958</v>
      </c>
      <c r="F24" s="59" t="s">
        <v>148</v>
      </c>
      <c r="G24" s="83" t="s">
        <v>591</v>
      </c>
      <c r="H24" s="67" t="s">
        <v>311</v>
      </c>
      <c r="I24" s="83" t="s">
        <v>311</v>
      </c>
      <c r="K24" s="59" t="s">
        <v>311</v>
      </c>
      <c r="L24" s="83" t="s">
        <v>1003</v>
      </c>
    </row>
    <row r="25" spans="1:13" ht="15">
      <c r="A25" s="37" t="s">
        <v>92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3">
      <c r="A26" s="53" t="s">
        <v>990</v>
      </c>
      <c r="B26" s="53" t="s">
        <v>1002</v>
      </c>
      <c r="C26" s="53" t="s">
        <v>1001</v>
      </c>
      <c r="D26" s="53" t="s">
        <v>996</v>
      </c>
      <c r="E26" s="53" t="s">
        <v>995</v>
      </c>
      <c r="F26" s="53" t="s">
        <v>76</v>
      </c>
      <c r="G26" s="54" t="s">
        <v>886</v>
      </c>
      <c r="H26" s="54" t="s">
        <v>826</v>
      </c>
      <c r="I26" s="54" t="s">
        <v>825</v>
      </c>
      <c r="J26" s="8"/>
      <c r="K26" s="53" t="s">
        <v>825</v>
      </c>
      <c r="L26" s="54" t="s">
        <v>1000</v>
      </c>
      <c r="M26" s="6" t="s">
        <v>21</v>
      </c>
    </row>
    <row r="27" spans="1:13">
      <c r="A27" s="53" t="s">
        <v>965</v>
      </c>
      <c r="B27" s="53" t="s">
        <v>964</v>
      </c>
      <c r="C27" s="53" t="s">
        <v>223</v>
      </c>
      <c r="D27" s="53" t="s">
        <v>999</v>
      </c>
      <c r="E27" s="53" t="s">
        <v>995</v>
      </c>
      <c r="F27" s="53" t="s">
        <v>76</v>
      </c>
      <c r="G27" s="54" t="s">
        <v>886</v>
      </c>
      <c r="H27" s="54" t="s">
        <v>826</v>
      </c>
      <c r="I27" s="54" t="s">
        <v>825</v>
      </c>
      <c r="J27" s="8"/>
      <c r="K27" s="53" t="s">
        <v>825</v>
      </c>
      <c r="L27" s="54" t="s">
        <v>998</v>
      </c>
      <c r="M27" s="6" t="s">
        <v>21</v>
      </c>
    </row>
    <row r="28" spans="1:13">
      <c r="A28" s="53" t="s">
        <v>486</v>
      </c>
      <c r="B28" s="53" t="s">
        <v>962</v>
      </c>
      <c r="C28" s="53" t="s">
        <v>997</v>
      </c>
      <c r="D28" s="53" t="s">
        <v>996</v>
      </c>
      <c r="E28" s="53" t="s">
        <v>995</v>
      </c>
      <c r="F28" s="53" t="s">
        <v>76</v>
      </c>
      <c r="G28" s="54" t="s">
        <v>886</v>
      </c>
      <c r="H28" s="54" t="s">
        <v>826</v>
      </c>
      <c r="I28" s="54" t="s">
        <v>825</v>
      </c>
      <c r="J28" s="8"/>
      <c r="K28" s="84" t="s">
        <v>825</v>
      </c>
      <c r="L28" s="54" t="s">
        <v>994</v>
      </c>
      <c r="M28" s="6" t="s">
        <v>21</v>
      </c>
    </row>
    <row r="29" spans="1:13" ht="15">
      <c r="A29" s="37" t="s">
        <v>347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3">
      <c r="A30" s="53" t="s">
        <v>975</v>
      </c>
      <c r="B30" s="53" t="s">
        <v>145</v>
      </c>
      <c r="C30" s="53" t="s">
        <v>146</v>
      </c>
      <c r="D30" s="53" t="s">
        <v>993</v>
      </c>
      <c r="E30" s="53" t="s">
        <v>147</v>
      </c>
      <c r="F30" s="53" t="s">
        <v>148</v>
      </c>
      <c r="G30" s="54" t="s">
        <v>591</v>
      </c>
      <c r="H30" s="54" t="s">
        <v>311</v>
      </c>
      <c r="I30" s="54" t="s">
        <v>974</v>
      </c>
      <c r="J30" s="8"/>
      <c r="K30" s="53" t="s">
        <v>974</v>
      </c>
      <c r="L30" s="54" t="s">
        <v>992</v>
      </c>
      <c r="M30" s="6" t="s">
        <v>21</v>
      </c>
    </row>
    <row r="31" spans="1:13">
      <c r="A31" s="59"/>
      <c r="B31" s="59"/>
      <c r="C31" s="59"/>
      <c r="D31" s="59"/>
      <c r="E31" s="59"/>
      <c r="F31" s="59"/>
      <c r="G31" s="83"/>
      <c r="H31" s="83"/>
      <c r="I31" s="83"/>
      <c r="K31" s="59"/>
      <c r="L31" s="83"/>
    </row>
    <row r="32" spans="1:13" ht="15">
      <c r="E32" s="9" t="s">
        <v>31</v>
      </c>
      <c r="F32" s="5" t="s">
        <v>130</v>
      </c>
    </row>
    <row r="33" spans="1:6" s="4" customFormat="1" ht="15">
      <c r="A33" s="5"/>
      <c r="B33" s="5"/>
      <c r="C33" s="5"/>
      <c r="D33" s="5"/>
      <c r="E33" s="9" t="s">
        <v>32</v>
      </c>
      <c r="F33" s="5" t="s">
        <v>131</v>
      </c>
    </row>
    <row r="34" spans="1:6" s="4" customFormat="1" ht="15">
      <c r="A34" s="5"/>
      <c r="B34" s="5"/>
      <c r="C34" s="5"/>
      <c r="D34" s="5"/>
      <c r="E34" s="9" t="s">
        <v>33</v>
      </c>
      <c r="F34" s="5" t="s">
        <v>132</v>
      </c>
    </row>
    <row r="35" spans="1:6" s="4" customFormat="1" ht="15">
      <c r="A35" s="5"/>
      <c r="B35" s="5"/>
      <c r="C35" s="5"/>
      <c r="D35" s="5"/>
      <c r="E35" s="9" t="s">
        <v>34</v>
      </c>
      <c r="F35" s="5" t="s">
        <v>133</v>
      </c>
    </row>
    <row r="36" spans="1:6" s="4" customFormat="1" ht="15">
      <c r="A36" s="5"/>
      <c r="B36" s="5"/>
      <c r="C36" s="5"/>
      <c r="D36" s="5"/>
      <c r="E36" s="9" t="s">
        <v>34</v>
      </c>
      <c r="F36" s="5" t="s">
        <v>134</v>
      </c>
    </row>
    <row r="37" spans="1:6" s="4" customFormat="1" ht="15">
      <c r="A37" s="5"/>
      <c r="B37" s="5"/>
      <c r="C37" s="5"/>
      <c r="D37" s="5"/>
      <c r="E37" s="9" t="s">
        <v>35</v>
      </c>
      <c r="F37" s="5" t="s">
        <v>135</v>
      </c>
    </row>
    <row r="38" spans="1:6" s="4" customFormat="1" ht="15">
      <c r="A38" s="5"/>
      <c r="B38" s="5"/>
      <c r="C38" s="5"/>
      <c r="D38" s="5"/>
      <c r="E38" s="9"/>
      <c r="F38" s="5"/>
    </row>
    <row r="40" spans="1:6" s="4" customFormat="1" ht="18">
      <c r="A40" s="10" t="s">
        <v>36</v>
      </c>
      <c r="B40" s="10"/>
      <c r="C40" s="5"/>
      <c r="D40" s="5"/>
      <c r="E40" s="5"/>
      <c r="F40" s="5"/>
    </row>
    <row r="41" spans="1:6" s="4" customFormat="1" ht="15">
      <c r="A41" s="11" t="s">
        <v>37</v>
      </c>
      <c r="B41" s="11"/>
      <c r="C41" s="5"/>
      <c r="D41" s="5"/>
      <c r="E41" s="5"/>
      <c r="F41" s="5"/>
    </row>
    <row r="42" spans="1:6" s="4" customFormat="1" ht="14.25">
      <c r="A42" s="13"/>
      <c r="B42" s="14" t="s">
        <v>109</v>
      </c>
      <c r="C42" s="5"/>
      <c r="D42" s="5"/>
      <c r="E42" s="5"/>
      <c r="F42" s="5"/>
    </row>
    <row r="43" spans="1:6" s="4" customFormat="1" ht="15">
      <c r="A43" s="15" t="s">
        <v>39</v>
      </c>
      <c r="B43" s="15" t="s">
        <v>40</v>
      </c>
      <c r="C43" s="15" t="s">
        <v>41</v>
      </c>
      <c r="D43" s="15" t="s">
        <v>42</v>
      </c>
      <c r="E43" s="15" t="s">
        <v>43</v>
      </c>
      <c r="F43" s="5"/>
    </row>
    <row r="44" spans="1:6" s="4" customFormat="1">
      <c r="A44" s="58" t="s">
        <v>540</v>
      </c>
      <c r="B44" s="5" t="s">
        <v>110</v>
      </c>
      <c r="C44" s="5" t="s">
        <v>111</v>
      </c>
      <c r="D44" s="59" t="s">
        <v>591</v>
      </c>
      <c r="E44" s="16" t="s">
        <v>991</v>
      </c>
      <c r="F44" s="5"/>
    </row>
    <row r="45" spans="1:6" s="4" customFormat="1">
      <c r="A45" s="58" t="s">
        <v>990</v>
      </c>
      <c r="B45" s="5" t="s">
        <v>110</v>
      </c>
      <c r="C45" s="59" t="s">
        <v>961</v>
      </c>
      <c r="D45" s="59" t="s">
        <v>825</v>
      </c>
      <c r="E45" s="16" t="s">
        <v>989</v>
      </c>
      <c r="F45" s="5"/>
    </row>
    <row r="46" spans="1:6" s="4" customFormat="1">
      <c r="A46" s="59" t="s">
        <v>988</v>
      </c>
      <c r="B46" s="5" t="s">
        <v>110</v>
      </c>
      <c r="C46" s="59" t="s">
        <v>987</v>
      </c>
      <c r="D46" s="59" t="s">
        <v>986</v>
      </c>
      <c r="E46" s="59" t="s">
        <v>985</v>
      </c>
      <c r="F46" s="5"/>
    </row>
    <row r="47" spans="1:6" s="4" customFormat="1" ht="14.25">
      <c r="A47" s="13"/>
      <c r="B47" s="14" t="s">
        <v>113</v>
      </c>
      <c r="C47" s="5"/>
      <c r="D47" s="5"/>
      <c r="E47" s="5"/>
      <c r="F47" s="5"/>
    </row>
    <row r="48" spans="1:6" s="4" customFormat="1" ht="15">
      <c r="A48" s="15" t="s">
        <v>39</v>
      </c>
      <c r="B48" s="15" t="s">
        <v>40</v>
      </c>
      <c r="C48" s="15" t="s">
        <v>41</v>
      </c>
      <c r="D48" s="15" t="s">
        <v>42</v>
      </c>
      <c r="E48" s="15" t="s">
        <v>43</v>
      </c>
      <c r="F48" s="5"/>
    </row>
    <row r="49" spans="1:5" s="4" customFormat="1">
      <c r="A49" s="58" t="s">
        <v>984</v>
      </c>
      <c r="B49" s="5" t="s">
        <v>114</v>
      </c>
      <c r="C49" s="59" t="s">
        <v>119</v>
      </c>
      <c r="D49" s="59" t="s">
        <v>591</v>
      </c>
      <c r="E49" s="16" t="s">
        <v>983</v>
      </c>
    </row>
    <row r="50" spans="1:5" s="4" customFormat="1">
      <c r="A50" s="58" t="s">
        <v>521</v>
      </c>
      <c r="B50" s="5" t="s">
        <v>114</v>
      </c>
      <c r="C50" s="59" t="s">
        <v>119</v>
      </c>
      <c r="D50" s="59" t="s">
        <v>311</v>
      </c>
      <c r="E50" s="16" t="s">
        <v>982</v>
      </c>
    </row>
    <row r="51" spans="1:5" s="4" customFormat="1">
      <c r="A51" s="58" t="s">
        <v>972</v>
      </c>
      <c r="B51" s="5" t="s">
        <v>114</v>
      </c>
      <c r="C51" s="5" t="s">
        <v>119</v>
      </c>
      <c r="D51" s="59" t="s">
        <v>968</v>
      </c>
      <c r="E51" s="16" t="s">
        <v>971</v>
      </c>
    </row>
    <row r="52" spans="1:5" s="4" customFormat="1">
      <c r="A52" s="58" t="s">
        <v>60</v>
      </c>
      <c r="B52" s="5" t="s">
        <v>114</v>
      </c>
      <c r="C52" s="59" t="s">
        <v>968</v>
      </c>
      <c r="D52" s="59" t="s">
        <v>967</v>
      </c>
      <c r="E52" s="16" t="s">
        <v>966</v>
      </c>
    </row>
    <row r="53" spans="1:5" s="4" customFormat="1">
      <c r="A53" s="59" t="s">
        <v>981</v>
      </c>
      <c r="B53" s="5" t="s">
        <v>114</v>
      </c>
      <c r="C53" s="59" t="s">
        <v>311</v>
      </c>
      <c r="D53" s="59" t="s">
        <v>886</v>
      </c>
      <c r="E53" s="59" t="s">
        <v>980</v>
      </c>
    </row>
    <row r="54" spans="1:5" s="4" customFormat="1">
      <c r="A54" s="59"/>
      <c r="B54" s="5"/>
      <c r="C54" s="59"/>
      <c r="D54" s="59"/>
      <c r="E54" s="59"/>
    </row>
    <row r="55" spans="1:5" s="4" customFormat="1" ht="14.25">
      <c r="A55" s="13"/>
      <c r="B55" s="14" t="s">
        <v>38</v>
      </c>
      <c r="C55" s="5"/>
      <c r="D55" s="5"/>
      <c r="E55" s="5"/>
    </row>
    <row r="56" spans="1:5" s="4" customFormat="1" ht="15">
      <c r="A56" s="15" t="s">
        <v>39</v>
      </c>
      <c r="B56" s="15" t="s">
        <v>40</v>
      </c>
      <c r="C56" s="15" t="s">
        <v>41</v>
      </c>
      <c r="D56" s="15" t="s">
        <v>42</v>
      </c>
      <c r="E56" s="15" t="s">
        <v>43</v>
      </c>
    </row>
    <row r="57" spans="1:5" s="4" customFormat="1">
      <c r="A57" s="58" t="s">
        <v>979</v>
      </c>
      <c r="B57" s="5" t="s">
        <v>38</v>
      </c>
      <c r="C57" s="59" t="s">
        <v>311</v>
      </c>
      <c r="D57" s="59" t="s">
        <v>968</v>
      </c>
      <c r="E57" s="16" t="s">
        <v>978</v>
      </c>
    </row>
    <row r="58" spans="1:5" s="4" customFormat="1">
      <c r="A58" s="58" t="s">
        <v>977</v>
      </c>
      <c r="B58" s="5" t="s">
        <v>38</v>
      </c>
      <c r="C58" s="59" t="s">
        <v>119</v>
      </c>
      <c r="D58" s="59" t="s">
        <v>311</v>
      </c>
      <c r="E58" s="16" t="s">
        <v>976</v>
      </c>
    </row>
    <row r="59" spans="1:5" s="4" customFormat="1">
      <c r="A59" s="58" t="s">
        <v>975</v>
      </c>
      <c r="B59" s="5" t="s">
        <v>38</v>
      </c>
      <c r="C59" s="59" t="s">
        <v>150</v>
      </c>
      <c r="D59" s="59" t="s">
        <v>974</v>
      </c>
      <c r="E59" s="16" t="s">
        <v>973</v>
      </c>
    </row>
    <row r="60" spans="1:5" s="4" customFormat="1">
      <c r="A60" s="58" t="s">
        <v>972</v>
      </c>
      <c r="B60" s="5" t="s">
        <v>38</v>
      </c>
      <c r="C60" s="59" t="s">
        <v>119</v>
      </c>
      <c r="D60" s="59" t="s">
        <v>968</v>
      </c>
      <c r="E60" s="16" t="s">
        <v>971</v>
      </c>
    </row>
    <row r="61" spans="1:5" s="4" customFormat="1">
      <c r="A61" s="59" t="s">
        <v>84</v>
      </c>
      <c r="B61" s="5" t="s">
        <v>38</v>
      </c>
      <c r="C61" s="59" t="s">
        <v>970</v>
      </c>
      <c r="D61" s="59" t="s">
        <v>825</v>
      </c>
      <c r="E61" s="16" t="s">
        <v>969</v>
      </c>
    </row>
    <row r="62" spans="1:5" s="4" customFormat="1">
      <c r="A62" s="59" t="s">
        <v>60</v>
      </c>
      <c r="B62" s="5" t="s">
        <v>38</v>
      </c>
      <c r="C62" s="59" t="s">
        <v>968</v>
      </c>
      <c r="D62" s="59" t="s">
        <v>967</v>
      </c>
      <c r="E62" s="16" t="s">
        <v>966</v>
      </c>
    </row>
    <row r="63" spans="1:5" s="4" customFormat="1">
      <c r="A63" s="59"/>
      <c r="B63" s="5"/>
      <c r="C63" s="5"/>
      <c r="D63" s="5"/>
      <c r="E63" s="5"/>
    </row>
    <row r="64" spans="1:5" s="4" customFormat="1" ht="14.25">
      <c r="A64" s="13"/>
      <c r="B64" s="14" t="s">
        <v>46</v>
      </c>
      <c r="C64" s="5"/>
      <c r="D64" s="5"/>
      <c r="E64" s="5"/>
    </row>
    <row r="65" spans="1:5" s="4" customFormat="1" ht="15">
      <c r="A65" s="15" t="s">
        <v>39</v>
      </c>
      <c r="B65" s="15" t="s">
        <v>40</v>
      </c>
      <c r="C65" s="15" t="s">
        <v>41</v>
      </c>
      <c r="D65" s="15" t="s">
        <v>42</v>
      </c>
      <c r="E65" s="15" t="s">
        <v>43</v>
      </c>
    </row>
    <row r="66" spans="1:5" s="4" customFormat="1">
      <c r="A66" s="58" t="s">
        <v>965</v>
      </c>
      <c r="B66" s="59" t="s">
        <v>964</v>
      </c>
      <c r="C66" s="59" t="s">
        <v>961</v>
      </c>
      <c r="D66" s="59" t="s">
        <v>825</v>
      </c>
      <c r="E66" s="16" t="s">
        <v>963</v>
      </c>
    </row>
    <row r="67" spans="1:5" s="4" customFormat="1">
      <c r="A67" s="59" t="s">
        <v>486</v>
      </c>
      <c r="B67" s="59" t="s">
        <v>962</v>
      </c>
      <c r="C67" s="59" t="s">
        <v>961</v>
      </c>
      <c r="D67" s="59" t="s">
        <v>825</v>
      </c>
      <c r="E67" s="59" t="s">
        <v>960</v>
      </c>
    </row>
    <row r="71" spans="1:5" s="4" customFormat="1" ht="18">
      <c r="A71" s="10" t="s">
        <v>50</v>
      </c>
      <c r="B71" s="10"/>
      <c r="C71" s="5"/>
      <c r="D71" s="5"/>
      <c r="E71" s="5"/>
    </row>
    <row r="72" spans="1:5" s="4" customFormat="1" ht="15">
      <c r="A72" s="15" t="s">
        <v>51</v>
      </c>
      <c r="B72" s="15" t="s">
        <v>52</v>
      </c>
      <c r="C72" s="15" t="s">
        <v>53</v>
      </c>
      <c r="D72" s="5"/>
      <c r="E72" s="5"/>
    </row>
    <row r="73" spans="1:5" s="4" customFormat="1">
      <c r="A73" s="59" t="s">
        <v>75</v>
      </c>
      <c r="B73" s="59" t="s">
        <v>959</v>
      </c>
      <c r="C73" s="5"/>
      <c r="D73" s="5"/>
      <c r="E73" s="5"/>
    </row>
    <row r="74" spans="1:5" s="4" customFormat="1">
      <c r="A74" s="59" t="s">
        <v>958</v>
      </c>
      <c r="B74" s="59" t="s">
        <v>957</v>
      </c>
      <c r="C74" s="5"/>
      <c r="D74" s="5"/>
      <c r="E74" s="5"/>
    </row>
    <row r="75" spans="1:5" s="4" customFormat="1">
      <c r="A75" s="59" t="s">
        <v>956</v>
      </c>
      <c r="B75" s="59" t="s">
        <v>722</v>
      </c>
      <c r="C75" s="5"/>
      <c r="D75" s="5"/>
      <c r="E75" s="5"/>
    </row>
  </sheetData>
  <mergeCells count="18">
    <mergeCell ref="A14:L14"/>
    <mergeCell ref="A19:L19"/>
    <mergeCell ref="K3:K4"/>
    <mergeCell ref="L3:L4"/>
    <mergeCell ref="M3:M4"/>
    <mergeCell ref="A5:L5"/>
    <mergeCell ref="A8:L8"/>
    <mergeCell ref="A11:L11"/>
    <mergeCell ref="A25:L25"/>
    <mergeCell ref="A29:L29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zoomScale="80" zoomScaleNormal="80" workbookViewId="0">
      <selection activeCell="N19" sqref="N19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3.5703125" style="5" bestFit="1" customWidth="1"/>
    <col min="4" max="4" width="9.28515625" style="5" bestFit="1" customWidth="1"/>
    <col min="5" max="5" width="22.7109375" style="5" bestFit="1" customWidth="1"/>
    <col min="6" max="6" width="33.5703125" style="5" bestFit="1" customWidth="1"/>
    <col min="7" max="9" width="4.5703125" style="4" bestFit="1" customWidth="1"/>
    <col min="10" max="10" width="4.85546875" style="4" bestFit="1" customWidth="1"/>
    <col min="11" max="13" width="4.5703125" style="4" bestFit="1" customWidth="1"/>
    <col min="14" max="14" width="6.5703125" style="4" customWidth="1"/>
    <col min="15" max="15" width="7.85546875" style="5" bestFit="1" customWidth="1"/>
    <col min="16" max="16" width="8.5703125" style="4" bestFit="1" customWidth="1"/>
    <col min="17" max="17" width="8.85546875" style="5" bestFit="1" customWidth="1"/>
    <col min="18" max="16384" width="9.140625" style="4"/>
  </cols>
  <sheetData>
    <row r="1" spans="1:17" s="3" customFormat="1" ht="29.1" customHeight="1">
      <c r="A1" s="26" t="s">
        <v>1050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</row>
    <row r="2" spans="1:17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</row>
    <row r="3" spans="1:17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</v>
      </c>
      <c r="H3" s="36"/>
      <c r="I3" s="36"/>
      <c r="J3" s="36"/>
      <c r="K3" s="36" t="s">
        <v>1049</v>
      </c>
      <c r="L3" s="36"/>
      <c r="M3" s="36"/>
      <c r="N3" s="36"/>
      <c r="O3" s="36" t="s">
        <v>138</v>
      </c>
      <c r="P3" s="36" t="s">
        <v>3</v>
      </c>
      <c r="Q3" s="38" t="s">
        <v>2</v>
      </c>
    </row>
    <row r="4" spans="1:17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2">
        <v>1</v>
      </c>
      <c r="L4" s="2">
        <v>2</v>
      </c>
      <c r="M4" s="2">
        <v>3</v>
      </c>
      <c r="N4" s="2" t="s">
        <v>5</v>
      </c>
      <c r="O4" s="35"/>
      <c r="P4" s="35"/>
      <c r="Q4" s="39"/>
    </row>
    <row r="5" spans="1:17" ht="15">
      <c r="A5" s="68" t="s">
        <v>373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7">
      <c r="A6" s="17" t="s">
        <v>1048</v>
      </c>
      <c r="B6" s="17" t="s">
        <v>1047</v>
      </c>
      <c r="C6" s="17" t="s">
        <v>1046</v>
      </c>
      <c r="D6" s="17" t="str">
        <f>"0,7408"</f>
        <v>0,7408</v>
      </c>
      <c r="E6" s="17" t="s">
        <v>64</v>
      </c>
      <c r="F6" s="17" t="s">
        <v>17</v>
      </c>
      <c r="G6" s="19" t="s">
        <v>652</v>
      </c>
      <c r="H6" s="18" t="s">
        <v>311</v>
      </c>
      <c r="I6" s="19" t="s">
        <v>311</v>
      </c>
      <c r="J6" s="18"/>
      <c r="K6" s="19" t="s">
        <v>886</v>
      </c>
      <c r="L6" s="19" t="s">
        <v>826</v>
      </c>
      <c r="M6" s="18" t="s">
        <v>897</v>
      </c>
      <c r="N6" s="18"/>
      <c r="O6" s="17" t="str">
        <f>"120,0"</f>
        <v>120,0</v>
      </c>
      <c r="P6" s="19" t="str">
        <f>"100,4525"</f>
        <v>100,4525</v>
      </c>
      <c r="Q6" s="17" t="s">
        <v>21</v>
      </c>
    </row>
    <row r="7" spans="1:17" ht="15">
      <c r="A7" s="37" t="s">
        <v>70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7">
      <c r="A8" s="17" t="s">
        <v>72</v>
      </c>
      <c r="B8" s="17" t="s">
        <v>73</v>
      </c>
      <c r="C8" s="17" t="s">
        <v>74</v>
      </c>
      <c r="D8" s="17" t="str">
        <f>"0,6774"</f>
        <v>0,6774</v>
      </c>
      <c r="E8" s="17" t="s">
        <v>75</v>
      </c>
      <c r="F8" s="17" t="s">
        <v>76</v>
      </c>
      <c r="G8" s="19" t="s">
        <v>115</v>
      </c>
      <c r="H8" s="19" t="s">
        <v>652</v>
      </c>
      <c r="I8" s="18" t="s">
        <v>448</v>
      </c>
      <c r="J8" s="18"/>
      <c r="K8" s="19" t="s">
        <v>897</v>
      </c>
      <c r="L8" s="19" t="s">
        <v>825</v>
      </c>
      <c r="M8" s="19" t="s">
        <v>115</v>
      </c>
      <c r="N8" s="18"/>
      <c r="O8" s="17" t="str">
        <f>"125,0"</f>
        <v>125,0</v>
      </c>
      <c r="P8" s="19" t="str">
        <f>"89,7555"</f>
        <v>89,7555</v>
      </c>
      <c r="Q8" s="17" t="s">
        <v>21</v>
      </c>
    </row>
    <row r="9" spans="1:17">
      <c r="I9" s="67"/>
      <c r="J9" s="67"/>
      <c r="N9" s="67"/>
    </row>
    <row r="10" spans="1:17" ht="15">
      <c r="E10" s="9" t="s">
        <v>31</v>
      </c>
      <c r="F10" s="5" t="s">
        <v>130</v>
      </c>
    </row>
    <row r="11" spans="1:17" ht="15">
      <c r="E11" s="9" t="s">
        <v>32</v>
      </c>
      <c r="F11" s="5" t="s">
        <v>131</v>
      </c>
    </row>
    <row r="12" spans="1:17" ht="15">
      <c r="E12" s="9" t="s">
        <v>33</v>
      </c>
      <c r="F12" s="5" t="s">
        <v>132</v>
      </c>
    </row>
    <row r="13" spans="1:17" ht="15">
      <c r="E13" s="9" t="s">
        <v>34</v>
      </c>
      <c r="F13" s="5" t="s">
        <v>133</v>
      </c>
    </row>
    <row r="14" spans="1:17" ht="15">
      <c r="E14" s="9" t="s">
        <v>34</v>
      </c>
      <c r="F14" s="5" t="s">
        <v>134</v>
      </c>
    </row>
    <row r="15" spans="1:17" ht="15">
      <c r="E15" s="9" t="s">
        <v>35</v>
      </c>
      <c r="F15" s="5" t="s">
        <v>135</v>
      </c>
    </row>
    <row r="16" spans="1:17" ht="15">
      <c r="E16" s="9"/>
    </row>
    <row r="18" spans="1:5" s="4" customFormat="1" ht="18">
      <c r="A18" s="10" t="s">
        <v>36</v>
      </c>
      <c r="B18" s="10"/>
      <c r="C18" s="5"/>
      <c r="D18" s="5"/>
      <c r="E18" s="5"/>
    </row>
    <row r="19" spans="1:5" s="4" customFormat="1" ht="15">
      <c r="A19" s="11" t="s">
        <v>37</v>
      </c>
      <c r="B19" s="11"/>
      <c r="C19" s="5"/>
      <c r="D19" s="5"/>
      <c r="E19" s="5"/>
    </row>
    <row r="20" spans="1:5" s="4" customFormat="1" ht="14.25">
      <c r="A20" s="13"/>
      <c r="B20" s="14" t="s">
        <v>109</v>
      </c>
      <c r="C20" s="5"/>
      <c r="D20" s="5"/>
      <c r="E20" s="5"/>
    </row>
    <row r="21" spans="1:5" s="4" customFormat="1" ht="15">
      <c r="A21" s="15" t="s">
        <v>39</v>
      </c>
      <c r="B21" s="15" t="s">
        <v>40</v>
      </c>
      <c r="C21" s="15" t="s">
        <v>41</v>
      </c>
      <c r="D21" s="15" t="s">
        <v>42</v>
      </c>
      <c r="E21" s="15" t="s">
        <v>43</v>
      </c>
    </row>
    <row r="22" spans="1:5" s="4" customFormat="1">
      <c r="A22" s="12" t="s">
        <v>1045</v>
      </c>
      <c r="B22" s="5" t="s">
        <v>259</v>
      </c>
      <c r="C22" s="5" t="s">
        <v>311</v>
      </c>
      <c r="D22" s="5" t="s">
        <v>18</v>
      </c>
      <c r="E22" s="16" t="s">
        <v>1044</v>
      </c>
    </row>
    <row r="23" spans="1:5" s="4" customFormat="1">
      <c r="A23" s="12" t="s">
        <v>71</v>
      </c>
      <c r="B23" s="5" t="s">
        <v>110</v>
      </c>
      <c r="C23" s="5" t="s">
        <v>111</v>
      </c>
      <c r="D23" s="5" t="s">
        <v>44</v>
      </c>
      <c r="E23" s="16" t="s">
        <v>1043</v>
      </c>
    </row>
    <row r="28" spans="1:5" s="4" customFormat="1" ht="18">
      <c r="A28" s="10" t="s">
        <v>50</v>
      </c>
      <c r="B28" s="10"/>
      <c r="C28" s="5"/>
      <c r="D28" s="5"/>
      <c r="E28" s="5"/>
    </row>
    <row r="29" spans="1:5" s="4" customFormat="1" ht="15">
      <c r="A29" s="15" t="s">
        <v>51</v>
      </c>
      <c r="B29" s="15" t="s">
        <v>52</v>
      </c>
      <c r="C29" s="15" t="s">
        <v>53</v>
      </c>
      <c r="D29" s="5"/>
      <c r="E29" s="5"/>
    </row>
    <row r="30" spans="1:5" s="4" customFormat="1">
      <c r="A30" s="5" t="s">
        <v>64</v>
      </c>
      <c r="B30" s="5" t="s">
        <v>54</v>
      </c>
      <c r="C30" s="5" t="s">
        <v>1042</v>
      </c>
      <c r="D30" s="5"/>
      <c r="E30" s="5"/>
    </row>
    <row r="31" spans="1:5" s="4" customFormat="1">
      <c r="A31" s="5" t="s">
        <v>75</v>
      </c>
      <c r="B31" s="5" t="s">
        <v>54</v>
      </c>
      <c r="C31" s="5" t="s">
        <v>1041</v>
      </c>
      <c r="D31" s="5"/>
      <c r="E31" s="5"/>
    </row>
  </sheetData>
  <mergeCells count="14">
    <mergeCell ref="A7:P7"/>
    <mergeCell ref="A5:P5"/>
    <mergeCell ref="D3:D4"/>
    <mergeCell ref="O3:O4"/>
    <mergeCell ref="P3:P4"/>
    <mergeCell ref="A1:Q2"/>
    <mergeCell ref="G3:J3"/>
    <mergeCell ref="K3:N3"/>
    <mergeCell ref="A3:A4"/>
    <mergeCell ref="B3:B4"/>
    <mergeCell ref="C3:C4"/>
    <mergeCell ref="Q3:Q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12" sqref="H12"/>
    </sheetView>
  </sheetViews>
  <sheetFormatPr defaultRowHeight="12.75"/>
  <cols>
    <col min="1" max="1" width="31.42578125" customWidth="1"/>
    <col min="2" max="2" width="13.5703125" customWidth="1"/>
    <col min="4" max="4" width="14.85546875" customWidth="1"/>
    <col min="5" max="5" width="20.5703125" customWidth="1"/>
  </cols>
  <sheetData>
    <row r="1" spans="1:12" s="3" customFormat="1" ht="29.1" customHeight="1">
      <c r="A1" s="26" t="s">
        <v>136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s="3" customFormat="1" ht="62.1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s="1" customFormat="1" ht="12.75" customHeight="1">
      <c r="A3" s="44" t="s">
        <v>0</v>
      </c>
      <c r="B3" s="45" t="s">
        <v>6</v>
      </c>
      <c r="C3" s="45" t="s">
        <v>8</v>
      </c>
      <c r="D3" s="44" t="s">
        <v>4</v>
      </c>
      <c r="E3" s="44" t="s">
        <v>7</v>
      </c>
      <c r="F3" s="44" t="s">
        <v>1</v>
      </c>
      <c r="G3" s="44"/>
      <c r="H3" s="44"/>
      <c r="I3" s="46" t="s">
        <v>137</v>
      </c>
      <c r="J3" s="47"/>
      <c r="K3" s="44" t="s">
        <v>138</v>
      </c>
      <c r="L3" s="44" t="s">
        <v>2</v>
      </c>
    </row>
    <row r="4" spans="1:12" s="1" customFormat="1" ht="21" customHeight="1">
      <c r="A4" s="44"/>
      <c r="B4" s="44"/>
      <c r="C4" s="44"/>
      <c r="D4" s="44"/>
      <c r="E4" s="44"/>
      <c r="F4" s="15" t="s">
        <v>139</v>
      </c>
      <c r="G4" s="48">
        <v>2</v>
      </c>
      <c r="H4" s="49" t="s">
        <v>140</v>
      </c>
      <c r="I4" s="49" t="s">
        <v>141</v>
      </c>
      <c r="J4" s="49" t="s">
        <v>142</v>
      </c>
      <c r="K4" s="44"/>
      <c r="L4" s="44"/>
    </row>
    <row r="5" spans="1:12" s="1" customFormat="1" ht="21" customHeight="1">
      <c r="A5" s="50" t="s">
        <v>143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</row>
    <row r="6" spans="1:12" s="1" customFormat="1" ht="21" customHeight="1">
      <c r="A6" s="53" t="s">
        <v>144</v>
      </c>
      <c r="B6" s="53" t="s">
        <v>145</v>
      </c>
      <c r="C6" s="53" t="s">
        <v>146</v>
      </c>
      <c r="D6" s="53" t="s">
        <v>147</v>
      </c>
      <c r="E6" s="53" t="s">
        <v>148</v>
      </c>
      <c r="F6" s="54" t="s">
        <v>149</v>
      </c>
      <c r="G6" s="55">
        <v>165</v>
      </c>
      <c r="H6" s="53"/>
      <c r="I6" s="53" t="s">
        <v>150</v>
      </c>
      <c r="J6" s="6" t="s">
        <v>151</v>
      </c>
      <c r="K6" s="54" t="s">
        <v>152</v>
      </c>
      <c r="L6" s="6" t="s">
        <v>21</v>
      </c>
    </row>
    <row r="7" spans="1:12" s="4" customFormat="1"/>
    <row r="8" spans="1:12" s="4" customFormat="1">
      <c r="A8" s="5"/>
      <c r="B8" s="5"/>
      <c r="C8" s="5"/>
      <c r="D8" s="5"/>
      <c r="E8" s="5"/>
      <c r="G8" s="56"/>
      <c r="H8" s="5"/>
      <c r="I8" s="5"/>
      <c r="J8" s="5"/>
      <c r="L8" s="5"/>
    </row>
    <row r="9" spans="1:12" s="4" customFormat="1" ht="15">
      <c r="A9" s="5"/>
      <c r="B9" s="5"/>
      <c r="C9" s="5"/>
      <c r="D9" s="9" t="s">
        <v>31</v>
      </c>
      <c r="E9" s="5" t="s">
        <v>130</v>
      </c>
      <c r="G9" s="56"/>
      <c r="H9" s="5"/>
      <c r="I9" s="5"/>
      <c r="J9" s="5"/>
      <c r="L9" s="5"/>
    </row>
    <row r="10" spans="1:12" s="4" customFormat="1" ht="15">
      <c r="A10" s="5"/>
      <c r="B10" s="5"/>
      <c r="C10" s="5"/>
      <c r="D10" s="9" t="s">
        <v>32</v>
      </c>
      <c r="E10" s="5" t="s">
        <v>131</v>
      </c>
      <c r="G10" s="56"/>
      <c r="H10" s="5"/>
      <c r="I10" s="5"/>
      <c r="J10" s="5"/>
      <c r="L10" s="5"/>
    </row>
    <row r="11" spans="1:12" s="4" customFormat="1" ht="15">
      <c r="A11" s="5"/>
      <c r="B11" s="5"/>
      <c r="C11" s="5"/>
      <c r="D11" s="9" t="s">
        <v>33</v>
      </c>
      <c r="E11" s="5" t="s">
        <v>132</v>
      </c>
      <c r="G11" s="56"/>
      <c r="H11" s="5"/>
      <c r="I11" s="5"/>
      <c r="J11" s="5"/>
      <c r="L11" s="5"/>
    </row>
    <row r="12" spans="1:12" s="4" customFormat="1" ht="15">
      <c r="A12" s="5"/>
      <c r="B12" s="5"/>
      <c r="C12" s="5"/>
      <c r="D12" s="9" t="s">
        <v>34</v>
      </c>
      <c r="E12" s="5" t="s">
        <v>133</v>
      </c>
      <c r="G12" s="56"/>
      <c r="H12" s="5"/>
      <c r="I12" s="5"/>
      <c r="J12" s="5"/>
      <c r="L12" s="5"/>
    </row>
    <row r="13" spans="1:12" s="4" customFormat="1" ht="15">
      <c r="A13" s="5"/>
      <c r="B13" s="5"/>
      <c r="C13" s="5"/>
      <c r="D13" s="9" t="s">
        <v>34</v>
      </c>
      <c r="E13" s="5" t="s">
        <v>134</v>
      </c>
      <c r="G13" s="56"/>
      <c r="H13" s="5"/>
      <c r="I13" s="5"/>
      <c r="J13" s="5"/>
      <c r="L13" s="5"/>
    </row>
    <row r="14" spans="1:12" s="4" customFormat="1" ht="15">
      <c r="A14" s="5"/>
      <c r="B14" s="5"/>
      <c r="C14" s="5"/>
      <c r="D14" s="9" t="s">
        <v>35</v>
      </c>
      <c r="E14" s="5" t="s">
        <v>135</v>
      </c>
      <c r="G14" s="56"/>
      <c r="H14" s="5"/>
      <c r="I14" s="5"/>
      <c r="J14" s="5"/>
      <c r="L14" s="5"/>
    </row>
    <row r="15" spans="1:12" s="4" customFormat="1" ht="15">
      <c r="A15" s="5"/>
      <c r="B15" s="5"/>
      <c r="C15" s="5"/>
      <c r="D15" s="9"/>
      <c r="E15" s="5"/>
      <c r="G15" s="56"/>
      <c r="H15" s="5"/>
      <c r="I15" s="5"/>
      <c r="J15" s="5"/>
      <c r="L15" s="5"/>
    </row>
  </sheetData>
  <mergeCells count="11">
    <mergeCell ref="A5:L5"/>
    <mergeCell ref="A1:L2"/>
    <mergeCell ref="A3:A4"/>
    <mergeCell ref="B3:B4"/>
    <mergeCell ref="C3:C4"/>
    <mergeCell ref="D3:D4"/>
    <mergeCell ref="E3:E4"/>
    <mergeCell ref="F3:H3"/>
    <mergeCell ref="I3:J3"/>
    <mergeCell ref="K3:K4"/>
    <mergeCell ref="L3:L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61"/>
  <sheetViews>
    <sheetView topLeftCell="C10" workbookViewId="0">
      <selection activeCell="F19" sqref="F19:F24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94.28515625" style="5" bestFit="1" customWidth="1"/>
    <col min="4" max="4" width="9.28515625" style="5" bestFit="1" customWidth="1"/>
    <col min="5" max="5" width="22.7109375" style="5" bestFit="1" customWidth="1"/>
    <col min="6" max="6" width="33.5703125" style="5" bestFit="1" customWidth="1"/>
    <col min="7" max="7" width="5.5703125" style="4" bestFit="1" customWidth="1"/>
    <col min="8" max="8" width="5.5703125" style="56" bestFit="1" customWidth="1"/>
    <col min="9" max="9" width="7.85546875" style="5" bestFit="1" customWidth="1"/>
    <col min="10" max="10" width="7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26" t="s">
        <v>1110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166</v>
      </c>
      <c r="H3" s="36"/>
      <c r="I3" s="36" t="s">
        <v>155</v>
      </c>
      <c r="J3" s="36" t="s">
        <v>3</v>
      </c>
      <c r="K3" s="38" t="s">
        <v>2</v>
      </c>
    </row>
    <row r="4" spans="1:11" s="1" customFormat="1" ht="21" customHeight="1" thickBot="1">
      <c r="A4" s="33"/>
      <c r="B4" s="35"/>
      <c r="C4" s="35"/>
      <c r="D4" s="35"/>
      <c r="E4" s="35"/>
      <c r="F4" s="35"/>
      <c r="G4" s="2" t="s">
        <v>167</v>
      </c>
      <c r="H4" s="60" t="s">
        <v>168</v>
      </c>
      <c r="I4" s="35"/>
      <c r="J4" s="35"/>
      <c r="K4" s="39"/>
    </row>
    <row r="5" spans="1:11" ht="15">
      <c r="A5" s="40" t="s">
        <v>1109</v>
      </c>
      <c r="B5" s="40"/>
      <c r="C5" s="40"/>
      <c r="D5" s="40"/>
      <c r="E5" s="40"/>
      <c r="F5" s="40"/>
      <c r="G5" s="40"/>
      <c r="H5" s="40"/>
      <c r="I5" s="40"/>
      <c r="J5" s="40"/>
    </row>
    <row r="6" spans="1:11">
      <c r="A6" s="17" t="s">
        <v>1108</v>
      </c>
      <c r="B6" s="17" t="s">
        <v>1107</v>
      </c>
      <c r="C6" s="17" t="s">
        <v>1106</v>
      </c>
      <c r="D6" s="17" t="str">
        <f>"0,5978"</f>
        <v>0,5978</v>
      </c>
      <c r="E6" s="17" t="s">
        <v>75</v>
      </c>
      <c r="F6" s="17" t="s">
        <v>76</v>
      </c>
      <c r="G6" s="19" t="s">
        <v>897</v>
      </c>
      <c r="H6" s="62" t="s">
        <v>414</v>
      </c>
      <c r="I6" s="17" t="str">
        <f>"4675,0"</f>
        <v>4675,0</v>
      </c>
      <c r="J6" s="19" t="str">
        <f>"53,7356"</f>
        <v>53,7356</v>
      </c>
      <c r="K6" s="17" t="s">
        <v>21</v>
      </c>
    </row>
    <row r="7" spans="1:11">
      <c r="A7" s="23" t="s">
        <v>635</v>
      </c>
      <c r="B7" s="23" t="s">
        <v>1105</v>
      </c>
      <c r="C7" s="23" t="s">
        <v>633</v>
      </c>
      <c r="D7" s="23" t="str">
        <f>"0,6737"</f>
        <v>0,6737</v>
      </c>
      <c r="E7" s="23" t="s">
        <v>75</v>
      </c>
      <c r="F7" s="23" t="s">
        <v>76</v>
      </c>
      <c r="G7" s="25" t="s">
        <v>897</v>
      </c>
      <c r="H7" s="64" t="s">
        <v>897</v>
      </c>
      <c r="I7" s="23" t="str">
        <f>"3025,0"</f>
        <v>3025,0</v>
      </c>
      <c r="J7" s="25" t="str">
        <f>"41,0447"</f>
        <v>41,0447</v>
      </c>
      <c r="K7" s="23" t="s">
        <v>21</v>
      </c>
    </row>
    <row r="8" spans="1:11">
      <c r="A8" s="23" t="s">
        <v>1104</v>
      </c>
      <c r="B8" s="23" t="s">
        <v>1103</v>
      </c>
      <c r="C8" s="23" t="s">
        <v>74</v>
      </c>
      <c r="D8" s="23" t="str">
        <f>"0,6774"</f>
        <v>0,6774</v>
      </c>
      <c r="E8" s="23" t="s">
        <v>75</v>
      </c>
      <c r="F8" s="23" t="s">
        <v>76</v>
      </c>
      <c r="G8" s="25" t="s">
        <v>897</v>
      </c>
      <c r="H8" s="64" t="s">
        <v>1102</v>
      </c>
      <c r="I8" s="23" t="str">
        <f>"2530,0"</f>
        <v>2530,0</v>
      </c>
      <c r="J8" s="25" t="str">
        <f>"34,5628"</f>
        <v>34,5628</v>
      </c>
      <c r="K8" s="23" t="s">
        <v>21</v>
      </c>
    </row>
    <row r="9" spans="1:11">
      <c r="A9" s="23" t="s">
        <v>89</v>
      </c>
      <c r="B9" s="23" t="s">
        <v>90</v>
      </c>
      <c r="C9" s="23" t="s">
        <v>91</v>
      </c>
      <c r="D9" s="23" t="str">
        <f>"0,6193"</f>
        <v>0,6193</v>
      </c>
      <c r="E9" s="23" t="s">
        <v>75</v>
      </c>
      <c r="F9" s="23" t="s">
        <v>76</v>
      </c>
      <c r="G9" s="25" t="s">
        <v>897</v>
      </c>
      <c r="H9" s="64" t="s">
        <v>552</v>
      </c>
      <c r="I9" s="23" t="str">
        <f>"2860,0"</f>
        <v>2860,0</v>
      </c>
      <c r="J9" s="25" t="str">
        <f>"34,6666"</f>
        <v>34,6666</v>
      </c>
      <c r="K9" s="23" t="s">
        <v>21</v>
      </c>
    </row>
    <row r="10" spans="1:11">
      <c r="A10" s="23" t="s">
        <v>1101</v>
      </c>
      <c r="B10" s="23" t="s">
        <v>80</v>
      </c>
      <c r="C10" s="23" t="s">
        <v>81</v>
      </c>
      <c r="D10" s="23" t="str">
        <f>"0,6662"</f>
        <v>0,6662</v>
      </c>
      <c r="E10" s="23" t="s">
        <v>75</v>
      </c>
      <c r="F10" s="23" t="s">
        <v>76</v>
      </c>
      <c r="G10" s="25" t="s">
        <v>897</v>
      </c>
      <c r="H10" s="64" t="s">
        <v>855</v>
      </c>
      <c r="I10" s="23" t="str">
        <f>"2640,0"</f>
        <v>2640,0</v>
      </c>
      <c r="J10" s="25" t="str">
        <f>"35,3177"</f>
        <v>35,3177</v>
      </c>
      <c r="K10" s="23" t="s">
        <v>21</v>
      </c>
    </row>
    <row r="11" spans="1:11">
      <c r="A11" s="23" t="s">
        <v>1100</v>
      </c>
      <c r="B11" s="23" t="s">
        <v>62</v>
      </c>
      <c r="C11" s="23" t="s">
        <v>63</v>
      </c>
      <c r="D11" s="23" t="str">
        <f>"0,8128"</f>
        <v>0,8128</v>
      </c>
      <c r="E11" s="23" t="s">
        <v>64</v>
      </c>
      <c r="F11" s="23" t="s">
        <v>65</v>
      </c>
      <c r="G11" s="25" t="s">
        <v>1099</v>
      </c>
      <c r="H11" s="64" t="s">
        <v>1091</v>
      </c>
      <c r="I11" s="23" t="str">
        <f>"1815,0"</f>
        <v>1815,0</v>
      </c>
      <c r="J11" s="25" t="str">
        <f>"30,2500"</f>
        <v>30,2500</v>
      </c>
      <c r="K11" s="23" t="s">
        <v>21</v>
      </c>
    </row>
    <row r="12" spans="1:11">
      <c r="A12" s="23" t="s">
        <v>1090</v>
      </c>
      <c r="B12" s="23" t="s">
        <v>1098</v>
      </c>
      <c r="C12" s="23" t="s">
        <v>1088</v>
      </c>
      <c r="D12" s="23" t="str">
        <f>"0,5810"</f>
        <v>0,5810</v>
      </c>
      <c r="E12" s="23" t="s">
        <v>64</v>
      </c>
      <c r="F12" s="23" t="s">
        <v>17</v>
      </c>
      <c r="G12" s="25" t="s">
        <v>897</v>
      </c>
      <c r="H12" s="64" t="s">
        <v>29</v>
      </c>
      <c r="I12" s="23" t="str">
        <f>"8525,0"</f>
        <v>8525,0</v>
      </c>
      <c r="J12" s="25" t="str">
        <f>"93,5271"</f>
        <v>93,5271</v>
      </c>
      <c r="K12" s="23" t="s">
        <v>21</v>
      </c>
    </row>
    <row r="13" spans="1:11">
      <c r="A13" s="23" t="s">
        <v>1097</v>
      </c>
      <c r="B13" s="23" t="s">
        <v>1096</v>
      </c>
      <c r="C13" s="23" t="s">
        <v>1095</v>
      </c>
      <c r="D13" s="23" t="str">
        <f>"0,6273"</f>
        <v>0,6273</v>
      </c>
      <c r="E13" s="23" t="s">
        <v>64</v>
      </c>
      <c r="F13" s="23" t="s">
        <v>28</v>
      </c>
      <c r="G13" s="25" t="s">
        <v>897</v>
      </c>
      <c r="H13" s="64" t="s">
        <v>552</v>
      </c>
      <c r="I13" s="23" t="str">
        <f>"2860,0"</f>
        <v>2860,0</v>
      </c>
      <c r="J13" s="25" t="str">
        <f>"35,3086"</f>
        <v>35,3086</v>
      </c>
      <c r="K13" s="23" t="s">
        <v>21</v>
      </c>
    </row>
    <row r="14" spans="1:11">
      <c r="A14" s="23" t="s">
        <v>1094</v>
      </c>
      <c r="B14" s="23" t="s">
        <v>86</v>
      </c>
      <c r="C14" s="23" t="s">
        <v>81</v>
      </c>
      <c r="D14" s="23" t="str">
        <f>"0,6662"</f>
        <v>0,6662</v>
      </c>
      <c r="E14" s="89" t="s">
        <v>75</v>
      </c>
      <c r="F14" s="23" t="s">
        <v>76</v>
      </c>
      <c r="G14" s="25" t="s">
        <v>897</v>
      </c>
      <c r="H14" s="64" t="s">
        <v>1093</v>
      </c>
      <c r="I14" s="23" t="str">
        <f>"2695,0"</f>
        <v>2695,0</v>
      </c>
      <c r="J14" s="25" t="str">
        <f>"36,0535"</f>
        <v>36,0535</v>
      </c>
      <c r="K14" s="23" t="s">
        <v>21</v>
      </c>
    </row>
    <row r="15" spans="1:11">
      <c r="A15" s="23" t="s">
        <v>1092</v>
      </c>
      <c r="B15" s="23" t="s">
        <v>69</v>
      </c>
      <c r="C15" s="23" t="s">
        <v>63</v>
      </c>
      <c r="D15" s="23" t="str">
        <f>"0,8128"</f>
        <v>0,8128</v>
      </c>
      <c r="E15" s="23" t="s">
        <v>64</v>
      </c>
      <c r="F15" s="23" t="s">
        <v>65</v>
      </c>
      <c r="G15" s="25" t="s">
        <v>897</v>
      </c>
      <c r="H15" s="64" t="s">
        <v>1091</v>
      </c>
      <c r="I15" s="23" t="str">
        <f>"1815,0"</f>
        <v>1815,0</v>
      </c>
      <c r="J15" s="25" t="str">
        <f>"30,2500"</f>
        <v>30,2500</v>
      </c>
      <c r="K15" s="23" t="s">
        <v>21</v>
      </c>
    </row>
    <row r="16" spans="1:11">
      <c r="A16" s="23" t="s">
        <v>1090</v>
      </c>
      <c r="B16" s="23" t="s">
        <v>1089</v>
      </c>
      <c r="C16" s="23" t="s">
        <v>1088</v>
      </c>
      <c r="D16" s="23" t="str">
        <f>"0,5810"</f>
        <v>0,5810</v>
      </c>
      <c r="E16" s="23" t="s">
        <v>64</v>
      </c>
      <c r="F16" s="23" t="s">
        <v>17</v>
      </c>
      <c r="G16" s="25" t="s">
        <v>897</v>
      </c>
      <c r="H16" s="64" t="s">
        <v>29</v>
      </c>
      <c r="I16" s="23" t="str">
        <f>"8525,0"</f>
        <v>8525,0</v>
      </c>
      <c r="J16" s="25" t="str">
        <f>"93,5271"</f>
        <v>93,5271</v>
      </c>
      <c r="K16" s="23" t="s">
        <v>21</v>
      </c>
    </row>
    <row r="17" spans="1:11">
      <c r="A17" s="20" t="s">
        <v>1087</v>
      </c>
      <c r="B17" s="20" t="s">
        <v>1086</v>
      </c>
      <c r="C17" s="20" t="s">
        <v>596</v>
      </c>
      <c r="D17" s="20" t="str">
        <f>"0,5939"</f>
        <v>0,5939</v>
      </c>
      <c r="E17" s="20" t="s">
        <v>75</v>
      </c>
      <c r="F17" s="20" t="s">
        <v>76</v>
      </c>
      <c r="G17" s="22" t="s">
        <v>897</v>
      </c>
      <c r="H17" s="63" t="s">
        <v>1085</v>
      </c>
      <c r="I17" s="20" t="str">
        <f>"2145,0"</f>
        <v>2145,0</v>
      </c>
      <c r="J17" s="22" t="str">
        <f>"24,4027"</f>
        <v>24,4027</v>
      </c>
      <c r="K17" s="20" t="s">
        <v>21</v>
      </c>
    </row>
    <row r="19" spans="1:11" ht="15">
      <c r="E19" s="9" t="s">
        <v>31</v>
      </c>
      <c r="F19" s="5" t="s">
        <v>130</v>
      </c>
    </row>
    <row r="20" spans="1:11" ht="15">
      <c r="E20" s="9" t="s">
        <v>32</v>
      </c>
      <c r="F20" s="5" t="s">
        <v>131</v>
      </c>
    </row>
    <row r="21" spans="1:11" ht="15">
      <c r="E21" s="9" t="s">
        <v>33</v>
      </c>
      <c r="F21" s="5" t="s">
        <v>132</v>
      </c>
    </row>
    <row r="22" spans="1:11" ht="15">
      <c r="E22" s="9" t="s">
        <v>34</v>
      </c>
      <c r="F22" s="5" t="s">
        <v>133</v>
      </c>
    </row>
    <row r="23" spans="1:11" ht="15">
      <c r="E23" s="9" t="s">
        <v>34</v>
      </c>
      <c r="F23" s="5" t="s">
        <v>134</v>
      </c>
    </row>
    <row r="24" spans="1:11" ht="15">
      <c r="E24" s="9" t="s">
        <v>35</v>
      </c>
      <c r="F24" s="5" t="s">
        <v>135</v>
      </c>
    </row>
    <row r="25" spans="1:11" ht="15">
      <c r="E25" s="9"/>
    </row>
    <row r="27" spans="1:11" ht="18">
      <c r="A27" s="10" t="s">
        <v>36</v>
      </c>
      <c r="B27" s="10"/>
    </row>
    <row r="28" spans="1:11" ht="15">
      <c r="A28" s="11" t="s">
        <v>37</v>
      </c>
      <c r="B28" s="11"/>
    </row>
    <row r="29" spans="1:11" ht="14.25">
      <c r="A29" s="13"/>
      <c r="B29" s="14" t="s">
        <v>109</v>
      </c>
    </row>
    <row r="30" spans="1:11" ht="15">
      <c r="A30" s="15" t="s">
        <v>39</v>
      </c>
      <c r="B30" s="15" t="s">
        <v>40</v>
      </c>
      <c r="C30" s="15" t="s">
        <v>41</v>
      </c>
      <c r="D30" s="15" t="s">
        <v>42</v>
      </c>
      <c r="E30" s="15" t="s">
        <v>43</v>
      </c>
    </row>
    <row r="31" spans="1:11">
      <c r="A31" s="12" t="s">
        <v>990</v>
      </c>
      <c r="B31" s="5" t="s">
        <v>1080</v>
      </c>
      <c r="C31" s="5" t="s">
        <v>1060</v>
      </c>
      <c r="D31" s="5" t="s">
        <v>1084</v>
      </c>
      <c r="E31" s="16" t="s">
        <v>1083</v>
      </c>
    </row>
    <row r="32" spans="1:11">
      <c r="A32" s="12" t="s">
        <v>540</v>
      </c>
      <c r="B32" s="5" t="s">
        <v>1080</v>
      </c>
      <c r="C32" s="5" t="s">
        <v>1060</v>
      </c>
      <c r="D32" s="5" t="s">
        <v>1082</v>
      </c>
      <c r="E32" s="16" t="s">
        <v>1081</v>
      </c>
    </row>
    <row r="33" spans="1:5" s="4" customFormat="1">
      <c r="A33" s="12" t="s">
        <v>71</v>
      </c>
      <c r="B33" s="5" t="s">
        <v>1080</v>
      </c>
      <c r="C33" s="5" t="s">
        <v>1060</v>
      </c>
      <c r="D33" s="5" t="s">
        <v>1079</v>
      </c>
      <c r="E33" s="16" t="s">
        <v>1078</v>
      </c>
    </row>
    <row r="35" spans="1:5" s="4" customFormat="1" ht="14.25">
      <c r="A35" s="13"/>
      <c r="B35" s="14" t="s">
        <v>113</v>
      </c>
      <c r="C35" s="5"/>
      <c r="D35" s="5"/>
      <c r="E35" s="5"/>
    </row>
    <row r="36" spans="1:5" s="4" customFormat="1" ht="15">
      <c r="A36" s="15" t="s">
        <v>39</v>
      </c>
      <c r="B36" s="15" t="s">
        <v>40</v>
      </c>
      <c r="C36" s="15" t="s">
        <v>41</v>
      </c>
      <c r="D36" s="15" t="s">
        <v>42</v>
      </c>
      <c r="E36" s="15" t="s">
        <v>43</v>
      </c>
    </row>
    <row r="37" spans="1:5" s="4" customFormat="1">
      <c r="A37" s="12" t="s">
        <v>78</v>
      </c>
      <c r="B37" s="5" t="s">
        <v>114</v>
      </c>
      <c r="C37" s="5" t="s">
        <v>1060</v>
      </c>
      <c r="D37" s="5" t="s">
        <v>1077</v>
      </c>
      <c r="E37" s="16" t="s">
        <v>1076</v>
      </c>
    </row>
    <row r="38" spans="1:5" s="4" customFormat="1">
      <c r="A38" s="12" t="s">
        <v>88</v>
      </c>
      <c r="B38" s="5" t="s">
        <v>114</v>
      </c>
      <c r="C38" s="5" t="s">
        <v>1060</v>
      </c>
      <c r="D38" s="5" t="s">
        <v>1071</v>
      </c>
      <c r="E38" s="16" t="s">
        <v>1075</v>
      </c>
    </row>
    <row r="39" spans="1:5" s="4" customFormat="1">
      <c r="A39" s="12" t="s">
        <v>60</v>
      </c>
      <c r="B39" s="5" t="s">
        <v>114</v>
      </c>
      <c r="C39" s="5" t="s">
        <v>1060</v>
      </c>
      <c r="D39" s="5" t="s">
        <v>1069</v>
      </c>
      <c r="E39" s="16" t="s">
        <v>1068</v>
      </c>
    </row>
    <row r="41" spans="1:5" s="4" customFormat="1" ht="14.25">
      <c r="A41" s="13"/>
      <c r="B41" s="14" t="s">
        <v>38</v>
      </c>
      <c r="C41" s="5"/>
      <c r="D41" s="5"/>
      <c r="E41" s="5"/>
    </row>
    <row r="42" spans="1:5" s="4" customFormat="1" ht="15">
      <c r="A42" s="15" t="s">
        <v>39</v>
      </c>
      <c r="B42" s="15" t="s">
        <v>40</v>
      </c>
      <c r="C42" s="15" t="s">
        <v>41</v>
      </c>
      <c r="D42" s="15" t="s">
        <v>42</v>
      </c>
      <c r="E42" s="15" t="s">
        <v>43</v>
      </c>
    </row>
    <row r="43" spans="1:5" s="4" customFormat="1">
      <c r="A43" s="12" t="s">
        <v>1064</v>
      </c>
      <c r="B43" s="5" t="s">
        <v>38</v>
      </c>
      <c r="C43" s="5" t="s">
        <v>1060</v>
      </c>
      <c r="D43" s="5" t="s">
        <v>1063</v>
      </c>
      <c r="E43" s="16" t="s">
        <v>1062</v>
      </c>
    </row>
    <row r="44" spans="1:5" s="4" customFormat="1">
      <c r="A44" s="12" t="s">
        <v>84</v>
      </c>
      <c r="B44" s="5" t="s">
        <v>38</v>
      </c>
      <c r="C44" s="5" t="s">
        <v>1060</v>
      </c>
      <c r="D44" s="5" t="s">
        <v>1074</v>
      </c>
      <c r="E44" s="16" t="s">
        <v>1073</v>
      </c>
    </row>
    <row r="45" spans="1:5" s="4" customFormat="1">
      <c r="A45" s="12" t="s">
        <v>1072</v>
      </c>
      <c r="B45" s="5" t="s">
        <v>38</v>
      </c>
      <c r="C45" s="5" t="s">
        <v>1060</v>
      </c>
      <c r="D45" s="5" t="s">
        <v>1071</v>
      </c>
      <c r="E45" s="16" t="s">
        <v>1070</v>
      </c>
    </row>
    <row r="46" spans="1:5" s="4" customFormat="1">
      <c r="A46" s="12" t="s">
        <v>60</v>
      </c>
      <c r="B46" s="5" t="s">
        <v>38</v>
      </c>
      <c r="C46" s="5" t="s">
        <v>1060</v>
      </c>
      <c r="D46" s="5" t="s">
        <v>1069</v>
      </c>
      <c r="E46" s="16" t="s">
        <v>1068</v>
      </c>
    </row>
    <row r="47" spans="1:5" s="4" customFormat="1">
      <c r="A47" s="12" t="s">
        <v>1067</v>
      </c>
      <c r="B47" s="5" t="s">
        <v>38</v>
      </c>
      <c r="C47" s="5" t="s">
        <v>1060</v>
      </c>
      <c r="D47" s="5" t="s">
        <v>1066</v>
      </c>
      <c r="E47" s="16" t="s">
        <v>1065</v>
      </c>
    </row>
    <row r="49" spans="1:5" s="4" customFormat="1" ht="14.25">
      <c r="A49" s="13"/>
      <c r="B49" s="14" t="s">
        <v>46</v>
      </c>
      <c r="C49" s="5"/>
      <c r="D49" s="5"/>
      <c r="E49" s="5"/>
    </row>
    <row r="50" spans="1:5" s="4" customFormat="1" ht="15">
      <c r="A50" s="15" t="s">
        <v>39</v>
      </c>
      <c r="B50" s="15" t="s">
        <v>40</v>
      </c>
      <c r="C50" s="15" t="s">
        <v>41</v>
      </c>
      <c r="D50" s="15" t="s">
        <v>42</v>
      </c>
      <c r="E50" s="15" t="s">
        <v>43</v>
      </c>
    </row>
    <row r="51" spans="1:5" s="4" customFormat="1">
      <c r="A51" s="12" t="s">
        <v>1064</v>
      </c>
      <c r="B51" s="5" t="s">
        <v>1061</v>
      </c>
      <c r="C51" s="5" t="s">
        <v>1060</v>
      </c>
      <c r="D51" s="5" t="s">
        <v>1063</v>
      </c>
      <c r="E51" s="16" t="s">
        <v>1062</v>
      </c>
    </row>
    <row r="52" spans="1:5" s="4" customFormat="1">
      <c r="A52" s="12" t="s">
        <v>486</v>
      </c>
      <c r="B52" s="5" t="s">
        <v>1061</v>
      </c>
      <c r="C52" s="5" t="s">
        <v>1060</v>
      </c>
      <c r="D52" s="5" t="s">
        <v>1059</v>
      </c>
      <c r="E52" s="16" t="s">
        <v>1058</v>
      </c>
    </row>
    <row r="57" spans="1:5" s="4" customFormat="1" ht="18">
      <c r="A57" s="10" t="s">
        <v>50</v>
      </c>
      <c r="B57" s="10"/>
      <c r="C57" s="5"/>
      <c r="D57" s="5"/>
      <c r="E57" s="5"/>
    </row>
    <row r="58" spans="1:5" s="4" customFormat="1" ht="15">
      <c r="A58" s="15" t="s">
        <v>51</v>
      </c>
      <c r="B58" s="15" t="s">
        <v>52</v>
      </c>
      <c r="C58" s="15" t="s">
        <v>53</v>
      </c>
      <c r="D58" s="5"/>
      <c r="E58" s="5"/>
    </row>
    <row r="59" spans="1:5" s="4" customFormat="1">
      <c r="A59" s="5" t="s">
        <v>75</v>
      </c>
      <c r="B59" s="5" t="s">
        <v>1057</v>
      </c>
      <c r="C59" s="5" t="s">
        <v>1056</v>
      </c>
      <c r="D59" s="5"/>
      <c r="E59" s="5"/>
    </row>
    <row r="60" spans="1:5" s="4" customFormat="1">
      <c r="A60" s="5" t="s">
        <v>64</v>
      </c>
      <c r="B60" s="5" t="s">
        <v>1055</v>
      </c>
      <c r="C60" s="5" t="s">
        <v>1054</v>
      </c>
      <c r="D60" s="5"/>
      <c r="E60" s="5"/>
    </row>
    <row r="61" spans="1:5" s="4" customFormat="1">
      <c r="A61" s="5" t="s">
        <v>1053</v>
      </c>
      <c r="B61" s="5" t="s">
        <v>1052</v>
      </c>
      <c r="C61" s="5" t="s">
        <v>1051</v>
      </c>
      <c r="D61" s="5"/>
      <c r="E61" s="5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F19" sqref="F19:F24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8.7109375" style="5" bestFit="1" customWidth="1"/>
    <col min="4" max="4" width="9.28515625" style="5" bestFit="1" customWidth="1"/>
    <col min="5" max="5" width="22.7109375" style="5" bestFit="1" customWidth="1"/>
    <col min="6" max="6" width="29" style="5" bestFit="1" customWidth="1"/>
    <col min="7" max="7" width="4.5703125" style="4" bestFit="1" customWidth="1"/>
    <col min="8" max="8" width="4.5703125" style="56" bestFit="1" customWidth="1"/>
    <col min="9" max="9" width="7.85546875" style="5" bestFit="1" customWidth="1"/>
    <col min="10" max="10" width="7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26" t="s">
        <v>1119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166</v>
      </c>
      <c r="H3" s="36"/>
      <c r="I3" s="36" t="s">
        <v>155</v>
      </c>
      <c r="J3" s="36" t="s">
        <v>3</v>
      </c>
      <c r="K3" s="38" t="s">
        <v>2</v>
      </c>
    </row>
    <row r="4" spans="1:11" s="1" customFormat="1" ht="21" customHeight="1" thickBot="1">
      <c r="A4" s="33"/>
      <c r="B4" s="35"/>
      <c r="C4" s="35"/>
      <c r="D4" s="35"/>
      <c r="E4" s="35"/>
      <c r="F4" s="35"/>
      <c r="G4" s="2" t="s">
        <v>167</v>
      </c>
      <c r="H4" s="60" t="s">
        <v>168</v>
      </c>
      <c r="I4" s="35"/>
      <c r="J4" s="35"/>
      <c r="K4" s="39"/>
    </row>
    <row r="5" spans="1:11" ht="15">
      <c r="A5" s="40" t="s">
        <v>1109</v>
      </c>
      <c r="B5" s="40"/>
      <c r="C5" s="40"/>
      <c r="D5" s="40"/>
      <c r="E5" s="40"/>
      <c r="F5" s="40"/>
      <c r="G5" s="40"/>
      <c r="H5" s="40"/>
      <c r="I5" s="40"/>
      <c r="J5" s="40"/>
    </row>
    <row r="6" spans="1:11">
      <c r="A6" s="6" t="s">
        <v>1118</v>
      </c>
      <c r="B6" s="6" t="s">
        <v>1117</v>
      </c>
      <c r="C6" s="6" t="s">
        <v>1116</v>
      </c>
      <c r="D6" s="6" t="str">
        <f>"1,0345"</f>
        <v>1,0345</v>
      </c>
      <c r="E6" s="6" t="s">
        <v>16</v>
      </c>
      <c r="F6" s="6" t="s">
        <v>17</v>
      </c>
      <c r="G6" s="8" t="s">
        <v>891</v>
      </c>
      <c r="H6" s="61" t="s">
        <v>1115</v>
      </c>
      <c r="I6" s="6" t="str">
        <f>"1085,0"</f>
        <v>1085,0</v>
      </c>
      <c r="J6" s="8" t="str">
        <f>"22,6041"</f>
        <v>22,6041</v>
      </c>
      <c r="K6" s="6" t="s">
        <v>21</v>
      </c>
    </row>
    <row r="8" spans="1:11" ht="15">
      <c r="E8" s="9" t="s">
        <v>31</v>
      </c>
      <c r="F8" s="5" t="s">
        <v>130</v>
      </c>
    </row>
    <row r="9" spans="1:11" ht="15">
      <c r="E9" s="9" t="s">
        <v>32</v>
      </c>
      <c r="F9" s="5" t="s">
        <v>131</v>
      </c>
    </row>
    <row r="10" spans="1:11" ht="15">
      <c r="E10" s="9" t="s">
        <v>33</v>
      </c>
      <c r="F10" s="5" t="s">
        <v>132</v>
      </c>
    </row>
    <row r="11" spans="1:11" ht="15">
      <c r="E11" s="9" t="s">
        <v>34</v>
      </c>
      <c r="F11" s="5" t="s">
        <v>133</v>
      </c>
    </row>
    <row r="12" spans="1:11" ht="15">
      <c r="E12" s="9" t="s">
        <v>34</v>
      </c>
      <c r="F12" s="5" t="s">
        <v>134</v>
      </c>
    </row>
    <row r="13" spans="1:11" ht="15">
      <c r="E13" s="9" t="s">
        <v>35</v>
      </c>
      <c r="F13" s="5" t="s">
        <v>135</v>
      </c>
    </row>
    <row r="14" spans="1:11" ht="15">
      <c r="E14" s="9"/>
    </row>
    <row r="16" spans="1:11" ht="18">
      <c r="A16" s="10" t="s">
        <v>36</v>
      </c>
      <c r="B16" s="10"/>
    </row>
    <row r="17" spans="1:5" s="4" customFormat="1" ht="15">
      <c r="A17" s="11" t="s">
        <v>174</v>
      </c>
      <c r="B17" s="11"/>
      <c r="C17" s="5"/>
      <c r="D17" s="5"/>
      <c r="E17" s="5"/>
    </row>
    <row r="18" spans="1:5" s="4" customFormat="1" ht="14.25">
      <c r="A18" s="13"/>
      <c r="B18" s="14" t="s">
        <v>38</v>
      </c>
      <c r="C18" s="5"/>
      <c r="D18" s="5"/>
      <c r="E18" s="5"/>
    </row>
    <row r="19" spans="1:5" s="4" customFormat="1" ht="15">
      <c r="A19" s="15" t="s">
        <v>39</v>
      </c>
      <c r="B19" s="15" t="s">
        <v>40</v>
      </c>
      <c r="C19" s="15" t="s">
        <v>41</v>
      </c>
      <c r="D19" s="15" t="s">
        <v>42</v>
      </c>
      <c r="E19" s="15" t="s">
        <v>43</v>
      </c>
    </row>
    <row r="20" spans="1:5" s="4" customFormat="1">
      <c r="A20" s="12" t="s">
        <v>1114</v>
      </c>
      <c r="B20" s="5" t="s">
        <v>38</v>
      </c>
      <c r="C20" s="5" t="s">
        <v>1060</v>
      </c>
      <c r="D20" s="5" t="s">
        <v>1113</v>
      </c>
      <c r="E20" s="16" t="s">
        <v>1112</v>
      </c>
    </row>
    <row r="25" spans="1:5" s="4" customFormat="1" ht="18">
      <c r="A25" s="10" t="s">
        <v>50</v>
      </c>
      <c r="B25" s="10"/>
      <c r="C25" s="5"/>
      <c r="D25" s="5"/>
      <c r="E25" s="5"/>
    </row>
    <row r="26" spans="1:5" s="4" customFormat="1" ht="15">
      <c r="A26" s="15" t="s">
        <v>51</v>
      </c>
      <c r="B26" s="15" t="s">
        <v>52</v>
      </c>
      <c r="C26" s="15" t="s">
        <v>53</v>
      </c>
      <c r="D26" s="5"/>
      <c r="E26" s="5"/>
    </row>
    <row r="27" spans="1:5" s="4" customFormat="1">
      <c r="A27" s="5" t="s">
        <v>16</v>
      </c>
      <c r="B27" s="5" t="s">
        <v>54</v>
      </c>
      <c r="C27" s="5" t="s">
        <v>1111</v>
      </c>
      <c r="D27" s="5"/>
      <c r="E27" s="5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F19" sqref="F19:F24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6.5703125" style="5" bestFit="1" customWidth="1"/>
    <col min="4" max="4" width="9.28515625" style="5" bestFit="1" customWidth="1"/>
    <col min="5" max="5" width="22.7109375" style="5" bestFit="1" customWidth="1"/>
    <col min="6" max="6" width="21.5703125" style="5" customWidth="1"/>
    <col min="7" max="7" width="5.5703125" style="4" bestFit="1" customWidth="1"/>
    <col min="8" max="8" width="8.42578125" style="56" customWidth="1"/>
    <col min="9" max="9" width="7.85546875" style="5" bestFit="1" customWidth="1"/>
    <col min="10" max="10" width="6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26" t="s">
        <v>1125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166</v>
      </c>
      <c r="H3" s="36"/>
      <c r="I3" s="36" t="s">
        <v>155</v>
      </c>
      <c r="J3" s="36" t="s">
        <v>3</v>
      </c>
      <c r="K3" s="38" t="s">
        <v>2</v>
      </c>
    </row>
    <row r="4" spans="1:11" s="1" customFormat="1" ht="21" customHeight="1" thickBot="1">
      <c r="A4" s="33"/>
      <c r="B4" s="35"/>
      <c r="C4" s="35"/>
      <c r="D4" s="35"/>
      <c r="E4" s="35"/>
      <c r="F4" s="35"/>
      <c r="G4" s="2" t="s">
        <v>167</v>
      </c>
      <c r="H4" s="60" t="s">
        <v>168</v>
      </c>
      <c r="I4" s="35"/>
      <c r="J4" s="35"/>
      <c r="K4" s="39"/>
    </row>
    <row r="5" spans="1:11" ht="15">
      <c r="A5" s="40" t="s">
        <v>1109</v>
      </c>
      <c r="B5" s="40"/>
      <c r="C5" s="40"/>
      <c r="D5" s="40"/>
      <c r="E5" s="40"/>
      <c r="F5" s="40"/>
      <c r="G5" s="40"/>
      <c r="H5" s="40"/>
      <c r="I5" s="40"/>
      <c r="J5" s="40"/>
    </row>
    <row r="6" spans="1:11">
      <c r="A6" s="6" t="s">
        <v>1124</v>
      </c>
      <c r="B6" s="6" t="s">
        <v>1123</v>
      </c>
      <c r="C6" s="6" t="s">
        <v>1122</v>
      </c>
      <c r="D6" s="6" t="str">
        <f>"0,5526"</f>
        <v>0,5526</v>
      </c>
      <c r="E6" s="6" t="s">
        <v>64</v>
      </c>
      <c r="F6" s="6" t="s">
        <v>1121</v>
      </c>
      <c r="G6" s="8" t="s">
        <v>77</v>
      </c>
      <c r="H6" s="61" t="s">
        <v>1120</v>
      </c>
      <c r="I6" s="6" t="str">
        <f>"0.00"</f>
        <v>0.00</v>
      </c>
      <c r="J6" s="8" t="str">
        <f>"0,0000"</f>
        <v>0,0000</v>
      </c>
      <c r="K6" s="6" t="s">
        <v>21</v>
      </c>
    </row>
    <row r="8" spans="1:11" ht="15">
      <c r="E8" s="9" t="s">
        <v>31</v>
      </c>
      <c r="F8" s="5" t="s">
        <v>130</v>
      </c>
    </row>
    <row r="9" spans="1:11" ht="15">
      <c r="E9" s="9" t="s">
        <v>32</v>
      </c>
      <c r="F9" s="5" t="s">
        <v>131</v>
      </c>
    </row>
    <row r="10" spans="1:11" ht="15">
      <c r="E10" s="9" t="s">
        <v>33</v>
      </c>
      <c r="F10" s="5" t="s">
        <v>132</v>
      </c>
    </row>
    <row r="11" spans="1:11" ht="15">
      <c r="E11" s="9" t="s">
        <v>34</v>
      </c>
      <c r="F11" s="5" t="s">
        <v>133</v>
      </c>
    </row>
    <row r="12" spans="1:11" ht="15">
      <c r="E12" s="9" t="s">
        <v>34</v>
      </c>
      <c r="F12" s="5" t="s">
        <v>134</v>
      </c>
    </row>
    <row r="13" spans="1:11" ht="15">
      <c r="E13" s="9" t="s">
        <v>35</v>
      </c>
      <c r="F13" s="5" t="s">
        <v>135</v>
      </c>
    </row>
    <row r="14" spans="1:11" ht="15">
      <c r="E14" s="9"/>
    </row>
    <row r="16" spans="1:11" ht="18">
      <c r="A16" s="10" t="s">
        <v>36</v>
      </c>
      <c r="B16" s="10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F19" sqref="F19:F24"/>
    </sheetView>
  </sheetViews>
  <sheetFormatPr defaultRowHeight="12.75"/>
  <cols>
    <col min="1" max="1" width="31.85546875" style="5" bestFit="1" customWidth="1"/>
    <col min="2" max="2" width="28.42578125" style="5" bestFit="1" customWidth="1"/>
    <col min="3" max="3" width="41.710937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7" width="5.5703125" style="4" bestFit="1" customWidth="1"/>
    <col min="8" max="8" width="4.5703125" style="56" bestFit="1" customWidth="1"/>
    <col min="9" max="9" width="7.85546875" style="5" bestFit="1" customWidth="1"/>
    <col min="10" max="10" width="7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26" t="s">
        <v>1137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166</v>
      </c>
      <c r="H3" s="36"/>
      <c r="I3" s="36" t="s">
        <v>155</v>
      </c>
      <c r="J3" s="36" t="s">
        <v>3</v>
      </c>
      <c r="K3" s="38" t="s">
        <v>2</v>
      </c>
    </row>
    <row r="4" spans="1:11" s="1" customFormat="1" ht="21" customHeight="1" thickBot="1">
      <c r="A4" s="33"/>
      <c r="B4" s="35"/>
      <c r="C4" s="35"/>
      <c r="D4" s="35"/>
      <c r="E4" s="35"/>
      <c r="F4" s="35"/>
      <c r="G4" s="2" t="s">
        <v>167</v>
      </c>
      <c r="H4" s="60" t="s">
        <v>168</v>
      </c>
      <c r="I4" s="35"/>
      <c r="J4" s="35"/>
      <c r="K4" s="39"/>
    </row>
    <row r="5" spans="1:11" ht="15">
      <c r="A5" s="40" t="s">
        <v>1109</v>
      </c>
      <c r="B5" s="40"/>
      <c r="C5" s="40"/>
      <c r="D5" s="40"/>
      <c r="E5" s="40"/>
      <c r="F5" s="40"/>
      <c r="G5" s="40"/>
      <c r="H5" s="40"/>
      <c r="I5" s="40"/>
      <c r="J5" s="40"/>
    </row>
    <row r="6" spans="1:11">
      <c r="A6" s="17" t="s">
        <v>1135</v>
      </c>
      <c r="B6" s="17" t="s">
        <v>1136</v>
      </c>
      <c r="C6" s="17" t="s">
        <v>1133</v>
      </c>
      <c r="D6" s="17" t="str">
        <f>"0,5553"</f>
        <v>0,5553</v>
      </c>
      <c r="E6" s="17" t="s">
        <v>64</v>
      </c>
      <c r="F6" s="17" t="s">
        <v>28</v>
      </c>
      <c r="G6" s="19" t="s">
        <v>703</v>
      </c>
      <c r="H6" s="62" t="s">
        <v>552</v>
      </c>
      <c r="I6" s="17" t="str">
        <f>"3900,0"</f>
        <v>3900,0</v>
      </c>
      <c r="J6" s="19" t="str">
        <f>"39,1959"</f>
        <v>39,1959</v>
      </c>
      <c r="K6" s="17" t="s">
        <v>21</v>
      </c>
    </row>
    <row r="7" spans="1:11">
      <c r="A7" s="23" t="s">
        <v>1135</v>
      </c>
      <c r="B7" s="23" t="s">
        <v>1134</v>
      </c>
      <c r="C7" s="23" t="s">
        <v>1133</v>
      </c>
      <c r="D7" s="23" t="str">
        <f>"0,5553"</f>
        <v>0,5553</v>
      </c>
      <c r="E7" s="23" t="s">
        <v>64</v>
      </c>
      <c r="F7" s="23" t="s">
        <v>28</v>
      </c>
      <c r="G7" s="25" t="s">
        <v>111</v>
      </c>
      <c r="H7" s="64" t="s">
        <v>552</v>
      </c>
      <c r="I7" s="23" t="str">
        <f>"3900,0"</f>
        <v>3900,0</v>
      </c>
      <c r="J7" s="25" t="str">
        <f>"39,1959"</f>
        <v>39,1959</v>
      </c>
      <c r="K7" s="23" t="s">
        <v>21</v>
      </c>
    </row>
    <row r="8" spans="1:11">
      <c r="A8" s="20" t="s">
        <v>1132</v>
      </c>
      <c r="B8" s="20" t="s">
        <v>1123</v>
      </c>
      <c r="C8" s="20" t="s">
        <v>1122</v>
      </c>
      <c r="D8" s="20" t="str">
        <f>"0,5526"</f>
        <v>0,5526</v>
      </c>
      <c r="E8" s="20" t="s">
        <v>64</v>
      </c>
      <c r="F8" s="20" t="s">
        <v>1121</v>
      </c>
      <c r="G8" s="22" t="s">
        <v>703</v>
      </c>
      <c r="H8" s="63" t="s">
        <v>192</v>
      </c>
      <c r="I8" s="20" t="str">
        <f>"2250,0"</f>
        <v>2250,0</v>
      </c>
      <c r="J8" s="22" t="str">
        <f>"22,3658"</f>
        <v>22,3658</v>
      </c>
      <c r="K8" s="20" t="s">
        <v>21</v>
      </c>
    </row>
    <row r="10" spans="1:11" ht="15">
      <c r="E10" s="9" t="s">
        <v>31</v>
      </c>
      <c r="F10" s="5" t="s">
        <v>130</v>
      </c>
    </row>
    <row r="11" spans="1:11" ht="15">
      <c r="E11" s="9" t="s">
        <v>32</v>
      </c>
      <c r="F11" s="5" t="s">
        <v>131</v>
      </c>
    </row>
    <row r="12" spans="1:11" ht="15">
      <c r="E12" s="9" t="s">
        <v>33</v>
      </c>
      <c r="F12" s="5" t="s">
        <v>132</v>
      </c>
    </row>
    <row r="13" spans="1:11" ht="15">
      <c r="E13" s="9" t="s">
        <v>34</v>
      </c>
      <c r="F13" s="5" t="s">
        <v>133</v>
      </c>
    </row>
    <row r="14" spans="1:11" ht="15">
      <c r="E14" s="9" t="s">
        <v>34</v>
      </c>
      <c r="F14" s="5" t="s">
        <v>134</v>
      </c>
    </row>
    <row r="15" spans="1:11" ht="15">
      <c r="E15" s="9" t="s">
        <v>35</v>
      </c>
      <c r="F15" s="5" t="s">
        <v>135</v>
      </c>
    </row>
    <row r="16" spans="1:11" ht="15">
      <c r="E16" s="9"/>
    </row>
    <row r="18" spans="1:5" s="4" customFormat="1" ht="18">
      <c r="A18" s="10" t="s">
        <v>36</v>
      </c>
      <c r="B18" s="10"/>
      <c r="C18" s="5"/>
      <c r="D18" s="5"/>
      <c r="E18" s="5"/>
    </row>
    <row r="19" spans="1:5" s="4" customFormat="1" ht="15">
      <c r="A19" s="11" t="s">
        <v>37</v>
      </c>
      <c r="B19" s="11"/>
      <c r="C19" s="5"/>
      <c r="D19" s="5"/>
      <c r="E19" s="5"/>
    </row>
    <row r="20" spans="1:5" s="4" customFormat="1" ht="14.25">
      <c r="A20" s="13"/>
      <c r="B20" s="14" t="s">
        <v>113</v>
      </c>
      <c r="C20" s="5"/>
      <c r="D20" s="5"/>
      <c r="E20" s="5"/>
    </row>
    <row r="21" spans="1:5" s="4" customFormat="1" ht="15">
      <c r="A21" s="15" t="s">
        <v>39</v>
      </c>
      <c r="B21" s="15" t="s">
        <v>40</v>
      </c>
      <c r="C21" s="15" t="s">
        <v>41</v>
      </c>
      <c r="D21" s="15" t="s">
        <v>42</v>
      </c>
      <c r="E21" s="15" t="s">
        <v>43</v>
      </c>
    </row>
    <row r="22" spans="1:5" s="4" customFormat="1">
      <c r="A22" s="12" t="s">
        <v>1131</v>
      </c>
      <c r="B22" s="5" t="s">
        <v>114</v>
      </c>
      <c r="C22" s="5" t="s">
        <v>1060</v>
      </c>
      <c r="D22" s="5" t="s">
        <v>1130</v>
      </c>
      <c r="E22" s="16" t="s">
        <v>1129</v>
      </c>
    </row>
    <row r="24" spans="1:5" s="4" customFormat="1" ht="14.25">
      <c r="A24" s="13"/>
      <c r="B24" s="14" t="s">
        <v>38</v>
      </c>
      <c r="C24" s="5"/>
      <c r="D24" s="5"/>
      <c r="E24" s="5"/>
    </row>
    <row r="25" spans="1:5" s="4" customFormat="1" ht="15">
      <c r="A25" s="15" t="s">
        <v>39</v>
      </c>
      <c r="B25" s="15" t="s">
        <v>40</v>
      </c>
      <c r="C25" s="15" t="s">
        <v>41</v>
      </c>
      <c r="D25" s="15" t="s">
        <v>42</v>
      </c>
      <c r="E25" s="15" t="s">
        <v>43</v>
      </c>
    </row>
    <row r="26" spans="1:5" s="4" customFormat="1">
      <c r="A26" s="12" t="s">
        <v>1131</v>
      </c>
      <c r="B26" s="5" t="s">
        <v>38</v>
      </c>
      <c r="C26" s="5" t="s">
        <v>1060</v>
      </c>
      <c r="D26" s="5" t="s">
        <v>1130</v>
      </c>
      <c r="E26" s="16" t="s">
        <v>1129</v>
      </c>
    </row>
    <row r="27" spans="1:5" s="4" customFormat="1">
      <c r="A27" s="12" t="s">
        <v>1067</v>
      </c>
      <c r="B27" s="5" t="s">
        <v>38</v>
      </c>
      <c r="C27" s="5" t="s">
        <v>1060</v>
      </c>
      <c r="D27" s="5" t="s">
        <v>1128</v>
      </c>
      <c r="E27" s="16" t="s">
        <v>1127</v>
      </c>
    </row>
    <row r="32" spans="1:5" s="4" customFormat="1" ht="18">
      <c r="A32" s="10" t="s">
        <v>50</v>
      </c>
      <c r="B32" s="10"/>
      <c r="C32" s="5"/>
      <c r="D32" s="5"/>
      <c r="E32" s="5"/>
    </row>
    <row r="33" spans="1:3" s="4" customFormat="1" ht="15">
      <c r="A33" s="15" t="s">
        <v>51</v>
      </c>
      <c r="B33" s="15" t="s">
        <v>52</v>
      </c>
      <c r="C33" s="15" t="s">
        <v>53</v>
      </c>
    </row>
    <row r="34" spans="1:3" s="4" customFormat="1">
      <c r="A34" s="5" t="s">
        <v>64</v>
      </c>
      <c r="B34" s="5" t="s">
        <v>726</v>
      </c>
      <c r="C34" s="5" t="s">
        <v>1126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F19" sqref="F19:F24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2.7109375" style="5" bestFit="1" customWidth="1"/>
    <col min="4" max="4" width="9.28515625" style="5" bestFit="1" customWidth="1"/>
    <col min="5" max="5" width="22.7109375" style="5" bestFit="1" customWidth="1"/>
    <col min="6" max="6" width="29" style="5" bestFit="1" customWidth="1"/>
    <col min="7" max="7" width="5.5703125" style="4" bestFit="1" customWidth="1"/>
    <col min="8" max="8" width="5.5703125" style="56" bestFit="1" customWidth="1"/>
    <col min="9" max="9" width="7.85546875" style="5" bestFit="1" customWidth="1"/>
    <col min="10" max="10" width="7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26" t="s">
        <v>1140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166</v>
      </c>
      <c r="H3" s="36"/>
      <c r="I3" s="36" t="s">
        <v>155</v>
      </c>
      <c r="J3" s="36" t="s">
        <v>3</v>
      </c>
      <c r="K3" s="38" t="s">
        <v>2</v>
      </c>
    </row>
    <row r="4" spans="1:11" s="1" customFormat="1" ht="21" customHeight="1" thickBot="1">
      <c r="A4" s="33"/>
      <c r="B4" s="35"/>
      <c r="C4" s="35"/>
      <c r="D4" s="35"/>
      <c r="E4" s="35"/>
      <c r="F4" s="35"/>
      <c r="G4" s="2" t="s">
        <v>167</v>
      </c>
      <c r="H4" s="60" t="s">
        <v>168</v>
      </c>
      <c r="I4" s="35"/>
      <c r="J4" s="35"/>
      <c r="K4" s="39"/>
    </row>
    <row r="5" spans="1:11" ht="15">
      <c r="A5" s="40" t="s">
        <v>1109</v>
      </c>
      <c r="B5" s="40"/>
      <c r="C5" s="40"/>
      <c r="D5" s="40"/>
      <c r="E5" s="40"/>
      <c r="F5" s="40"/>
      <c r="G5" s="40"/>
      <c r="H5" s="40"/>
      <c r="I5" s="40"/>
      <c r="J5" s="40"/>
    </row>
    <row r="6" spans="1:11">
      <c r="A6" s="6" t="s">
        <v>1090</v>
      </c>
      <c r="B6" s="6" t="s">
        <v>1089</v>
      </c>
      <c r="C6" s="6" t="s">
        <v>1088</v>
      </c>
      <c r="D6" s="6" t="str">
        <f>"0,5810"</f>
        <v>0,5810</v>
      </c>
      <c r="E6" s="6" t="s">
        <v>64</v>
      </c>
      <c r="F6" s="6" t="s">
        <v>17</v>
      </c>
      <c r="G6" s="8" t="s">
        <v>1099</v>
      </c>
      <c r="H6" s="61" t="s">
        <v>29</v>
      </c>
      <c r="I6" s="6" t="str">
        <f>"8525,0"</f>
        <v>8525,0</v>
      </c>
      <c r="J6" s="8" t="str">
        <f>"93,5271"</f>
        <v>93,5271</v>
      </c>
      <c r="K6" s="6" t="s">
        <v>21</v>
      </c>
    </row>
    <row r="7" spans="1:11">
      <c r="A7" s="53" t="s">
        <v>1139</v>
      </c>
      <c r="B7" s="6" t="s">
        <v>1123</v>
      </c>
      <c r="C7" s="6" t="s">
        <v>1122</v>
      </c>
      <c r="D7" s="6" t="str">
        <f>"0,5526"</f>
        <v>0,5526</v>
      </c>
      <c r="E7" s="6" t="s">
        <v>64</v>
      </c>
      <c r="F7" s="6" t="s">
        <v>1121</v>
      </c>
      <c r="G7" s="8" t="s">
        <v>1099</v>
      </c>
      <c r="H7" s="61" t="s">
        <v>750</v>
      </c>
      <c r="I7" s="6" t="str">
        <f>"2475,0"</f>
        <v>2475,0</v>
      </c>
      <c r="J7" s="8" t="str">
        <f>"24,6023"</f>
        <v>24,6023</v>
      </c>
      <c r="K7" s="6" t="s">
        <v>21</v>
      </c>
    </row>
    <row r="8" spans="1:11">
      <c r="A8" s="59"/>
      <c r="H8" s="91"/>
    </row>
    <row r="9" spans="1:11" ht="15">
      <c r="E9" s="9" t="s">
        <v>31</v>
      </c>
      <c r="F9" s="5" t="s">
        <v>130</v>
      </c>
    </row>
    <row r="10" spans="1:11" ht="15">
      <c r="E10" s="9" t="s">
        <v>32</v>
      </c>
      <c r="F10" s="5" t="s">
        <v>131</v>
      </c>
    </row>
    <row r="11" spans="1:11" ht="15">
      <c r="E11" s="9" t="s">
        <v>33</v>
      </c>
      <c r="F11" s="5" t="s">
        <v>132</v>
      </c>
    </row>
    <row r="12" spans="1:11" ht="15">
      <c r="E12" s="9" t="s">
        <v>34</v>
      </c>
      <c r="F12" s="5" t="s">
        <v>133</v>
      </c>
    </row>
    <row r="13" spans="1:11" ht="15">
      <c r="E13" s="9" t="s">
        <v>34</v>
      </c>
      <c r="F13" s="5" t="s">
        <v>134</v>
      </c>
    </row>
    <row r="14" spans="1:11" ht="15">
      <c r="E14" s="9" t="s">
        <v>35</v>
      </c>
      <c r="F14" s="5" t="s">
        <v>135</v>
      </c>
    </row>
    <row r="15" spans="1:11" ht="15">
      <c r="E15" s="9"/>
    </row>
    <row r="17" spans="1:5" s="4" customFormat="1" ht="18">
      <c r="A17" s="10" t="s">
        <v>36</v>
      </c>
      <c r="B17" s="10"/>
      <c r="C17" s="5"/>
      <c r="D17" s="5"/>
      <c r="E17" s="5"/>
    </row>
    <row r="18" spans="1:5" s="4" customFormat="1" ht="15">
      <c r="A18" s="11" t="s">
        <v>37</v>
      </c>
      <c r="B18" s="11"/>
      <c r="C18" s="5"/>
      <c r="D18" s="5"/>
      <c r="E18" s="5"/>
    </row>
    <row r="19" spans="1:5" s="4" customFormat="1" ht="14.25">
      <c r="A19" s="13"/>
      <c r="B19" s="14" t="s">
        <v>46</v>
      </c>
      <c r="C19" s="5"/>
      <c r="D19" s="5"/>
      <c r="E19" s="5"/>
    </row>
    <row r="20" spans="1:5" s="4" customFormat="1" ht="15">
      <c r="A20" s="15" t="s">
        <v>39</v>
      </c>
      <c r="B20" s="15" t="s">
        <v>40</v>
      </c>
      <c r="C20" s="15" t="s">
        <v>41</v>
      </c>
      <c r="D20" s="15" t="s">
        <v>42</v>
      </c>
      <c r="E20" s="15" t="s">
        <v>43</v>
      </c>
    </row>
    <row r="21" spans="1:5" s="4" customFormat="1">
      <c r="A21" s="66" t="s">
        <v>1064</v>
      </c>
      <c r="B21" s="6" t="s">
        <v>1061</v>
      </c>
      <c r="C21" s="6" t="s">
        <v>1060</v>
      </c>
      <c r="D21" s="6" t="s">
        <v>1063</v>
      </c>
      <c r="E21" s="90" t="s">
        <v>1062</v>
      </c>
    </row>
    <row r="22" spans="1:5" s="4" customFormat="1">
      <c r="A22" s="53" t="s">
        <v>1139</v>
      </c>
      <c r="B22" s="6" t="s">
        <v>1123</v>
      </c>
      <c r="C22" s="53" t="s">
        <v>1060</v>
      </c>
      <c r="D22" s="6" t="str">
        <f>"2475,0"</f>
        <v>2475,0</v>
      </c>
      <c r="E22" s="8" t="str">
        <f>"24,6023"</f>
        <v>24,6023</v>
      </c>
    </row>
    <row r="26" spans="1:5" s="4" customFormat="1" ht="18">
      <c r="A26" s="10" t="s">
        <v>50</v>
      </c>
      <c r="B26" s="10"/>
      <c r="C26" s="5"/>
      <c r="D26" s="5"/>
      <c r="E26" s="5"/>
    </row>
    <row r="27" spans="1:5" s="4" customFormat="1" ht="15">
      <c r="A27" s="15" t="s">
        <v>51</v>
      </c>
      <c r="B27" s="15" t="s">
        <v>52</v>
      </c>
      <c r="C27" s="15" t="s">
        <v>53</v>
      </c>
      <c r="D27" s="5"/>
      <c r="E27" s="5"/>
    </row>
    <row r="28" spans="1:5" s="4" customFormat="1">
      <c r="A28" s="5" t="s">
        <v>64</v>
      </c>
      <c r="B28" s="5" t="s">
        <v>54</v>
      </c>
      <c r="C28" s="5" t="s">
        <v>1138</v>
      </c>
      <c r="D28" s="5"/>
      <c r="E28" s="5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27"/>
  <sheetViews>
    <sheetView zoomScale="70" zoomScaleNormal="70" workbookViewId="0">
      <selection activeCell="F11" sqref="F11:F16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94.28515625" style="5" bestFit="1" customWidth="1"/>
    <col min="4" max="4" width="9.28515625" style="5" bestFit="1" customWidth="1"/>
    <col min="5" max="5" width="22.7109375" style="5" bestFit="1" customWidth="1"/>
    <col min="6" max="6" width="33.5703125" style="5" bestFit="1" customWidth="1"/>
    <col min="7" max="7" width="5.5703125" style="4" bestFit="1" customWidth="1"/>
    <col min="8" max="8" width="10.42578125" style="56" bestFit="1" customWidth="1"/>
    <col min="9" max="9" width="7.85546875" style="5" bestFit="1" customWidth="1"/>
    <col min="10" max="12" width="7.85546875" style="5" customWidth="1"/>
    <col min="13" max="13" width="7.5703125" style="4" bestFit="1" customWidth="1"/>
    <col min="14" max="14" width="8.85546875" style="5" bestFit="1" customWidth="1"/>
    <col min="15" max="16384" width="9.140625" style="4"/>
  </cols>
  <sheetData>
    <row r="1" spans="1:14" s="3" customFormat="1" ht="29.1" customHeight="1">
      <c r="A1" s="26" t="s">
        <v>1159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s="3" customFormat="1" ht="62.1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</row>
    <row r="3" spans="1:14" s="1" customFormat="1" ht="12.75" customHeight="1">
      <c r="A3" s="44" t="s">
        <v>0</v>
      </c>
      <c r="B3" s="45" t="s">
        <v>6</v>
      </c>
      <c r="C3" s="45" t="s">
        <v>8</v>
      </c>
      <c r="D3" s="44" t="s">
        <v>10</v>
      </c>
      <c r="E3" s="44" t="s">
        <v>4</v>
      </c>
      <c r="F3" s="44" t="s">
        <v>7</v>
      </c>
      <c r="G3" s="44" t="s">
        <v>1</v>
      </c>
      <c r="H3" s="44"/>
      <c r="I3" s="44"/>
      <c r="J3" s="46" t="s">
        <v>154</v>
      </c>
      <c r="K3" s="47"/>
      <c r="L3" s="92"/>
      <c r="M3" s="44" t="s">
        <v>138</v>
      </c>
      <c r="N3" s="44" t="s">
        <v>2</v>
      </c>
    </row>
    <row r="4" spans="1:14" s="1" customFormat="1" ht="21" customHeight="1">
      <c r="A4" s="44"/>
      <c r="B4" s="44"/>
      <c r="C4" s="44"/>
      <c r="D4" s="44"/>
      <c r="E4" s="44"/>
      <c r="F4" s="44"/>
      <c r="G4" s="15" t="s">
        <v>139</v>
      </c>
      <c r="H4" s="48">
        <v>2</v>
      </c>
      <c r="I4" s="49" t="s">
        <v>140</v>
      </c>
      <c r="J4" s="49" t="s">
        <v>139</v>
      </c>
      <c r="K4" s="49" t="s">
        <v>1158</v>
      </c>
      <c r="L4" s="49" t="s">
        <v>140</v>
      </c>
      <c r="M4" s="44"/>
      <c r="N4" s="44"/>
    </row>
    <row r="5" spans="1:14" s="1" customFormat="1" ht="21" customHeight="1">
      <c r="A5" s="50" t="s">
        <v>1157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14" s="1" customFormat="1" ht="21" customHeight="1">
      <c r="A6" s="53" t="s">
        <v>1156</v>
      </c>
      <c r="B6" s="53" t="s">
        <v>145</v>
      </c>
      <c r="C6" s="53" t="s">
        <v>968</v>
      </c>
      <c r="D6" s="65" t="s">
        <v>1142</v>
      </c>
      <c r="E6" s="53" t="s">
        <v>147</v>
      </c>
      <c r="F6" s="53" t="s">
        <v>148</v>
      </c>
      <c r="G6" s="54" t="s">
        <v>1155</v>
      </c>
      <c r="H6" s="61">
        <v>135</v>
      </c>
      <c r="I6" s="53"/>
      <c r="J6" s="53" t="s">
        <v>1154</v>
      </c>
      <c r="K6" s="84" t="s">
        <v>1153</v>
      </c>
      <c r="L6" s="84" t="s">
        <v>1153</v>
      </c>
      <c r="M6" s="54" t="s">
        <v>226</v>
      </c>
      <c r="N6" s="6" t="s">
        <v>21</v>
      </c>
    </row>
    <row r="7" spans="1:14" ht="15">
      <c r="A7" s="57" t="s">
        <v>221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6"/>
    </row>
    <row r="8" spans="1:14">
      <c r="A8" s="53" t="s">
        <v>1152</v>
      </c>
      <c r="B8" s="53" t="s">
        <v>145</v>
      </c>
      <c r="C8" s="53" t="s">
        <v>961</v>
      </c>
      <c r="D8" s="65" t="s">
        <v>1145</v>
      </c>
      <c r="E8" s="53" t="s">
        <v>956</v>
      </c>
      <c r="F8" s="53" t="s">
        <v>1151</v>
      </c>
      <c r="G8" s="54" t="s">
        <v>1150</v>
      </c>
      <c r="H8" s="55">
        <v>152.5</v>
      </c>
      <c r="I8" s="53" t="s">
        <v>1149</v>
      </c>
      <c r="J8" s="53" t="s">
        <v>1148</v>
      </c>
      <c r="K8" s="53" t="s">
        <v>1147</v>
      </c>
      <c r="L8" s="53"/>
      <c r="M8" s="54" t="s">
        <v>1146</v>
      </c>
      <c r="N8" s="6" t="s">
        <v>21</v>
      </c>
    </row>
    <row r="9" spans="1:14">
      <c r="A9" s="4"/>
      <c r="B9" s="4"/>
      <c r="C9" s="4"/>
      <c r="D9" s="4"/>
      <c r="E9" s="4"/>
      <c r="F9" s="4"/>
      <c r="H9" s="4"/>
      <c r="I9" s="4"/>
      <c r="J9" s="4"/>
      <c r="K9" s="4"/>
      <c r="L9" s="4"/>
      <c r="N9" s="4"/>
    </row>
    <row r="11" spans="1:14" ht="15">
      <c r="E11" s="9" t="s">
        <v>31</v>
      </c>
      <c r="F11" s="5" t="s">
        <v>130</v>
      </c>
    </row>
    <row r="12" spans="1:14" ht="15">
      <c r="E12" s="9" t="s">
        <v>32</v>
      </c>
      <c r="F12" s="5" t="s">
        <v>131</v>
      </c>
    </row>
    <row r="13" spans="1:14" ht="15">
      <c r="E13" s="9" t="s">
        <v>33</v>
      </c>
      <c r="F13" s="5" t="s">
        <v>132</v>
      </c>
    </row>
    <row r="14" spans="1:14" ht="15">
      <c r="E14" s="9" t="s">
        <v>34</v>
      </c>
      <c r="F14" s="5" t="s">
        <v>133</v>
      </c>
    </row>
    <row r="15" spans="1:14" ht="15">
      <c r="E15" s="9" t="s">
        <v>34</v>
      </c>
      <c r="F15" s="5" t="s">
        <v>134</v>
      </c>
    </row>
    <row r="16" spans="1:14" ht="15">
      <c r="E16" s="9" t="s">
        <v>35</v>
      </c>
      <c r="F16" s="4" t="s">
        <v>135</v>
      </c>
    </row>
    <row r="17" spans="1:5" s="4" customFormat="1" ht="15">
      <c r="A17" s="5"/>
      <c r="B17" s="5"/>
      <c r="C17" s="5"/>
      <c r="D17" s="5"/>
      <c r="E17" s="9"/>
    </row>
    <row r="19" spans="1:5" s="4" customFormat="1" ht="18">
      <c r="A19" s="10" t="s">
        <v>36</v>
      </c>
      <c r="B19" s="10"/>
      <c r="C19" s="5"/>
      <c r="D19" s="5"/>
      <c r="E19" s="5"/>
    </row>
    <row r="20" spans="1:5" s="4" customFormat="1" ht="15">
      <c r="A20" s="11" t="s">
        <v>37</v>
      </c>
      <c r="B20" s="11"/>
      <c r="C20" s="5"/>
      <c r="D20" s="5"/>
      <c r="E20" s="5"/>
    </row>
    <row r="21" spans="1:5" s="4" customFormat="1" ht="14.25">
      <c r="A21" s="13"/>
      <c r="B21" s="14" t="s">
        <v>38</v>
      </c>
      <c r="C21" s="5"/>
      <c r="D21" s="5"/>
      <c r="E21" s="5"/>
    </row>
    <row r="22" spans="1:5" s="4" customFormat="1" ht="15">
      <c r="A22" s="15" t="s">
        <v>39</v>
      </c>
      <c r="B22" s="15" t="s">
        <v>40</v>
      </c>
      <c r="C22" s="15" t="s">
        <v>41</v>
      </c>
      <c r="D22" s="15" t="s">
        <v>42</v>
      </c>
      <c r="E22" s="15" t="s">
        <v>43</v>
      </c>
    </row>
    <row r="23" spans="1:5" s="4" customFormat="1">
      <c r="A23" s="53" t="s">
        <v>1141</v>
      </c>
      <c r="B23" s="6" t="s">
        <v>38</v>
      </c>
      <c r="C23" s="53" t="s">
        <v>163</v>
      </c>
      <c r="D23" s="53" t="s">
        <v>1146</v>
      </c>
      <c r="E23" s="65" t="s">
        <v>1145</v>
      </c>
    </row>
    <row r="24" spans="1:5" s="4" customFormat="1">
      <c r="A24" s="53" t="s">
        <v>1144</v>
      </c>
      <c r="B24" s="6" t="s">
        <v>38</v>
      </c>
      <c r="C24" s="53" t="s">
        <v>1143</v>
      </c>
      <c r="D24" s="53" t="s">
        <v>226</v>
      </c>
      <c r="E24" s="65" t="s">
        <v>1142</v>
      </c>
    </row>
    <row r="25" spans="1:5" s="4" customFormat="1" ht="18">
      <c r="A25" s="10" t="s">
        <v>50</v>
      </c>
      <c r="B25" s="10"/>
      <c r="C25" s="5"/>
      <c r="D25" s="5"/>
      <c r="E25" s="5"/>
    </row>
    <row r="26" spans="1:5" s="4" customFormat="1" ht="15">
      <c r="A26" s="15" t="s">
        <v>51</v>
      </c>
      <c r="B26" s="15" t="s">
        <v>52</v>
      </c>
      <c r="C26" s="15" t="s">
        <v>53</v>
      </c>
      <c r="D26" s="5"/>
      <c r="E26" s="5"/>
    </row>
    <row r="27" spans="1:5" s="4" customFormat="1">
      <c r="A27" s="59" t="s">
        <v>956</v>
      </c>
      <c r="B27" s="59" t="s">
        <v>722</v>
      </c>
      <c r="C27" s="59" t="s">
        <v>1141</v>
      </c>
      <c r="D27" s="5"/>
      <c r="E27" s="5"/>
    </row>
  </sheetData>
  <mergeCells count="13">
    <mergeCell ref="J3:L3"/>
    <mergeCell ref="A5:N5"/>
    <mergeCell ref="F3:F4"/>
    <mergeCell ref="G3:I3"/>
    <mergeCell ref="M3:M4"/>
    <mergeCell ref="N3:N4"/>
    <mergeCell ref="A7:M7"/>
    <mergeCell ref="A1:N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G17" sqref="G17:H17"/>
    </sheetView>
  </sheetViews>
  <sheetFormatPr defaultRowHeight="12.75"/>
  <cols>
    <col min="1" max="1" width="31.85546875" customWidth="1"/>
    <col min="2" max="2" width="23.7109375" customWidth="1"/>
    <col min="5" max="5" width="15.5703125" customWidth="1"/>
    <col min="6" max="6" width="23.85546875" customWidth="1"/>
    <col min="7" max="7" width="14" customWidth="1"/>
    <col min="8" max="8" width="16.28515625" customWidth="1"/>
  </cols>
  <sheetData>
    <row r="1" spans="1:10" s="3" customFormat="1" ht="29.1" customHeight="1">
      <c r="A1" s="26" t="s">
        <v>153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s="3" customFormat="1" ht="62.1" customHeight="1">
      <c r="A2" s="41"/>
      <c r="B2" s="42"/>
      <c r="C2" s="42"/>
      <c r="D2" s="42"/>
      <c r="E2" s="42"/>
      <c r="F2" s="42"/>
      <c r="G2" s="42"/>
      <c r="H2" s="42"/>
      <c r="I2" s="42"/>
      <c r="J2" s="43"/>
    </row>
    <row r="3" spans="1:10" s="1" customFormat="1" ht="12.75" customHeight="1">
      <c r="A3" s="44" t="s">
        <v>0</v>
      </c>
      <c r="B3" s="45" t="s">
        <v>6</v>
      </c>
      <c r="C3" s="45" t="s">
        <v>8</v>
      </c>
      <c r="D3" s="44" t="s">
        <v>3</v>
      </c>
      <c r="E3" s="44" t="s">
        <v>4</v>
      </c>
      <c r="F3" s="44" t="s">
        <v>7</v>
      </c>
      <c r="G3" s="44" t="s">
        <v>154</v>
      </c>
      <c r="H3" s="44"/>
      <c r="I3" s="44" t="s">
        <v>155</v>
      </c>
      <c r="J3" s="44" t="s">
        <v>2</v>
      </c>
    </row>
    <row r="4" spans="1:10" s="1" customFormat="1" ht="21" customHeight="1">
      <c r="A4" s="44"/>
      <c r="B4" s="44"/>
      <c r="C4" s="44"/>
      <c r="D4" s="44"/>
      <c r="E4" s="44"/>
      <c r="F4" s="44"/>
      <c r="G4" s="15" t="s">
        <v>156</v>
      </c>
      <c r="H4" s="48" t="s">
        <v>142</v>
      </c>
      <c r="I4" s="44"/>
      <c r="J4" s="44"/>
    </row>
    <row r="5" spans="1:10" s="4" customFormat="1" ht="15">
      <c r="A5" s="57" t="s">
        <v>157</v>
      </c>
      <c r="B5" s="57"/>
      <c r="C5" s="57"/>
      <c r="D5" s="57"/>
      <c r="E5" s="57"/>
      <c r="F5" s="57"/>
      <c r="G5" s="57"/>
      <c r="H5" s="57"/>
      <c r="I5" s="57"/>
      <c r="J5" s="6"/>
    </row>
    <row r="6" spans="1:10" s="4" customFormat="1">
      <c r="A6" s="53" t="s">
        <v>158</v>
      </c>
      <c r="B6" s="53" t="s">
        <v>145</v>
      </c>
      <c r="C6" s="53" t="s">
        <v>159</v>
      </c>
      <c r="D6" s="16" t="s">
        <v>160</v>
      </c>
      <c r="E6" s="53" t="s">
        <v>147</v>
      </c>
      <c r="F6" s="53" t="s">
        <v>148</v>
      </c>
      <c r="G6" s="54" t="s">
        <v>119</v>
      </c>
      <c r="H6" s="55">
        <v>10</v>
      </c>
      <c r="I6" s="54" t="s">
        <v>161</v>
      </c>
      <c r="J6" s="6" t="s">
        <v>21</v>
      </c>
    </row>
    <row r="7" spans="1:10" s="4" customFormat="1">
      <c r="A7" s="5"/>
      <c r="B7" s="5"/>
      <c r="C7" s="5"/>
      <c r="D7" s="5"/>
      <c r="E7" s="5"/>
      <c r="F7" s="5"/>
      <c r="H7" s="56"/>
      <c r="J7" s="5"/>
    </row>
    <row r="8" spans="1:10" s="4" customFormat="1" ht="15">
      <c r="A8" s="5"/>
      <c r="B8" s="5"/>
      <c r="C8" s="5"/>
      <c r="D8" s="5"/>
      <c r="E8" s="9" t="s">
        <v>31</v>
      </c>
      <c r="F8" s="5" t="s">
        <v>130</v>
      </c>
      <c r="H8" s="56"/>
      <c r="J8" s="5"/>
    </row>
    <row r="9" spans="1:10" s="4" customFormat="1" ht="15">
      <c r="A9" s="5"/>
      <c r="B9" s="5"/>
      <c r="C9" s="5"/>
      <c r="D9" s="5"/>
      <c r="E9" s="9" t="s">
        <v>32</v>
      </c>
      <c r="F9" s="5" t="s">
        <v>131</v>
      </c>
      <c r="H9" s="56"/>
      <c r="J9" s="5"/>
    </row>
    <row r="10" spans="1:10" s="4" customFormat="1" ht="15">
      <c r="A10" s="5"/>
      <c r="B10" s="5"/>
      <c r="C10" s="5"/>
      <c r="D10" s="5"/>
      <c r="E10" s="9" t="s">
        <v>33</v>
      </c>
      <c r="F10" s="5" t="s">
        <v>132</v>
      </c>
      <c r="H10" s="56"/>
      <c r="J10" s="5"/>
    </row>
    <row r="11" spans="1:10" s="4" customFormat="1" ht="15">
      <c r="A11" s="5"/>
      <c r="B11" s="5"/>
      <c r="C11" s="5"/>
      <c r="D11" s="5"/>
      <c r="E11" s="9" t="s">
        <v>34</v>
      </c>
      <c r="F11" s="5" t="s">
        <v>133</v>
      </c>
      <c r="H11" s="56"/>
      <c r="J11" s="5"/>
    </row>
    <row r="12" spans="1:10" s="4" customFormat="1" ht="15">
      <c r="A12" s="5"/>
      <c r="B12" s="5"/>
      <c r="C12" s="5"/>
      <c r="D12" s="5"/>
      <c r="E12" s="9" t="s">
        <v>34</v>
      </c>
      <c r="F12" s="5" t="s">
        <v>134</v>
      </c>
      <c r="H12" s="56"/>
      <c r="J12" s="5"/>
    </row>
    <row r="13" spans="1:10" s="4" customFormat="1" ht="15">
      <c r="A13" s="5"/>
      <c r="B13" s="5"/>
      <c r="C13" s="5"/>
      <c r="D13" s="5"/>
      <c r="E13" s="9" t="s">
        <v>35</v>
      </c>
      <c r="F13" s="5" t="s">
        <v>135</v>
      </c>
      <c r="H13" s="56"/>
      <c r="J13" s="5"/>
    </row>
    <row r="14" spans="1:10" s="4" customFormat="1" ht="15">
      <c r="A14" s="5"/>
      <c r="B14" s="5"/>
      <c r="C14" s="5"/>
      <c r="D14" s="5"/>
      <c r="E14" s="9"/>
      <c r="F14" s="5"/>
      <c r="H14" s="56"/>
      <c r="J14" s="5"/>
    </row>
    <row r="15" spans="1:10" s="4" customFormat="1">
      <c r="A15" s="5"/>
      <c r="B15" s="5"/>
      <c r="C15" s="5"/>
      <c r="D15" s="5"/>
      <c r="E15" s="5"/>
      <c r="F15" s="5"/>
      <c r="H15" s="56"/>
      <c r="J15" s="5"/>
    </row>
    <row r="16" spans="1:10" s="4" customFormat="1" ht="18">
      <c r="A16" s="10" t="s">
        <v>36</v>
      </c>
      <c r="B16" s="10"/>
      <c r="C16" s="5"/>
      <c r="D16" s="5"/>
      <c r="E16" s="5"/>
      <c r="F16" s="5"/>
      <c r="H16" s="56"/>
      <c r="J16" s="5"/>
    </row>
    <row r="17" spans="1:10" s="4" customFormat="1" ht="15">
      <c r="A17" s="11" t="s">
        <v>37</v>
      </c>
      <c r="B17" s="11"/>
      <c r="C17" s="5"/>
      <c r="D17" s="5"/>
      <c r="E17" s="5"/>
      <c r="F17" s="5"/>
      <c r="H17" s="56"/>
      <c r="J17" s="5"/>
    </row>
    <row r="18" spans="1:10" s="4" customFormat="1" ht="14.25">
      <c r="A18" s="13"/>
      <c r="B18" s="14" t="s">
        <v>38</v>
      </c>
      <c r="C18" s="5"/>
      <c r="D18" s="5"/>
      <c r="E18" s="5"/>
      <c r="F18" s="5"/>
      <c r="H18" s="56"/>
      <c r="J18" s="5"/>
    </row>
    <row r="19" spans="1:10" s="4" customFormat="1" ht="15">
      <c r="A19" s="15" t="s">
        <v>39</v>
      </c>
      <c r="B19" s="15" t="s">
        <v>40</v>
      </c>
      <c r="C19" s="15" t="s">
        <v>41</v>
      </c>
      <c r="D19" s="15" t="s">
        <v>42</v>
      </c>
      <c r="E19" s="15" t="s">
        <v>3</v>
      </c>
      <c r="F19" s="5"/>
      <c r="H19" s="56"/>
      <c r="J19" s="5"/>
    </row>
    <row r="20" spans="1:10" s="4" customFormat="1">
      <c r="A20" s="58" t="s">
        <v>162</v>
      </c>
      <c r="B20" s="5" t="s">
        <v>38</v>
      </c>
      <c r="C20" s="59" t="s">
        <v>163</v>
      </c>
      <c r="D20" s="59" t="s">
        <v>161</v>
      </c>
      <c r="E20" s="16" t="s">
        <v>160</v>
      </c>
      <c r="F20" s="5"/>
      <c r="H20" s="56"/>
      <c r="J20" s="5"/>
    </row>
    <row r="21" spans="1:10" s="4" customFormat="1" ht="18">
      <c r="A21" s="10" t="s">
        <v>50</v>
      </c>
      <c r="B21" s="10"/>
      <c r="C21" s="5"/>
      <c r="D21" s="5"/>
      <c r="E21" s="5"/>
      <c r="F21" s="5"/>
      <c r="H21" s="56"/>
      <c r="J21" s="5"/>
    </row>
    <row r="22" spans="1:10" s="4" customFormat="1" ht="15">
      <c r="A22" s="15" t="s">
        <v>51</v>
      </c>
      <c r="B22" s="15" t="s">
        <v>52</v>
      </c>
      <c r="C22" s="15" t="s">
        <v>53</v>
      </c>
      <c r="D22" s="5"/>
      <c r="E22" s="5"/>
      <c r="F22" s="5"/>
      <c r="H22" s="56"/>
      <c r="J22" s="5"/>
    </row>
    <row r="23" spans="1:10" s="4" customFormat="1">
      <c r="A23" s="5"/>
      <c r="B23" s="5"/>
      <c r="C23" s="5"/>
      <c r="D23" s="5"/>
      <c r="E23" s="5"/>
      <c r="F23" s="5"/>
      <c r="H23" s="56"/>
      <c r="J23" s="5"/>
    </row>
    <row r="24" spans="1:10" s="4" customFormat="1">
      <c r="A24" s="5"/>
      <c r="B24" s="5"/>
      <c r="C24" s="5"/>
      <c r="D24" s="5"/>
      <c r="E24" s="5"/>
      <c r="F24" s="5"/>
      <c r="H24" s="56"/>
      <c r="J24" s="5"/>
    </row>
  </sheetData>
  <mergeCells count="11">
    <mergeCell ref="A5:I5"/>
    <mergeCell ref="A1:J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J14" sqref="J14"/>
    </sheetView>
  </sheetViews>
  <sheetFormatPr defaultRowHeight="12.75"/>
  <cols>
    <col min="1" max="1" width="24.85546875" customWidth="1"/>
    <col min="2" max="2" width="28.7109375" customWidth="1"/>
    <col min="3" max="3" width="12.85546875" customWidth="1"/>
    <col min="4" max="4" width="22.42578125" customWidth="1"/>
    <col min="5" max="5" width="16" customWidth="1"/>
    <col min="6" max="6" width="19.85546875" customWidth="1"/>
  </cols>
  <sheetData>
    <row r="1" spans="1:11" s="3" customFormat="1" ht="29.1" customHeight="1">
      <c r="A1" s="26" t="s">
        <v>164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2.75" customHeight="1">
      <c r="A3" s="32" t="s">
        <v>0</v>
      </c>
      <c r="B3" s="34" t="s">
        <v>6</v>
      </c>
      <c r="C3" s="34" t="s">
        <v>8</v>
      </c>
      <c r="D3" s="36" t="s">
        <v>165</v>
      </c>
      <c r="E3" s="36" t="s">
        <v>4</v>
      </c>
      <c r="F3" s="36" t="s">
        <v>7</v>
      </c>
      <c r="G3" s="36" t="s">
        <v>166</v>
      </c>
      <c r="H3" s="36"/>
      <c r="I3" s="36" t="s">
        <v>155</v>
      </c>
      <c r="J3" s="36" t="s">
        <v>3</v>
      </c>
      <c r="K3" s="38" t="s">
        <v>2</v>
      </c>
    </row>
    <row r="4" spans="1:11" s="1" customFormat="1" ht="21" customHeight="1" thickBot="1">
      <c r="A4" s="33"/>
      <c r="B4" s="35"/>
      <c r="C4" s="35"/>
      <c r="D4" s="35"/>
      <c r="E4" s="35"/>
      <c r="F4" s="35"/>
      <c r="G4" s="2" t="s">
        <v>167</v>
      </c>
      <c r="H4" s="60" t="s">
        <v>168</v>
      </c>
      <c r="I4" s="35"/>
      <c r="J4" s="35"/>
      <c r="K4" s="39"/>
    </row>
    <row r="5" spans="1:11" s="4" customFormat="1" ht="15">
      <c r="A5" s="40" t="s">
        <v>59</v>
      </c>
      <c r="B5" s="40"/>
      <c r="C5" s="40"/>
      <c r="D5" s="40"/>
      <c r="E5" s="40"/>
      <c r="F5" s="40"/>
      <c r="G5" s="40"/>
      <c r="H5" s="40"/>
      <c r="I5" s="40"/>
      <c r="J5" s="40"/>
      <c r="K5" s="5"/>
    </row>
    <row r="6" spans="1:11" s="4" customFormat="1">
      <c r="A6" s="6" t="s">
        <v>169</v>
      </c>
      <c r="B6" s="6" t="s">
        <v>170</v>
      </c>
      <c r="C6" s="6" t="s">
        <v>171</v>
      </c>
      <c r="D6" s="6" t="str">
        <f>"0,9074"</f>
        <v>0,9074</v>
      </c>
      <c r="E6" s="6" t="s">
        <v>64</v>
      </c>
      <c r="F6" s="6" t="s">
        <v>28</v>
      </c>
      <c r="G6" s="8" t="s">
        <v>172</v>
      </c>
      <c r="H6" s="61" t="s">
        <v>173</v>
      </c>
      <c r="I6" s="6" t="str">
        <f>"780,0"</f>
        <v>780,0</v>
      </c>
      <c r="J6" s="8" t="str">
        <f>"707,7720"</f>
        <v>707,7720</v>
      </c>
      <c r="K6" s="6" t="s">
        <v>21</v>
      </c>
    </row>
    <row r="7" spans="1:11" s="4" customFormat="1">
      <c r="A7" s="5"/>
      <c r="B7" s="5"/>
      <c r="C7" s="5"/>
      <c r="D7" s="5"/>
      <c r="E7" s="5"/>
      <c r="F7" s="5"/>
      <c r="H7" s="56"/>
      <c r="I7" s="5"/>
      <c r="K7" s="5"/>
    </row>
    <row r="8" spans="1:11" s="4" customFormat="1" ht="15">
      <c r="A8" s="5"/>
      <c r="B8" s="5"/>
      <c r="C8" s="5"/>
      <c r="D8" s="5"/>
      <c r="E8" s="9" t="s">
        <v>31</v>
      </c>
      <c r="F8" s="5" t="s">
        <v>130</v>
      </c>
      <c r="H8" s="56"/>
      <c r="I8" s="5"/>
      <c r="K8" s="5"/>
    </row>
    <row r="9" spans="1:11" s="4" customFormat="1" ht="15">
      <c r="A9" s="5"/>
      <c r="B9" s="5"/>
      <c r="C9" s="5"/>
      <c r="D9" s="5"/>
      <c r="E9" s="9" t="s">
        <v>32</v>
      </c>
      <c r="F9" s="5" t="s">
        <v>131</v>
      </c>
      <c r="H9" s="56"/>
      <c r="I9" s="5"/>
      <c r="K9" s="5"/>
    </row>
    <row r="10" spans="1:11" s="4" customFormat="1" ht="15">
      <c r="A10" s="5"/>
      <c r="B10" s="5"/>
      <c r="C10" s="5"/>
      <c r="D10" s="5"/>
      <c r="E10" s="9" t="s">
        <v>33</v>
      </c>
      <c r="F10" s="5" t="s">
        <v>132</v>
      </c>
      <c r="H10" s="56"/>
      <c r="I10" s="5"/>
      <c r="K10" s="5"/>
    </row>
    <row r="11" spans="1:11" s="4" customFormat="1" ht="15">
      <c r="A11" s="5"/>
      <c r="B11" s="5"/>
      <c r="C11" s="5"/>
      <c r="D11" s="5"/>
      <c r="E11" s="9" t="s">
        <v>34</v>
      </c>
      <c r="F11" s="5" t="s">
        <v>133</v>
      </c>
      <c r="H11" s="56"/>
      <c r="I11" s="5"/>
      <c r="K11" s="5"/>
    </row>
    <row r="12" spans="1:11" s="4" customFormat="1" ht="15">
      <c r="A12" s="5"/>
      <c r="B12" s="5"/>
      <c r="C12" s="5"/>
      <c r="D12" s="5"/>
      <c r="E12" s="9" t="s">
        <v>34</v>
      </c>
      <c r="F12" s="5" t="s">
        <v>134</v>
      </c>
      <c r="H12" s="56"/>
      <c r="I12" s="5"/>
      <c r="K12" s="5"/>
    </row>
    <row r="13" spans="1:11" s="4" customFormat="1" ht="15">
      <c r="A13" s="5"/>
      <c r="B13" s="5"/>
      <c r="C13" s="5"/>
      <c r="D13" s="5"/>
      <c r="E13" s="9" t="s">
        <v>35</v>
      </c>
      <c r="F13" s="5" t="s">
        <v>135</v>
      </c>
      <c r="H13" s="56"/>
      <c r="I13" s="5"/>
      <c r="K13" s="5"/>
    </row>
    <row r="14" spans="1:11" s="4" customFormat="1" ht="15">
      <c r="A14" s="5"/>
      <c r="B14" s="5"/>
      <c r="C14" s="5"/>
      <c r="D14" s="5"/>
      <c r="E14" s="9"/>
      <c r="F14" s="5"/>
      <c r="H14" s="56"/>
      <c r="I14" s="5"/>
      <c r="K14" s="5"/>
    </row>
    <row r="15" spans="1:11" s="4" customFormat="1">
      <c r="A15" s="5"/>
      <c r="B15" s="5"/>
      <c r="C15" s="5"/>
      <c r="D15" s="5"/>
      <c r="E15" s="5"/>
      <c r="F15" s="5"/>
      <c r="H15" s="56"/>
      <c r="I15" s="5"/>
      <c r="K15" s="5"/>
    </row>
    <row r="16" spans="1:11" s="4" customFormat="1" ht="18">
      <c r="A16" s="10" t="s">
        <v>36</v>
      </c>
      <c r="B16" s="10"/>
      <c r="C16" s="5"/>
      <c r="D16" s="5"/>
      <c r="E16" s="5"/>
      <c r="F16" s="5"/>
      <c r="H16" s="56"/>
      <c r="I16" s="5"/>
      <c r="K16" s="5"/>
    </row>
    <row r="17" spans="1:11" s="4" customFormat="1" ht="15">
      <c r="A17" s="11" t="s">
        <v>174</v>
      </c>
      <c r="B17" s="11"/>
      <c r="C17" s="5"/>
      <c r="D17" s="5"/>
      <c r="E17" s="5"/>
      <c r="F17" s="5"/>
      <c r="H17" s="56"/>
      <c r="I17" s="5"/>
      <c r="K17" s="5"/>
    </row>
    <row r="18" spans="1:11" s="4" customFormat="1" ht="14.25">
      <c r="A18" s="13"/>
      <c r="B18" s="14" t="s">
        <v>38</v>
      </c>
      <c r="C18" s="5"/>
      <c r="D18" s="5"/>
      <c r="E18" s="5"/>
      <c r="F18" s="5"/>
      <c r="H18" s="56"/>
      <c r="I18" s="5"/>
      <c r="K18" s="5"/>
    </row>
    <row r="19" spans="1:11" s="4" customFormat="1" ht="15">
      <c r="A19" s="15" t="s">
        <v>39</v>
      </c>
      <c r="B19" s="15" t="s">
        <v>40</v>
      </c>
      <c r="C19" s="15" t="s">
        <v>41</v>
      </c>
      <c r="D19" s="15" t="s">
        <v>42</v>
      </c>
      <c r="E19" s="15" t="s">
        <v>175</v>
      </c>
      <c r="F19" s="5"/>
      <c r="H19" s="56"/>
      <c r="I19" s="5"/>
      <c r="K19" s="5"/>
    </row>
    <row r="20" spans="1:11" s="4" customFormat="1">
      <c r="A20" s="12" t="s">
        <v>176</v>
      </c>
      <c r="B20" s="5" t="s">
        <v>38</v>
      </c>
      <c r="C20" s="5" t="s">
        <v>115</v>
      </c>
      <c r="D20" s="5" t="s">
        <v>177</v>
      </c>
      <c r="E20" s="16" t="s">
        <v>178</v>
      </c>
      <c r="F20" s="5"/>
      <c r="H20" s="56"/>
      <c r="I20" s="5"/>
      <c r="K20" s="5"/>
    </row>
    <row r="21" spans="1:11" s="4" customFormat="1">
      <c r="A21" s="5"/>
      <c r="B21" s="5"/>
      <c r="C21" s="5"/>
      <c r="D21" s="5"/>
      <c r="E21" s="5"/>
      <c r="F21" s="5"/>
      <c r="H21" s="56"/>
      <c r="I21" s="5"/>
      <c r="K21" s="5"/>
    </row>
    <row r="22" spans="1:11" s="4" customFormat="1">
      <c r="A22" s="5"/>
      <c r="B22" s="5"/>
      <c r="C22" s="5"/>
      <c r="D22" s="5"/>
      <c r="E22" s="5"/>
      <c r="F22" s="5"/>
      <c r="H22" s="56"/>
      <c r="I22" s="5"/>
      <c r="K22" s="5"/>
    </row>
    <row r="23" spans="1:11" s="4" customFormat="1">
      <c r="A23" s="5"/>
      <c r="B23" s="5"/>
      <c r="C23" s="5"/>
      <c r="D23" s="5"/>
      <c r="E23" s="5"/>
      <c r="F23" s="5"/>
      <c r="H23" s="56"/>
      <c r="I23" s="5"/>
      <c r="K23" s="5"/>
    </row>
    <row r="24" spans="1:11" s="4" customFormat="1">
      <c r="A24" s="5"/>
      <c r="B24" s="5"/>
      <c r="C24" s="5"/>
      <c r="D24" s="5"/>
      <c r="E24" s="5"/>
      <c r="F24" s="5"/>
      <c r="H24" s="56"/>
      <c r="I24" s="5"/>
      <c r="K24" s="5"/>
    </row>
    <row r="25" spans="1:11" s="4" customFormat="1" ht="18">
      <c r="A25" s="10" t="s">
        <v>50</v>
      </c>
      <c r="B25" s="10"/>
      <c r="C25" s="5"/>
      <c r="D25" s="5"/>
      <c r="E25" s="5"/>
      <c r="F25" s="5"/>
      <c r="H25" s="56"/>
      <c r="I25" s="5"/>
      <c r="K25" s="5"/>
    </row>
    <row r="26" spans="1:11" s="4" customFormat="1" ht="15">
      <c r="A26" s="15" t="s">
        <v>51</v>
      </c>
      <c r="B26" s="15" t="s">
        <v>52</v>
      </c>
      <c r="C26" s="15" t="s">
        <v>53</v>
      </c>
      <c r="D26" s="5"/>
      <c r="E26" s="5"/>
      <c r="F26" s="5"/>
      <c r="H26" s="56"/>
      <c r="I26" s="5"/>
      <c r="K26" s="5"/>
    </row>
    <row r="27" spans="1:11" s="4" customFormat="1">
      <c r="A27" s="5" t="s">
        <v>64</v>
      </c>
      <c r="B27" s="5" t="s">
        <v>54</v>
      </c>
      <c r="C27" s="5" t="s">
        <v>179</v>
      </c>
      <c r="D27" s="5"/>
      <c r="E27" s="5"/>
      <c r="F27" s="5"/>
      <c r="H27" s="56"/>
      <c r="I27" s="5"/>
      <c r="K27" s="5"/>
    </row>
    <row r="28" spans="1:11" s="4" customFormat="1">
      <c r="A28" s="5"/>
      <c r="B28" s="5"/>
      <c r="C28" s="5"/>
      <c r="D28" s="5"/>
      <c r="E28" s="5"/>
      <c r="F28" s="5"/>
      <c r="H28" s="56"/>
      <c r="I28" s="5"/>
      <c r="K28" s="5"/>
    </row>
    <row r="29" spans="1:11" s="4" customFormat="1">
      <c r="A29" s="5"/>
      <c r="B29" s="5"/>
      <c r="C29" s="5"/>
      <c r="D29" s="5"/>
      <c r="E29" s="5"/>
      <c r="F29" s="5"/>
      <c r="H29" s="56"/>
      <c r="I29" s="5"/>
      <c r="K29" s="5"/>
    </row>
    <row r="30" spans="1:11" s="4" customFormat="1">
      <c r="A30" s="5"/>
      <c r="B30" s="5"/>
      <c r="C30" s="5"/>
      <c r="D30" s="5"/>
      <c r="E30" s="5"/>
      <c r="F30" s="5"/>
      <c r="H30" s="56"/>
      <c r="I30" s="5"/>
      <c r="K30" s="5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C18" sqref="C18"/>
    </sheetView>
  </sheetViews>
  <sheetFormatPr defaultRowHeight="12.75"/>
  <cols>
    <col min="1" max="1" width="29.85546875" customWidth="1"/>
    <col min="2" max="2" width="35.42578125" customWidth="1"/>
    <col min="3" max="4" width="16.5703125" customWidth="1"/>
    <col min="5" max="5" width="15.7109375" customWidth="1"/>
    <col min="6" max="6" width="32" customWidth="1"/>
    <col min="8" max="8" width="15.140625" customWidth="1"/>
  </cols>
  <sheetData>
    <row r="1" spans="1:11" s="3" customFormat="1" ht="29.1" customHeight="1">
      <c r="A1" s="26" t="s">
        <v>180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2.75" customHeight="1">
      <c r="A3" s="32" t="s">
        <v>0</v>
      </c>
      <c r="B3" s="34" t="s">
        <v>6</v>
      </c>
      <c r="C3" s="34" t="s">
        <v>8</v>
      </c>
      <c r="D3" s="36" t="s">
        <v>165</v>
      </c>
      <c r="E3" s="36" t="s">
        <v>4</v>
      </c>
      <c r="F3" s="36" t="s">
        <v>7</v>
      </c>
      <c r="G3" s="36" t="s">
        <v>166</v>
      </c>
      <c r="H3" s="36"/>
      <c r="I3" s="36" t="s">
        <v>155</v>
      </c>
      <c r="J3" s="36" t="s">
        <v>3</v>
      </c>
      <c r="K3" s="38" t="s">
        <v>2</v>
      </c>
    </row>
    <row r="4" spans="1:11" s="1" customFormat="1" ht="21" customHeight="1" thickBot="1">
      <c r="A4" s="33"/>
      <c r="B4" s="35"/>
      <c r="C4" s="35"/>
      <c r="D4" s="35"/>
      <c r="E4" s="35"/>
      <c r="F4" s="35"/>
      <c r="G4" s="2" t="s">
        <v>167</v>
      </c>
      <c r="H4" s="60" t="s">
        <v>168</v>
      </c>
      <c r="I4" s="35"/>
      <c r="J4" s="35"/>
      <c r="K4" s="39"/>
    </row>
    <row r="5" spans="1:11" s="4" customFormat="1" ht="15">
      <c r="A5" s="40" t="s">
        <v>59</v>
      </c>
      <c r="B5" s="40"/>
      <c r="C5" s="40"/>
      <c r="D5" s="40"/>
      <c r="E5" s="40"/>
      <c r="F5" s="40"/>
      <c r="G5" s="40"/>
      <c r="H5" s="40"/>
      <c r="I5" s="40"/>
      <c r="J5" s="40"/>
      <c r="K5" s="5"/>
    </row>
    <row r="6" spans="1:11" s="4" customFormat="1">
      <c r="A6" s="17" t="s">
        <v>61</v>
      </c>
      <c r="B6" s="17" t="s">
        <v>62</v>
      </c>
      <c r="C6" s="17" t="s">
        <v>63</v>
      </c>
      <c r="D6" s="17" t="str">
        <f>"0,9100"</f>
        <v>0,9100</v>
      </c>
      <c r="E6" s="17" t="s">
        <v>64</v>
      </c>
      <c r="F6" s="17" t="s">
        <v>65</v>
      </c>
      <c r="G6" s="19" t="s">
        <v>181</v>
      </c>
      <c r="H6" s="62" t="s">
        <v>182</v>
      </c>
      <c r="I6" s="17" t="str">
        <f>"1440,0"</f>
        <v>1440,0</v>
      </c>
      <c r="J6" s="19" t="str">
        <f>"1310,4000"</f>
        <v>1310,4000</v>
      </c>
      <c r="K6" s="17" t="s">
        <v>21</v>
      </c>
    </row>
    <row r="7" spans="1:11" s="4" customFormat="1">
      <c r="A7" s="20" t="s">
        <v>61</v>
      </c>
      <c r="B7" s="20" t="s">
        <v>69</v>
      </c>
      <c r="C7" s="20" t="s">
        <v>63</v>
      </c>
      <c r="D7" s="20" t="str">
        <f>"0,9100"</f>
        <v>0,9100</v>
      </c>
      <c r="E7" s="20" t="s">
        <v>64</v>
      </c>
      <c r="F7" s="20" t="s">
        <v>65</v>
      </c>
      <c r="G7" s="22" t="s">
        <v>181</v>
      </c>
      <c r="H7" s="63" t="s">
        <v>182</v>
      </c>
      <c r="I7" s="20" t="str">
        <f>"1440,0"</f>
        <v>1440,0</v>
      </c>
      <c r="J7" s="22" t="str">
        <f>"1310,4000"</f>
        <v>1310,4000</v>
      </c>
      <c r="K7" s="20" t="s">
        <v>21</v>
      </c>
    </row>
    <row r="8" spans="1:11" s="4" customFormat="1">
      <c r="A8" s="5"/>
      <c r="B8" s="5"/>
      <c r="C8" s="5"/>
      <c r="D8" s="5"/>
      <c r="E8" s="5"/>
      <c r="F8" s="5"/>
      <c r="H8" s="56"/>
      <c r="I8" s="5"/>
      <c r="K8" s="5"/>
    </row>
    <row r="9" spans="1:11" s="4" customFormat="1" ht="15">
      <c r="A9" s="37" t="s">
        <v>87</v>
      </c>
      <c r="B9" s="37"/>
      <c r="C9" s="37"/>
      <c r="D9" s="37"/>
      <c r="E9" s="37"/>
      <c r="F9" s="37"/>
      <c r="G9" s="37"/>
      <c r="H9" s="37"/>
      <c r="I9" s="37"/>
      <c r="J9" s="37"/>
      <c r="K9" s="5"/>
    </row>
    <row r="10" spans="1:11" s="4" customFormat="1">
      <c r="A10" s="6" t="s">
        <v>183</v>
      </c>
      <c r="B10" s="6" t="s">
        <v>184</v>
      </c>
      <c r="C10" s="6" t="s">
        <v>185</v>
      </c>
      <c r="D10" s="6" t="str">
        <f>"0,7600"</f>
        <v>0,7600</v>
      </c>
      <c r="E10" s="6" t="s">
        <v>64</v>
      </c>
      <c r="F10" s="6" t="s">
        <v>107</v>
      </c>
      <c r="G10" s="8" t="s">
        <v>186</v>
      </c>
      <c r="H10" s="61" t="s">
        <v>187</v>
      </c>
      <c r="I10" s="6" t="str">
        <f>"1072,5"</f>
        <v>1072,5</v>
      </c>
      <c r="J10" s="8" t="str">
        <f>"815,1000"</f>
        <v>815,1000</v>
      </c>
      <c r="K10" s="6" t="s">
        <v>21</v>
      </c>
    </row>
    <row r="11" spans="1:11" s="4" customFormat="1">
      <c r="A11" s="5"/>
      <c r="B11" s="5"/>
      <c r="C11" s="5"/>
      <c r="D11" s="5"/>
      <c r="E11" s="5"/>
      <c r="F11" s="5"/>
      <c r="H11" s="56"/>
      <c r="I11" s="5"/>
      <c r="K11" s="5"/>
    </row>
    <row r="12" spans="1:11" s="4" customFormat="1" ht="15">
      <c r="A12" s="37" t="s">
        <v>92</v>
      </c>
      <c r="B12" s="37"/>
      <c r="C12" s="37"/>
      <c r="D12" s="37"/>
      <c r="E12" s="37"/>
      <c r="F12" s="37"/>
      <c r="G12" s="37"/>
      <c r="H12" s="37"/>
      <c r="I12" s="37"/>
      <c r="J12" s="37"/>
      <c r="K12" s="5"/>
    </row>
    <row r="13" spans="1:11" s="4" customFormat="1">
      <c r="A13" s="17" t="s">
        <v>188</v>
      </c>
      <c r="B13" s="17" t="s">
        <v>189</v>
      </c>
      <c r="C13" s="17" t="s">
        <v>102</v>
      </c>
      <c r="D13" s="17" t="str">
        <f>"0,7217"</f>
        <v>0,7217</v>
      </c>
      <c r="E13" s="17" t="s">
        <v>64</v>
      </c>
      <c r="F13" s="17" t="s">
        <v>190</v>
      </c>
      <c r="G13" s="19" t="s">
        <v>191</v>
      </c>
      <c r="H13" s="62" t="s">
        <v>192</v>
      </c>
      <c r="I13" s="17" t="str">
        <f>"2700,0"</f>
        <v>2700,0</v>
      </c>
      <c r="J13" s="19" t="str">
        <f>"1948,5900"</f>
        <v>1948,5900</v>
      </c>
      <c r="K13" s="17" t="s">
        <v>21</v>
      </c>
    </row>
    <row r="14" spans="1:11" s="4" customFormat="1">
      <c r="A14" s="23" t="s">
        <v>193</v>
      </c>
      <c r="B14" s="23" t="s">
        <v>194</v>
      </c>
      <c r="C14" s="23" t="s">
        <v>195</v>
      </c>
      <c r="D14" s="23" t="str">
        <f>"0,7570"</f>
        <v>0,7570</v>
      </c>
      <c r="E14" s="23" t="s">
        <v>64</v>
      </c>
      <c r="F14" s="23" t="s">
        <v>17</v>
      </c>
      <c r="G14" s="25" t="s">
        <v>196</v>
      </c>
      <c r="H14" s="64" t="s">
        <v>173</v>
      </c>
      <c r="I14" s="23" t="str">
        <f>"2210,0"</f>
        <v>2210,0</v>
      </c>
      <c r="J14" s="25" t="str">
        <f>"1672,9701"</f>
        <v>1672,9701</v>
      </c>
      <c r="K14" s="23" t="s">
        <v>21</v>
      </c>
    </row>
    <row r="15" spans="1:11" s="4" customFormat="1">
      <c r="A15" s="20" t="s">
        <v>197</v>
      </c>
      <c r="B15" s="20" t="s">
        <v>198</v>
      </c>
      <c r="C15" s="20" t="s">
        <v>199</v>
      </c>
      <c r="D15" s="20" t="str">
        <f>"0,7287"</f>
        <v>0,7287</v>
      </c>
      <c r="E15" s="20" t="s">
        <v>200</v>
      </c>
      <c r="F15" s="20" t="s">
        <v>201</v>
      </c>
      <c r="G15" s="22" t="s">
        <v>121</v>
      </c>
      <c r="H15" s="63" t="s">
        <v>202</v>
      </c>
      <c r="I15" s="20" t="str">
        <f>"2880,0"</f>
        <v>2880,0</v>
      </c>
      <c r="J15" s="22" t="str">
        <f>"2098,6559"</f>
        <v>2098,6559</v>
      </c>
      <c r="K15" s="20" t="s">
        <v>21</v>
      </c>
    </row>
    <row r="16" spans="1:11" s="4" customFormat="1">
      <c r="A16" s="5"/>
      <c r="B16" s="5"/>
      <c r="C16" s="5"/>
      <c r="D16" s="5"/>
      <c r="E16" s="5"/>
      <c r="F16" s="5"/>
      <c r="H16" s="56"/>
      <c r="I16" s="5"/>
      <c r="K16" s="5"/>
    </row>
    <row r="17" spans="1:11" s="4" customFormat="1" ht="15">
      <c r="A17" s="5"/>
      <c r="B17" s="5"/>
      <c r="C17" s="5"/>
      <c r="D17" s="5"/>
      <c r="E17" s="9" t="s">
        <v>31</v>
      </c>
      <c r="F17" s="5" t="s">
        <v>130</v>
      </c>
      <c r="H17" s="56"/>
      <c r="I17" s="5"/>
      <c r="K17" s="5"/>
    </row>
    <row r="18" spans="1:11" s="4" customFormat="1" ht="15">
      <c r="A18" s="5"/>
      <c r="B18" s="5"/>
      <c r="C18" s="5"/>
      <c r="D18" s="5"/>
      <c r="E18" s="9" t="s">
        <v>32</v>
      </c>
      <c r="F18" s="5" t="s">
        <v>131</v>
      </c>
      <c r="H18" s="56"/>
      <c r="I18" s="5"/>
      <c r="K18" s="5"/>
    </row>
    <row r="19" spans="1:11" s="4" customFormat="1" ht="15">
      <c r="A19" s="5"/>
      <c r="B19" s="5"/>
      <c r="C19" s="5"/>
      <c r="D19" s="5"/>
      <c r="E19" s="9" t="s">
        <v>33</v>
      </c>
      <c r="F19" s="5" t="s">
        <v>132</v>
      </c>
      <c r="H19" s="56"/>
      <c r="I19" s="5"/>
      <c r="K19" s="5"/>
    </row>
    <row r="20" spans="1:11" s="4" customFormat="1" ht="15">
      <c r="A20" s="5"/>
      <c r="B20" s="5"/>
      <c r="C20" s="5"/>
      <c r="D20" s="5"/>
      <c r="E20" s="9" t="s">
        <v>34</v>
      </c>
      <c r="F20" s="5" t="s">
        <v>133</v>
      </c>
      <c r="H20" s="56"/>
      <c r="I20" s="5"/>
      <c r="K20" s="5"/>
    </row>
    <row r="21" spans="1:11" s="4" customFormat="1" ht="15">
      <c r="A21" s="5"/>
      <c r="B21" s="5"/>
      <c r="C21" s="5"/>
      <c r="D21" s="5"/>
      <c r="E21" s="9" t="s">
        <v>34</v>
      </c>
      <c r="F21" s="5" t="s">
        <v>134</v>
      </c>
      <c r="H21" s="56"/>
      <c r="I21" s="5"/>
      <c r="K21" s="5"/>
    </row>
    <row r="22" spans="1:11" s="4" customFormat="1" ht="15">
      <c r="A22" s="5"/>
      <c r="B22" s="5"/>
      <c r="C22" s="5"/>
      <c r="D22" s="5"/>
      <c r="E22" s="9" t="s">
        <v>35</v>
      </c>
      <c r="F22" s="5" t="s">
        <v>135</v>
      </c>
      <c r="H22" s="56"/>
      <c r="I22" s="5"/>
      <c r="K22" s="5"/>
    </row>
    <row r="23" spans="1:11" s="4" customFormat="1" ht="15">
      <c r="A23" s="5"/>
      <c r="B23" s="5"/>
      <c r="C23" s="5"/>
      <c r="D23" s="5"/>
      <c r="E23" s="9"/>
      <c r="F23" s="5"/>
      <c r="H23" s="56"/>
      <c r="I23" s="5"/>
      <c r="K23" s="5"/>
    </row>
    <row r="24" spans="1:11" s="4" customFormat="1">
      <c r="A24" s="5"/>
      <c r="B24" s="5"/>
      <c r="C24" s="5"/>
      <c r="D24" s="5"/>
      <c r="E24" s="5"/>
      <c r="F24" s="5"/>
      <c r="H24" s="56"/>
      <c r="I24" s="5"/>
      <c r="K24" s="5"/>
    </row>
    <row r="25" spans="1:11" s="4" customFormat="1" ht="18">
      <c r="A25" s="10" t="s">
        <v>36</v>
      </c>
      <c r="B25" s="10"/>
      <c r="C25" s="5"/>
      <c r="D25" s="5"/>
      <c r="E25" s="5"/>
      <c r="F25" s="5"/>
      <c r="H25" s="56"/>
      <c r="I25" s="5"/>
      <c r="K25" s="5"/>
    </row>
    <row r="26" spans="1:11" s="4" customFormat="1" ht="15">
      <c r="A26" s="11" t="s">
        <v>37</v>
      </c>
      <c r="B26" s="11"/>
      <c r="C26" s="5"/>
      <c r="D26" s="5"/>
      <c r="E26" s="5"/>
      <c r="F26" s="5"/>
      <c r="H26" s="56"/>
      <c r="I26" s="5"/>
      <c r="K26" s="5"/>
    </row>
    <row r="27" spans="1:11" s="4" customFormat="1" ht="14.25">
      <c r="A27" s="13"/>
      <c r="B27" s="14" t="s">
        <v>113</v>
      </c>
      <c r="C27" s="5"/>
      <c r="D27" s="5"/>
      <c r="E27" s="5"/>
      <c r="F27" s="5"/>
      <c r="H27" s="56"/>
      <c r="I27" s="5"/>
      <c r="K27" s="5"/>
    </row>
    <row r="28" spans="1:11" s="4" customFormat="1" ht="15">
      <c r="A28" s="15" t="s">
        <v>39</v>
      </c>
      <c r="B28" s="15" t="s">
        <v>40</v>
      </c>
      <c r="C28" s="15" t="s">
        <v>41</v>
      </c>
      <c r="D28" s="15" t="s">
        <v>42</v>
      </c>
      <c r="E28" s="15" t="s">
        <v>175</v>
      </c>
      <c r="F28" s="5"/>
      <c r="H28" s="56"/>
      <c r="I28" s="5"/>
      <c r="K28" s="5"/>
    </row>
    <row r="29" spans="1:11" s="4" customFormat="1">
      <c r="A29" s="12" t="s">
        <v>203</v>
      </c>
      <c r="B29" s="5" t="s">
        <v>114</v>
      </c>
      <c r="C29" s="5" t="s">
        <v>121</v>
      </c>
      <c r="D29" s="5" t="s">
        <v>204</v>
      </c>
      <c r="E29" s="16" t="s">
        <v>205</v>
      </c>
      <c r="F29" s="5"/>
      <c r="H29" s="56"/>
      <c r="I29" s="5"/>
      <c r="K29" s="5"/>
    </row>
    <row r="30" spans="1:11" s="4" customFormat="1">
      <c r="A30" s="12" t="s">
        <v>206</v>
      </c>
      <c r="B30" s="5" t="s">
        <v>114</v>
      </c>
      <c r="C30" s="5" t="s">
        <v>121</v>
      </c>
      <c r="D30" s="5" t="s">
        <v>207</v>
      </c>
      <c r="E30" s="16" t="s">
        <v>208</v>
      </c>
      <c r="F30" s="5"/>
      <c r="H30" s="56"/>
      <c r="I30" s="5"/>
      <c r="K30" s="5"/>
    </row>
    <row r="31" spans="1:11" s="4" customFormat="1">
      <c r="A31" s="12" t="s">
        <v>60</v>
      </c>
      <c r="B31" s="5" t="s">
        <v>114</v>
      </c>
      <c r="C31" s="5" t="s">
        <v>115</v>
      </c>
      <c r="D31" s="5" t="s">
        <v>209</v>
      </c>
      <c r="E31" s="16" t="s">
        <v>210</v>
      </c>
      <c r="F31" s="5"/>
      <c r="H31" s="56"/>
      <c r="I31" s="5"/>
      <c r="K31" s="5"/>
    </row>
    <row r="32" spans="1:11" s="4" customFormat="1">
      <c r="A32" s="12" t="s">
        <v>211</v>
      </c>
      <c r="B32" s="5" t="s">
        <v>114</v>
      </c>
      <c r="C32" s="5" t="s">
        <v>119</v>
      </c>
      <c r="D32" s="5" t="s">
        <v>212</v>
      </c>
      <c r="E32" s="16" t="s">
        <v>213</v>
      </c>
      <c r="F32" s="5"/>
      <c r="H32" s="56"/>
      <c r="I32" s="5"/>
      <c r="K32" s="5"/>
    </row>
    <row r="33" spans="1:11" s="4" customFormat="1">
      <c r="A33" s="5"/>
      <c r="B33" s="5"/>
      <c r="C33" s="5"/>
      <c r="D33" s="5"/>
      <c r="E33" s="5"/>
      <c r="F33" s="5"/>
      <c r="H33" s="56"/>
      <c r="I33" s="5"/>
      <c r="K33" s="5"/>
    </row>
    <row r="34" spans="1:11" s="4" customFormat="1" ht="14.25">
      <c r="A34" s="13"/>
      <c r="B34" s="14" t="s">
        <v>38</v>
      </c>
      <c r="C34" s="5"/>
      <c r="D34" s="5"/>
      <c r="E34" s="5"/>
      <c r="F34" s="5"/>
      <c r="H34" s="56"/>
      <c r="I34" s="5"/>
      <c r="K34" s="5"/>
    </row>
    <row r="35" spans="1:11" s="4" customFormat="1" ht="15">
      <c r="A35" s="15" t="s">
        <v>39</v>
      </c>
      <c r="B35" s="15" t="s">
        <v>40</v>
      </c>
      <c r="C35" s="15" t="s">
        <v>41</v>
      </c>
      <c r="D35" s="15" t="s">
        <v>42</v>
      </c>
      <c r="E35" s="15" t="s">
        <v>175</v>
      </c>
      <c r="F35" s="5"/>
      <c r="H35" s="56"/>
      <c r="I35" s="5"/>
      <c r="K35" s="5"/>
    </row>
    <row r="36" spans="1:11" s="4" customFormat="1">
      <c r="A36" s="12" t="s">
        <v>214</v>
      </c>
      <c r="B36" s="5" t="s">
        <v>38</v>
      </c>
      <c r="C36" s="5" t="s">
        <v>121</v>
      </c>
      <c r="D36" s="5" t="s">
        <v>215</v>
      </c>
      <c r="E36" s="16" t="s">
        <v>216</v>
      </c>
      <c r="F36" s="5"/>
      <c r="H36" s="56"/>
      <c r="I36" s="5"/>
      <c r="K36" s="5"/>
    </row>
    <row r="37" spans="1:11" s="4" customFormat="1">
      <c r="A37" s="12" t="s">
        <v>60</v>
      </c>
      <c r="B37" s="5" t="s">
        <v>38</v>
      </c>
      <c r="C37" s="5" t="s">
        <v>115</v>
      </c>
      <c r="D37" s="5" t="s">
        <v>209</v>
      </c>
      <c r="E37" s="16" t="s">
        <v>210</v>
      </c>
      <c r="F37" s="5"/>
      <c r="H37" s="56"/>
      <c r="I37" s="5"/>
      <c r="K37" s="5"/>
    </row>
    <row r="38" spans="1:11" s="4" customFormat="1">
      <c r="A38" s="5"/>
      <c r="B38" s="5"/>
      <c r="C38" s="5"/>
      <c r="D38" s="5"/>
      <c r="E38" s="5"/>
      <c r="F38" s="5"/>
      <c r="H38" s="56"/>
      <c r="I38" s="5"/>
      <c r="K38" s="5"/>
    </row>
    <row r="39" spans="1:11" s="4" customFormat="1">
      <c r="A39" s="5"/>
      <c r="B39" s="5"/>
      <c r="C39" s="5"/>
      <c r="D39" s="5"/>
      <c r="E39" s="5"/>
      <c r="F39" s="5"/>
      <c r="H39" s="56"/>
      <c r="I39" s="5"/>
      <c r="K39" s="5"/>
    </row>
    <row r="40" spans="1:11" s="4" customFormat="1">
      <c r="A40" s="5"/>
      <c r="B40" s="5"/>
      <c r="C40" s="5"/>
      <c r="D40" s="5"/>
      <c r="E40" s="5"/>
      <c r="F40" s="5"/>
      <c r="H40" s="56"/>
      <c r="I40" s="5"/>
      <c r="K40" s="5"/>
    </row>
    <row r="41" spans="1:11" s="4" customFormat="1">
      <c r="A41" s="5"/>
      <c r="B41" s="5"/>
      <c r="C41" s="5"/>
      <c r="D41" s="5"/>
      <c r="E41" s="5"/>
      <c r="F41" s="5"/>
      <c r="H41" s="56"/>
      <c r="I41" s="5"/>
      <c r="K41" s="5"/>
    </row>
    <row r="42" spans="1:11" s="4" customFormat="1" ht="18">
      <c r="A42" s="10" t="s">
        <v>50</v>
      </c>
      <c r="B42" s="10"/>
      <c r="C42" s="5"/>
      <c r="D42" s="5"/>
      <c r="E42" s="5"/>
      <c r="F42" s="5"/>
      <c r="H42" s="56"/>
      <c r="I42" s="5"/>
      <c r="K42" s="5"/>
    </row>
    <row r="43" spans="1:11" s="4" customFormat="1" ht="15">
      <c r="A43" s="15" t="s">
        <v>51</v>
      </c>
      <c r="B43" s="15" t="s">
        <v>52</v>
      </c>
      <c r="C43" s="15" t="s">
        <v>53</v>
      </c>
      <c r="D43" s="5"/>
      <c r="E43" s="5"/>
      <c r="F43" s="5"/>
      <c r="H43" s="56"/>
      <c r="I43" s="5"/>
      <c r="K43" s="5"/>
    </row>
    <row r="44" spans="1:11" s="4" customFormat="1">
      <c r="A44" s="5" t="s">
        <v>64</v>
      </c>
      <c r="B44" s="5" t="s">
        <v>217</v>
      </c>
      <c r="C44" s="5" t="s">
        <v>218</v>
      </c>
      <c r="D44" s="5"/>
      <c r="E44" s="5"/>
      <c r="F44" s="5"/>
      <c r="H44" s="56"/>
      <c r="I44" s="5"/>
      <c r="K44" s="5"/>
    </row>
    <row r="45" spans="1:11" s="4" customFormat="1">
      <c r="A45" s="5" t="s">
        <v>200</v>
      </c>
      <c r="B45" s="5" t="s">
        <v>54</v>
      </c>
      <c r="C45" s="5" t="s">
        <v>219</v>
      </c>
      <c r="D45" s="5"/>
      <c r="E45" s="5"/>
      <c r="F45" s="5"/>
      <c r="H45" s="56"/>
      <c r="I45" s="5"/>
      <c r="K45" s="5"/>
    </row>
    <row r="46" spans="1:11" s="4" customFormat="1">
      <c r="A46" s="5"/>
      <c r="B46" s="5"/>
      <c r="C46" s="5"/>
      <c r="D46" s="5"/>
      <c r="E46" s="5"/>
      <c r="F46" s="5"/>
      <c r="H46" s="56"/>
      <c r="I46" s="5"/>
      <c r="K46" s="5"/>
    </row>
    <row r="47" spans="1:11" s="4" customFormat="1">
      <c r="A47" s="5"/>
      <c r="B47" s="5"/>
      <c r="C47" s="5"/>
      <c r="D47" s="5"/>
      <c r="E47" s="5"/>
      <c r="F47" s="5"/>
      <c r="H47" s="56"/>
      <c r="I47" s="5"/>
      <c r="K47" s="5"/>
    </row>
    <row r="48" spans="1:11" s="4" customFormat="1">
      <c r="A48" s="5"/>
      <c r="B48" s="5"/>
      <c r="C48" s="5"/>
      <c r="D48" s="5"/>
      <c r="E48" s="5"/>
      <c r="F48" s="5"/>
      <c r="H48" s="56"/>
      <c r="I48" s="5"/>
      <c r="K48" s="5"/>
    </row>
    <row r="49" spans="1:11" s="4" customFormat="1">
      <c r="A49" s="5"/>
      <c r="B49" s="5"/>
      <c r="C49" s="5"/>
      <c r="D49" s="5"/>
      <c r="E49" s="5"/>
      <c r="F49" s="5"/>
      <c r="H49" s="56"/>
      <c r="I49" s="5"/>
      <c r="K49" s="5"/>
    </row>
  </sheetData>
  <mergeCells count="14">
    <mergeCell ref="K3:K4"/>
    <mergeCell ref="A5:J5"/>
    <mergeCell ref="A9:J9"/>
    <mergeCell ref="A12:J12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I13" sqref="I13"/>
    </sheetView>
  </sheetViews>
  <sheetFormatPr defaultRowHeight="12.75"/>
  <cols>
    <col min="1" max="1" width="28.28515625" customWidth="1"/>
    <col min="2" max="2" width="17.85546875" customWidth="1"/>
    <col min="4" max="4" width="16.42578125" customWidth="1"/>
    <col min="5" max="5" width="22.85546875" customWidth="1"/>
    <col min="6" max="6" width="33.42578125" customWidth="1"/>
  </cols>
  <sheetData>
    <row r="1" spans="1:11" s="3" customFormat="1" ht="29.1" customHeight="1">
      <c r="A1" s="26" t="s">
        <v>220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s="3" customFormat="1" ht="62.1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0</v>
      </c>
      <c r="B3" s="45" t="s">
        <v>6</v>
      </c>
      <c r="C3" s="45" t="s">
        <v>8</v>
      </c>
      <c r="D3" s="44" t="s">
        <v>10</v>
      </c>
      <c r="E3" s="44" t="s">
        <v>4</v>
      </c>
      <c r="F3" s="44" t="s">
        <v>7</v>
      </c>
      <c r="G3" s="44" t="s">
        <v>154</v>
      </c>
      <c r="H3" s="44"/>
      <c r="I3" s="44"/>
      <c r="J3" s="44" t="s">
        <v>138</v>
      </c>
      <c r="K3" s="44" t="s">
        <v>2</v>
      </c>
    </row>
    <row r="4" spans="1:11" s="1" customFormat="1" ht="21" customHeight="1">
      <c r="A4" s="44"/>
      <c r="B4" s="44"/>
      <c r="C4" s="44"/>
      <c r="D4" s="44"/>
      <c r="E4" s="44"/>
      <c r="F4" s="44"/>
      <c r="G4" s="15" t="s">
        <v>139</v>
      </c>
      <c r="H4" s="48">
        <v>2</v>
      </c>
      <c r="I4" s="49" t="s">
        <v>140</v>
      </c>
      <c r="J4" s="44"/>
      <c r="K4" s="44"/>
    </row>
    <row r="5" spans="1:11" s="4" customFormat="1" ht="15">
      <c r="A5" s="57" t="s">
        <v>221</v>
      </c>
      <c r="B5" s="57"/>
      <c r="C5" s="57"/>
      <c r="D5" s="57"/>
      <c r="E5" s="57"/>
      <c r="F5" s="57"/>
      <c r="G5" s="57"/>
      <c r="H5" s="57"/>
      <c r="I5" s="57"/>
      <c r="J5" s="57"/>
      <c r="K5" s="6"/>
    </row>
    <row r="6" spans="1:11" s="4" customFormat="1">
      <c r="A6" s="53" t="s">
        <v>222</v>
      </c>
      <c r="B6" s="53" t="s">
        <v>145</v>
      </c>
      <c r="C6" s="53" t="s">
        <v>223</v>
      </c>
      <c r="D6" s="16" t="s">
        <v>224</v>
      </c>
      <c r="E6" s="53" t="s">
        <v>225</v>
      </c>
      <c r="F6" s="53" t="s">
        <v>225</v>
      </c>
      <c r="G6" s="54" t="s">
        <v>226</v>
      </c>
      <c r="H6" s="55">
        <v>405</v>
      </c>
      <c r="I6" s="53" t="s">
        <v>227</v>
      </c>
      <c r="J6" s="54" t="s">
        <v>227</v>
      </c>
      <c r="K6" s="6" t="s">
        <v>21</v>
      </c>
    </row>
    <row r="7" spans="1:11" s="4" customFormat="1">
      <c r="A7" s="53" t="s">
        <v>228</v>
      </c>
      <c r="B7" s="53" t="s">
        <v>145</v>
      </c>
      <c r="C7" s="53" t="s">
        <v>229</v>
      </c>
      <c r="D7" s="16" t="s">
        <v>230</v>
      </c>
      <c r="E7" s="53" t="s">
        <v>225</v>
      </c>
      <c r="F7" s="53" t="s">
        <v>225</v>
      </c>
      <c r="G7" s="54" t="s">
        <v>226</v>
      </c>
      <c r="H7" s="55">
        <v>405</v>
      </c>
      <c r="I7" s="53" t="s">
        <v>227</v>
      </c>
      <c r="J7" s="54" t="s">
        <v>227</v>
      </c>
      <c r="K7" s="6" t="s">
        <v>21</v>
      </c>
    </row>
    <row r="8" spans="1:11" s="4" customFormat="1">
      <c r="A8" s="5"/>
      <c r="B8" s="5"/>
      <c r="C8" s="5"/>
      <c r="D8" s="5"/>
      <c r="E8" s="5"/>
      <c r="F8" s="5"/>
      <c r="H8" s="56"/>
      <c r="I8" s="5"/>
      <c r="K8" s="5"/>
    </row>
    <row r="9" spans="1:11" s="4" customFormat="1" ht="15">
      <c r="A9" s="5"/>
      <c r="B9" s="5"/>
      <c r="C9" s="5"/>
      <c r="D9" s="5"/>
      <c r="E9" s="9" t="s">
        <v>31</v>
      </c>
      <c r="F9" s="5" t="s">
        <v>130</v>
      </c>
      <c r="H9" s="56"/>
      <c r="I9" s="5"/>
      <c r="K9" s="5"/>
    </row>
    <row r="10" spans="1:11" s="4" customFormat="1" ht="15">
      <c r="A10" s="5"/>
      <c r="B10" s="5"/>
      <c r="C10" s="5"/>
      <c r="D10" s="5"/>
      <c r="E10" s="9" t="s">
        <v>32</v>
      </c>
      <c r="F10" s="5" t="s">
        <v>131</v>
      </c>
      <c r="H10" s="56"/>
      <c r="I10" s="5"/>
      <c r="K10" s="5"/>
    </row>
    <row r="11" spans="1:11" s="4" customFormat="1" ht="15">
      <c r="A11" s="5"/>
      <c r="B11" s="5"/>
      <c r="C11" s="5"/>
      <c r="D11" s="5"/>
      <c r="E11" s="9" t="s">
        <v>33</v>
      </c>
      <c r="F11" s="5" t="s">
        <v>132</v>
      </c>
      <c r="H11" s="56"/>
      <c r="I11" s="5"/>
      <c r="K11" s="5"/>
    </row>
    <row r="12" spans="1:11" s="4" customFormat="1" ht="15">
      <c r="A12" s="5"/>
      <c r="B12" s="5"/>
      <c r="C12" s="5"/>
      <c r="D12" s="5"/>
      <c r="E12" s="9" t="s">
        <v>34</v>
      </c>
      <c r="F12" s="5" t="s">
        <v>133</v>
      </c>
      <c r="H12" s="56"/>
      <c r="I12" s="5"/>
      <c r="K12" s="5"/>
    </row>
    <row r="13" spans="1:11" s="4" customFormat="1" ht="15">
      <c r="A13" s="5"/>
      <c r="B13" s="5"/>
      <c r="C13" s="5"/>
      <c r="D13" s="5"/>
      <c r="E13" s="9" t="s">
        <v>34</v>
      </c>
      <c r="F13" s="5" t="s">
        <v>134</v>
      </c>
      <c r="H13" s="56"/>
      <c r="I13" s="5"/>
      <c r="K13" s="5"/>
    </row>
    <row r="14" spans="1:11" s="4" customFormat="1" ht="15">
      <c r="A14" s="5"/>
      <c r="B14" s="5"/>
      <c r="C14" s="5"/>
      <c r="D14" s="5"/>
      <c r="E14" s="9" t="s">
        <v>35</v>
      </c>
      <c r="F14" s="5" t="s">
        <v>135</v>
      </c>
      <c r="H14" s="56"/>
      <c r="I14" s="5"/>
      <c r="K14" s="5"/>
    </row>
    <row r="15" spans="1:11" s="4" customFormat="1" ht="15">
      <c r="A15" s="5"/>
      <c r="B15" s="5"/>
      <c r="C15" s="5"/>
      <c r="D15" s="5"/>
      <c r="E15" s="9"/>
      <c r="F15" s="5"/>
      <c r="H15" s="56"/>
      <c r="I15" s="5"/>
      <c r="K15" s="5"/>
    </row>
    <row r="16" spans="1:11" s="4" customFormat="1">
      <c r="A16" s="5"/>
      <c r="B16" s="5"/>
      <c r="C16" s="5"/>
      <c r="D16" s="5"/>
      <c r="E16" s="5"/>
      <c r="F16" s="5"/>
      <c r="H16" s="56"/>
      <c r="I16" s="5"/>
      <c r="K16" s="5"/>
    </row>
    <row r="17" spans="1:11" s="4" customFormat="1" ht="18">
      <c r="A17" s="10" t="s">
        <v>36</v>
      </c>
      <c r="B17" s="10"/>
      <c r="C17" s="5"/>
      <c r="D17" s="5"/>
      <c r="E17" s="5"/>
      <c r="F17" s="5"/>
      <c r="H17" s="56"/>
      <c r="I17" s="5"/>
      <c r="K17" s="5"/>
    </row>
    <row r="18" spans="1:11" s="4" customFormat="1" ht="15">
      <c r="A18" s="11" t="s">
        <v>37</v>
      </c>
      <c r="B18" s="11"/>
      <c r="C18" s="5"/>
      <c r="D18" s="5"/>
      <c r="E18" s="5"/>
      <c r="F18" s="5"/>
      <c r="H18" s="56"/>
      <c r="I18" s="5"/>
      <c r="K18" s="5"/>
    </row>
    <row r="19" spans="1:11" s="4" customFormat="1" ht="14.25">
      <c r="A19" s="13"/>
      <c r="B19" s="14" t="s">
        <v>38</v>
      </c>
      <c r="C19" s="5"/>
      <c r="D19" s="5"/>
      <c r="E19" s="5"/>
      <c r="F19" s="5"/>
      <c r="H19" s="56"/>
      <c r="I19" s="5"/>
      <c r="K19" s="5"/>
    </row>
    <row r="20" spans="1:11" s="4" customFormat="1" ht="15">
      <c r="A20" s="15" t="s">
        <v>39</v>
      </c>
      <c r="B20" s="15" t="s">
        <v>40</v>
      </c>
      <c r="C20" s="15" t="s">
        <v>41</v>
      </c>
      <c r="D20" s="15" t="s">
        <v>42</v>
      </c>
      <c r="E20" s="15" t="s">
        <v>43</v>
      </c>
      <c r="F20" s="5"/>
      <c r="H20" s="56"/>
      <c r="I20" s="5"/>
      <c r="K20" s="5"/>
    </row>
    <row r="21" spans="1:11" s="4" customFormat="1">
      <c r="A21" s="58" t="s">
        <v>162</v>
      </c>
      <c r="B21" s="5" t="s">
        <v>38</v>
      </c>
      <c r="C21" s="59" t="s">
        <v>163</v>
      </c>
      <c r="D21" s="59" t="s">
        <v>227</v>
      </c>
      <c r="E21" s="16" t="s">
        <v>224</v>
      </c>
      <c r="F21" s="5"/>
      <c r="H21" s="56"/>
      <c r="I21" s="5"/>
      <c r="K21" s="5"/>
    </row>
    <row r="22" spans="1:11" s="4" customFormat="1">
      <c r="A22" s="58" t="s">
        <v>231</v>
      </c>
      <c r="B22" s="5" t="s">
        <v>38</v>
      </c>
      <c r="C22" s="59" t="s">
        <v>163</v>
      </c>
      <c r="D22" s="59" t="s">
        <v>227</v>
      </c>
      <c r="E22" s="16" t="s">
        <v>230</v>
      </c>
      <c r="F22" s="5"/>
      <c r="H22" s="56"/>
      <c r="I22" s="5"/>
      <c r="K22" s="5"/>
    </row>
    <row r="23" spans="1:11" s="4" customFormat="1" ht="18">
      <c r="A23" s="10" t="s">
        <v>50</v>
      </c>
      <c r="B23" s="10"/>
      <c r="C23" s="5"/>
      <c r="D23" s="5"/>
      <c r="E23" s="5"/>
      <c r="F23" s="5"/>
      <c r="H23" s="56"/>
      <c r="I23" s="5"/>
      <c r="K23" s="5"/>
    </row>
    <row r="24" spans="1:11" s="4" customFormat="1" ht="15">
      <c r="A24" s="15" t="s">
        <v>51</v>
      </c>
      <c r="B24" s="15" t="s">
        <v>52</v>
      </c>
      <c r="C24" s="15" t="s">
        <v>53</v>
      </c>
      <c r="D24" s="5"/>
      <c r="E24" s="5"/>
      <c r="F24" s="5"/>
      <c r="H24" s="56"/>
      <c r="I24" s="5"/>
      <c r="K24" s="5"/>
    </row>
    <row r="25" spans="1:11" s="4" customFormat="1">
      <c r="A25" s="59" t="s">
        <v>225</v>
      </c>
      <c r="B25" s="59" t="s">
        <v>232</v>
      </c>
      <c r="C25" s="59" t="s">
        <v>233</v>
      </c>
      <c r="D25" s="5"/>
      <c r="E25" s="5"/>
      <c r="F25" s="5"/>
      <c r="H25" s="56"/>
      <c r="I25" s="5"/>
      <c r="K25" s="5"/>
    </row>
    <row r="26" spans="1:11" s="4" customFormat="1">
      <c r="A26" s="5"/>
      <c r="B26" s="5"/>
      <c r="C26" s="5"/>
      <c r="D26" s="5"/>
      <c r="E26" s="5"/>
      <c r="F26" s="5"/>
      <c r="H26" s="56"/>
      <c r="I26" s="5"/>
      <c r="K26" s="5"/>
    </row>
  </sheetData>
  <mergeCells count="11">
    <mergeCell ref="A5:J5"/>
    <mergeCell ref="A1:K2"/>
    <mergeCell ref="A3:A4"/>
    <mergeCell ref="B3:B4"/>
    <mergeCell ref="C3:C4"/>
    <mergeCell ref="D3:D4"/>
    <mergeCell ref="E3:E4"/>
    <mergeCell ref="F3:F4"/>
    <mergeCell ref="G3:I3"/>
    <mergeCell ref="J3:J4"/>
    <mergeCell ref="K3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8.28515625" style="5" bestFit="1" customWidth="1"/>
    <col min="4" max="4" width="9.28515625" style="5" bestFit="1" customWidth="1"/>
    <col min="5" max="5" width="22.7109375" style="5" bestFit="1" customWidth="1"/>
    <col min="6" max="6" width="30.855468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242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241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59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240</v>
      </c>
      <c r="B6" s="6" t="s">
        <v>239</v>
      </c>
      <c r="C6" s="6" t="s">
        <v>171</v>
      </c>
      <c r="D6" s="6" t="str">
        <f>"0,8622"</f>
        <v>0,8622</v>
      </c>
      <c r="E6" s="6" t="s">
        <v>235</v>
      </c>
      <c r="F6" s="6" t="s">
        <v>238</v>
      </c>
      <c r="G6" s="8" t="s">
        <v>48</v>
      </c>
      <c r="H6" s="8" t="s">
        <v>18</v>
      </c>
      <c r="I6" s="8" t="s">
        <v>19</v>
      </c>
      <c r="J6" s="7"/>
      <c r="K6" s="6" t="str">
        <f>"130,0"</f>
        <v>130,0</v>
      </c>
      <c r="L6" s="8" t="str">
        <f>"112,0795"</f>
        <v>112,0795</v>
      </c>
      <c r="M6" s="6" t="s">
        <v>21</v>
      </c>
    </row>
    <row r="8" spans="1:13" ht="15">
      <c r="E8" s="9" t="s">
        <v>31</v>
      </c>
      <c r="F8" s="5" t="s">
        <v>130</v>
      </c>
    </row>
    <row r="9" spans="1:13" ht="15">
      <c r="E9" s="9" t="s">
        <v>32</v>
      </c>
      <c r="F9" s="5" t="s">
        <v>131</v>
      </c>
    </row>
    <row r="10" spans="1:13" ht="15">
      <c r="E10" s="9" t="s">
        <v>33</v>
      </c>
      <c r="F10" s="5" t="s">
        <v>132</v>
      </c>
    </row>
    <row r="11" spans="1:13" ht="15">
      <c r="E11" s="9" t="s">
        <v>34</v>
      </c>
      <c r="F11" s="5" t="s">
        <v>133</v>
      </c>
    </row>
    <row r="12" spans="1:13" ht="15">
      <c r="E12" s="9" t="s">
        <v>34</v>
      </c>
      <c r="F12" s="5" t="s">
        <v>134</v>
      </c>
    </row>
    <row r="13" spans="1:13" ht="15">
      <c r="E13" s="9" t="s">
        <v>35</v>
      </c>
      <c r="F13" s="5" t="s">
        <v>135</v>
      </c>
    </row>
    <row r="14" spans="1:13" ht="15">
      <c r="E14" s="9"/>
    </row>
    <row r="16" spans="1:13" ht="18">
      <c r="A16" s="10" t="s">
        <v>36</v>
      </c>
      <c r="B16" s="10"/>
    </row>
    <row r="17" spans="1:5" s="4" customFormat="1" ht="15">
      <c r="A17" s="11" t="s">
        <v>174</v>
      </c>
      <c r="B17" s="11"/>
      <c r="C17" s="5"/>
      <c r="D17" s="5"/>
      <c r="E17" s="5"/>
    </row>
    <row r="18" spans="1:5" s="4" customFormat="1" ht="14.25">
      <c r="A18" s="13"/>
      <c r="B18" s="14" t="s">
        <v>38</v>
      </c>
      <c r="C18" s="5"/>
      <c r="D18" s="5"/>
      <c r="E18" s="5"/>
    </row>
    <row r="19" spans="1:5" s="4" customFormat="1" ht="15">
      <c r="A19" s="15" t="s">
        <v>39</v>
      </c>
      <c r="B19" s="15" t="s">
        <v>40</v>
      </c>
      <c r="C19" s="15" t="s">
        <v>41</v>
      </c>
      <c r="D19" s="15" t="s">
        <v>42</v>
      </c>
      <c r="E19" s="15" t="s">
        <v>43</v>
      </c>
    </row>
    <row r="20" spans="1:5" s="4" customFormat="1">
      <c r="A20" s="12" t="s">
        <v>237</v>
      </c>
      <c r="B20" s="5" t="s">
        <v>38</v>
      </c>
      <c r="C20" s="5" t="s">
        <v>115</v>
      </c>
      <c r="D20" s="5" t="s">
        <v>19</v>
      </c>
      <c r="E20" s="16" t="s">
        <v>236</v>
      </c>
    </row>
    <row r="25" spans="1:5" s="4" customFormat="1" ht="18">
      <c r="A25" s="10" t="s">
        <v>50</v>
      </c>
      <c r="B25" s="10"/>
      <c r="C25" s="5"/>
      <c r="D25" s="5"/>
      <c r="E25" s="5"/>
    </row>
    <row r="26" spans="1:5" s="4" customFormat="1" ht="15">
      <c r="A26" s="15" t="s">
        <v>51</v>
      </c>
      <c r="B26" s="15" t="s">
        <v>52</v>
      </c>
      <c r="C26" s="15" t="s">
        <v>53</v>
      </c>
      <c r="D26" s="5"/>
      <c r="E26" s="5"/>
    </row>
    <row r="27" spans="1:5" s="4" customFormat="1">
      <c r="A27" s="5" t="s">
        <v>235</v>
      </c>
      <c r="B27" s="5" t="s">
        <v>54</v>
      </c>
      <c r="C27" s="5" t="s">
        <v>234</v>
      </c>
      <c r="D27" s="5"/>
      <c r="E27" s="5"/>
    </row>
  </sheetData>
  <mergeCells count="12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C13" sqref="C13"/>
    </sheetView>
  </sheetViews>
  <sheetFormatPr defaultRowHeight="12.75"/>
  <cols>
    <col min="1" max="1" width="31.85546875" style="5" bestFit="1" customWidth="1"/>
    <col min="2" max="2" width="27.7109375" style="5" bestFit="1" customWidth="1"/>
    <col min="3" max="3" width="15.425781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26" t="s">
        <v>251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3" customFormat="1" ht="62.1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0</v>
      </c>
      <c r="B3" s="34" t="s">
        <v>6</v>
      </c>
      <c r="C3" s="34" t="s">
        <v>8</v>
      </c>
      <c r="D3" s="36" t="s">
        <v>10</v>
      </c>
      <c r="E3" s="36" t="s">
        <v>4</v>
      </c>
      <c r="F3" s="36" t="s">
        <v>7</v>
      </c>
      <c r="G3" s="36" t="s">
        <v>241</v>
      </c>
      <c r="H3" s="36"/>
      <c r="I3" s="36"/>
      <c r="J3" s="36"/>
      <c r="K3" s="36" t="s">
        <v>57</v>
      </c>
      <c r="L3" s="36" t="s">
        <v>3</v>
      </c>
      <c r="M3" s="38" t="s">
        <v>2</v>
      </c>
    </row>
    <row r="4" spans="1:13" s="1" customFormat="1" ht="21" customHeight="1" thickBot="1">
      <c r="A4" s="33"/>
      <c r="B4" s="35"/>
      <c r="C4" s="35"/>
      <c r="D4" s="35"/>
      <c r="E4" s="35"/>
      <c r="F4" s="35"/>
      <c r="G4" s="2">
        <v>1</v>
      </c>
      <c r="H4" s="2">
        <v>2</v>
      </c>
      <c r="I4" s="2">
        <v>3</v>
      </c>
      <c r="J4" s="2" t="s">
        <v>5</v>
      </c>
      <c r="K4" s="35"/>
      <c r="L4" s="35"/>
      <c r="M4" s="39"/>
    </row>
    <row r="5" spans="1:13" ht="15">
      <c r="A5" s="40" t="s">
        <v>70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250</v>
      </c>
      <c r="B6" s="6" t="s">
        <v>249</v>
      </c>
      <c r="C6" s="6" t="s">
        <v>248</v>
      </c>
      <c r="D6" s="6" t="str">
        <f>"0,7174"</f>
        <v>0,7174</v>
      </c>
      <c r="E6" s="6" t="s">
        <v>27</v>
      </c>
      <c r="F6" s="6" t="s">
        <v>28</v>
      </c>
      <c r="G6" s="8" t="s">
        <v>44</v>
      </c>
      <c r="H6" s="8" t="s">
        <v>247</v>
      </c>
      <c r="I6" s="8" t="s">
        <v>245</v>
      </c>
      <c r="J6" s="7"/>
      <c r="K6" s="6" t="str">
        <f>"150,0"</f>
        <v>150,0</v>
      </c>
      <c r="L6" s="8" t="str">
        <f>"114,0666"</f>
        <v>114,0666</v>
      </c>
      <c r="M6" s="6" t="s">
        <v>21</v>
      </c>
    </row>
    <row r="8" spans="1:13" ht="15">
      <c r="E8" s="9" t="s">
        <v>31</v>
      </c>
      <c r="F8" s="5" t="s">
        <v>130</v>
      </c>
    </row>
    <row r="9" spans="1:13" ht="15">
      <c r="E9" s="9" t="s">
        <v>32</v>
      </c>
      <c r="F9" s="5" t="s">
        <v>131</v>
      </c>
    </row>
    <row r="10" spans="1:13" ht="15">
      <c r="E10" s="9" t="s">
        <v>33</v>
      </c>
      <c r="F10" s="5" t="s">
        <v>132</v>
      </c>
    </row>
    <row r="11" spans="1:13" ht="15">
      <c r="E11" s="9" t="s">
        <v>34</v>
      </c>
      <c r="F11" s="5" t="s">
        <v>133</v>
      </c>
    </row>
    <row r="12" spans="1:13" ht="15">
      <c r="E12" s="9" t="s">
        <v>34</v>
      </c>
      <c r="F12" s="5" t="s">
        <v>134</v>
      </c>
    </row>
    <row r="13" spans="1:13" ht="15">
      <c r="E13" s="9" t="s">
        <v>35</v>
      </c>
      <c r="F13" s="5" t="s">
        <v>135</v>
      </c>
    </row>
    <row r="14" spans="1:13" ht="15">
      <c r="E14" s="9"/>
    </row>
    <row r="16" spans="1:13" ht="18">
      <c r="A16" s="10" t="s">
        <v>36</v>
      </c>
      <c r="B16" s="10"/>
    </row>
    <row r="17" spans="1:5" s="4" customFormat="1" ht="15">
      <c r="A17" s="11" t="s">
        <v>37</v>
      </c>
      <c r="B17" s="11"/>
      <c r="C17" s="5"/>
      <c r="D17" s="5"/>
      <c r="E17" s="5"/>
    </row>
    <row r="18" spans="1:5" s="4" customFormat="1" ht="14.25">
      <c r="A18" s="13"/>
      <c r="B18" s="14" t="s">
        <v>109</v>
      </c>
      <c r="C18" s="5"/>
      <c r="D18" s="5"/>
      <c r="E18" s="5"/>
    </row>
    <row r="19" spans="1:5" s="4" customFormat="1" ht="15">
      <c r="A19" s="15" t="s">
        <v>39</v>
      </c>
      <c r="B19" s="15" t="s">
        <v>40</v>
      </c>
      <c r="C19" s="15" t="s">
        <v>41</v>
      </c>
      <c r="D19" s="15" t="s">
        <v>42</v>
      </c>
      <c r="E19" s="15" t="s">
        <v>43</v>
      </c>
    </row>
    <row r="20" spans="1:5" s="4" customFormat="1">
      <c r="A20" s="12" t="s">
        <v>246</v>
      </c>
      <c r="B20" s="5" t="s">
        <v>110</v>
      </c>
      <c r="C20" s="5" t="s">
        <v>111</v>
      </c>
      <c r="D20" s="5" t="s">
        <v>245</v>
      </c>
      <c r="E20" s="16" t="s">
        <v>244</v>
      </c>
    </row>
    <row r="25" spans="1:5" s="4" customFormat="1" ht="18">
      <c r="A25" s="10" t="s">
        <v>50</v>
      </c>
      <c r="B25" s="10"/>
      <c r="C25" s="5"/>
      <c r="D25" s="5"/>
      <c r="E25" s="5"/>
    </row>
    <row r="26" spans="1:5" s="4" customFormat="1" ht="15">
      <c r="A26" s="15" t="s">
        <v>51</v>
      </c>
      <c r="B26" s="15" t="s">
        <v>52</v>
      </c>
      <c r="C26" s="15" t="s">
        <v>53</v>
      </c>
      <c r="D26" s="5"/>
      <c r="E26" s="5"/>
    </row>
    <row r="27" spans="1:5" s="4" customFormat="1">
      <c r="A27" s="5" t="s">
        <v>27</v>
      </c>
      <c r="B27" s="5" t="s">
        <v>54</v>
      </c>
      <c r="C27" s="5" t="s">
        <v>243</v>
      </c>
      <c r="D27" s="5"/>
      <c r="E27" s="5"/>
    </row>
  </sheetData>
  <mergeCells count="12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35</vt:i4>
      </vt:variant>
    </vt:vector>
  </HeadingPairs>
  <TitlesOfParts>
    <vt:vector size="35" baseType="lpstr">
      <vt:lpstr>Люб. Военный жим</vt:lpstr>
      <vt:lpstr>ПРО Военный жим</vt:lpstr>
      <vt:lpstr>жимовое двоеборье</vt:lpstr>
      <vt:lpstr>народная становая тяга</vt:lpstr>
      <vt:lpstr>любители нж 1_2 веса</vt:lpstr>
      <vt:lpstr>любители нж 1 вес</vt:lpstr>
      <vt:lpstr>парная тяга</vt:lpstr>
      <vt:lpstr>Люб. присед софт экип.</vt:lpstr>
      <vt:lpstr>ПРО присед 1.слой</vt:lpstr>
      <vt:lpstr>Люб. тяга софт экип.</vt:lpstr>
      <vt:lpstr>ПРО тяга 1 слой</vt:lpstr>
      <vt:lpstr>Люб. тяга 1.слой</vt:lpstr>
      <vt:lpstr>Люб. тяга б.э.</vt:lpstr>
      <vt:lpstr>ПРО тяга б.э.</vt:lpstr>
      <vt:lpstr>Люб. жим софт экип.</vt:lpstr>
      <vt:lpstr>Люб. жим 1.слой</vt:lpstr>
      <vt:lpstr>Люб. жим б.э.</vt:lpstr>
      <vt:lpstr>ПРО жим софт экип. 3сл.</vt:lpstr>
      <vt:lpstr>ПРО жим софт экип.</vt:lpstr>
      <vt:lpstr>ПРО жим 1.слой</vt:lpstr>
      <vt:lpstr>ПРО жим б.э.</vt:lpstr>
      <vt:lpstr>Люб. ПЛ. софт экип.</vt:lpstr>
      <vt:lpstr>Люб. ПЛ. 1.слой</vt:lpstr>
      <vt:lpstr>Люб. ПЛ. б.э.</vt:lpstr>
      <vt:lpstr>ПРО ПЛ. софт экип.</vt:lpstr>
      <vt:lpstr>ПРО ПЛ. б.э.</vt:lpstr>
      <vt:lpstr>СОВ ПЛ.</vt:lpstr>
      <vt:lpstr>подъем штанги на бицепс</vt:lpstr>
      <vt:lpstr>пауэрспорт Любители</vt:lpstr>
      <vt:lpstr>Люб. 55 кг.</vt:lpstr>
      <vt:lpstr>Люб. 35 кг.</vt:lpstr>
      <vt:lpstr>Про. 100 кг.</vt:lpstr>
      <vt:lpstr>Про. 75 кг.</vt:lpstr>
      <vt:lpstr>17-27-53Про. 55 кг.</vt:lpstr>
      <vt:lpstr>Силовое двоеборье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Андрей</cp:lastModifiedBy>
  <cp:lastPrinted>2015-07-16T19:10:53Z</cp:lastPrinted>
  <dcterms:created xsi:type="dcterms:W3CDTF">2002-06-16T13:36:44Z</dcterms:created>
  <dcterms:modified xsi:type="dcterms:W3CDTF">2018-05-02T16:42:40Z</dcterms:modified>
</cp:coreProperties>
</file>