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5" windowWidth="11340" windowHeight="9690" firstSheet="18" activeTab="19"/>
  </bookViews>
  <sheets>
    <sheet name="Лист34" sheetId="39" r:id="rId1"/>
    <sheet name="Люб. присед софт экип." sheetId="38" r:id="rId2"/>
    <sheet name="Люб. жим софт экип." sheetId="35" r:id="rId3"/>
    <sheet name="Люб. ПЛ. софт экип." sheetId="34" r:id="rId4"/>
    <sheet name="Люб. тяга 1.слой" sheetId="31" r:id="rId5"/>
    <sheet name="Люб. присед б.э." sheetId="30" r:id="rId6"/>
    <sheet name="Люб. тяга б.э." sheetId="24" r:id="rId7"/>
    <sheet name="Люб. жим б.э." sheetId="23" r:id="rId8"/>
    <sheet name="Люб. ПЛ. б.э." sheetId="22" r:id="rId9"/>
    <sheet name="ПРО жим софт экип. 3сл." sheetId="21" r:id="rId10"/>
    <sheet name="ПРО жим софт экип." sheetId="17" r:id="rId11"/>
    <sheet name="ПРО ПЛ. софт экип." sheetId="16" r:id="rId12"/>
    <sheet name="ПРО тяга 1.слой" sheetId="13" r:id="rId13"/>
    <sheet name="ПРО ПЛ. мн.слой" sheetId="10" r:id="rId14"/>
    <sheet name="ПРО ПЛ. 1.слой" sheetId="8" r:id="rId15"/>
    <sheet name="ПРО тяга б.э." sheetId="7" r:id="rId16"/>
    <sheet name="ПРО жим б.э." sheetId="6" r:id="rId17"/>
    <sheet name="ПРО ПЛ. б.э." sheetId="5" r:id="rId18"/>
    <sheet name="Люб.пауэрспорт" sheetId="40" r:id="rId19"/>
    <sheet name="ПРО пауэрспорт" sheetId="41" r:id="rId20"/>
    <sheet name="Люб. Нж" sheetId="42" r:id="rId21"/>
    <sheet name="ПРО Нж" sheetId="43" r:id="rId22"/>
    <sheet name="Люб. Рж 55кг" sheetId="44" r:id="rId23"/>
    <sheet name="Люб. Рж 75 кг" sheetId="45" r:id="rId24"/>
    <sheet name="ПРО Рж 100 кг" sheetId="46" r:id="rId25"/>
  </sheets>
  <definedNames>
    <definedName name="_xlnm._FilterDatabase" localSheetId="17" hidden="1">'ПРО ПЛ. б.э.'!$A$1:$S$3</definedName>
  </definedNames>
  <calcPr calcId="124519" refMode="R1C1"/>
</workbook>
</file>

<file path=xl/calcChain.xml><?xml version="1.0" encoding="utf-8"?>
<calcChain xmlns="http://schemas.openxmlformats.org/spreadsheetml/2006/main">
  <c r="P6" i="41"/>
  <c r="O6"/>
  <c r="D6"/>
  <c r="P30" i="40"/>
  <c r="D30"/>
  <c r="P29"/>
  <c r="D29"/>
  <c r="P28"/>
  <c r="D28"/>
  <c r="P25"/>
  <c r="D25"/>
  <c r="P22"/>
  <c r="D22"/>
  <c r="P21"/>
  <c r="D21"/>
  <c r="P20"/>
  <c r="D20"/>
  <c r="P17"/>
  <c r="D17"/>
  <c r="P16"/>
  <c r="D16"/>
  <c r="P15"/>
  <c r="D15"/>
  <c r="P14"/>
  <c r="D14"/>
  <c r="P13"/>
  <c r="D13"/>
  <c r="P12"/>
  <c r="D12"/>
  <c r="P9"/>
  <c r="D9"/>
  <c r="P6"/>
  <c r="D6"/>
  <c r="J6" i="46"/>
  <c r="I6"/>
  <c r="D6"/>
  <c r="J6" i="45"/>
  <c r="I6"/>
  <c r="D6"/>
  <c r="J21" i="44"/>
  <c r="I21"/>
  <c r="D21"/>
  <c r="J20"/>
  <c r="I20"/>
  <c r="D20"/>
  <c r="J18"/>
  <c r="I18"/>
  <c r="D18"/>
  <c r="J17"/>
  <c r="I17"/>
  <c r="D17"/>
  <c r="J16"/>
  <c r="I16"/>
  <c r="D16"/>
  <c r="J14"/>
  <c r="I14"/>
  <c r="D14"/>
  <c r="J13"/>
  <c r="I13"/>
  <c r="D13"/>
  <c r="J12"/>
  <c r="I12"/>
  <c r="D12"/>
  <c r="J10"/>
  <c r="I10"/>
  <c r="D10"/>
  <c r="J9"/>
  <c r="I9"/>
  <c r="D9"/>
  <c r="J8"/>
  <c r="I8"/>
  <c r="D8"/>
  <c r="J7"/>
  <c r="I7"/>
  <c r="D7"/>
  <c r="J6"/>
  <c r="I6"/>
  <c r="D6"/>
  <c r="J18" i="43"/>
  <c r="I18"/>
  <c r="D18"/>
  <c r="J17"/>
  <c r="I17"/>
  <c r="D17"/>
  <c r="J14"/>
  <c r="I14"/>
  <c r="D14"/>
  <c r="J13"/>
  <c r="I13"/>
  <c r="D13"/>
  <c r="J10"/>
  <c r="I10"/>
  <c r="D10"/>
  <c r="J7"/>
  <c r="I7"/>
  <c r="D7"/>
  <c r="J6"/>
  <c r="I6"/>
  <c r="D6"/>
  <c r="J33" i="42"/>
  <c r="I33"/>
  <c r="D33"/>
  <c r="J30"/>
  <c r="I30"/>
  <c r="D30"/>
  <c r="J29"/>
  <c r="I29"/>
  <c r="D29"/>
  <c r="J26"/>
  <c r="I26"/>
  <c r="D26"/>
  <c r="J25"/>
  <c r="I25"/>
  <c r="D25"/>
  <c r="J24"/>
  <c r="I24"/>
  <c r="D24"/>
  <c r="J23"/>
  <c r="I23"/>
  <c r="D23"/>
  <c r="J20"/>
  <c r="I20"/>
  <c r="D20"/>
  <c r="J17"/>
  <c r="I17"/>
  <c r="D17"/>
  <c r="J16"/>
  <c r="I16"/>
  <c r="D16"/>
  <c r="J13"/>
  <c r="I13"/>
  <c r="D13"/>
  <c r="J12"/>
  <c r="I12"/>
  <c r="D12"/>
  <c r="J9"/>
  <c r="I9"/>
  <c r="D9"/>
  <c r="J6"/>
  <c r="I6"/>
  <c r="D6"/>
  <c r="L9" i="38"/>
  <c r="K9"/>
  <c r="D9"/>
  <c r="L6"/>
  <c r="K6"/>
  <c r="D6"/>
  <c r="L47" i="35"/>
  <c r="K47"/>
  <c r="D47"/>
  <c r="L44"/>
  <c r="K44"/>
  <c r="D44"/>
  <c r="L43"/>
  <c r="K43"/>
  <c r="D43"/>
  <c r="L42"/>
  <c r="K42"/>
  <c r="D42"/>
  <c r="L41"/>
  <c r="K41"/>
  <c r="D41"/>
  <c r="L40"/>
  <c r="K40"/>
  <c r="D40"/>
  <c r="L37"/>
  <c r="K37"/>
  <c r="D37"/>
  <c r="L36"/>
  <c r="K36"/>
  <c r="D36"/>
  <c r="L35"/>
  <c r="K35"/>
  <c r="D35"/>
  <c r="L32"/>
  <c r="K32"/>
  <c r="D32"/>
  <c r="L31"/>
  <c r="K31"/>
  <c r="D31"/>
  <c r="L30"/>
  <c r="K30"/>
  <c r="D30"/>
  <c r="L27"/>
  <c r="K27"/>
  <c r="D27"/>
  <c r="L24"/>
  <c r="K24"/>
  <c r="D24"/>
  <c r="L21"/>
  <c r="K21"/>
  <c r="D21"/>
  <c r="L18"/>
  <c r="K18"/>
  <c r="D18"/>
  <c r="L15"/>
  <c r="K15"/>
  <c r="D15"/>
  <c r="L12"/>
  <c r="K12"/>
  <c r="D12"/>
  <c r="L11"/>
  <c r="K11"/>
  <c r="D11"/>
  <c r="L10"/>
  <c r="K10"/>
  <c r="D10"/>
  <c r="L7"/>
  <c r="K7"/>
  <c r="D7"/>
  <c r="L6"/>
  <c r="K6"/>
  <c r="D6"/>
  <c r="T22" i="34"/>
  <c r="S22"/>
  <c r="D22"/>
  <c r="T21"/>
  <c r="S21"/>
  <c r="D21"/>
  <c r="T20"/>
  <c r="S20"/>
  <c r="D20"/>
  <c r="T19"/>
  <c r="S19"/>
  <c r="D19"/>
  <c r="T16"/>
  <c r="S16"/>
  <c r="D16"/>
  <c r="T15"/>
  <c r="S15"/>
  <c r="D15"/>
  <c r="T12"/>
  <c r="S12"/>
  <c r="D12"/>
  <c r="T9"/>
  <c r="S9"/>
  <c r="D9"/>
  <c r="T6"/>
  <c r="S6"/>
  <c r="D6"/>
  <c r="L7" i="31"/>
  <c r="K7"/>
  <c r="D7"/>
  <c r="L6"/>
  <c r="K6"/>
  <c r="D6"/>
  <c r="L6" i="30"/>
  <c r="K6"/>
  <c r="D6"/>
  <c r="L74" i="24"/>
  <c r="K74"/>
  <c r="D74"/>
  <c r="L71"/>
  <c r="K71"/>
  <c r="D71"/>
  <c r="L70"/>
  <c r="K70"/>
  <c r="D70"/>
  <c r="L67"/>
  <c r="K67"/>
  <c r="D67"/>
  <c r="L66"/>
  <c r="K66"/>
  <c r="D66"/>
  <c r="L65"/>
  <c r="K65"/>
  <c r="D65"/>
  <c r="L64"/>
  <c r="K64"/>
  <c r="D64"/>
  <c r="L63"/>
  <c r="K63"/>
  <c r="D63"/>
  <c r="L60"/>
  <c r="K60"/>
  <c r="D60"/>
  <c r="L59"/>
  <c r="K59"/>
  <c r="D59"/>
  <c r="L58"/>
  <c r="K58"/>
  <c r="D58"/>
  <c r="L57"/>
  <c r="K57"/>
  <c r="D57"/>
  <c r="L56"/>
  <c r="K56"/>
  <c r="D56"/>
  <c r="L55"/>
  <c r="K55"/>
  <c r="D55"/>
  <c r="L52"/>
  <c r="K52"/>
  <c r="D52"/>
  <c r="L51"/>
  <c r="K51"/>
  <c r="D51"/>
  <c r="L50"/>
  <c r="K50"/>
  <c r="D50"/>
  <c r="L49"/>
  <c r="K49"/>
  <c r="D49"/>
  <c r="L48"/>
  <c r="K48"/>
  <c r="D48"/>
  <c r="L47"/>
  <c r="K47"/>
  <c r="D47"/>
  <c r="L46"/>
  <c r="K46"/>
  <c r="D46"/>
  <c r="L45"/>
  <c r="K45"/>
  <c r="D45"/>
  <c r="L44"/>
  <c r="K44"/>
  <c r="D44"/>
  <c r="L43"/>
  <c r="K43"/>
  <c r="D43"/>
  <c r="L40"/>
  <c r="K40"/>
  <c r="D40"/>
  <c r="L39"/>
  <c r="K39"/>
  <c r="D39"/>
  <c r="L38"/>
  <c r="K38"/>
  <c r="D38"/>
  <c r="L37"/>
  <c r="K37"/>
  <c r="D37"/>
  <c r="L36"/>
  <c r="K36"/>
  <c r="D36"/>
  <c r="L35"/>
  <c r="K35"/>
  <c r="D35"/>
  <c r="L32"/>
  <c r="K32"/>
  <c r="D32"/>
  <c r="L29"/>
  <c r="K29"/>
  <c r="D29"/>
  <c r="L26"/>
  <c r="K26"/>
  <c r="D26"/>
  <c r="L23"/>
  <c r="K23"/>
  <c r="D23"/>
  <c r="L22"/>
  <c r="K22"/>
  <c r="D22"/>
  <c r="L19"/>
  <c r="K19"/>
  <c r="D19"/>
  <c r="L18"/>
  <c r="K18"/>
  <c r="D18"/>
  <c r="L15"/>
  <c r="K15"/>
  <c r="D15"/>
  <c r="L14"/>
  <c r="K14"/>
  <c r="D14"/>
  <c r="L13"/>
  <c r="K13"/>
  <c r="D13"/>
  <c r="L12"/>
  <c r="K12"/>
  <c r="D12"/>
  <c r="L11"/>
  <c r="K11"/>
  <c r="D11"/>
  <c r="L8"/>
  <c r="K8"/>
  <c r="D8"/>
  <c r="L7"/>
  <c r="K7"/>
  <c r="D7"/>
  <c r="L6"/>
  <c r="K6"/>
  <c r="D6"/>
  <c r="L112" i="23"/>
  <c r="K112"/>
  <c r="D112"/>
  <c r="L111"/>
  <c r="K111"/>
  <c r="D111"/>
  <c r="L110"/>
  <c r="K110"/>
  <c r="D110"/>
  <c r="L109"/>
  <c r="K109"/>
  <c r="D109"/>
  <c r="L106"/>
  <c r="K106"/>
  <c r="D106"/>
  <c r="L105"/>
  <c r="K105"/>
  <c r="D105"/>
  <c r="L104"/>
  <c r="K104"/>
  <c r="D104"/>
  <c r="L101"/>
  <c r="K101"/>
  <c r="D101"/>
  <c r="L100"/>
  <c r="K100"/>
  <c r="D100"/>
  <c r="L99"/>
  <c r="K99"/>
  <c r="D99"/>
  <c r="L98"/>
  <c r="K98"/>
  <c r="D98"/>
  <c r="L97"/>
  <c r="K97"/>
  <c r="D97"/>
  <c r="L96"/>
  <c r="K96"/>
  <c r="D96"/>
  <c r="L95"/>
  <c r="K95"/>
  <c r="D95"/>
  <c r="L94"/>
  <c r="K94"/>
  <c r="D94"/>
  <c r="L93"/>
  <c r="K93"/>
  <c r="D93"/>
  <c r="L92"/>
  <c r="K92"/>
  <c r="D92"/>
  <c r="L89"/>
  <c r="K89"/>
  <c r="D89"/>
  <c r="L88"/>
  <c r="K88"/>
  <c r="D88"/>
  <c r="L87"/>
  <c r="K87"/>
  <c r="D87"/>
  <c r="L86"/>
  <c r="K86"/>
  <c r="D86"/>
  <c r="L85"/>
  <c r="K85"/>
  <c r="D85"/>
  <c r="L84"/>
  <c r="K84"/>
  <c r="D84"/>
  <c r="L83"/>
  <c r="K83"/>
  <c r="D83"/>
  <c r="L82"/>
  <c r="K82"/>
  <c r="D82"/>
  <c r="L81"/>
  <c r="K81"/>
  <c r="D81"/>
  <c r="L80"/>
  <c r="K80"/>
  <c r="D80"/>
  <c r="L79"/>
  <c r="K79"/>
  <c r="D79"/>
  <c r="L78"/>
  <c r="K78"/>
  <c r="D78"/>
  <c r="L77"/>
  <c r="K77"/>
  <c r="D77"/>
  <c r="L76"/>
  <c r="K76"/>
  <c r="D76"/>
  <c r="L75"/>
  <c r="K75"/>
  <c r="D75"/>
  <c r="L72"/>
  <c r="K72"/>
  <c r="D72"/>
  <c r="L71"/>
  <c r="K71"/>
  <c r="D71"/>
  <c r="L70"/>
  <c r="K70"/>
  <c r="D70"/>
  <c r="L69"/>
  <c r="K69"/>
  <c r="D69"/>
  <c r="L68"/>
  <c r="K68"/>
  <c r="D68"/>
  <c r="L67"/>
  <c r="K67"/>
  <c r="D67"/>
  <c r="L66"/>
  <c r="K66"/>
  <c r="D66"/>
  <c r="L65"/>
  <c r="K65"/>
  <c r="D65"/>
  <c r="L64"/>
  <c r="K64"/>
  <c r="D64"/>
  <c r="L63"/>
  <c r="K63"/>
  <c r="D63"/>
  <c r="L60"/>
  <c r="K60"/>
  <c r="D60"/>
  <c r="L59"/>
  <c r="K59"/>
  <c r="D59"/>
  <c r="L58"/>
  <c r="K58"/>
  <c r="D58"/>
  <c r="L57"/>
  <c r="K57"/>
  <c r="D57"/>
  <c r="L56"/>
  <c r="K56"/>
  <c r="D56"/>
  <c r="L55"/>
  <c r="K55"/>
  <c r="D55"/>
  <c r="L54"/>
  <c r="K54"/>
  <c r="D54"/>
  <c r="L51"/>
  <c r="K51"/>
  <c r="D51"/>
  <c r="L50"/>
  <c r="K50"/>
  <c r="D50"/>
  <c r="L49"/>
  <c r="K49"/>
  <c r="D49"/>
  <c r="L48"/>
  <c r="K48"/>
  <c r="D48"/>
  <c r="L47"/>
  <c r="K47"/>
  <c r="D47"/>
  <c r="L46"/>
  <c r="K46"/>
  <c r="D46"/>
  <c r="L45"/>
  <c r="K45"/>
  <c r="D45"/>
  <c r="L44"/>
  <c r="K44"/>
  <c r="D44"/>
  <c r="L41"/>
  <c r="K41"/>
  <c r="D41"/>
  <c r="L38"/>
  <c r="K38"/>
  <c r="D38"/>
  <c r="L37"/>
  <c r="K37"/>
  <c r="D37"/>
  <c r="L34"/>
  <c r="K34"/>
  <c r="D34"/>
  <c r="L33"/>
  <c r="K33"/>
  <c r="D33"/>
  <c r="L30"/>
  <c r="K30"/>
  <c r="D30"/>
  <c r="L29"/>
  <c r="K29"/>
  <c r="D29"/>
  <c r="L26"/>
  <c r="K26"/>
  <c r="D26"/>
  <c r="L23"/>
  <c r="K23"/>
  <c r="D23"/>
  <c r="L22"/>
  <c r="K22"/>
  <c r="D22"/>
  <c r="L19"/>
  <c r="K19"/>
  <c r="D19"/>
  <c r="L18"/>
  <c r="K18"/>
  <c r="D18"/>
  <c r="L17"/>
  <c r="K17"/>
  <c r="D17"/>
  <c r="L14"/>
  <c r="K14"/>
  <c r="D14"/>
  <c r="L13"/>
  <c r="K13"/>
  <c r="D13"/>
  <c r="L10"/>
  <c r="K10"/>
  <c r="D10"/>
  <c r="L9"/>
  <c r="K9"/>
  <c r="D9"/>
  <c r="L8"/>
  <c r="K8"/>
  <c r="D8"/>
  <c r="L7"/>
  <c r="K7"/>
  <c r="D7"/>
  <c r="L6"/>
  <c r="K6"/>
  <c r="D6"/>
  <c r="T53" i="22"/>
  <c r="S53"/>
  <c r="D53"/>
  <c r="T50"/>
  <c r="S50"/>
  <c r="D50"/>
  <c r="T49"/>
  <c r="S49"/>
  <c r="D49"/>
  <c r="T48"/>
  <c r="S48"/>
  <c r="D48"/>
  <c r="T47"/>
  <c r="S47"/>
  <c r="D47"/>
  <c r="T44"/>
  <c r="S44"/>
  <c r="D44"/>
  <c r="T43"/>
  <c r="S43"/>
  <c r="D43"/>
  <c r="T42"/>
  <c r="S42"/>
  <c r="D42"/>
  <c r="T41"/>
  <c r="S41"/>
  <c r="D41"/>
  <c r="T38"/>
  <c r="S38"/>
  <c r="D38"/>
  <c r="T37"/>
  <c r="S37"/>
  <c r="D37"/>
  <c r="T36"/>
  <c r="S36"/>
  <c r="D36"/>
  <c r="T35"/>
  <c r="S35"/>
  <c r="D35"/>
  <c r="T34"/>
  <c r="S34"/>
  <c r="D34"/>
  <c r="T31"/>
  <c r="S31"/>
  <c r="D31"/>
  <c r="T30"/>
  <c r="S30"/>
  <c r="D30"/>
  <c r="T29"/>
  <c r="S29"/>
  <c r="D29"/>
  <c r="T26"/>
  <c r="S26"/>
  <c r="D26"/>
  <c r="T25"/>
  <c r="S25"/>
  <c r="D25"/>
  <c r="T24"/>
  <c r="S24"/>
  <c r="D24"/>
  <c r="T23"/>
  <c r="S23"/>
  <c r="D23"/>
  <c r="T22"/>
  <c r="S22"/>
  <c r="D22"/>
  <c r="T19"/>
  <c r="S19"/>
  <c r="D19"/>
  <c r="T18"/>
  <c r="S18"/>
  <c r="D18"/>
  <c r="T17"/>
  <c r="S17"/>
  <c r="D17"/>
  <c r="T14"/>
  <c r="S14"/>
  <c r="D14"/>
  <c r="T13"/>
  <c r="S13"/>
  <c r="D13"/>
  <c r="T12"/>
  <c r="S12"/>
  <c r="D12"/>
  <c r="T9"/>
  <c r="S9"/>
  <c r="D9"/>
  <c r="T8"/>
  <c r="S8"/>
  <c r="D8"/>
  <c r="T7"/>
  <c r="S7"/>
  <c r="D7"/>
  <c r="T6"/>
  <c r="S6"/>
  <c r="D6"/>
  <c r="L32" i="21"/>
  <c r="K32"/>
  <c r="D32"/>
  <c r="L29"/>
  <c r="K29"/>
  <c r="D29"/>
  <c r="L28"/>
  <c r="K28"/>
  <c r="D28"/>
  <c r="L27"/>
  <c r="K27"/>
  <c r="D27"/>
  <c r="L24"/>
  <c r="K24"/>
  <c r="D24"/>
  <c r="L23"/>
  <c r="K23"/>
  <c r="D23"/>
  <c r="L22"/>
  <c r="K22"/>
  <c r="D22"/>
  <c r="L19"/>
  <c r="K19"/>
  <c r="D19"/>
  <c r="L16"/>
  <c r="K16"/>
  <c r="D16"/>
  <c r="L13"/>
  <c r="K13"/>
  <c r="D13"/>
  <c r="L12"/>
  <c r="K12"/>
  <c r="D12"/>
  <c r="L11"/>
  <c r="K11"/>
  <c r="D11"/>
  <c r="L10"/>
  <c r="K10"/>
  <c r="D10"/>
  <c r="L9"/>
  <c r="K9"/>
  <c r="D9"/>
  <c r="L6"/>
  <c r="K6"/>
  <c r="D6"/>
  <c r="L19" i="17"/>
  <c r="K19"/>
  <c r="D19"/>
  <c r="L16"/>
  <c r="K16"/>
  <c r="D16"/>
  <c r="L13"/>
  <c r="K13"/>
  <c r="D13"/>
  <c r="L12"/>
  <c r="K12"/>
  <c r="D12"/>
  <c r="L9"/>
  <c r="K9"/>
  <c r="D9"/>
  <c r="L6"/>
  <c r="K6"/>
  <c r="D6"/>
  <c r="T8" i="16"/>
  <c r="S8"/>
  <c r="D8"/>
  <c r="T7"/>
  <c r="S7"/>
  <c r="D7"/>
  <c r="T6"/>
  <c r="S6"/>
  <c r="D6"/>
  <c r="L6" i="13"/>
  <c r="K6"/>
  <c r="D6"/>
  <c r="T6" i="10"/>
  <c r="S6"/>
  <c r="D6"/>
  <c r="T6" i="8"/>
  <c r="S6"/>
  <c r="D6"/>
  <c r="L21" i="7"/>
  <c r="K21"/>
  <c r="D21"/>
  <c r="L18"/>
  <c r="K18"/>
  <c r="D18"/>
  <c r="L15"/>
  <c r="K15"/>
  <c r="D15"/>
  <c r="L12"/>
  <c r="K12"/>
  <c r="D12"/>
  <c r="L9"/>
  <c r="K9"/>
  <c r="D9"/>
  <c r="L6"/>
  <c r="K6"/>
  <c r="D6"/>
  <c r="L31" i="6"/>
  <c r="K31"/>
  <c r="D31"/>
  <c r="L30"/>
  <c r="K30"/>
  <c r="D30"/>
  <c r="L27"/>
  <c r="K27"/>
  <c r="D27"/>
  <c r="L26"/>
  <c r="K26"/>
  <c r="D26"/>
  <c r="L25"/>
  <c r="K25"/>
  <c r="D25"/>
  <c r="L24"/>
  <c r="K24"/>
  <c r="D24"/>
  <c r="L21"/>
  <c r="K21"/>
  <c r="D21"/>
  <c r="L20"/>
  <c r="K20"/>
  <c r="D20"/>
  <c r="L17"/>
  <c r="K17"/>
  <c r="D17"/>
  <c r="L16"/>
  <c r="K16"/>
  <c r="D16"/>
  <c r="L15"/>
  <c r="K15"/>
  <c r="D15"/>
  <c r="L12"/>
  <c r="K12"/>
  <c r="D12"/>
  <c r="L11"/>
  <c r="K11"/>
  <c r="D11"/>
  <c r="L10"/>
  <c r="K10"/>
  <c r="D10"/>
  <c r="L9"/>
  <c r="K9"/>
  <c r="D9"/>
  <c r="L6"/>
  <c r="K6"/>
  <c r="D6"/>
  <c r="T30" i="5"/>
  <c r="S30"/>
  <c r="D30"/>
  <c r="T27"/>
  <c r="S27"/>
  <c r="D27"/>
  <c r="T26"/>
  <c r="S26"/>
  <c r="D26"/>
  <c r="T23"/>
  <c r="S23"/>
  <c r="D23"/>
  <c r="T22"/>
  <c r="S22"/>
  <c r="D22"/>
  <c r="T21"/>
  <c r="S21"/>
  <c r="D21"/>
  <c r="T20"/>
  <c r="S20"/>
  <c r="D20"/>
  <c r="T19"/>
  <c r="S19"/>
  <c r="D19"/>
  <c r="T16"/>
  <c r="S16"/>
  <c r="D16"/>
  <c r="T15"/>
  <c r="S15"/>
  <c r="D15"/>
  <c r="T14"/>
  <c r="S14"/>
  <c r="D14"/>
  <c r="T13"/>
  <c r="S13"/>
  <c r="D13"/>
  <c r="T10"/>
  <c r="S10"/>
  <c r="D10"/>
  <c r="T9"/>
  <c r="S9"/>
  <c r="D9"/>
  <c r="T6"/>
  <c r="S6"/>
  <c r="D6"/>
</calcChain>
</file>

<file path=xl/sharedStrings.xml><?xml version="1.0" encoding="utf-8"?>
<sst xmlns="http://schemas.openxmlformats.org/spreadsheetml/2006/main" count="5506" uniqueCount="1636">
  <si>
    <t>ФИО</t>
  </si>
  <si>
    <t>Присед</t>
  </si>
  <si>
    <t>Жим</t>
  </si>
  <si>
    <t>Тяга</t>
  </si>
  <si>
    <t>Сумма</t>
  </si>
  <si>
    <t>Тренер</t>
  </si>
  <si>
    <t>Очки</t>
  </si>
  <si>
    <t>Команда</t>
  </si>
  <si>
    <t>Рек</t>
  </si>
  <si>
    <t>Возр груп
Год. р./Возраст</t>
  </si>
  <si>
    <t>Коэф</t>
  </si>
  <si>
    <t>Город/область</t>
  </si>
  <si>
    <t>Соб.
Вес</t>
  </si>
  <si>
    <t>Кубок России НАП
ПРО пауэрлифтинг без экипировки
Кемерово/Кемеровская область 24 - 25 марта 2018 г.</t>
  </si>
  <si>
    <t>Shv/Mel</t>
  </si>
  <si>
    <t>ВЕСОВАЯ КАТЕГОРИЯ   75</t>
  </si>
  <si>
    <t>Ганш Евгений</t>
  </si>
  <si>
    <t>1. Ганш Евгений</t>
  </si>
  <si>
    <t>Открытая (10.04.1992)/25</t>
  </si>
  <si>
    <t>72,65</t>
  </si>
  <si>
    <t xml:space="preserve">Рельеф </t>
  </si>
  <si>
    <t xml:space="preserve">Барнаул/Алтайский край </t>
  </si>
  <si>
    <t>180,0</t>
  </si>
  <si>
    <t>190,0</t>
  </si>
  <si>
    <t>120,0</t>
  </si>
  <si>
    <t>130,0</t>
  </si>
  <si>
    <t>135,0</t>
  </si>
  <si>
    <t>240,0</t>
  </si>
  <si>
    <t>255,0</t>
  </si>
  <si>
    <t>262,5</t>
  </si>
  <si>
    <t xml:space="preserve">Меркулов А. </t>
  </si>
  <si>
    <t>ВЕСОВАЯ КАТЕГОРИЯ   82.5</t>
  </si>
  <si>
    <t>Кохась Петр</t>
  </si>
  <si>
    <t>1. Кохась Петр</t>
  </si>
  <si>
    <t>Открытая (18.04.1990)/27</t>
  </si>
  <si>
    <t>82,50</t>
  </si>
  <si>
    <t xml:space="preserve">Прогресс </t>
  </si>
  <si>
    <t xml:space="preserve">Полысаево/Кемеровская область </t>
  </si>
  <si>
    <t>192,5</t>
  </si>
  <si>
    <t>200,0</t>
  </si>
  <si>
    <t>162,5</t>
  </si>
  <si>
    <t>172,5</t>
  </si>
  <si>
    <t>210,0</t>
  </si>
  <si>
    <t>225,0</t>
  </si>
  <si>
    <t>235,0</t>
  </si>
  <si>
    <t xml:space="preserve">Черданцев Ю. </t>
  </si>
  <si>
    <t>Колесников Алексей</t>
  </si>
  <si>
    <t>2. Колесников Алексей</t>
  </si>
  <si>
    <t>Открытая (29.08.1986)/31</t>
  </si>
  <si>
    <t>80,00</t>
  </si>
  <si>
    <t xml:space="preserve">Totmyanin-WAINS Team </t>
  </si>
  <si>
    <t xml:space="preserve">Кемерово/Кемеровская область </t>
  </si>
  <si>
    <t>195,0</t>
  </si>
  <si>
    <t>205,0</t>
  </si>
  <si>
    <t>145,0</t>
  </si>
  <si>
    <t>232,5</t>
  </si>
  <si>
    <t>247,5</t>
  </si>
  <si>
    <t>257,5</t>
  </si>
  <si>
    <t xml:space="preserve"> </t>
  </si>
  <si>
    <t>ВЕСОВАЯ КАТЕГОРИЯ   90</t>
  </si>
  <si>
    <t>Коновалов Владимир</t>
  </si>
  <si>
    <t>1. Коновалов Владимир</t>
  </si>
  <si>
    <t>Юниоры 20 - 23 (03.01.1998)/20</t>
  </si>
  <si>
    <t>89,50</t>
  </si>
  <si>
    <t>140,0</t>
  </si>
  <si>
    <t>150,0</t>
  </si>
  <si>
    <t>160,0</t>
  </si>
  <si>
    <t>220,0</t>
  </si>
  <si>
    <t>270,0</t>
  </si>
  <si>
    <t xml:space="preserve">Зевякин И. </t>
  </si>
  <si>
    <t>Гаврилов Дмитрий</t>
  </si>
  <si>
    <t>1. Гаврилов Дмитрий</t>
  </si>
  <si>
    <t>Открытая (19.03.1993)/25</t>
  </si>
  <si>
    <t>89,60</t>
  </si>
  <si>
    <t>170,0</t>
  </si>
  <si>
    <t>175,0</t>
  </si>
  <si>
    <t>177,5</t>
  </si>
  <si>
    <t xml:space="preserve">Хоронжак И. </t>
  </si>
  <si>
    <t>Цвентарный Илья</t>
  </si>
  <si>
    <t>2. Цвентарный Илья</t>
  </si>
  <si>
    <t>Открытая (19.04.1992)/25</t>
  </si>
  <si>
    <t>88,20</t>
  </si>
  <si>
    <t xml:space="preserve">лично </t>
  </si>
  <si>
    <t xml:space="preserve">Горно-Алтайск/Алтай </t>
  </si>
  <si>
    <t>182,5</t>
  </si>
  <si>
    <t>Курилов Евгений</t>
  </si>
  <si>
    <t>3. Курилов Евгений</t>
  </si>
  <si>
    <t>Открытая (07.05.1981)/36</t>
  </si>
  <si>
    <t>83,50</t>
  </si>
  <si>
    <t xml:space="preserve">Новокузнецк/Кемеровская область </t>
  </si>
  <si>
    <t>155,0</t>
  </si>
  <si>
    <t>142,5</t>
  </si>
  <si>
    <t>185,0</t>
  </si>
  <si>
    <t xml:space="preserve">Черепанов Д. </t>
  </si>
  <si>
    <t>ВЕСОВАЯ КАТЕГОРИЯ   100</t>
  </si>
  <si>
    <t>Журжий Даниил</t>
  </si>
  <si>
    <t>1. Журжий Даниил</t>
  </si>
  <si>
    <t>Юноши 18 - 19 (28.12.1999)/18</t>
  </si>
  <si>
    <t>93,40</t>
  </si>
  <si>
    <t xml:space="preserve">Веселые ребята </t>
  </si>
  <si>
    <t xml:space="preserve">Анжеро-Судженск/Кемеровская область </t>
  </si>
  <si>
    <t>165,0</t>
  </si>
  <si>
    <t>110,0</t>
  </si>
  <si>
    <t>117,5</t>
  </si>
  <si>
    <t>122,5</t>
  </si>
  <si>
    <t>-. Поткин Артем</t>
  </si>
  <si>
    <t>Юниоры 20 - 23 (21.04.1994)/23</t>
  </si>
  <si>
    <t>99,20</t>
  </si>
  <si>
    <t xml:space="preserve">Киселёвск/Кемеровская область </t>
  </si>
  <si>
    <t>215,0</t>
  </si>
  <si>
    <t>0,0</t>
  </si>
  <si>
    <t>Таскаев Евгений</t>
  </si>
  <si>
    <t>1. Таскаев Евгений</t>
  </si>
  <si>
    <t>Открытая (30.08.1987)/30</t>
  </si>
  <si>
    <t>275,0</t>
  </si>
  <si>
    <t>245,0</t>
  </si>
  <si>
    <t>265,0</t>
  </si>
  <si>
    <t>Федоров Вячеслав</t>
  </si>
  <si>
    <t>2. Федоров Вячеслав</t>
  </si>
  <si>
    <t>Открытая (25.05.1978)/39</t>
  </si>
  <si>
    <t>96,50</t>
  </si>
  <si>
    <t>260,0</t>
  </si>
  <si>
    <t>280,0</t>
  </si>
  <si>
    <t>Юркин Сергей</t>
  </si>
  <si>
    <t>1. Юркин Сергей</t>
  </si>
  <si>
    <t>Мастера 45 - 49 (03.02.1969)/49</t>
  </si>
  <si>
    <t>99,70</t>
  </si>
  <si>
    <t>125,0</t>
  </si>
  <si>
    <t xml:space="preserve">Ганш Е. </t>
  </si>
  <si>
    <t>ВЕСОВАЯ КАТЕГОРИЯ   110</t>
  </si>
  <si>
    <t>Багаев Александр</t>
  </si>
  <si>
    <t>1. Багаев Александр</t>
  </si>
  <si>
    <t>Открытая (04.04.1986)/31</t>
  </si>
  <si>
    <t>110,00</t>
  </si>
  <si>
    <t>187,5</t>
  </si>
  <si>
    <t>Зеленко Игорь</t>
  </si>
  <si>
    <t>1. Зеленко Игорь</t>
  </si>
  <si>
    <t>Мастера 45 - 49 (03.06.1972)/45</t>
  </si>
  <si>
    <t>100,70</t>
  </si>
  <si>
    <t>152,5</t>
  </si>
  <si>
    <t>ВЕСОВАЯ КАТЕГОРИЯ   140</t>
  </si>
  <si>
    <t>Ивакин Антон</t>
  </si>
  <si>
    <t>1. Ивакин Антон</t>
  </si>
  <si>
    <t>Открытая (11.12.1988)/29</t>
  </si>
  <si>
    <t>125,15</t>
  </si>
  <si>
    <t>230,0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</si>
  <si>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</si>
  <si>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</si>
  <si>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</si>
  <si>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</si>
  <si>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</si>
  <si>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</si>
  <si>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</si>
  <si>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</si>
  <si>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</si>
  <si>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</si>
  <si>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</si>
  <si>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</si>
  <si>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</si>
  <si>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Юноши 18 - 19 </t>
  </si>
  <si>
    <t>100,0</t>
  </si>
  <si>
    <t>505,0</t>
  </si>
  <si>
    <t>306,7269</t>
  </si>
  <si>
    <t xml:space="preserve">Юниоры </t>
  </si>
  <si>
    <t xml:space="preserve">Юниоры 20 - 23 </t>
  </si>
  <si>
    <t>90,0</t>
  </si>
  <si>
    <t>630,0</t>
  </si>
  <si>
    <t>381,0990</t>
  </si>
  <si>
    <t xml:space="preserve">Открытая </t>
  </si>
  <si>
    <t>75,0</t>
  </si>
  <si>
    <t>570,0</t>
  </si>
  <si>
    <t>388,5120</t>
  </si>
  <si>
    <t>695,0</t>
  </si>
  <si>
    <t>386,4200</t>
  </si>
  <si>
    <t>82,5</t>
  </si>
  <si>
    <t>597,5</t>
  </si>
  <si>
    <t>378,1577</t>
  </si>
  <si>
    <t>607,5</t>
  </si>
  <si>
    <t>376,2248</t>
  </si>
  <si>
    <t>637,5</t>
  </si>
  <si>
    <t>374,1487</t>
  </si>
  <si>
    <t>645,0</t>
  </si>
  <si>
    <t>363,3285</t>
  </si>
  <si>
    <t>590,0</t>
  </si>
  <si>
    <t>349,6340</t>
  </si>
  <si>
    <t>577,5</t>
  </si>
  <si>
    <t>309,8287</t>
  </si>
  <si>
    <t>502,5</t>
  </si>
  <si>
    <t>308,6355</t>
  </si>
  <si>
    <t>575,0</t>
  </si>
  <si>
    <t>299,4715</t>
  </si>
  <si>
    <t xml:space="preserve">Мастера </t>
  </si>
  <si>
    <t xml:space="preserve">Мастера 45 - 49 </t>
  </si>
  <si>
    <t>535,0</t>
  </si>
  <si>
    <t>339,5598</t>
  </si>
  <si>
    <t>532,5</t>
  </si>
  <si>
    <t>308,2723</t>
  </si>
  <si>
    <t>Кубок России НАП
ПРО жим лежа без экипировки
Кемерово/Кемеровская область 24 - 25 марта 2018 г.</t>
  </si>
  <si>
    <t>ВЕСОВАЯ КАТЕГОРИЯ   56</t>
  </si>
  <si>
    <t>Меркулова Агнесса</t>
  </si>
  <si>
    <t>1. Меркулова Агнесса</t>
  </si>
  <si>
    <t>Открытая (09.03.1988)/30</t>
  </si>
  <si>
    <t>55,45</t>
  </si>
  <si>
    <t>95,0</t>
  </si>
  <si>
    <t>Чекин Тимур</t>
  </si>
  <si>
    <t>1. Чекин Тимур</t>
  </si>
  <si>
    <t>Юниоры 20 - 23 (08.06.1996)/21</t>
  </si>
  <si>
    <t>77,60</t>
  </si>
  <si>
    <t xml:space="preserve">Нутрифит </t>
  </si>
  <si>
    <t>Баранов Валерий</t>
  </si>
  <si>
    <t>2. Баранов Валерий</t>
  </si>
  <si>
    <t>Юниоры 20 - 23 (13.01.1997)/21</t>
  </si>
  <si>
    <t>79,80</t>
  </si>
  <si>
    <t xml:space="preserve">Белово/Кемеровская область </t>
  </si>
  <si>
    <t>Малахов Евгений</t>
  </si>
  <si>
    <t>3. Малахов Евгений</t>
  </si>
  <si>
    <t>Юниоры 20 - 23 (19.07.1995)/22</t>
  </si>
  <si>
    <t>107,5</t>
  </si>
  <si>
    <t>Головин Роман </t>
  </si>
  <si>
    <t>1. Головин Роман </t>
  </si>
  <si>
    <t>Юниоры 20 - 23 (12.11.1997)/20</t>
  </si>
  <si>
    <t>87,90</t>
  </si>
  <si>
    <t>Ильюша Евгений</t>
  </si>
  <si>
    <t>1. Ильюша Евгений</t>
  </si>
  <si>
    <t>Открытая (10.03.1993)/25</t>
  </si>
  <si>
    <t>89,70</t>
  </si>
  <si>
    <t>Матюнин Анатолий</t>
  </si>
  <si>
    <t>1. Матюнин Анатолий</t>
  </si>
  <si>
    <t>Открытая (23.07.1986)/31</t>
  </si>
  <si>
    <t>95,90</t>
  </si>
  <si>
    <t>Головинский Эдуард</t>
  </si>
  <si>
    <t>1. Головинский Эдуард</t>
  </si>
  <si>
    <t>Мастера 45 - 49 (25.06.1968)/49</t>
  </si>
  <si>
    <t>98,00</t>
  </si>
  <si>
    <t xml:space="preserve">Пластилин </t>
  </si>
  <si>
    <t>Козленко Леонид</t>
  </si>
  <si>
    <t>1. Козленко Леонид</t>
  </si>
  <si>
    <t>Юниоры 20 - 23 (10.02.1998)/20</t>
  </si>
  <si>
    <t>103,95</t>
  </si>
  <si>
    <t>Отрубенников Александр</t>
  </si>
  <si>
    <t>2. Отрубенников Александр</t>
  </si>
  <si>
    <t>Юниоры 20 - 23 (09.03.1997)/21</t>
  </si>
  <si>
    <t>105,60</t>
  </si>
  <si>
    <t>Чувичкин Максим</t>
  </si>
  <si>
    <t>1. Чувичкин Максим</t>
  </si>
  <si>
    <t>Открытая (12.11.1983)/34</t>
  </si>
  <si>
    <t>Богатчук Павел</t>
  </si>
  <si>
    <t>2. Богатчук Павел</t>
  </si>
  <si>
    <t>Открытая (09.05.1983)/34</t>
  </si>
  <si>
    <t>108,70</t>
  </si>
  <si>
    <t>ВЕСОВАЯ КАТЕГОРИЯ   125</t>
  </si>
  <si>
    <t>Медведев Максим</t>
  </si>
  <si>
    <t>1. Медведев Максим</t>
  </si>
  <si>
    <t>Открытая (16.05.1981)/36</t>
  </si>
  <si>
    <t>115,10</t>
  </si>
  <si>
    <t>Самойлов Владимир</t>
  </si>
  <si>
    <t>2. Самойлов Владимир</t>
  </si>
  <si>
    <t>Открытая (09.05.1991)/26</t>
  </si>
  <si>
    <t>119,50</t>
  </si>
  <si>
    <t xml:space="preserve">Прокопьевск/Кемеровская область </t>
  </si>
  <si>
    <t>212,5</t>
  </si>
  <si>
    <t xml:space="preserve">Женщины </t>
  </si>
  <si>
    <t>56,0</t>
  </si>
  <si>
    <t>87,3430</t>
  </si>
  <si>
    <t>115,5431</t>
  </si>
  <si>
    <t>112,3936</t>
  </si>
  <si>
    <t>103,9919</t>
  </si>
  <si>
    <t>103,4851</t>
  </si>
  <si>
    <t>99,6397</t>
  </si>
  <si>
    <t>62,5493</t>
  </si>
  <si>
    <t>119,5425</t>
  </si>
  <si>
    <t>116,0280</t>
  </si>
  <si>
    <t>107,0362</t>
  </si>
  <si>
    <t>106,8293</t>
  </si>
  <si>
    <t>104,6175</t>
  </si>
  <si>
    <t>103,5843</t>
  </si>
  <si>
    <t>100,7420</t>
  </si>
  <si>
    <t>91,8288</t>
  </si>
  <si>
    <t>118,3279</t>
  </si>
  <si>
    <t>Результат</t>
  </si>
  <si>
    <t>Кубок России НАП
ПРО становая тяга без экипировки
Кемерово/Кемеровская область 24 - 25 марта 2018 г.</t>
  </si>
  <si>
    <t>ВЕСОВАЯ КАТЕГОРИЯ   67.5</t>
  </si>
  <si>
    <t>Крюков Виталий</t>
  </si>
  <si>
    <t>1. Крюков Виталий</t>
  </si>
  <si>
    <t>Юноши 14 - 15 (02.01.2004)/14</t>
  </si>
  <si>
    <t>65,60</t>
  </si>
  <si>
    <t>112,5</t>
  </si>
  <si>
    <t>Черняев Михаил</t>
  </si>
  <si>
    <t>1. Черняев Михаил</t>
  </si>
  <si>
    <t>Мастера 40 - 44 (09.05.1975)/42</t>
  </si>
  <si>
    <t>75,00</t>
  </si>
  <si>
    <t>Елагин Сергей</t>
  </si>
  <si>
    <t>1. Елагин Сергей</t>
  </si>
  <si>
    <t>Открытая (18.07.1974)/43</t>
  </si>
  <si>
    <t>89,20</t>
  </si>
  <si>
    <t>250,0</t>
  </si>
  <si>
    <t xml:space="preserve">Голубков Г.П. </t>
  </si>
  <si>
    <t>1. Федоров Вячеслав</t>
  </si>
  <si>
    <t>1. Богатчук Павел</t>
  </si>
  <si>
    <t>290,0</t>
  </si>
  <si>
    <t>300,0</t>
  </si>
  <si>
    <t>Лановикин Андрей</t>
  </si>
  <si>
    <t>1. Лановикин Андрей</t>
  </si>
  <si>
    <t>Юноши 18 - 19 (29.08.1999)/18</t>
  </si>
  <si>
    <t>123,20</t>
  </si>
  <si>
    <t>130,4039</t>
  </si>
  <si>
    <t xml:space="preserve">Юноши 14 - 15 </t>
  </si>
  <si>
    <t>67,5</t>
  </si>
  <si>
    <t>112,2529</t>
  </si>
  <si>
    <t>161,4300</t>
  </si>
  <si>
    <t>154,9075</t>
  </si>
  <si>
    <t>147,1250</t>
  </si>
  <si>
    <t xml:space="preserve">Мастера 40 - 44 </t>
  </si>
  <si>
    <t>147,5057</t>
  </si>
  <si>
    <t>Кубок России НАП
ПРО пауэрлифтинг в однослойной экипировке
Кемерово/Кемеровская область 24 - 25 марта 2018 г.</t>
  </si>
  <si>
    <t>Толстушенко Павел</t>
  </si>
  <si>
    <t>1. Толстушенко Павел</t>
  </si>
  <si>
    <t>Открытая (18.08.1981)/36</t>
  </si>
  <si>
    <t>87,35</t>
  </si>
  <si>
    <t>730,0</t>
  </si>
  <si>
    <t>435,2625</t>
  </si>
  <si>
    <t>Кубок России НАП
ПРО пауэрлифтинг в многослойной экипировке
Кемерово/Кемеровская область 24 - 25 марта 2018 г.</t>
  </si>
  <si>
    <t>Сухачев Анатолий</t>
  </si>
  <si>
    <t>1. Сухачев Анатолий</t>
  </si>
  <si>
    <t>Открытая (19.10.1992)/25</t>
  </si>
  <si>
    <t>89,90</t>
  </si>
  <si>
    <t>315,0</t>
  </si>
  <si>
    <t>330,0</t>
  </si>
  <si>
    <t xml:space="preserve">Коновалов С. </t>
  </si>
  <si>
    <t>790,0</t>
  </si>
  <si>
    <t>462,7030</t>
  </si>
  <si>
    <t>Кубок России НАП
ПРО становая тяга в однослойной экипировке
Кемерово/Кемеровская область 24 - 25 марта 2018 г.</t>
  </si>
  <si>
    <t>Федосеев Сергей</t>
  </si>
  <si>
    <t>1. Федосеев Сергей</t>
  </si>
  <si>
    <t>Открытая (18.01.1982)/36</t>
  </si>
  <si>
    <t>80,60</t>
  </si>
  <si>
    <t xml:space="preserve">Стальной медведь </t>
  </si>
  <si>
    <t xml:space="preserve">Новосибирск/Новосибирская область </t>
  </si>
  <si>
    <t xml:space="preserve">Быховец А </t>
  </si>
  <si>
    <t>107,0150</t>
  </si>
  <si>
    <t>Кубок России НАП
ПРО пауэрлифтинг в софт экипировке
Кемерово/Кемеровская область 24 - 25 марта 2018 г.</t>
  </si>
  <si>
    <t>Булгаков Андрей</t>
  </si>
  <si>
    <t>1. Булгаков Андрей</t>
  </si>
  <si>
    <t>Открытая (08.01.1997)/21</t>
  </si>
  <si>
    <t>90,00</t>
  </si>
  <si>
    <t xml:space="preserve">Коновалова </t>
  </si>
  <si>
    <t>Леонтьев Андрей</t>
  </si>
  <si>
    <t>2. Леонтьев Андрей</t>
  </si>
  <si>
    <t>Открытая (23.09.1985)/32</t>
  </si>
  <si>
    <t xml:space="preserve">Краснобродский/Кемеровская область </t>
  </si>
  <si>
    <t>242,5</t>
  </si>
  <si>
    <t>202,5</t>
  </si>
  <si>
    <t>Глушков Евгений</t>
  </si>
  <si>
    <t>3. Глушков Евгений</t>
  </si>
  <si>
    <t>Открытая (09.12.1981)/36</t>
  </si>
  <si>
    <t>755,0</t>
  </si>
  <si>
    <t>441,9015</t>
  </si>
  <si>
    <t>697,5</t>
  </si>
  <si>
    <t>408,2468</t>
  </si>
  <si>
    <t>617,5</t>
  </si>
  <si>
    <t>361,4228</t>
  </si>
  <si>
    <t>Кубок России НАП
ПРО жим лежа в софт экипировке
Кемерово/Кемеровская область 24 - 25 марта 2018 г.</t>
  </si>
  <si>
    <t>Чубарова Анна</t>
  </si>
  <si>
    <t>1. Чубарова Анна</t>
  </si>
  <si>
    <t>Открытая (03.02.1988)/30</t>
  </si>
  <si>
    <t>80,80</t>
  </si>
  <si>
    <t>Николовский Павел</t>
  </si>
  <si>
    <t>1. Николовский Павел</t>
  </si>
  <si>
    <t>Мастера 40 - 44 (08.03.1978)/40</t>
  </si>
  <si>
    <t>71,75</t>
  </si>
  <si>
    <t xml:space="preserve">Ленинск-Кузнецкий/Кемеровская область </t>
  </si>
  <si>
    <t xml:space="preserve">Квич С. </t>
  </si>
  <si>
    <t>Верхотуров Алексей</t>
  </si>
  <si>
    <t>1. Верхотуров Алексей</t>
  </si>
  <si>
    <t>Открытая (30.03.1983)/34</t>
  </si>
  <si>
    <t>80,35</t>
  </si>
  <si>
    <t xml:space="preserve">Красноярск/Красноярский край </t>
  </si>
  <si>
    <t>237,5</t>
  </si>
  <si>
    <t>2. Федосеев Сергей</t>
  </si>
  <si>
    <t>Яковлев Александр</t>
  </si>
  <si>
    <t>1. Яковлев Александр</t>
  </si>
  <si>
    <t>Открытая (21.06.1983)/34</t>
  </si>
  <si>
    <t>89,75</t>
  </si>
  <si>
    <t xml:space="preserve">Ельшин К. </t>
  </si>
  <si>
    <t>Терехин Андрей</t>
  </si>
  <si>
    <t>1. Терехин Андрей</t>
  </si>
  <si>
    <t>Мастера 40 - 44 (22.10.1973)/44</t>
  </si>
  <si>
    <t>115,90</t>
  </si>
  <si>
    <t>105,9890</t>
  </si>
  <si>
    <t>149,8506</t>
  </si>
  <si>
    <t>139,2463</t>
  </si>
  <si>
    <t>100,7200</t>
  </si>
  <si>
    <t>151,4920</t>
  </si>
  <si>
    <t>109,4097</t>
  </si>
  <si>
    <t>Кубок России НАП
ПРО жим лежа в софт экипировке3сл.
Кемерово/Кемеровская область 24 - 25 марта 2018 г.</t>
  </si>
  <si>
    <t>Дрыгин Евгений</t>
  </si>
  <si>
    <t>1. Дрыгин Евгений</t>
  </si>
  <si>
    <t>Открытая (06.03.1989)/29</t>
  </si>
  <si>
    <t xml:space="preserve">Лубягин Д. </t>
  </si>
  <si>
    <t>Богун Сергей</t>
  </si>
  <si>
    <t>1. Богун Сергей</t>
  </si>
  <si>
    <t>Юноши 18 - 19 (03.04.1999)/18</t>
  </si>
  <si>
    <t>76,80</t>
  </si>
  <si>
    <t xml:space="preserve">ЛубягинДенис </t>
  </si>
  <si>
    <t xml:space="preserve">1. ЛубягинДенис </t>
  </si>
  <si>
    <t>Юниоры 20 - 23 (29.03.1994)/23</t>
  </si>
  <si>
    <t>79,20</t>
  </si>
  <si>
    <t>252,5</t>
  </si>
  <si>
    <t xml:space="preserve">Чубарова А </t>
  </si>
  <si>
    <t>Первышин Владимир</t>
  </si>
  <si>
    <t>1. Первышин Владимир</t>
  </si>
  <si>
    <t>Открытая (05.08.1996)/21</t>
  </si>
  <si>
    <t>282,5</t>
  </si>
  <si>
    <t>302,5</t>
  </si>
  <si>
    <t>305,0</t>
  </si>
  <si>
    <t>2. Богун Сергей</t>
  </si>
  <si>
    <t>Открытая (03.04.1999)/18</t>
  </si>
  <si>
    <t>Хованский Дмитрий</t>
  </si>
  <si>
    <t>3. Хованский Дмитрий</t>
  </si>
  <si>
    <t>Открытая (26.05.1986)/31</t>
  </si>
  <si>
    <t>82,00</t>
  </si>
  <si>
    <t>285,0</t>
  </si>
  <si>
    <t>Рыбальченко Кирилл</t>
  </si>
  <si>
    <t>1. Рыбальченко Кирилл</t>
  </si>
  <si>
    <t>Открытая (03.08.1990)/27</t>
  </si>
  <si>
    <t>310,0</t>
  </si>
  <si>
    <t>Меркулов Алексей</t>
  </si>
  <si>
    <t>1. Меркулов Алексей</t>
  </si>
  <si>
    <t>Открытая (27.07.1983)/34</t>
  </si>
  <si>
    <t>98,70</t>
  </si>
  <si>
    <t>Сынков Василий</t>
  </si>
  <si>
    <t>1. Сынков Василий</t>
  </si>
  <si>
    <t>Открытая (07.09.1972)/45</t>
  </si>
  <si>
    <t>104,10</t>
  </si>
  <si>
    <t xml:space="preserve">СВС </t>
  </si>
  <si>
    <t xml:space="preserve">Томск/Томская область </t>
  </si>
  <si>
    <t>375,0</t>
  </si>
  <si>
    <t>400,0</t>
  </si>
  <si>
    <t>402,5</t>
  </si>
  <si>
    <t xml:space="preserve">Обухович А. </t>
  </si>
  <si>
    <t>Васюнин Иван</t>
  </si>
  <si>
    <t>2. Васюнин Иван</t>
  </si>
  <si>
    <t>Открытая (01.08.1983)/34</t>
  </si>
  <si>
    <t>107,50</t>
  </si>
  <si>
    <t xml:space="preserve">Рубцовск/Алтайский край </t>
  </si>
  <si>
    <t>320,0</t>
  </si>
  <si>
    <t>350,0</t>
  </si>
  <si>
    <t>380,0</t>
  </si>
  <si>
    <t>Мастера 45 - 49 (07.09.1972)/45</t>
  </si>
  <si>
    <t>1. Самойлов Владимир</t>
  </si>
  <si>
    <t>340,0</t>
  </si>
  <si>
    <t>2. Медведев Максим</t>
  </si>
  <si>
    <t>Ковтонюк Владимир</t>
  </si>
  <si>
    <t>1. Ковтонюк Владимир</t>
  </si>
  <si>
    <t>Мастера 45 - 49 (17.09.1970)/47</t>
  </si>
  <si>
    <t>114,50</t>
  </si>
  <si>
    <t>Кротов Алексей</t>
  </si>
  <si>
    <t>1. Кротов Алексей</t>
  </si>
  <si>
    <t>Открытая (12.10.1979)/38</t>
  </si>
  <si>
    <t>127,20</t>
  </si>
  <si>
    <t>360,0</t>
  </si>
  <si>
    <t>186,7169</t>
  </si>
  <si>
    <t>160,9940</t>
  </si>
  <si>
    <t>204,5250</t>
  </si>
  <si>
    <t>188,9300</t>
  </si>
  <si>
    <t>187,3383</t>
  </si>
  <si>
    <t>186,6096</t>
  </si>
  <si>
    <t>179,3160</t>
  </si>
  <si>
    <t>176,1480</t>
  </si>
  <si>
    <t>175,9500</t>
  </si>
  <si>
    <t>170,0160</t>
  </si>
  <si>
    <t>167,1900</t>
  </si>
  <si>
    <t>163,2488</t>
  </si>
  <si>
    <t>154,4962</t>
  </si>
  <si>
    <t>214,3422</t>
  </si>
  <si>
    <t>174,2177</t>
  </si>
  <si>
    <t>Кубок России НАП
Любители пауэрлифтинг без экипировки
Кемерово/Кемеровская область 24 - 25 марта 2018 г.</t>
  </si>
  <si>
    <t>ВЕСОВАЯ КАТЕГОРИЯ   52</t>
  </si>
  <si>
    <t>Варкентин Екатерина</t>
  </si>
  <si>
    <t>1. Варкентин Екатерина</t>
  </si>
  <si>
    <t>Девушки 16 - 17 (21.12.2000)/17</t>
  </si>
  <si>
    <t>49,70</t>
  </si>
  <si>
    <t xml:space="preserve">Яшкино/Кемеровская </t>
  </si>
  <si>
    <t>55,0</t>
  </si>
  <si>
    <t>60,0</t>
  </si>
  <si>
    <t>35,0</t>
  </si>
  <si>
    <t>40,0</t>
  </si>
  <si>
    <t>70,0</t>
  </si>
  <si>
    <t>80,0</t>
  </si>
  <si>
    <t xml:space="preserve">Романович Д. </t>
  </si>
  <si>
    <t>Помазова Яна</t>
  </si>
  <si>
    <t>1. Помазова Яна</t>
  </si>
  <si>
    <t>Открытая (17.11.1991)/26</t>
  </si>
  <si>
    <t>51,55</t>
  </si>
  <si>
    <t>45,0</t>
  </si>
  <si>
    <t>47,5</t>
  </si>
  <si>
    <t>105,0</t>
  </si>
  <si>
    <t xml:space="preserve">Епонешников Р. </t>
  </si>
  <si>
    <t>Анисимова Евгения</t>
  </si>
  <si>
    <t>2. Анисимова Евгения</t>
  </si>
  <si>
    <t>Открытая (26.06.1992)/25</t>
  </si>
  <si>
    <t>51,65</t>
  </si>
  <si>
    <t>52,5</t>
  </si>
  <si>
    <t>57,5</t>
  </si>
  <si>
    <t xml:space="preserve">Колесникова А. </t>
  </si>
  <si>
    <t>Кажушка Мария</t>
  </si>
  <si>
    <t>-. Кажушка Мария</t>
  </si>
  <si>
    <t>Открытая (30.03.1985)/32</t>
  </si>
  <si>
    <t>51,05</t>
  </si>
  <si>
    <t>50,0</t>
  </si>
  <si>
    <t xml:space="preserve">Симоненко Е. </t>
  </si>
  <si>
    <t>ВЕСОВАЯ КАТЕГОРИЯ   60</t>
  </si>
  <si>
    <t>Лосоногова Майя</t>
  </si>
  <si>
    <t>1. Лосоногова Майя</t>
  </si>
  <si>
    <t>Девушки 14 - 15 (02.06.2002)/15</t>
  </si>
  <si>
    <t>60,00</t>
  </si>
  <si>
    <t xml:space="preserve">Осинники/Кемеровская область </t>
  </si>
  <si>
    <t>62,5</t>
  </si>
  <si>
    <t>25,0</t>
  </si>
  <si>
    <t>27,5</t>
  </si>
  <si>
    <t>30,0</t>
  </si>
  <si>
    <t>77,5</t>
  </si>
  <si>
    <t>Ковалева Анастасия</t>
  </si>
  <si>
    <t>1. Ковалева Анастасия</t>
  </si>
  <si>
    <t>Юниорки 20 - 23 (18.01.1997)/21</t>
  </si>
  <si>
    <t>58,00</t>
  </si>
  <si>
    <t xml:space="preserve">КПД </t>
  </si>
  <si>
    <t>65,0</t>
  </si>
  <si>
    <t>32,5</t>
  </si>
  <si>
    <t>37,5</t>
  </si>
  <si>
    <t>42,5</t>
  </si>
  <si>
    <t xml:space="preserve">Малашкин В. </t>
  </si>
  <si>
    <t>Маленкова Наталья</t>
  </si>
  <si>
    <t>1. Маленкова Наталья</t>
  </si>
  <si>
    <t>Открытая (04.11.1981)/36</t>
  </si>
  <si>
    <t>57,45</t>
  </si>
  <si>
    <t xml:space="preserve">Маленков Е. </t>
  </si>
  <si>
    <t>Мельник Ксения</t>
  </si>
  <si>
    <t>1. Мельник Ксения</t>
  </si>
  <si>
    <t>Открытая (25.11.1986)/31</t>
  </si>
  <si>
    <t>67,35</t>
  </si>
  <si>
    <t>132,5</t>
  </si>
  <si>
    <t>85,0</t>
  </si>
  <si>
    <t xml:space="preserve">Галкин В. </t>
  </si>
  <si>
    <t>Марунченко Ирина</t>
  </si>
  <si>
    <t>2. Марунченко Ирина</t>
  </si>
  <si>
    <t>Открытая (20.05.1986)/31</t>
  </si>
  <si>
    <t>64,25</t>
  </si>
  <si>
    <t>115,0</t>
  </si>
  <si>
    <t>Аксенова Ольга</t>
  </si>
  <si>
    <t>3. Аксенова Ольга</t>
  </si>
  <si>
    <t>Открытая (29.05.1979)/38</t>
  </si>
  <si>
    <t>66,40</t>
  </si>
  <si>
    <t>87,5</t>
  </si>
  <si>
    <t xml:space="preserve">Вьюшков Р. </t>
  </si>
  <si>
    <t>Ляшков Алексей</t>
  </si>
  <si>
    <t>1. Ляшков Алексей</t>
  </si>
  <si>
    <t>Юноши 16 - 17 (08.10.2001)/16</t>
  </si>
  <si>
    <t>63,60</t>
  </si>
  <si>
    <t>72,0</t>
  </si>
  <si>
    <t>Побойкин Сергей</t>
  </si>
  <si>
    <t>1. Побойкин Сергей</t>
  </si>
  <si>
    <t>Открытая (10.03.1989)/29</t>
  </si>
  <si>
    <t>167,5</t>
  </si>
  <si>
    <t>Колбин Андрей</t>
  </si>
  <si>
    <t>2. Колбин Андрей</t>
  </si>
  <si>
    <t>Открытая (22.07.1984)/33</t>
  </si>
  <si>
    <t>67,50</t>
  </si>
  <si>
    <t>Емельянов Николай</t>
  </si>
  <si>
    <t>1. Емельянов Николай</t>
  </si>
  <si>
    <t>Мастера 50 - 54 (30.12.1963)/54</t>
  </si>
  <si>
    <t>66,15</t>
  </si>
  <si>
    <t>137,0</t>
  </si>
  <si>
    <t>Свидерский Владимир</t>
  </si>
  <si>
    <t>1. Свидерский Владимир</t>
  </si>
  <si>
    <t>Мастера 65 - 69 (07.05.1951)/66</t>
  </si>
  <si>
    <t>65,10</t>
  </si>
  <si>
    <t xml:space="preserve">Междуреченск/Кемеровская область </t>
  </si>
  <si>
    <t>127,0</t>
  </si>
  <si>
    <t>132,0</t>
  </si>
  <si>
    <t>Борзых Иван</t>
  </si>
  <si>
    <t>1. Борзых Иван</t>
  </si>
  <si>
    <t>Юноши 16 - 17 (06.08.2001)/16</t>
  </si>
  <si>
    <t>70,60</t>
  </si>
  <si>
    <t>162,0</t>
  </si>
  <si>
    <t>Бузунов Александр</t>
  </si>
  <si>
    <t>1. Бузунов Александр</t>
  </si>
  <si>
    <t>Открытая (29.09.1993)/24</t>
  </si>
  <si>
    <t>72,85</t>
  </si>
  <si>
    <t>Иванов Кирилл</t>
  </si>
  <si>
    <t>2. Иванов Кирилл</t>
  </si>
  <si>
    <t>Открытая (21.02.1985)/33</t>
  </si>
  <si>
    <t>73,40</t>
  </si>
  <si>
    <t>102,0</t>
  </si>
  <si>
    <t>152,0</t>
  </si>
  <si>
    <t>-. Астафьев Артем</t>
  </si>
  <si>
    <t>Юноши 16 - 17 (17.10.2000)/17</t>
  </si>
  <si>
    <t>80,70</t>
  </si>
  <si>
    <t xml:space="preserve">Меньшинин А. </t>
  </si>
  <si>
    <t>Полосин Сергей</t>
  </si>
  <si>
    <t>1. Полосин Сергей</t>
  </si>
  <si>
    <t>Открытая (27.09.1983)/34</t>
  </si>
  <si>
    <t>Щепёткин Егор</t>
  </si>
  <si>
    <t>2. Щепёткин Егор</t>
  </si>
  <si>
    <t>Открытая (29.12.1991)/26</t>
  </si>
  <si>
    <t xml:space="preserve">Стальная Акула </t>
  </si>
  <si>
    <t xml:space="preserve">Вольф Е, Баталов В. </t>
  </si>
  <si>
    <t>-. Скопа Константин</t>
  </si>
  <si>
    <t>Открытая (17.06.1992)/25</t>
  </si>
  <si>
    <t>80,05</t>
  </si>
  <si>
    <t>127,5</t>
  </si>
  <si>
    <t>Курининов Владимир</t>
  </si>
  <si>
    <t>1. Курининов Владимир</t>
  </si>
  <si>
    <t>Мастера 50 - 54 (25.12.1965)/52</t>
  </si>
  <si>
    <t>142,0</t>
  </si>
  <si>
    <t>Каштанов Виталий</t>
  </si>
  <si>
    <t>1. Каштанов Виталий</t>
  </si>
  <si>
    <t>Юниоры 20 - 23 (20.06.1996)/21</t>
  </si>
  <si>
    <t>207,5</t>
  </si>
  <si>
    <t>Санаев Альберт</t>
  </si>
  <si>
    <t>2. Санаев Альберт</t>
  </si>
  <si>
    <t>Юниоры 20 - 23 (02.02.1997)/21</t>
  </si>
  <si>
    <t>88,50</t>
  </si>
  <si>
    <t>Соболев Иван</t>
  </si>
  <si>
    <t>1. Соболев Иван</t>
  </si>
  <si>
    <t>Открытая (21.01.1989)/29</t>
  </si>
  <si>
    <t xml:space="preserve">Баталов В. </t>
  </si>
  <si>
    <t>Аржанников Михаил</t>
  </si>
  <si>
    <t>2. Аржанников Михаил</t>
  </si>
  <si>
    <t>Открытая (15.04.1993)/24</t>
  </si>
  <si>
    <t>88,10</t>
  </si>
  <si>
    <t>122,0</t>
  </si>
  <si>
    <t>Березин Константин</t>
  </si>
  <si>
    <t>1. Березин Константин</t>
  </si>
  <si>
    <t>Юноши 14 - 15 (26.12.2002)/15</t>
  </si>
  <si>
    <t>95,40</t>
  </si>
  <si>
    <t>Люляков Роман</t>
  </si>
  <si>
    <t>1. Люляков Роман</t>
  </si>
  <si>
    <t>Открытая (17.10.1969)/48</t>
  </si>
  <si>
    <t>91,15</t>
  </si>
  <si>
    <t xml:space="preserve">Ачинск/Красноярский край </t>
  </si>
  <si>
    <t xml:space="preserve">Симонов А. </t>
  </si>
  <si>
    <t>Литвиненко Андрей</t>
  </si>
  <si>
    <t>2. Литвиненко Андрей</t>
  </si>
  <si>
    <t>Открытая (31.01.1988)/30</t>
  </si>
  <si>
    <t>Мастера 45 - 49 (17.10.1969)/48</t>
  </si>
  <si>
    <t>Епонешников Ростислав</t>
  </si>
  <si>
    <t>1. Епонешников Ростислав</t>
  </si>
  <si>
    <t>Открытая (04.05.1988)/29</t>
  </si>
  <si>
    <t>131,80</t>
  </si>
  <si>
    <t xml:space="preserve">Девушки </t>
  </si>
  <si>
    <t xml:space="preserve">Юноши 16 - 17 </t>
  </si>
  <si>
    <t>52,0</t>
  </si>
  <si>
    <t>184,6465</t>
  </si>
  <si>
    <t>172,6965</t>
  </si>
  <si>
    <t xml:space="preserve">Юниорки </t>
  </si>
  <si>
    <t>169,3901</t>
  </si>
  <si>
    <t>377,5</t>
  </si>
  <si>
    <t>294,7143</t>
  </si>
  <si>
    <t>251,9370</t>
  </si>
  <si>
    <t>239,1690</t>
  </si>
  <si>
    <t>238,8015</t>
  </si>
  <si>
    <t>207,4538</t>
  </si>
  <si>
    <t>191,9520</t>
  </si>
  <si>
    <t>377,0</t>
  </si>
  <si>
    <t>297,3550</t>
  </si>
  <si>
    <t>312,5</t>
  </si>
  <si>
    <t>270,8822</t>
  </si>
  <si>
    <t>355,0</t>
  </si>
  <si>
    <t>237,3488</t>
  </si>
  <si>
    <t>602,5</t>
  </si>
  <si>
    <t>364,9813</t>
  </si>
  <si>
    <t>500,0</t>
  </si>
  <si>
    <t>301,6140</t>
  </si>
  <si>
    <t>750,0</t>
  </si>
  <si>
    <t>384,6300</t>
  </si>
  <si>
    <t>507,5</t>
  </si>
  <si>
    <t>373,8752</t>
  </si>
  <si>
    <t>585,0</t>
  </si>
  <si>
    <t>363,8115</t>
  </si>
  <si>
    <t>342,7900</t>
  </si>
  <si>
    <t>485,0</t>
  </si>
  <si>
    <t>329,8485</t>
  </si>
  <si>
    <t>452,5</t>
  </si>
  <si>
    <t>328,4245</t>
  </si>
  <si>
    <t>327,3320</t>
  </si>
  <si>
    <t>510,0</t>
  </si>
  <si>
    <t>298,5030</t>
  </si>
  <si>
    <t>497,0</t>
  </si>
  <si>
    <t>294,7210</t>
  </si>
  <si>
    <t>467,0</t>
  </si>
  <si>
    <t>293,9765</t>
  </si>
  <si>
    <t>379,0</t>
  </si>
  <si>
    <t>256,2040</t>
  </si>
  <si>
    <t xml:space="preserve">Мастера 65 - 69 </t>
  </si>
  <si>
    <t>337,0</t>
  </si>
  <si>
    <t>498,1167</t>
  </si>
  <si>
    <t xml:space="preserve">Мастера 50 - 54 </t>
  </si>
  <si>
    <t>390,0</t>
  </si>
  <si>
    <t>383,4490</t>
  </si>
  <si>
    <t>382,8964</t>
  </si>
  <si>
    <t>420,0</t>
  </si>
  <si>
    <t>314,4682</t>
  </si>
  <si>
    <t>Кубок России НАП
Любители жим лежа без экипировки
Кемерово/Кемеровская область 24 - 25 марта 2018 г.</t>
  </si>
  <si>
    <t>Пушкарева Алиса</t>
  </si>
  <si>
    <t>1. Пушкарева Алиса</t>
  </si>
  <si>
    <t>Девушки 16 - 17 (06.12.2000)/17</t>
  </si>
  <si>
    <t>52,00</t>
  </si>
  <si>
    <t>Чижова Валентина</t>
  </si>
  <si>
    <t>1. Чижова Валентина</t>
  </si>
  <si>
    <t>Открытая (05.11.1985)/32</t>
  </si>
  <si>
    <t>51,50</t>
  </si>
  <si>
    <t>Левенец Оксана</t>
  </si>
  <si>
    <t>2. Левенец Оксана</t>
  </si>
  <si>
    <t>Открытая (16.10.1975)/42</t>
  </si>
  <si>
    <t>51,70</t>
  </si>
  <si>
    <t>1. Левенец Оксана</t>
  </si>
  <si>
    <t>Мастера 40 - 44 (16.10.1975)/42</t>
  </si>
  <si>
    <t>Дисс Елена</t>
  </si>
  <si>
    <t>1. Дисс Елена</t>
  </si>
  <si>
    <t>Мастера 45 - 49 (10.01.1972)/46</t>
  </si>
  <si>
    <t>50,95</t>
  </si>
  <si>
    <t xml:space="preserve">Тюленев А. </t>
  </si>
  <si>
    <t>Вишняк Анна</t>
  </si>
  <si>
    <t>1. Вишняк Анна</t>
  </si>
  <si>
    <t>Открытая (12.12.1984)/33</t>
  </si>
  <si>
    <t>55,75</t>
  </si>
  <si>
    <t>92,5</t>
  </si>
  <si>
    <t>97,5</t>
  </si>
  <si>
    <t>Бакулина Анастасия</t>
  </si>
  <si>
    <t>2. Бакулина Анастасия</t>
  </si>
  <si>
    <t>Открытая (04.11.1984)/33</t>
  </si>
  <si>
    <t>54,80</t>
  </si>
  <si>
    <t>Коновалова Наталья</t>
  </si>
  <si>
    <t>1. Коновалова Наталья</t>
  </si>
  <si>
    <t>Открытая (14.09.1988)/29</t>
  </si>
  <si>
    <t>58,85</t>
  </si>
  <si>
    <t xml:space="preserve">Меркулов А., Коновалов С. </t>
  </si>
  <si>
    <t>Амеличкина Надежда</t>
  </si>
  <si>
    <t>2. Амеличкина Надежда</t>
  </si>
  <si>
    <t>Открытая (30.08.1992)/25</t>
  </si>
  <si>
    <t>59,80</t>
  </si>
  <si>
    <t xml:space="preserve">Тотмянин А. </t>
  </si>
  <si>
    <t>Соколова Оксана</t>
  </si>
  <si>
    <t>3. Соколова Оксана</t>
  </si>
  <si>
    <t>Открытая (21.06.1985)/32</t>
  </si>
  <si>
    <t>59,30</t>
  </si>
  <si>
    <t xml:space="preserve">Кочубей Р. </t>
  </si>
  <si>
    <t>Колесникова Анна</t>
  </si>
  <si>
    <t>1. Колесникова Анна</t>
  </si>
  <si>
    <t>Открытая (03.03.1998)/20</t>
  </si>
  <si>
    <t xml:space="preserve">Сынков В. </t>
  </si>
  <si>
    <t>Харина Екатерина</t>
  </si>
  <si>
    <t>2. Харина Екатерина</t>
  </si>
  <si>
    <t>Открытая (03.03.1980)/38</t>
  </si>
  <si>
    <t>66,80</t>
  </si>
  <si>
    <t xml:space="preserve">Шадрин </t>
  </si>
  <si>
    <t>Воистинова Дарья</t>
  </si>
  <si>
    <t>1. Воистинова Дарья</t>
  </si>
  <si>
    <t>Открытая (26.07.1990)/27</t>
  </si>
  <si>
    <t>68,75</t>
  </si>
  <si>
    <t>Русакова Полина</t>
  </si>
  <si>
    <t>1. Русакова Полина</t>
  </si>
  <si>
    <t>Девушки 16 - 17 (20.07.2000)/17</t>
  </si>
  <si>
    <t>79,50</t>
  </si>
  <si>
    <t xml:space="preserve">Вертикаль </t>
  </si>
  <si>
    <t xml:space="preserve">Чернов В. </t>
  </si>
  <si>
    <t>Русакова Мария</t>
  </si>
  <si>
    <t>1. Русакова Мария</t>
  </si>
  <si>
    <t>Юниорки 20 - 23 (30.01.1995)/23</t>
  </si>
  <si>
    <t xml:space="preserve">Чернов </t>
  </si>
  <si>
    <t>ВЕСОВАЯ КАТЕГОРИЯ   44</t>
  </si>
  <si>
    <t>Николовский Денис</t>
  </si>
  <si>
    <t>1. Николовский Денис</t>
  </si>
  <si>
    <t>Юноши 14 - 15 (12.10.2005)/12</t>
  </si>
  <si>
    <t>32,00</t>
  </si>
  <si>
    <t xml:space="preserve">Николовский П. </t>
  </si>
  <si>
    <t>Мозговой Никита</t>
  </si>
  <si>
    <t>2. Мозговой Никита</t>
  </si>
  <si>
    <t>Юноши 14 - 15 (07.08.2009)/8</t>
  </si>
  <si>
    <t>36,00</t>
  </si>
  <si>
    <t>20,0</t>
  </si>
  <si>
    <t xml:space="preserve">Ефременко В. </t>
  </si>
  <si>
    <t>ВЕСОВАЯ КАТЕГОРИЯ   48</t>
  </si>
  <si>
    <t>Медведев Артем</t>
  </si>
  <si>
    <t>1. Медведев Артем</t>
  </si>
  <si>
    <t>Юноши 14 - 15 (19.04.2006)/11</t>
  </si>
  <si>
    <t>45,30</t>
  </si>
  <si>
    <t xml:space="preserve">Медведев М. </t>
  </si>
  <si>
    <t>Орлов Федор</t>
  </si>
  <si>
    <t>2. Орлов Федор</t>
  </si>
  <si>
    <t>Юноши 14 - 15 (21.04.2007)/10</t>
  </si>
  <si>
    <t>47,60</t>
  </si>
  <si>
    <t>Артеменко Евгений</t>
  </si>
  <si>
    <t>1. Артеменко Евгений</t>
  </si>
  <si>
    <t>Юноши 16 - 17 (08.07.2001)/16</t>
  </si>
  <si>
    <t>59,50</t>
  </si>
  <si>
    <t>Сухарев Денис</t>
  </si>
  <si>
    <t>1. Сухарев Денис</t>
  </si>
  <si>
    <t>Юноши 14 - 15 (20.12.2002)/15</t>
  </si>
  <si>
    <t>63,90</t>
  </si>
  <si>
    <t xml:space="preserve">ГТО </t>
  </si>
  <si>
    <t xml:space="preserve">Шадрин А. </t>
  </si>
  <si>
    <t>Вдовенко Егор</t>
  </si>
  <si>
    <t>1. Вдовенко Егор</t>
  </si>
  <si>
    <t>Юноши 16 - 17 (09.05.2000)/17</t>
  </si>
  <si>
    <t>64,20</t>
  </si>
  <si>
    <t xml:space="preserve">Безматерных А. </t>
  </si>
  <si>
    <t>Щеглов Владислав</t>
  </si>
  <si>
    <t>2. Щеглов Владислав</t>
  </si>
  <si>
    <t>Юноши 16 - 17 (14.03.2002)/16</t>
  </si>
  <si>
    <t>64,85</t>
  </si>
  <si>
    <t>66,50</t>
  </si>
  <si>
    <t>Капралов Александр</t>
  </si>
  <si>
    <t>2. Капралов Александр</t>
  </si>
  <si>
    <t>Открытая (31.01.1992)/26</t>
  </si>
  <si>
    <t>66,00</t>
  </si>
  <si>
    <t>Акулинчев Дмитрий</t>
  </si>
  <si>
    <t>3. Акулинчев Дмитрий</t>
  </si>
  <si>
    <t>Открытая (23.05.1992)/25</t>
  </si>
  <si>
    <t>63,45</t>
  </si>
  <si>
    <t xml:space="preserve">Попа Ю. </t>
  </si>
  <si>
    <t>4. Акулинчев Дмитрий</t>
  </si>
  <si>
    <t>5. Глушков Степан</t>
  </si>
  <si>
    <t>Открытая (14.05.1989)/28</t>
  </si>
  <si>
    <t>65,50</t>
  </si>
  <si>
    <t>102,5</t>
  </si>
  <si>
    <t>Адов Владислав</t>
  </si>
  <si>
    <t>1. Адов Владислав</t>
  </si>
  <si>
    <t>Юноши 16 - 17 (15.09.2000)/17</t>
  </si>
  <si>
    <t>72,90</t>
  </si>
  <si>
    <t>Еременко Виктор</t>
  </si>
  <si>
    <t>2. Еременко Виктор</t>
  </si>
  <si>
    <t>Юноши 16 - 17 (03.12.2000)/17</t>
  </si>
  <si>
    <t>68,80</t>
  </si>
  <si>
    <t>Степанов Станислав</t>
  </si>
  <si>
    <t>1. Степанов Станислав</t>
  </si>
  <si>
    <t>Юниоры 20 - 23 (11.08.1994)/23</t>
  </si>
  <si>
    <t>74,25</t>
  </si>
  <si>
    <t>Лихачев Анатолий</t>
  </si>
  <si>
    <t>1. Лихачев Анатолий</t>
  </si>
  <si>
    <t>Открытая (28.02.1989)/29</t>
  </si>
  <si>
    <t>73,60</t>
  </si>
  <si>
    <t>Шубарев Дмитрий</t>
  </si>
  <si>
    <t>2. Шубарев Дмитрий</t>
  </si>
  <si>
    <t>Открытая (02.02.1990)/28</t>
  </si>
  <si>
    <t>73,90</t>
  </si>
  <si>
    <t>137,5</t>
  </si>
  <si>
    <t>Мостовой Андрей</t>
  </si>
  <si>
    <t>3. Мостовой Андрей</t>
  </si>
  <si>
    <t>Открытая (25.05.1982)/35</t>
  </si>
  <si>
    <t>74,80</t>
  </si>
  <si>
    <t xml:space="preserve">Шабанов А. </t>
  </si>
  <si>
    <t>Черкайкин Евгений</t>
  </si>
  <si>
    <t>4. Черкайкин Евгений</t>
  </si>
  <si>
    <t>Открытая (06.03.1994)/24</t>
  </si>
  <si>
    <t>74,00</t>
  </si>
  <si>
    <t>Кишканов Александр</t>
  </si>
  <si>
    <t>1. Кишканов Александр</t>
  </si>
  <si>
    <t>Юноши 18 - 19 (15.12.1999)/18</t>
  </si>
  <si>
    <t>81,40</t>
  </si>
  <si>
    <t>Сидорчук Никита</t>
  </si>
  <si>
    <t>1. Сидорчук Никита</t>
  </si>
  <si>
    <t>Юниоры 20 - 23 (03.09.1996)/21</t>
  </si>
  <si>
    <t>81,20</t>
  </si>
  <si>
    <t>147,5</t>
  </si>
  <si>
    <t>Генза Александр</t>
  </si>
  <si>
    <t>1. Генза Александр</t>
  </si>
  <si>
    <t>Открытая (02.01.1987)/31</t>
  </si>
  <si>
    <t>Бочоришвили Темури</t>
  </si>
  <si>
    <t>2. Бочоришвили Темури</t>
  </si>
  <si>
    <t>Открытая (27.10.1991)/26</t>
  </si>
  <si>
    <t>80,10</t>
  </si>
  <si>
    <t>Мазанко Константин</t>
  </si>
  <si>
    <t>3. Мазанко Константин</t>
  </si>
  <si>
    <t>Открытая (11.03.1989)/29</t>
  </si>
  <si>
    <t>80,50</t>
  </si>
  <si>
    <t xml:space="preserve">Рязанов </t>
  </si>
  <si>
    <t>Теущаков Александр</t>
  </si>
  <si>
    <t>4. Теущаков Александр</t>
  </si>
  <si>
    <t>Открытая (14.04.1987)/30</t>
  </si>
  <si>
    <t>81,50</t>
  </si>
  <si>
    <t xml:space="preserve">Баталов В., Вольф Е. </t>
  </si>
  <si>
    <t>-. Аксючиц Евгений</t>
  </si>
  <si>
    <t>Атаманов Александр</t>
  </si>
  <si>
    <t>1. Атаманов Александр</t>
  </si>
  <si>
    <t>Мастера 40 - 44 (10.10.1975)/42</t>
  </si>
  <si>
    <t>81,05</t>
  </si>
  <si>
    <t>Дергунов Илья</t>
  </si>
  <si>
    <t>1. Дергунов Илья</t>
  </si>
  <si>
    <t>Мастера 50 - 54 (11.06.1963)/54</t>
  </si>
  <si>
    <t>82,30</t>
  </si>
  <si>
    <t>Ильин Александр</t>
  </si>
  <si>
    <t>1. Ильин Александр</t>
  </si>
  <si>
    <t>Мастера 55 - 59 (13.08.1960)/57</t>
  </si>
  <si>
    <t>Сенокосов Савелий</t>
  </si>
  <si>
    <t>1. Сенокосов Савелий</t>
  </si>
  <si>
    <t>Юниоры 20 - 23 (05.02.1998)/20</t>
  </si>
  <si>
    <t>86,20</t>
  </si>
  <si>
    <t>Вихарев Денис</t>
  </si>
  <si>
    <t>2. Вихарев Денис</t>
  </si>
  <si>
    <t>Юниоры 20 - 23 (20.10.1995)/22</t>
  </si>
  <si>
    <t>84,80</t>
  </si>
  <si>
    <t xml:space="preserve">Салаир/Кемеровская область </t>
  </si>
  <si>
    <t>Романович Денис</t>
  </si>
  <si>
    <t>1. Романович Денис</t>
  </si>
  <si>
    <t>Открытая (15.06.1988)/29</t>
  </si>
  <si>
    <t>192,0</t>
  </si>
  <si>
    <t>197,0</t>
  </si>
  <si>
    <t>Гладков Павел</t>
  </si>
  <si>
    <t>2. Гладков Павел</t>
  </si>
  <si>
    <t>Открытая (18.11.1989)/28</t>
  </si>
  <si>
    <t>89,80</t>
  </si>
  <si>
    <t xml:space="preserve">Нечаев Е. </t>
  </si>
  <si>
    <t>Греб Константин</t>
  </si>
  <si>
    <t>3. Греб Константин</t>
  </si>
  <si>
    <t>Открытая (20.02.1982)/36</t>
  </si>
  <si>
    <t>84,40</t>
  </si>
  <si>
    <t xml:space="preserve">Назарово/Красноярский край </t>
  </si>
  <si>
    <t>Иванников Алексей</t>
  </si>
  <si>
    <t>4. Иванников Алексей</t>
  </si>
  <si>
    <t>Открытая (06.04.1980)/37</t>
  </si>
  <si>
    <t>88,70</t>
  </si>
  <si>
    <t xml:space="preserve">Смирнов В. </t>
  </si>
  <si>
    <t>Туманов Никита</t>
  </si>
  <si>
    <t>5. Туманов Никита</t>
  </si>
  <si>
    <t>Открытая (10.07.1984)/33</t>
  </si>
  <si>
    <t>87,50</t>
  </si>
  <si>
    <t>Алексеев Алексей</t>
  </si>
  <si>
    <t>6. Алексеев Алексей</t>
  </si>
  <si>
    <t>Открытая (04.11.1991)/26</t>
  </si>
  <si>
    <t>89,30</t>
  </si>
  <si>
    <t>-. Кашкарев Алексей</t>
  </si>
  <si>
    <t>Открытая (07.05.1980)/37</t>
  </si>
  <si>
    <t>89,00</t>
  </si>
  <si>
    <t>Букреев Андрей</t>
  </si>
  <si>
    <t>1. Букреев Андрей</t>
  </si>
  <si>
    <t>Мастера 40 - 44 (23.06.1975)/42</t>
  </si>
  <si>
    <t>86,80</t>
  </si>
  <si>
    <t xml:space="preserve">Гурьевск/Кемеровская область </t>
  </si>
  <si>
    <t>Лобастов Алексей</t>
  </si>
  <si>
    <t>2. Лобастов Алексей</t>
  </si>
  <si>
    <t>Мастера 40 - 44 (23.09.1974)/43</t>
  </si>
  <si>
    <t>87,70</t>
  </si>
  <si>
    <t>Шишкин Евгений</t>
  </si>
  <si>
    <t>3. Шишкин Евгений</t>
  </si>
  <si>
    <t>Мастера 40 - 44 (17.04.1976)/41</t>
  </si>
  <si>
    <t>Фомин Игорь</t>
  </si>
  <si>
    <t>1. Фомин Игорь</t>
  </si>
  <si>
    <t>Мастера 45 - 49 (29.01.1969)/49</t>
  </si>
  <si>
    <t>89,40</t>
  </si>
  <si>
    <t>Павленко Анатолий</t>
  </si>
  <si>
    <t>1. Павленко Анатолий</t>
  </si>
  <si>
    <t>Мастера 65 - 69 (26.05.1951)/66</t>
  </si>
  <si>
    <t>Чернов Валентин</t>
  </si>
  <si>
    <t>2. Чернов Валентин</t>
  </si>
  <si>
    <t>Мастера 65 - 69 (23.05.1948)/69</t>
  </si>
  <si>
    <t>Сергеев Виктор</t>
  </si>
  <si>
    <t>1. Сергеев Виктор</t>
  </si>
  <si>
    <t>Открытая (15.03.1994)/24</t>
  </si>
  <si>
    <t>97,10</t>
  </si>
  <si>
    <t>Митрохин Александр</t>
  </si>
  <si>
    <t>2. Митрохин Александр</t>
  </si>
  <si>
    <t>Открытая (21.05.1981)/36</t>
  </si>
  <si>
    <t>95,00</t>
  </si>
  <si>
    <t>Романов Кирилл</t>
  </si>
  <si>
    <t>3. Романов Кирилл</t>
  </si>
  <si>
    <t>Открытая (10.11.1984)/33</t>
  </si>
  <si>
    <t>94,30</t>
  </si>
  <si>
    <t>4. Баранов Владимир</t>
  </si>
  <si>
    <t>Открытая (21.06.1984)/33</t>
  </si>
  <si>
    <t>96,20</t>
  </si>
  <si>
    <t>5. Рогожников Евгений</t>
  </si>
  <si>
    <t>98,15</t>
  </si>
  <si>
    <t>6. Брютов Ярослав</t>
  </si>
  <si>
    <t>Открытая (17.11.1986)/31</t>
  </si>
  <si>
    <t>99,00</t>
  </si>
  <si>
    <t>Бусь Анатолий</t>
  </si>
  <si>
    <t>1. Бусь Анатолий</t>
  </si>
  <si>
    <t>Мастера 40 - 44 (16.06.1974)/43</t>
  </si>
  <si>
    <t>Симанов Александр</t>
  </si>
  <si>
    <t>1. Симанов Александр</t>
  </si>
  <si>
    <t>Мастера 45 - 49 (09.09.1968)/49</t>
  </si>
  <si>
    <t>Мальчевский Юрий</t>
  </si>
  <si>
    <t>1. Мальчевский Юрий</t>
  </si>
  <si>
    <t>Мастера 55 - 59 (11.03.1961)/57</t>
  </si>
  <si>
    <t>100,00</t>
  </si>
  <si>
    <t xml:space="preserve">Козик Д. </t>
  </si>
  <si>
    <t>Николаев Вячеслав</t>
  </si>
  <si>
    <t>1. Николаев Вячеслав</t>
  </si>
  <si>
    <t>Мастера 60 - 64 (10.07.1956)/61</t>
  </si>
  <si>
    <t>96,30</t>
  </si>
  <si>
    <t>Смирнов Вадим</t>
  </si>
  <si>
    <t>1. Смирнов Вадим</t>
  </si>
  <si>
    <t>Открытая (13.10.1982)/35</t>
  </si>
  <si>
    <t>104,80</t>
  </si>
  <si>
    <t>202,0</t>
  </si>
  <si>
    <t>217,5</t>
  </si>
  <si>
    <t xml:space="preserve">Мистратов В. </t>
  </si>
  <si>
    <t>Кадочников Александр</t>
  </si>
  <si>
    <t>2. Кадочников Александр</t>
  </si>
  <si>
    <t>Открытая (26.08.1990)/27</t>
  </si>
  <si>
    <t>107,00</t>
  </si>
  <si>
    <t>Комаликов Сергей</t>
  </si>
  <si>
    <t>1. Комаликов Сергей</t>
  </si>
  <si>
    <t>Мастера 50 - 54 (03.05.1963)/54</t>
  </si>
  <si>
    <t>109,60</t>
  </si>
  <si>
    <t xml:space="preserve">Емельянов Н </t>
  </si>
  <si>
    <t>Попов Иван</t>
  </si>
  <si>
    <t>1. Попов Иван</t>
  </si>
  <si>
    <t>Юноши 14 - 15 (10.12.2002)/15</t>
  </si>
  <si>
    <t>118,30</t>
  </si>
  <si>
    <t xml:space="preserve">Лихачев А. </t>
  </si>
  <si>
    <t>Черных Денис</t>
  </si>
  <si>
    <t>1. Черных Денис</t>
  </si>
  <si>
    <t>Открытая (19.07.1987)/30</t>
  </si>
  <si>
    <t>117,00</t>
  </si>
  <si>
    <t>Кисляк Андрей</t>
  </si>
  <si>
    <t>1. Кисляк Андрей</t>
  </si>
  <si>
    <t>Мастера 40 - 44 (19.03.1977)/41</t>
  </si>
  <si>
    <t>197,5</t>
  </si>
  <si>
    <t xml:space="preserve">Писменный С.С. </t>
  </si>
  <si>
    <t xml:space="preserve">Ястребов </t>
  </si>
  <si>
    <t xml:space="preserve">2. Ястребов </t>
  </si>
  <si>
    <t>Мастера 40 - 44 (07.03.1976)/42</t>
  </si>
  <si>
    <t>121,00</t>
  </si>
  <si>
    <t>157,5</t>
  </si>
  <si>
    <t>62,8139</t>
  </si>
  <si>
    <t>41,1048</t>
  </si>
  <si>
    <t>53,8720</t>
  </si>
  <si>
    <t>113,7500</t>
  </si>
  <si>
    <t>84,6653</t>
  </si>
  <si>
    <t>70,2630</t>
  </si>
  <si>
    <t>60,4380</t>
  </si>
  <si>
    <t>58,6200</t>
  </si>
  <si>
    <t>53,3830</t>
  </si>
  <si>
    <t>46,2603</t>
  </si>
  <si>
    <t>43,2410</t>
  </si>
  <si>
    <t>32,6044</t>
  </si>
  <si>
    <t>30,7280</t>
  </si>
  <si>
    <t>68,4844</t>
  </si>
  <si>
    <t>46,6766</t>
  </si>
  <si>
    <t>92,6487</t>
  </si>
  <si>
    <t>79,0066</t>
  </si>
  <si>
    <t>78,9132</t>
  </si>
  <si>
    <t>77,9965</t>
  </si>
  <si>
    <t>72,8867</t>
  </si>
  <si>
    <t>48,0</t>
  </si>
  <si>
    <t>69,1383</t>
  </si>
  <si>
    <t>65,4812</t>
  </si>
  <si>
    <t>59,5583</t>
  </si>
  <si>
    <t>45,5340</t>
  </si>
  <si>
    <t>45,0524</t>
  </si>
  <si>
    <t>44,0</t>
  </si>
  <si>
    <t>44,4224</t>
  </si>
  <si>
    <t>32,3072</t>
  </si>
  <si>
    <t>92,9009</t>
  </si>
  <si>
    <t>87,8246</t>
  </si>
  <si>
    <t>87,0675</t>
  </si>
  <si>
    <t>85,9429</t>
  </si>
  <si>
    <t>115,3041</t>
  </si>
  <si>
    <t>114,2610</t>
  </si>
  <si>
    <t>109,4512</t>
  </si>
  <si>
    <t>102,9980</t>
  </si>
  <si>
    <t>99,0880</t>
  </si>
  <si>
    <t>98,2800</t>
  </si>
  <si>
    <t>97,8025</t>
  </si>
  <si>
    <t>96,7065</t>
  </si>
  <si>
    <t>95,1065</t>
  </si>
  <si>
    <t>94,5190</t>
  </si>
  <si>
    <t>94,1220</t>
  </si>
  <si>
    <t>93,2790</t>
  </si>
  <si>
    <t>91,5612</t>
  </si>
  <si>
    <t>91,3645</t>
  </si>
  <si>
    <t>88,9870</t>
  </si>
  <si>
    <t>88,4120</t>
  </si>
  <si>
    <t>87,0440</t>
  </si>
  <si>
    <t>85,6225</t>
  </si>
  <si>
    <t>85,5702</t>
  </si>
  <si>
    <t>85,5150</t>
  </si>
  <si>
    <t>84,7360</t>
  </si>
  <si>
    <t>83,6220</t>
  </si>
  <si>
    <t>83,3840</t>
  </si>
  <si>
    <t>82,3340</t>
  </si>
  <si>
    <t xml:space="preserve">Мастера 60 - 64 </t>
  </si>
  <si>
    <t>139,0013</t>
  </si>
  <si>
    <t>138,3649</t>
  </si>
  <si>
    <t xml:space="preserve">Мастера 55 - 59 </t>
  </si>
  <si>
    <t>116,8386</t>
  </si>
  <si>
    <t>112,6162</t>
  </si>
  <si>
    <t>110,7026</t>
  </si>
  <si>
    <t>107,8825</t>
  </si>
  <si>
    <t>105,6978</t>
  </si>
  <si>
    <t>105,1874</t>
  </si>
  <si>
    <t>101,3451</t>
  </si>
  <si>
    <t>96,7578</t>
  </si>
  <si>
    <t>94,3425</t>
  </si>
  <si>
    <t>90,8107</t>
  </si>
  <si>
    <t>90,7644</t>
  </si>
  <si>
    <t>88,5398</t>
  </si>
  <si>
    <t>82,2638</t>
  </si>
  <si>
    <t>72,7597</t>
  </si>
  <si>
    <t>Кубок России НАП
Любители становая тяга без экипировки
Кемерово/Кемеровская область 24 - 25 марта 2018 г.</t>
  </si>
  <si>
    <t>Куртова Марина</t>
  </si>
  <si>
    <t>1. Куртова Марина</t>
  </si>
  <si>
    <t>Юниорки 20 - 23 (24.04.1997)/20</t>
  </si>
  <si>
    <t>47,05</t>
  </si>
  <si>
    <t>Ельчина Галина</t>
  </si>
  <si>
    <t>1. Ельчина Галина</t>
  </si>
  <si>
    <t>Открытая (24.03.1968)/50</t>
  </si>
  <si>
    <t>48,00</t>
  </si>
  <si>
    <t>Мастера 45 - 49 (24.03.1968)/50</t>
  </si>
  <si>
    <t>1. Кажушка Мария</t>
  </si>
  <si>
    <t>Коблова Ирина</t>
  </si>
  <si>
    <t>3. Коблова Ирина</t>
  </si>
  <si>
    <t>Открытая (14.03.1982)/36</t>
  </si>
  <si>
    <t>50,40</t>
  </si>
  <si>
    <t xml:space="preserve">Бойко В. </t>
  </si>
  <si>
    <t>Богданова Ольга</t>
  </si>
  <si>
    <t>4. Богданова Ольга</t>
  </si>
  <si>
    <t>Открытая (02.01.1976)/42</t>
  </si>
  <si>
    <t>50,45</t>
  </si>
  <si>
    <t xml:space="preserve">Бойко </t>
  </si>
  <si>
    <t>1. Богданова Ольга</t>
  </si>
  <si>
    <t>Мастера 40 - 44 (02.01.1976)/42</t>
  </si>
  <si>
    <t>Ляхова Валентина</t>
  </si>
  <si>
    <t>1. Ляхова Валентина</t>
  </si>
  <si>
    <t>Юниорки 20 - 23 (24.07.1997)/20</t>
  </si>
  <si>
    <t>53,80</t>
  </si>
  <si>
    <t>Минакова Валентина</t>
  </si>
  <si>
    <t>1. Минакова Валентина</t>
  </si>
  <si>
    <t>Открытая (01.11.1987)/30</t>
  </si>
  <si>
    <t>65,30</t>
  </si>
  <si>
    <t xml:space="preserve">Коновалов В.Ю. </t>
  </si>
  <si>
    <t>Новоселова Анна</t>
  </si>
  <si>
    <t>1. Новоселова Анна</t>
  </si>
  <si>
    <t>Открытая (06.10.1992)/25</t>
  </si>
  <si>
    <t>Утробин Филипп</t>
  </si>
  <si>
    <t>1. Утробин Филипп</t>
  </si>
  <si>
    <t>Открытая (05.09.1992)/25</t>
  </si>
  <si>
    <t>63,20</t>
  </si>
  <si>
    <t>Денисов Вясеслав</t>
  </si>
  <si>
    <t>1. Денисов Вясеслав</t>
  </si>
  <si>
    <t>Юноши 16 - 17 (14.10.2001)/16</t>
  </si>
  <si>
    <t>74,85</t>
  </si>
  <si>
    <t xml:space="preserve">Ачинск </t>
  </si>
  <si>
    <t>Агаев Аждар</t>
  </si>
  <si>
    <t>2. Агаев Аждар</t>
  </si>
  <si>
    <t>Юноши 16 - 17 (10.02.2001)/17</t>
  </si>
  <si>
    <t>72,00</t>
  </si>
  <si>
    <t>Кязимов Джалил</t>
  </si>
  <si>
    <t>2. Кязимов Джалил</t>
  </si>
  <si>
    <t>Открытая (08.12.1993)/24</t>
  </si>
  <si>
    <t>Смирнов Валерий</t>
  </si>
  <si>
    <t>1. Смирнов Валерий</t>
  </si>
  <si>
    <t>Мастера 55 - 59 (24.03.1959)/59</t>
  </si>
  <si>
    <t>74,10</t>
  </si>
  <si>
    <t>Чульденко Геннадий</t>
  </si>
  <si>
    <t>1. Чульденко Геннадий</t>
  </si>
  <si>
    <t>Мастера 65 - 69 (04.07.1948)/69</t>
  </si>
  <si>
    <t>74,30</t>
  </si>
  <si>
    <t>Сыркашев Евгений</t>
  </si>
  <si>
    <t>1. Сыркашев Евгений</t>
  </si>
  <si>
    <t>Юноши 16 - 17 (26.05.2000)/17</t>
  </si>
  <si>
    <t>79,60</t>
  </si>
  <si>
    <t>Колпаков Леонид</t>
  </si>
  <si>
    <t>1. Колпаков Леонид</t>
  </si>
  <si>
    <t>Юниоры 20 - 23 (22.10.1997)/20</t>
  </si>
  <si>
    <t>82,10</t>
  </si>
  <si>
    <t>Голубин Вячеслав</t>
  </si>
  <si>
    <t>2. Голубин Вячеслав</t>
  </si>
  <si>
    <t>Открытая (27.03.1992)/25</t>
  </si>
  <si>
    <t>Быховец Артем</t>
  </si>
  <si>
    <t>3. Быховец Артем</t>
  </si>
  <si>
    <t>Открытая (19.07.1983)/34</t>
  </si>
  <si>
    <t>82,40</t>
  </si>
  <si>
    <t>Ефанов Николай</t>
  </si>
  <si>
    <t>4. Ефанов Николай</t>
  </si>
  <si>
    <t>Открытая (10.07.1958)/59</t>
  </si>
  <si>
    <t>82,20</t>
  </si>
  <si>
    <t xml:space="preserve">Быхарец А. </t>
  </si>
  <si>
    <t>Беляев Андрей</t>
  </si>
  <si>
    <t>5. Беляев Андрей</t>
  </si>
  <si>
    <t>Открытая (11.10.1991)/26</t>
  </si>
  <si>
    <t>Квич Сергей</t>
  </si>
  <si>
    <t>1. Квич Сергей</t>
  </si>
  <si>
    <t>Мастера 45 - 49 (20.05.1968)/49</t>
  </si>
  <si>
    <t>1. Ефанов Николай</t>
  </si>
  <si>
    <t>Мастера 55 - 59 (10.07.1958)/59</t>
  </si>
  <si>
    <t>Исагулов Юрий</t>
  </si>
  <si>
    <t>1. Исагулов Юрий</t>
  </si>
  <si>
    <t>Мастера 70 - 74 (02.01.1944)/74</t>
  </si>
  <si>
    <t xml:space="preserve">СК Ермак </t>
  </si>
  <si>
    <t xml:space="preserve">Исагулов Э. </t>
  </si>
  <si>
    <t>Исмайылов Азим</t>
  </si>
  <si>
    <t>1. Исмайылов Азим</t>
  </si>
  <si>
    <t>Юноши 18 - 19 (09.01.1999)/19</t>
  </si>
  <si>
    <t>87,00</t>
  </si>
  <si>
    <t>1. Санаев Альберт</t>
  </si>
  <si>
    <t>Башков Вячеслав</t>
  </si>
  <si>
    <t>2. Башков Вячеслав</t>
  </si>
  <si>
    <t>Юниоры 20 - 23 (14.02.1996)/22</t>
  </si>
  <si>
    <t>84,25</t>
  </si>
  <si>
    <t xml:space="preserve">Сондуков С. </t>
  </si>
  <si>
    <t>Бойко Вадим</t>
  </si>
  <si>
    <t>1. Бойко Вадим</t>
  </si>
  <si>
    <t>Открытая (11.03.1990)/28</t>
  </si>
  <si>
    <t>86,10</t>
  </si>
  <si>
    <t>Хоронжак Иван</t>
  </si>
  <si>
    <t>2. Хоронжак Иван</t>
  </si>
  <si>
    <t>Открытая (25.04.1982)/35</t>
  </si>
  <si>
    <t>242,0</t>
  </si>
  <si>
    <t>3. Аржанников Михаил</t>
  </si>
  <si>
    <t>Открытая (10.07.1956)/61</t>
  </si>
  <si>
    <t>Аверин Николай</t>
  </si>
  <si>
    <t>2. Аверин Николай</t>
  </si>
  <si>
    <t>Открытая (09.03.1980)/38</t>
  </si>
  <si>
    <t>99,80</t>
  </si>
  <si>
    <t>212,0</t>
  </si>
  <si>
    <t>Самойлов Алексей</t>
  </si>
  <si>
    <t>3. Самойлов Алексей</t>
  </si>
  <si>
    <t>Открытая (17.10.1986)/31</t>
  </si>
  <si>
    <t>97,70</t>
  </si>
  <si>
    <t>Ильин Дмитрий</t>
  </si>
  <si>
    <t>4. Ильин Дмитрий</t>
  </si>
  <si>
    <t>Открытая (15.08.1993)/24</t>
  </si>
  <si>
    <t>98,20</t>
  </si>
  <si>
    <t>Портнов Юрий</t>
  </si>
  <si>
    <t>1. Портнов Юрий</t>
  </si>
  <si>
    <t>Открытая (22.12.1983)/34</t>
  </si>
  <si>
    <t>107,80</t>
  </si>
  <si>
    <t>Ларягин Сергей</t>
  </si>
  <si>
    <t>1. Ларягин Сергей</t>
  </si>
  <si>
    <t>Мастера 55 - 59 (14.03.1962)/56</t>
  </si>
  <si>
    <t xml:space="preserve">Street Workout Seversk </t>
  </si>
  <si>
    <t xml:space="preserve">Северск/Томская область </t>
  </si>
  <si>
    <t>Казанцев Антон</t>
  </si>
  <si>
    <t>1. Казанцев Антон</t>
  </si>
  <si>
    <t>Открытая (14.06.1991)/26</t>
  </si>
  <si>
    <t>118,00</t>
  </si>
  <si>
    <t>81,2690</t>
  </si>
  <si>
    <t>108,2736</t>
  </si>
  <si>
    <t>97,0878</t>
  </si>
  <si>
    <t>148,7363</t>
  </si>
  <si>
    <t>115,6200</t>
  </si>
  <si>
    <t>114,5272</t>
  </si>
  <si>
    <t>113,7895</t>
  </si>
  <si>
    <t>101,9209</t>
  </si>
  <si>
    <t>96,1860</t>
  </si>
  <si>
    <t>94,3825</t>
  </si>
  <si>
    <t>89,2800</t>
  </si>
  <si>
    <t>133,4751</t>
  </si>
  <si>
    <t>95,2319</t>
  </si>
  <si>
    <t>135,3729</t>
  </si>
  <si>
    <t>130,5595</t>
  </si>
  <si>
    <t>120,0528</t>
  </si>
  <si>
    <t>92,7045</t>
  </si>
  <si>
    <t>140,8092</t>
  </si>
  <si>
    <t>126,6779</t>
  </si>
  <si>
    <t>126,3937</t>
  </si>
  <si>
    <t>164,8035</t>
  </si>
  <si>
    <t>157,9215</t>
  </si>
  <si>
    <t>148,7520</t>
  </si>
  <si>
    <t>144,4320</t>
  </si>
  <si>
    <t>142,8210</t>
  </si>
  <si>
    <t>140,7735</t>
  </si>
  <si>
    <t>137,5455</t>
  </si>
  <si>
    <t>135,3360</t>
  </si>
  <si>
    <t>130,3890</t>
  </si>
  <si>
    <t>127,4950</t>
  </si>
  <si>
    <t>123,4720</t>
  </si>
  <si>
    <t>120,9585</t>
  </si>
  <si>
    <t>119,2175</t>
  </si>
  <si>
    <t>117,5790</t>
  </si>
  <si>
    <t>114,5130</t>
  </si>
  <si>
    <t>113,2530</t>
  </si>
  <si>
    <t>105,7600</t>
  </si>
  <si>
    <t>97,5360</t>
  </si>
  <si>
    <t>274,1862</t>
  </si>
  <si>
    <t>230,0712</t>
  </si>
  <si>
    <t>215,4475</t>
  </si>
  <si>
    <t xml:space="preserve">Мастера 70 - 74 </t>
  </si>
  <si>
    <t>208,2333</t>
  </si>
  <si>
    <t>207,3185</t>
  </si>
  <si>
    <t>161,1109</t>
  </si>
  <si>
    <t>127,9587</t>
  </si>
  <si>
    <t>Кубок России НАП
Любители присед без экипировки
Кемерово/Кемеровская область 24 - 25 марта 2018 г.</t>
  </si>
  <si>
    <t>Литвиненко Валерия</t>
  </si>
  <si>
    <t>1. Литвиненко Валерия</t>
  </si>
  <si>
    <t>Девушки 14 - 15 (31.07.2002)/15</t>
  </si>
  <si>
    <t>51,90</t>
  </si>
  <si>
    <t>91,6482</t>
  </si>
  <si>
    <t>Кубок России НАП
Любители становая тяга в однослойной экипировке
Кемерово/Кемеровская область 24 - 25 марта 2018 г.</t>
  </si>
  <si>
    <t>Стрельцов Артем</t>
  </si>
  <si>
    <t>1. Стрельцов Артем</t>
  </si>
  <si>
    <t>Открытая (07.11.1993)/24</t>
  </si>
  <si>
    <t>85,85</t>
  </si>
  <si>
    <t>Воложанин Иван</t>
  </si>
  <si>
    <t>2. Воложанин Иван</t>
  </si>
  <si>
    <t>Открытая (08.06.1991)/26</t>
  </si>
  <si>
    <t>85,40</t>
  </si>
  <si>
    <t>120,5800</t>
  </si>
  <si>
    <t>108,9000</t>
  </si>
  <si>
    <t>Кубок России НАП
Любители пауэрлифтинг в софт экипировке
Кемерово/Кемеровская область 24 - 25 марта 2018 г.</t>
  </si>
  <si>
    <t>Гаврилова Ксения</t>
  </si>
  <si>
    <t>1. Гаврилова Ксения</t>
  </si>
  <si>
    <t>Девушки 16 - 17 (09.09.2000)/17</t>
  </si>
  <si>
    <t>Дементьев Вячеслав</t>
  </si>
  <si>
    <t>1. Дементьев Вячеслав</t>
  </si>
  <si>
    <t>Открытая (17.02.1983)/35</t>
  </si>
  <si>
    <t>72,20</t>
  </si>
  <si>
    <t>1. Быховец Артем</t>
  </si>
  <si>
    <t>277,0</t>
  </si>
  <si>
    <t>Бледнов Данила</t>
  </si>
  <si>
    <t>1. Бледнов Данила</t>
  </si>
  <si>
    <t>Юниоры 20 - 23 (17.11.1996)/21</t>
  </si>
  <si>
    <t>98,90</t>
  </si>
  <si>
    <t>Шерин Дмитрий</t>
  </si>
  <si>
    <t>1. Шерин Дмитрий</t>
  </si>
  <si>
    <t>Открытая (17.02.1991)/27</t>
  </si>
  <si>
    <t>95,55</t>
  </si>
  <si>
    <t>Ермолин Максим</t>
  </si>
  <si>
    <t>2. Ермолин Максим</t>
  </si>
  <si>
    <t>Открытая (11.07.1992)/25</t>
  </si>
  <si>
    <t>Рублев Антон</t>
  </si>
  <si>
    <t>3. Рублев Антон</t>
  </si>
  <si>
    <t>Открытая (25.09.1987)/30</t>
  </si>
  <si>
    <t>96,60</t>
  </si>
  <si>
    <t>342,5</t>
  </si>
  <si>
    <t>318,4469</t>
  </si>
  <si>
    <t>333,6877</t>
  </si>
  <si>
    <t>665,0</t>
  </si>
  <si>
    <t>425,6279</t>
  </si>
  <si>
    <t>685,0</t>
  </si>
  <si>
    <t>389,0362</t>
  </si>
  <si>
    <t>712,5</t>
  </si>
  <si>
    <t>441,6075</t>
  </si>
  <si>
    <t>680,0</t>
  </si>
  <si>
    <t>384,9820</t>
  </si>
  <si>
    <t>351,0990</t>
  </si>
  <si>
    <t>336,3925</t>
  </si>
  <si>
    <t>367,5</t>
  </si>
  <si>
    <t>251,7743</t>
  </si>
  <si>
    <t>Кубок России НАП
Любители жим лежа в софт экипировке
Кемерово/Кемеровская область 24 - 25 марта 2018 г.</t>
  </si>
  <si>
    <t>Кудрявцева Екатерина</t>
  </si>
  <si>
    <t>1. Кудрявцева Екатерина</t>
  </si>
  <si>
    <t>Открытая (08.03.1988)/30</t>
  </si>
  <si>
    <t>51,40</t>
  </si>
  <si>
    <t>72,5</t>
  </si>
  <si>
    <t xml:space="preserve">Хованский Д. </t>
  </si>
  <si>
    <t>1. Колбин Андрей</t>
  </si>
  <si>
    <t>277,5</t>
  </si>
  <si>
    <t>Бетин Александр</t>
  </si>
  <si>
    <t>2. Бетин Александр</t>
  </si>
  <si>
    <t>Открытая (13.09.1986)/31</t>
  </si>
  <si>
    <t>Магеррамов Махаббал</t>
  </si>
  <si>
    <t>3. Магеррамов Махаббал</t>
  </si>
  <si>
    <t>Открытая (22.04.1989)/28</t>
  </si>
  <si>
    <t>81,60</t>
  </si>
  <si>
    <t>Илларионов Андрей</t>
  </si>
  <si>
    <t>1. Илларионов Андрей</t>
  </si>
  <si>
    <t>Открытая (07.06.1990)/27</t>
  </si>
  <si>
    <t>88,15</t>
  </si>
  <si>
    <t>2. Стрельцов Артем</t>
  </si>
  <si>
    <t>Глинин Леонид</t>
  </si>
  <si>
    <t>1. Глинин Леонид</t>
  </si>
  <si>
    <t>Открытая (29.01.1988)/30</t>
  </si>
  <si>
    <t>292,5</t>
  </si>
  <si>
    <t xml:space="preserve">Веснин Е. </t>
  </si>
  <si>
    <t>2. Шерин Дмитрий</t>
  </si>
  <si>
    <t>Ерин Владимир</t>
  </si>
  <si>
    <t>3. Ерин Владимир</t>
  </si>
  <si>
    <t>Открытая (24.02.1986)/32</t>
  </si>
  <si>
    <t>95,95</t>
  </si>
  <si>
    <t xml:space="preserve">Букреев А. </t>
  </si>
  <si>
    <t>4. Николаев Вячеслав</t>
  </si>
  <si>
    <t>114,40</t>
  </si>
  <si>
    <t>92,9772</t>
  </si>
  <si>
    <t>100,6830</t>
  </si>
  <si>
    <t>87,9283</t>
  </si>
  <si>
    <t>70,9449</t>
  </si>
  <si>
    <t>65,7383</t>
  </si>
  <si>
    <t>103,1398</t>
  </si>
  <si>
    <t>66,3299</t>
  </si>
  <si>
    <t>158,5220</t>
  </si>
  <si>
    <t>157,9457</t>
  </si>
  <si>
    <t>156,4995</t>
  </si>
  <si>
    <t>121,5240</t>
  </si>
  <si>
    <t>119,7570</t>
  </si>
  <si>
    <t>109,5850</t>
  </si>
  <si>
    <t>109,2175</t>
  </si>
  <si>
    <t>104,5157</t>
  </si>
  <si>
    <t>99,4785</t>
  </si>
  <si>
    <t>98,6825</t>
  </si>
  <si>
    <t>77,2160</t>
  </si>
  <si>
    <t>75,3610</t>
  </si>
  <si>
    <t>167,7602</t>
  </si>
  <si>
    <t>138,9171</t>
  </si>
  <si>
    <t>130,7064</t>
  </si>
  <si>
    <t>Кубок России НАП
Любители присед в софт экипировке
Кемерово/Кемеровская область 24 - 25 марта 2018 г.</t>
  </si>
  <si>
    <t>97,0728</t>
  </si>
  <si>
    <t>136,3560</t>
  </si>
  <si>
    <t>Кубок России НАП Пуэрспорт-Подьем штанги на бицепс
Любители
Кемерово/Кемеровская область 24 - 25 марта 2018 г.</t>
  </si>
  <si>
    <t>Соб.
вес</t>
  </si>
  <si>
    <t>Армейский жим</t>
  </si>
  <si>
    <t>Подъем на бицес</t>
  </si>
  <si>
    <t>1. Авдеев Виктор</t>
  </si>
  <si>
    <t>Юноши 14 - 15 (08.07.2003)/14</t>
  </si>
  <si>
    <t>54,30</t>
  </si>
  <si>
    <t>35</t>
  </si>
  <si>
    <t xml:space="preserve">Воложанцев М. </t>
  </si>
  <si>
    <t>1. Пяташов Илья</t>
  </si>
  <si>
    <t>Юноши 18 - 19 (20.06.1998)/19</t>
  </si>
  <si>
    <t>58,40</t>
  </si>
  <si>
    <t>0</t>
  </si>
  <si>
    <t>1. Зюзин Илья</t>
  </si>
  <si>
    <t>Юноши 14 - 15 (08.01.2003)/15</t>
  </si>
  <si>
    <t>66,25</t>
  </si>
  <si>
    <t>45</t>
  </si>
  <si>
    <t>1. Кадничанский Андрей</t>
  </si>
  <si>
    <t>Юноши 16 - 17 (27.02.2001)/17</t>
  </si>
  <si>
    <t>63,50</t>
  </si>
  <si>
    <t>1. Голещихин Александр</t>
  </si>
  <si>
    <t>Юноши 18 - 19 (19.05.1999)/18</t>
  </si>
  <si>
    <t>1. Копанев Иван</t>
  </si>
  <si>
    <t>Юниоры 20 - 23 (25.05.1995)/22</t>
  </si>
  <si>
    <t>1. Андреев Дмитрий</t>
  </si>
  <si>
    <t>Открытая (13.02.1994)/24</t>
  </si>
  <si>
    <t>50</t>
  </si>
  <si>
    <t>2. Топольняк Дмитрий</t>
  </si>
  <si>
    <t>Открытая (25.10.1985)/32</t>
  </si>
  <si>
    <t xml:space="preserve">Коротыгин А. </t>
  </si>
  <si>
    <t>2. Воложанцев Максим</t>
  </si>
  <si>
    <t>Открытая (22.12.1991)/26</t>
  </si>
  <si>
    <t>71,55</t>
  </si>
  <si>
    <t>55</t>
  </si>
  <si>
    <t>1. Лавренов Валерий</t>
  </si>
  <si>
    <t>Открытая (13.02.1990)/28</t>
  </si>
  <si>
    <t>72,30</t>
  </si>
  <si>
    <t>60</t>
  </si>
  <si>
    <t>3. Светлов-Ильин Владимир</t>
  </si>
  <si>
    <t>Открытая (20.04.1983)/34</t>
  </si>
  <si>
    <t>72,80</t>
  </si>
  <si>
    <t>1. Иванов Дмитрй</t>
  </si>
  <si>
    <t>Юноши 16 - 17 (21.11.2000)/17</t>
  </si>
  <si>
    <t>80,75</t>
  </si>
  <si>
    <t>1. Иванников Алексей</t>
  </si>
  <si>
    <t>1. Корнев Константин</t>
  </si>
  <si>
    <t>Мастера 40 - 44 (14.09.1976)/41</t>
  </si>
  <si>
    <t>Мастера 45 - 49 (27.04.1970)/47</t>
  </si>
  <si>
    <t>92,6264</t>
  </si>
  <si>
    <t>Кубок России НАП НЖ
Любители народный жим (1 вес)
Кемерово/Кемеровская область 24 - 25 марта 2018 г.</t>
  </si>
  <si>
    <t>НАП Н.Ж.</t>
  </si>
  <si>
    <t>Жим мн. повт.</t>
  </si>
  <si>
    <t>Тоннаж</t>
  </si>
  <si>
    <t>Вес</t>
  </si>
  <si>
    <t>Повторы</t>
  </si>
  <si>
    <t>25,00</t>
  </si>
  <si>
    <t>47,0</t>
  </si>
  <si>
    <t>1. Быков Владислав</t>
  </si>
  <si>
    <t>Юноши 18 - 19 (21.02.2000)/18</t>
  </si>
  <si>
    <t>63,40</t>
  </si>
  <si>
    <t>1. Василенко Дмитрий</t>
  </si>
  <si>
    <t>Юниоры 20 - 23 (06.08.1995)/22</t>
  </si>
  <si>
    <t>67,10</t>
  </si>
  <si>
    <t>42,0</t>
  </si>
  <si>
    <t xml:space="preserve">Орефьев А. </t>
  </si>
  <si>
    <t>1. Лукьянов Сергей</t>
  </si>
  <si>
    <t>Открытая (14.06.1986)/31</t>
  </si>
  <si>
    <t>39,0</t>
  </si>
  <si>
    <t>2. Лихачев Анатолий</t>
  </si>
  <si>
    <t>26,0</t>
  </si>
  <si>
    <t>1. Бочоришвили Темури</t>
  </si>
  <si>
    <t>32,0</t>
  </si>
  <si>
    <t>1. Кривошеев Артем</t>
  </si>
  <si>
    <t>Открытая (06.05.1991)/26</t>
  </si>
  <si>
    <t>84,10</t>
  </si>
  <si>
    <t>31,0</t>
  </si>
  <si>
    <t>2. Туманов Никита</t>
  </si>
  <si>
    <t>27,0</t>
  </si>
  <si>
    <t>3. Карачеев Александр</t>
  </si>
  <si>
    <t>Открытая (30.09.1988)/29</t>
  </si>
  <si>
    <t>83,10</t>
  </si>
  <si>
    <t>4. Донсков Андрей</t>
  </si>
  <si>
    <t>Открытая (25.10.1988)/29</t>
  </si>
  <si>
    <t>1. Митрохин Александр</t>
  </si>
  <si>
    <t>18,0</t>
  </si>
  <si>
    <t>33,0</t>
  </si>
  <si>
    <t xml:space="preserve">НАП Н.Ж. </t>
  </si>
  <si>
    <t>1800,0</t>
  </si>
  <si>
    <t>1638,0000</t>
  </si>
  <si>
    <t>Быков Владислав</t>
  </si>
  <si>
    <t>1625,0</t>
  </si>
  <si>
    <t>1435,3625</t>
  </si>
  <si>
    <t>Василенко Дмитрий</t>
  </si>
  <si>
    <t>2835,0</t>
  </si>
  <si>
    <t>2366,0909</t>
  </si>
  <si>
    <t>3465,0</t>
  </si>
  <si>
    <t>2329,1731</t>
  </si>
  <si>
    <t>Лукьянов Сергей</t>
  </si>
  <si>
    <t>2827,5</t>
  </si>
  <si>
    <t>2311,4812</t>
  </si>
  <si>
    <t>2640,0</t>
  </si>
  <si>
    <t>2056,5600</t>
  </si>
  <si>
    <t>Кривошеев Артем</t>
  </si>
  <si>
    <t>2635,0</t>
  </si>
  <si>
    <t>2012,6131</t>
  </si>
  <si>
    <t>2565,0</t>
  </si>
  <si>
    <t>1787,0354</t>
  </si>
  <si>
    <t>Карачеев Александр</t>
  </si>
  <si>
    <t>2295,0</t>
  </si>
  <si>
    <t>1774,0350</t>
  </si>
  <si>
    <t>Донсков Андрей</t>
  </si>
  <si>
    <t>1752,9211</t>
  </si>
  <si>
    <t>2362,5</t>
  </si>
  <si>
    <t>1734,3112</t>
  </si>
  <si>
    <t>1950,0</t>
  </si>
  <si>
    <t>1563,9000</t>
  </si>
  <si>
    <t>1191,2400</t>
  </si>
  <si>
    <t>Кубок России НАП НЖ
Профессионалы народный жим (1 вес)
Кемерово/Кемеровская область 24 - 25 марта 2018 г.</t>
  </si>
  <si>
    <t>1. Князев Алексей</t>
  </si>
  <si>
    <t>Открытая (12.04.1987)/30</t>
  </si>
  <si>
    <t>2. Огородников Виктор</t>
  </si>
  <si>
    <t>Открытая (12.04.1978)/39</t>
  </si>
  <si>
    <t>1. Овечкин Андрей</t>
  </si>
  <si>
    <t>Открытая (12.10.1983)/34</t>
  </si>
  <si>
    <t>1. Гарбузов Михаил</t>
  </si>
  <si>
    <t>Мастера 40 - 44 (11.09.1973)/44</t>
  </si>
  <si>
    <t>102,20</t>
  </si>
  <si>
    <t>1. Дусаев Эдуард</t>
  </si>
  <si>
    <t>Мастера 45 - 49 (09.02.1972)/46</t>
  </si>
  <si>
    <t>101,75</t>
  </si>
  <si>
    <t>2. Кочубей Роман</t>
  </si>
  <si>
    <t>Открытая (17.02.1994)/24</t>
  </si>
  <si>
    <t>111,30</t>
  </si>
  <si>
    <t>Князев Алексей</t>
  </si>
  <si>
    <t>3440,0</t>
  </si>
  <si>
    <t>2683,1999</t>
  </si>
  <si>
    <t>3877,5</t>
  </si>
  <si>
    <t>2627,7817</t>
  </si>
  <si>
    <t>Овечкин Андрей</t>
  </si>
  <si>
    <t>3420,0</t>
  </si>
  <si>
    <t>2468,2140</t>
  </si>
  <si>
    <t>Кочубей Роман</t>
  </si>
  <si>
    <t>3150,0</t>
  </si>
  <si>
    <t>2207,5200</t>
  </si>
  <si>
    <t>Огородников Виктор</t>
  </si>
  <si>
    <t>2240,0</t>
  </si>
  <si>
    <t>1747,1999</t>
  </si>
  <si>
    <t>Дусаев Эдуард</t>
  </si>
  <si>
    <t>3485,0</t>
  </si>
  <si>
    <t>2413,0139</t>
  </si>
  <si>
    <t>Гарбузов Михаил</t>
  </si>
  <si>
    <t>2402,5591</t>
  </si>
  <si>
    <t>Кубок России НАП РЖ
Любители 55 кг.
Кемерово/Кемеровская область 24 - 25 марта 2018 г.</t>
  </si>
  <si>
    <t>1. Титарчук Иван</t>
  </si>
  <si>
    <t>Юноши 13 - 19 (30.05.2000)/17</t>
  </si>
  <si>
    <t>70,00</t>
  </si>
  <si>
    <t>2. Селянкин Владислав</t>
  </si>
  <si>
    <t>Юноши 13 - 19 (01.07.2000)/17</t>
  </si>
  <si>
    <t>36,0</t>
  </si>
  <si>
    <t>Открытая (30.05.2000)/17</t>
  </si>
  <si>
    <t>1. Федосов Евгений</t>
  </si>
  <si>
    <t>Мастера 50 - 59 (24.08.1964)/53</t>
  </si>
  <si>
    <t>54,0</t>
  </si>
  <si>
    <t xml:space="preserve">Арефьев </t>
  </si>
  <si>
    <t>2. Шихалев Василий</t>
  </si>
  <si>
    <t>Мастера 50 - 59 (02.03.1961)/57</t>
  </si>
  <si>
    <t>74,20</t>
  </si>
  <si>
    <t>49,0</t>
  </si>
  <si>
    <t>ВЕСОВАЯ КАТЕГОРИЯ   82,5</t>
  </si>
  <si>
    <t>51,0</t>
  </si>
  <si>
    <t>1. Долганов Константин</t>
  </si>
  <si>
    <t>Открытая (29.09.1987)/30</t>
  </si>
  <si>
    <t>2. Зяблицких Константин</t>
  </si>
  <si>
    <t>Открытая (10.04.1989)/28</t>
  </si>
  <si>
    <t>1. Чиглинцев Андрей</t>
  </si>
  <si>
    <t>Открытая (13.07.1991)/26</t>
  </si>
  <si>
    <t>88,30</t>
  </si>
  <si>
    <t>62,0</t>
  </si>
  <si>
    <t>1. Легких Павел</t>
  </si>
  <si>
    <t>Мастера 40 - 49 (14.12.1973)/44</t>
  </si>
  <si>
    <t>87,30</t>
  </si>
  <si>
    <t>59,0</t>
  </si>
  <si>
    <t>2. Соколов Дмитрий</t>
  </si>
  <si>
    <t>Мастера 40 - 49 (18.05.1975)/42</t>
  </si>
  <si>
    <t>1. Закиров Евгений</t>
  </si>
  <si>
    <t>Открытая (22.04.1978)/39</t>
  </si>
  <si>
    <t>2. Ерин Владимир</t>
  </si>
  <si>
    <t>Титарчук Иван</t>
  </si>
  <si>
    <t xml:space="preserve">Юноши 13 - 19 </t>
  </si>
  <si>
    <t>2420,0</t>
  </si>
  <si>
    <t>1837,6222</t>
  </si>
  <si>
    <t>Селянкин Владислав</t>
  </si>
  <si>
    <t>1980,0</t>
  </si>
  <si>
    <t>1468,4393</t>
  </si>
  <si>
    <t>2805,0</t>
  </si>
  <si>
    <t>1791,6209</t>
  </si>
  <si>
    <t>Чиглинцев Андрей</t>
  </si>
  <si>
    <t>3410,0</t>
  </si>
  <si>
    <t>2019,4019</t>
  </si>
  <si>
    <t>Закиров Евгений</t>
  </si>
  <si>
    <t>3300,0</t>
  </si>
  <si>
    <t>1837,4400</t>
  </si>
  <si>
    <t>Долганов Константин</t>
  </si>
  <si>
    <t>2750,0</t>
  </si>
  <si>
    <t>1722,0501</t>
  </si>
  <si>
    <t>1701,5021</t>
  </si>
  <si>
    <t>Зяблицких Константин</t>
  </si>
  <si>
    <t>1512,7420</t>
  </si>
  <si>
    <t>2585,0</t>
  </si>
  <si>
    <t>1460,3957</t>
  </si>
  <si>
    <t>Шихалев Василий</t>
  </si>
  <si>
    <t xml:space="preserve">Мастера 50 - 59 </t>
  </si>
  <si>
    <t>2695,0</t>
  </si>
  <si>
    <t>2672,7608</t>
  </si>
  <si>
    <t>Федосов Евгений</t>
  </si>
  <si>
    <t>2970,0</t>
  </si>
  <si>
    <t>2571,8893</t>
  </si>
  <si>
    <t>Легких Павел</t>
  </si>
  <si>
    <t xml:space="preserve">Мастера 40 - 49 </t>
  </si>
  <si>
    <t>3245,0</t>
  </si>
  <si>
    <t>1995,6473</t>
  </si>
  <si>
    <t>Соколов Дмитрий</t>
  </si>
  <si>
    <t>3025,0</t>
  </si>
  <si>
    <t>1824,6202</t>
  </si>
  <si>
    <t>Кубок России НАП РЖ
Любители 75 кг.
Кемерово/Кемеровская область 24 - 25 марта 2018 г.</t>
  </si>
  <si>
    <t>ВЕСОВАЯ КАТЕГОРИЯ   All</t>
  </si>
  <si>
    <t>1. Романов Кирилл</t>
  </si>
  <si>
    <t>94,85</t>
  </si>
  <si>
    <t>Кубок России НАП РЖ
Профессионалы 100 кг.
Кемерово/Кемеровская область 24 - 25 марта 2018 г.</t>
  </si>
  <si>
    <t>1. Решетов Евгений</t>
  </si>
  <si>
    <t>Открытая (21.04.1987)/30</t>
  </si>
  <si>
    <t>96,25</t>
  </si>
  <si>
    <t>1. Биднюк Олег</t>
  </si>
  <si>
    <t>Кубок России НАП Пауэрспорт
Профессионалы
Кемерово/Кемеровская область 24 - 25 марта 2018 г.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</si>
</sst>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z val="24"/>
      <name val="Arial Cyr"/>
      <family val="2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left"/>
    </xf>
    <xf numFmtId="49" fontId="0" fillId="0" borderId="13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left"/>
    </xf>
    <xf numFmtId="49" fontId="0" fillId="0" borderId="14" xfId="0" applyNumberForma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49" fontId="1" fillId="0" borderId="16" xfId="0" applyNumberFormat="1" applyFont="1" applyFill="1" applyBorder="1" applyAlignment="1">
      <alignment horizontal="left"/>
    </xf>
    <xf numFmtId="49" fontId="0" fillId="0" borderId="16" xfId="0" applyNumberFormat="1" applyFill="1" applyBorder="1" applyAlignment="1">
      <alignment horizontal="center"/>
    </xf>
    <xf numFmtId="49" fontId="0" fillId="0" borderId="16" xfId="0" applyNumberForma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0" fillId="0" borderId="15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indent="1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/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"/>
  <sheetViews>
    <sheetView workbookViewId="0">
      <selection activeCell="E14" sqref="E14"/>
    </sheetView>
  </sheetViews>
  <sheetFormatPr defaultRowHeight="12.75"/>
  <cols>
    <col min="1" max="1" width="25.85546875" style="5" bestFit="1" customWidth="1"/>
    <col min="2" max="2" width="25.28515625" style="5" bestFit="1" customWidth="1"/>
    <col min="3" max="3" width="6.85546875" style="5" bestFit="1" customWidth="1"/>
    <col min="4" max="4" width="6.5703125" style="6" bestFit="1" customWidth="1"/>
    <col min="5" max="5" width="23.7109375" style="5" bestFit="1" customWidth="1"/>
    <col min="6" max="6" width="21.140625" style="5" bestFit="1" customWidth="1"/>
    <col min="7" max="7" width="5.5703125" style="4" bestFit="1" customWidth="1"/>
    <col min="8" max="8" width="7" style="4" customWidth="1"/>
    <col min="9" max="9" width="6.28515625" style="4" bestFit="1" customWidth="1"/>
    <col min="10" max="10" width="5.5703125" style="4" bestFit="1" customWidth="1"/>
    <col min="11" max="13" width="7" style="4" bestFit="1" customWidth="1"/>
    <col min="14" max="14" width="5.5703125" style="4" bestFit="1" customWidth="1"/>
    <col min="15" max="16" width="7" style="4" bestFit="1" customWidth="1"/>
    <col min="17" max="17" width="6.28515625" style="4" bestFit="1" customWidth="1"/>
    <col min="18" max="18" width="5.5703125" style="4" bestFit="1" customWidth="1"/>
    <col min="19" max="19" width="7.85546875" style="6" bestFit="1" customWidth="1"/>
    <col min="20" max="20" width="8.5703125" style="7" bestFit="1" customWidth="1"/>
    <col min="21" max="21" width="23" style="5" bestFit="1" customWidth="1"/>
    <col min="22" max="16384" width="9.140625" style="4"/>
  </cols>
  <sheetData>
    <row r="1" spans="1:21" s="3" customFormat="1" ht="15" customHeight="1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3" customFormat="1" ht="66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>
      <c r="A3" s="71" t="s">
        <v>0</v>
      </c>
      <c r="B3" s="73" t="s">
        <v>9</v>
      </c>
      <c r="C3" s="73" t="s">
        <v>12</v>
      </c>
      <c r="D3" s="61" t="s">
        <v>10</v>
      </c>
      <c r="E3" s="60" t="s">
        <v>7</v>
      </c>
      <c r="F3" s="60" t="s">
        <v>11</v>
      </c>
      <c r="G3" s="60" t="s">
        <v>1</v>
      </c>
      <c r="H3" s="60"/>
      <c r="I3" s="60"/>
      <c r="J3" s="60"/>
      <c r="K3" s="60" t="s">
        <v>2</v>
      </c>
      <c r="L3" s="60"/>
      <c r="M3" s="60"/>
      <c r="N3" s="60"/>
      <c r="O3" s="60" t="s">
        <v>3</v>
      </c>
      <c r="P3" s="60"/>
      <c r="Q3" s="60"/>
      <c r="R3" s="60"/>
      <c r="S3" s="61" t="s">
        <v>4</v>
      </c>
      <c r="T3" s="61" t="s">
        <v>6</v>
      </c>
      <c r="U3" s="63" t="s">
        <v>5</v>
      </c>
    </row>
    <row r="4" spans="1:21" s="1" customFormat="1" ht="21" customHeight="1" thickBot="1">
      <c r="A4" s="72"/>
      <c r="B4" s="74"/>
      <c r="C4" s="74"/>
      <c r="D4" s="62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62"/>
      <c r="T4" s="62"/>
      <c r="U4" s="64"/>
    </row>
  </sheetData>
  <mergeCells count="13"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9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4.5703125" style="5" bestFit="1" customWidth="1"/>
    <col min="7" max="10" width="5.5703125" style="4" bestFit="1" customWidth="1"/>
    <col min="11" max="11" width="7.85546875" style="5" bestFit="1" customWidth="1"/>
    <col min="12" max="12" width="8.5703125" style="4" bestFit="1" customWidth="1"/>
    <col min="13" max="13" width="12.42578125" style="5" bestFit="1" customWidth="1"/>
    <col min="14" max="16384" width="9.140625" style="4"/>
  </cols>
  <sheetData>
    <row r="1" spans="1:13" s="3" customFormat="1" ht="29.1" customHeight="1">
      <c r="A1" s="79" t="s">
        <v>394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2</v>
      </c>
      <c r="H3" s="60"/>
      <c r="I3" s="60"/>
      <c r="J3" s="60"/>
      <c r="K3" s="60" t="s">
        <v>279</v>
      </c>
      <c r="L3" s="60" t="s">
        <v>6</v>
      </c>
      <c r="M3" s="63" t="s">
        <v>5</v>
      </c>
    </row>
    <row r="4" spans="1:13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74"/>
      <c r="L4" s="74"/>
      <c r="M4" s="64"/>
    </row>
    <row r="5" spans="1:13" ht="15">
      <c r="A5" s="75" t="s">
        <v>15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>
      <c r="A6" s="8" t="s">
        <v>396</v>
      </c>
      <c r="B6" s="8" t="s">
        <v>397</v>
      </c>
      <c r="C6" s="8" t="s">
        <v>290</v>
      </c>
      <c r="D6" s="8" t="str">
        <f>"0,6645"</f>
        <v>0,6645</v>
      </c>
      <c r="E6" s="8" t="s">
        <v>20</v>
      </c>
      <c r="F6" s="8" t="s">
        <v>21</v>
      </c>
      <c r="G6" s="10" t="s">
        <v>53</v>
      </c>
      <c r="H6" s="10" t="s">
        <v>67</v>
      </c>
      <c r="I6" s="10" t="s">
        <v>55</v>
      </c>
      <c r="J6" s="9"/>
      <c r="K6" s="8" t="str">
        <f>"232,5"</f>
        <v>232,5</v>
      </c>
      <c r="L6" s="10" t="str">
        <f>"154,4962"</f>
        <v>154,4962</v>
      </c>
      <c r="M6" s="8" t="s">
        <v>398</v>
      </c>
    </row>
    <row r="8" spans="1:13" ht="15">
      <c r="A8" s="77" t="s">
        <v>31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3">
      <c r="A9" s="11" t="s">
        <v>400</v>
      </c>
      <c r="B9" s="11" t="s">
        <v>401</v>
      </c>
      <c r="C9" s="11" t="s">
        <v>402</v>
      </c>
      <c r="D9" s="11" t="str">
        <f>"0,6524"</f>
        <v>0,6524</v>
      </c>
      <c r="E9" s="11" t="s">
        <v>20</v>
      </c>
      <c r="F9" s="11" t="s">
        <v>21</v>
      </c>
      <c r="G9" s="12" t="s">
        <v>68</v>
      </c>
      <c r="H9" s="13" t="s">
        <v>300</v>
      </c>
      <c r="I9" s="13" t="s">
        <v>300</v>
      </c>
      <c r="J9" s="13"/>
      <c r="K9" s="11" t="str">
        <f>"270,0"</f>
        <v>270,0</v>
      </c>
      <c r="L9" s="12" t="str">
        <f>"186,7169"</f>
        <v>186,7169</v>
      </c>
      <c r="M9" s="11" t="s">
        <v>30</v>
      </c>
    </row>
    <row r="10" spans="1:13">
      <c r="A10" s="17" t="s">
        <v>404</v>
      </c>
      <c r="B10" s="17" t="s">
        <v>405</v>
      </c>
      <c r="C10" s="17" t="s">
        <v>406</v>
      </c>
      <c r="D10" s="17" t="str">
        <f>"0,6376"</f>
        <v>0,6376</v>
      </c>
      <c r="E10" s="17" t="s">
        <v>20</v>
      </c>
      <c r="F10" s="17" t="s">
        <v>21</v>
      </c>
      <c r="G10" s="19" t="s">
        <v>145</v>
      </c>
      <c r="H10" s="18" t="s">
        <v>27</v>
      </c>
      <c r="I10" s="19" t="s">
        <v>407</v>
      </c>
      <c r="J10" s="18"/>
      <c r="K10" s="17" t="str">
        <f>"252,5"</f>
        <v>252,5</v>
      </c>
      <c r="L10" s="19" t="str">
        <f>"160,9940"</f>
        <v>160,9940</v>
      </c>
      <c r="M10" s="17" t="s">
        <v>408</v>
      </c>
    </row>
    <row r="11" spans="1:13">
      <c r="A11" s="17" t="s">
        <v>410</v>
      </c>
      <c r="B11" s="17" t="s">
        <v>411</v>
      </c>
      <c r="C11" s="17" t="s">
        <v>35</v>
      </c>
      <c r="D11" s="17" t="str">
        <f>"0,6193"</f>
        <v>0,6193</v>
      </c>
      <c r="E11" s="17" t="s">
        <v>20</v>
      </c>
      <c r="F11" s="17" t="s">
        <v>21</v>
      </c>
      <c r="G11" s="18" t="s">
        <v>68</v>
      </c>
      <c r="H11" s="19" t="s">
        <v>412</v>
      </c>
      <c r="I11" s="19" t="s">
        <v>413</v>
      </c>
      <c r="J11" s="19" t="s">
        <v>414</v>
      </c>
      <c r="K11" s="17" t="str">
        <f>"302,5"</f>
        <v>302,5</v>
      </c>
      <c r="L11" s="19" t="str">
        <f>"187,3383"</f>
        <v>187,3383</v>
      </c>
      <c r="M11" s="17" t="s">
        <v>30</v>
      </c>
    </row>
    <row r="12" spans="1:13">
      <c r="A12" s="17" t="s">
        <v>415</v>
      </c>
      <c r="B12" s="17" t="s">
        <v>416</v>
      </c>
      <c r="C12" s="17" t="s">
        <v>402</v>
      </c>
      <c r="D12" s="17" t="str">
        <f>"0,6524"</f>
        <v>0,6524</v>
      </c>
      <c r="E12" s="17" t="s">
        <v>20</v>
      </c>
      <c r="F12" s="17" t="s">
        <v>21</v>
      </c>
      <c r="G12" s="19" t="s">
        <v>68</v>
      </c>
      <c r="H12" s="18" t="s">
        <v>300</v>
      </c>
      <c r="I12" s="18" t="s">
        <v>300</v>
      </c>
      <c r="J12" s="18"/>
      <c r="K12" s="17" t="str">
        <f>"270,0"</f>
        <v>270,0</v>
      </c>
      <c r="L12" s="19" t="str">
        <f>"176,1480"</f>
        <v>176,1480</v>
      </c>
      <c r="M12" s="17" t="s">
        <v>30</v>
      </c>
    </row>
    <row r="13" spans="1:13">
      <c r="A13" s="14" t="s">
        <v>418</v>
      </c>
      <c r="B13" s="14" t="s">
        <v>419</v>
      </c>
      <c r="C13" s="14" t="s">
        <v>420</v>
      </c>
      <c r="D13" s="14" t="str">
        <f>"0,6219"</f>
        <v>0,6219</v>
      </c>
      <c r="E13" s="14" t="s">
        <v>336</v>
      </c>
      <c r="F13" s="14" t="s">
        <v>337</v>
      </c>
      <c r="G13" s="15" t="s">
        <v>29</v>
      </c>
      <c r="H13" s="16" t="s">
        <v>122</v>
      </c>
      <c r="I13" s="16" t="s">
        <v>421</v>
      </c>
      <c r="J13" s="16"/>
      <c r="K13" s="14" t="str">
        <f>"262,5"</f>
        <v>262,5</v>
      </c>
      <c r="L13" s="15" t="str">
        <f>"163,2488"</f>
        <v>163,2488</v>
      </c>
      <c r="M13" s="14" t="s">
        <v>338</v>
      </c>
    </row>
    <row r="15" spans="1:13" ht="15">
      <c r="A15" s="77" t="s">
        <v>59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3">
      <c r="A16" s="8" t="s">
        <v>423</v>
      </c>
      <c r="B16" s="8" t="s">
        <v>424</v>
      </c>
      <c r="C16" s="8" t="s">
        <v>225</v>
      </c>
      <c r="D16" s="8" t="str">
        <f>"0,5865"</f>
        <v>0,5865</v>
      </c>
      <c r="E16" s="8" t="s">
        <v>20</v>
      </c>
      <c r="F16" s="8" t="s">
        <v>21</v>
      </c>
      <c r="G16" s="10" t="s">
        <v>68</v>
      </c>
      <c r="H16" s="9" t="s">
        <v>421</v>
      </c>
      <c r="I16" s="10" t="s">
        <v>300</v>
      </c>
      <c r="J16" s="9" t="s">
        <v>425</v>
      </c>
      <c r="K16" s="8" t="str">
        <f>"300,0"</f>
        <v>300,0</v>
      </c>
      <c r="L16" s="10" t="str">
        <f>"175,9500"</f>
        <v>175,9500</v>
      </c>
      <c r="M16" s="8" t="s">
        <v>30</v>
      </c>
    </row>
    <row r="18" spans="1:13" ht="15">
      <c r="A18" s="77" t="s">
        <v>94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3">
      <c r="A19" s="8" t="s">
        <v>427</v>
      </c>
      <c r="B19" s="8" t="s">
        <v>428</v>
      </c>
      <c r="C19" s="8" t="s">
        <v>429</v>
      </c>
      <c r="D19" s="8" t="str">
        <f>"0,5573"</f>
        <v>0,5573</v>
      </c>
      <c r="E19" s="8" t="s">
        <v>20</v>
      </c>
      <c r="F19" s="8" t="s">
        <v>21</v>
      </c>
      <c r="G19" s="10" t="s">
        <v>295</v>
      </c>
      <c r="H19" s="10" t="s">
        <v>300</v>
      </c>
      <c r="I19" s="9"/>
      <c r="J19" s="9"/>
      <c r="K19" s="8" t="str">
        <f>"300,0"</f>
        <v>300,0</v>
      </c>
      <c r="L19" s="10" t="str">
        <f>"167,1900"</f>
        <v>167,1900</v>
      </c>
      <c r="M19" s="8" t="s">
        <v>58</v>
      </c>
    </row>
    <row r="21" spans="1:13" ht="15">
      <c r="A21" s="77" t="s">
        <v>129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3">
      <c r="A22" s="11" t="s">
        <v>431</v>
      </c>
      <c r="B22" s="11" t="s">
        <v>432</v>
      </c>
      <c r="C22" s="11" t="s">
        <v>433</v>
      </c>
      <c r="D22" s="11" t="str">
        <f>"0,5454"</f>
        <v>0,5454</v>
      </c>
      <c r="E22" s="11" t="s">
        <v>434</v>
      </c>
      <c r="F22" s="11" t="s">
        <v>435</v>
      </c>
      <c r="G22" s="12" t="s">
        <v>436</v>
      </c>
      <c r="H22" s="13" t="s">
        <v>437</v>
      </c>
      <c r="I22" s="13" t="s">
        <v>438</v>
      </c>
      <c r="J22" s="13"/>
      <c r="K22" s="11" t="str">
        <f>"375,0"</f>
        <v>375,0</v>
      </c>
      <c r="L22" s="12" t="str">
        <f>"204,5250"</f>
        <v>204,5250</v>
      </c>
      <c r="M22" s="11" t="s">
        <v>439</v>
      </c>
    </row>
    <row r="23" spans="1:13">
      <c r="A23" s="17" t="s">
        <v>441</v>
      </c>
      <c r="B23" s="17" t="s">
        <v>442</v>
      </c>
      <c r="C23" s="17" t="s">
        <v>443</v>
      </c>
      <c r="D23" s="17" t="str">
        <f>"0,5398"</f>
        <v>0,5398</v>
      </c>
      <c r="E23" s="17" t="s">
        <v>20</v>
      </c>
      <c r="F23" s="17" t="s">
        <v>444</v>
      </c>
      <c r="G23" s="19" t="s">
        <v>445</v>
      </c>
      <c r="H23" s="19" t="s">
        <v>446</v>
      </c>
      <c r="I23" s="18" t="s">
        <v>447</v>
      </c>
      <c r="J23" s="18"/>
      <c r="K23" s="17" t="str">
        <f>"350,0"</f>
        <v>350,0</v>
      </c>
      <c r="L23" s="19" t="str">
        <f>"188,9300"</f>
        <v>188,9300</v>
      </c>
      <c r="M23" s="17" t="s">
        <v>58</v>
      </c>
    </row>
    <row r="24" spans="1:13">
      <c r="A24" s="14" t="s">
        <v>431</v>
      </c>
      <c r="B24" s="14" t="s">
        <v>448</v>
      </c>
      <c r="C24" s="14" t="s">
        <v>433</v>
      </c>
      <c r="D24" s="14" t="str">
        <f>"0,5454"</f>
        <v>0,5454</v>
      </c>
      <c r="E24" s="14" t="s">
        <v>434</v>
      </c>
      <c r="F24" s="14" t="s">
        <v>435</v>
      </c>
      <c r="G24" s="15" t="s">
        <v>436</v>
      </c>
      <c r="H24" s="16" t="s">
        <v>437</v>
      </c>
      <c r="I24" s="16" t="s">
        <v>438</v>
      </c>
      <c r="J24" s="16"/>
      <c r="K24" s="14" t="str">
        <f>"375,0"</f>
        <v>375,0</v>
      </c>
      <c r="L24" s="15" t="str">
        <f>"214,3422"</f>
        <v>214,3422</v>
      </c>
      <c r="M24" s="14" t="s">
        <v>439</v>
      </c>
    </row>
    <row r="26" spans="1:13" ht="15">
      <c r="A26" s="77" t="s">
        <v>250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3">
      <c r="A27" s="11" t="s">
        <v>449</v>
      </c>
      <c r="B27" s="11" t="s">
        <v>257</v>
      </c>
      <c r="C27" s="11" t="s">
        <v>258</v>
      </c>
      <c r="D27" s="11" t="str">
        <f>"0,5274"</f>
        <v>0,5274</v>
      </c>
      <c r="E27" s="11" t="s">
        <v>50</v>
      </c>
      <c r="F27" s="11" t="s">
        <v>259</v>
      </c>
      <c r="G27" s="12" t="s">
        <v>445</v>
      </c>
      <c r="H27" s="12" t="s">
        <v>327</v>
      </c>
      <c r="I27" s="12" t="s">
        <v>450</v>
      </c>
      <c r="J27" s="13"/>
      <c r="K27" s="11" t="str">
        <f>"340,0"</f>
        <v>340,0</v>
      </c>
      <c r="L27" s="12" t="str">
        <f>"179,3160"</f>
        <v>179,3160</v>
      </c>
      <c r="M27" s="11" t="s">
        <v>77</v>
      </c>
    </row>
    <row r="28" spans="1:13">
      <c r="A28" s="17" t="s">
        <v>451</v>
      </c>
      <c r="B28" s="17" t="s">
        <v>253</v>
      </c>
      <c r="C28" s="17" t="s">
        <v>254</v>
      </c>
      <c r="D28" s="17" t="str">
        <f>"0,5313"</f>
        <v>0,5313</v>
      </c>
      <c r="E28" s="17" t="s">
        <v>82</v>
      </c>
      <c r="F28" s="17" t="s">
        <v>21</v>
      </c>
      <c r="G28" s="18" t="s">
        <v>300</v>
      </c>
      <c r="H28" s="19" t="s">
        <v>445</v>
      </c>
      <c r="I28" s="18" t="s">
        <v>450</v>
      </c>
      <c r="J28" s="18"/>
      <c r="K28" s="17" t="str">
        <f>"320,0"</f>
        <v>320,0</v>
      </c>
      <c r="L28" s="19" t="str">
        <f>"170,0160"</f>
        <v>170,0160</v>
      </c>
      <c r="M28" s="17" t="s">
        <v>58</v>
      </c>
    </row>
    <row r="29" spans="1:13">
      <c r="A29" s="14" t="s">
        <v>453</v>
      </c>
      <c r="B29" s="14" t="s">
        <v>454</v>
      </c>
      <c r="C29" s="14" t="s">
        <v>455</v>
      </c>
      <c r="D29" s="14" t="str">
        <f>"0,5318"</f>
        <v>0,5318</v>
      </c>
      <c r="E29" s="14" t="s">
        <v>20</v>
      </c>
      <c r="F29" s="14" t="s">
        <v>21</v>
      </c>
      <c r="G29" s="15" t="s">
        <v>122</v>
      </c>
      <c r="H29" s="16" t="s">
        <v>300</v>
      </c>
      <c r="I29" s="15" t="s">
        <v>300</v>
      </c>
      <c r="J29" s="16"/>
      <c r="K29" s="14" t="str">
        <f>"300,0"</f>
        <v>300,0</v>
      </c>
      <c r="L29" s="15" t="str">
        <f>"174,2177"</f>
        <v>174,2177</v>
      </c>
      <c r="M29" s="14" t="s">
        <v>30</v>
      </c>
    </row>
    <row r="31" spans="1:13" ht="15">
      <c r="A31" s="77" t="s">
        <v>140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3">
      <c r="A32" s="8" t="s">
        <v>457</v>
      </c>
      <c r="B32" s="8" t="s">
        <v>458</v>
      </c>
      <c r="C32" s="8" t="s">
        <v>459</v>
      </c>
      <c r="D32" s="8" t="str">
        <f>"0,5184"</f>
        <v>0,5184</v>
      </c>
      <c r="E32" s="8" t="s">
        <v>20</v>
      </c>
      <c r="F32" s="8" t="s">
        <v>21</v>
      </c>
      <c r="G32" s="9" t="s">
        <v>460</v>
      </c>
      <c r="H32" s="10" t="s">
        <v>460</v>
      </c>
      <c r="I32" s="9" t="s">
        <v>447</v>
      </c>
      <c r="J32" s="9"/>
      <c r="K32" s="8" t="str">
        <f>"360,0"</f>
        <v>360,0</v>
      </c>
      <c r="L32" s="10" t="str">
        <f>"186,6096"</f>
        <v>186,6096</v>
      </c>
      <c r="M32" s="8" t="s">
        <v>30</v>
      </c>
    </row>
    <row r="34" spans="1:5" ht="15">
      <c r="E34" s="20" t="s">
        <v>146</v>
      </c>
    </row>
    <row r="35" spans="1:5" ht="15">
      <c r="E35" s="20" t="s">
        <v>147</v>
      </c>
    </row>
    <row r="36" spans="1:5" ht="15">
      <c r="E36" s="20" t="s">
        <v>148</v>
      </c>
    </row>
    <row r="37" spans="1:5" ht="15">
      <c r="E37" s="20" t="s">
        <v>149</v>
      </c>
    </row>
    <row r="38" spans="1:5" ht="15">
      <c r="E38" s="20" t="s">
        <v>149</v>
      </c>
    </row>
    <row r="39" spans="1:5" ht="15">
      <c r="E39" s="20" t="s">
        <v>150</v>
      </c>
    </row>
    <row r="40" spans="1:5" ht="15">
      <c r="E40" s="20"/>
    </row>
    <row r="42" spans="1:5" ht="18">
      <c r="A42" s="21" t="s">
        <v>151</v>
      </c>
      <c r="B42" s="21"/>
    </row>
    <row r="43" spans="1:5" ht="15">
      <c r="A43" s="22" t="s">
        <v>152</v>
      </c>
      <c r="B43" s="22"/>
    </row>
    <row r="44" spans="1:5" ht="14.25">
      <c r="A44" s="24"/>
      <c r="B44" s="25" t="s">
        <v>153</v>
      </c>
    </row>
    <row r="45" spans="1:5" ht="15">
      <c r="A45" s="26" t="s">
        <v>154</v>
      </c>
      <c r="B45" s="26" t="s">
        <v>155</v>
      </c>
      <c r="C45" s="26" t="s">
        <v>156</v>
      </c>
      <c r="D45" s="26" t="s">
        <v>157</v>
      </c>
      <c r="E45" s="26" t="s">
        <v>158</v>
      </c>
    </row>
    <row r="46" spans="1:5">
      <c r="A46" s="23" t="s">
        <v>399</v>
      </c>
      <c r="B46" s="5" t="s">
        <v>159</v>
      </c>
      <c r="C46" s="5" t="s">
        <v>174</v>
      </c>
      <c r="D46" s="5" t="s">
        <v>68</v>
      </c>
      <c r="E46" s="27" t="s">
        <v>461</v>
      </c>
    </row>
    <row r="48" spans="1:5" ht="14.25">
      <c r="A48" s="24"/>
      <c r="B48" s="25" t="s">
        <v>163</v>
      </c>
    </row>
    <row r="49" spans="1:5" ht="15">
      <c r="A49" s="26" t="s">
        <v>154</v>
      </c>
      <c r="B49" s="26" t="s">
        <v>155</v>
      </c>
      <c r="C49" s="26" t="s">
        <v>156</v>
      </c>
      <c r="D49" s="26" t="s">
        <v>157</v>
      </c>
      <c r="E49" s="26" t="s">
        <v>158</v>
      </c>
    </row>
    <row r="50" spans="1:5">
      <c r="A50" s="23" t="s">
        <v>403</v>
      </c>
      <c r="B50" s="5" t="s">
        <v>164</v>
      </c>
      <c r="C50" s="5" t="s">
        <v>174</v>
      </c>
      <c r="D50" s="5" t="s">
        <v>407</v>
      </c>
      <c r="E50" s="27" t="s">
        <v>462</v>
      </c>
    </row>
    <row r="52" spans="1:5" ht="14.25">
      <c r="A52" s="24"/>
      <c r="B52" s="25" t="s">
        <v>168</v>
      </c>
    </row>
    <row r="53" spans="1:5" ht="15">
      <c r="A53" s="26" t="s">
        <v>154</v>
      </c>
      <c r="B53" s="26" t="s">
        <v>155</v>
      </c>
      <c r="C53" s="26" t="s">
        <v>156</v>
      </c>
      <c r="D53" s="26" t="s">
        <v>157</v>
      </c>
      <c r="E53" s="26" t="s">
        <v>158</v>
      </c>
    </row>
    <row r="54" spans="1:5">
      <c r="A54" s="23" t="s">
        <v>430</v>
      </c>
      <c r="B54" s="5" t="s">
        <v>168</v>
      </c>
      <c r="C54" s="5" t="s">
        <v>102</v>
      </c>
      <c r="D54" s="5" t="s">
        <v>436</v>
      </c>
      <c r="E54" s="27" t="s">
        <v>463</v>
      </c>
    </row>
    <row r="55" spans="1:5">
      <c r="A55" s="23" t="s">
        <v>440</v>
      </c>
      <c r="B55" s="5" t="s">
        <v>168</v>
      </c>
      <c r="C55" s="5" t="s">
        <v>102</v>
      </c>
      <c r="D55" s="5" t="s">
        <v>446</v>
      </c>
      <c r="E55" s="27" t="s">
        <v>464</v>
      </c>
    </row>
    <row r="56" spans="1:5">
      <c r="A56" s="23" t="s">
        <v>409</v>
      </c>
      <c r="B56" s="5" t="s">
        <v>168</v>
      </c>
      <c r="C56" s="5" t="s">
        <v>174</v>
      </c>
      <c r="D56" s="5" t="s">
        <v>413</v>
      </c>
      <c r="E56" s="27" t="s">
        <v>465</v>
      </c>
    </row>
    <row r="57" spans="1:5">
      <c r="A57" s="23" t="s">
        <v>456</v>
      </c>
      <c r="B57" s="5" t="s">
        <v>168</v>
      </c>
      <c r="C57" s="5" t="s">
        <v>64</v>
      </c>
      <c r="D57" s="5" t="s">
        <v>460</v>
      </c>
      <c r="E57" s="27" t="s">
        <v>466</v>
      </c>
    </row>
    <row r="58" spans="1:5">
      <c r="A58" s="23" t="s">
        <v>255</v>
      </c>
      <c r="B58" s="5" t="s">
        <v>168</v>
      </c>
      <c r="C58" s="5" t="s">
        <v>127</v>
      </c>
      <c r="D58" s="5" t="s">
        <v>450</v>
      </c>
      <c r="E58" s="27" t="s">
        <v>467</v>
      </c>
    </row>
    <row r="59" spans="1:5">
      <c r="A59" s="23" t="s">
        <v>399</v>
      </c>
      <c r="B59" s="5" t="s">
        <v>168</v>
      </c>
      <c r="C59" s="5" t="s">
        <v>174</v>
      </c>
      <c r="D59" s="5" t="s">
        <v>68</v>
      </c>
      <c r="E59" s="27" t="s">
        <v>468</v>
      </c>
    </row>
    <row r="60" spans="1:5">
      <c r="A60" s="23" t="s">
        <v>422</v>
      </c>
      <c r="B60" s="5" t="s">
        <v>168</v>
      </c>
      <c r="C60" s="5" t="s">
        <v>165</v>
      </c>
      <c r="D60" s="5" t="s">
        <v>300</v>
      </c>
      <c r="E60" s="27" t="s">
        <v>469</v>
      </c>
    </row>
    <row r="61" spans="1:5">
      <c r="A61" s="23" t="s">
        <v>251</v>
      </c>
      <c r="B61" s="5" t="s">
        <v>168</v>
      </c>
      <c r="C61" s="5" t="s">
        <v>127</v>
      </c>
      <c r="D61" s="5" t="s">
        <v>445</v>
      </c>
      <c r="E61" s="27" t="s">
        <v>470</v>
      </c>
    </row>
    <row r="62" spans="1:5">
      <c r="A62" s="23" t="s">
        <v>426</v>
      </c>
      <c r="B62" s="5" t="s">
        <v>168</v>
      </c>
      <c r="C62" s="5" t="s">
        <v>160</v>
      </c>
      <c r="D62" s="5" t="s">
        <v>300</v>
      </c>
      <c r="E62" s="27" t="s">
        <v>471</v>
      </c>
    </row>
    <row r="63" spans="1:5">
      <c r="A63" s="23" t="s">
        <v>417</v>
      </c>
      <c r="B63" s="5" t="s">
        <v>168</v>
      </c>
      <c r="C63" s="5" t="s">
        <v>174</v>
      </c>
      <c r="D63" s="5" t="s">
        <v>29</v>
      </c>
      <c r="E63" s="27" t="s">
        <v>472</v>
      </c>
    </row>
    <row r="64" spans="1:5">
      <c r="A64" s="23" t="s">
        <v>395</v>
      </c>
      <c r="B64" s="5" t="s">
        <v>168</v>
      </c>
      <c r="C64" s="5" t="s">
        <v>169</v>
      </c>
      <c r="D64" s="5" t="s">
        <v>55</v>
      </c>
      <c r="E64" s="27" t="s">
        <v>473</v>
      </c>
    </row>
    <row r="66" spans="1:5" ht="14.25">
      <c r="A66" s="24"/>
      <c r="B66" s="25" t="s">
        <v>191</v>
      </c>
    </row>
    <row r="67" spans="1:5" ht="15">
      <c r="A67" s="26" t="s">
        <v>154</v>
      </c>
      <c r="B67" s="26" t="s">
        <v>155</v>
      </c>
      <c r="C67" s="26" t="s">
        <v>156</v>
      </c>
      <c r="D67" s="26" t="s">
        <v>157</v>
      </c>
      <c r="E67" s="26" t="s">
        <v>158</v>
      </c>
    </row>
    <row r="68" spans="1:5">
      <c r="A68" s="23" t="s">
        <v>430</v>
      </c>
      <c r="B68" s="5" t="s">
        <v>192</v>
      </c>
      <c r="C68" s="5" t="s">
        <v>102</v>
      </c>
      <c r="D68" s="5" t="s">
        <v>436</v>
      </c>
      <c r="E68" s="27" t="s">
        <v>474</v>
      </c>
    </row>
    <row r="69" spans="1:5">
      <c r="A69" s="23" t="s">
        <v>452</v>
      </c>
      <c r="B69" s="5" t="s">
        <v>192</v>
      </c>
      <c r="C69" s="5" t="s">
        <v>127</v>
      </c>
      <c r="D69" s="5" t="s">
        <v>300</v>
      </c>
      <c r="E69" s="27" t="s">
        <v>475</v>
      </c>
    </row>
  </sheetData>
  <mergeCells count="18">
    <mergeCell ref="A18:L18"/>
    <mergeCell ref="A21:L21"/>
    <mergeCell ref="A26:L26"/>
    <mergeCell ref="A31:L31"/>
    <mergeCell ref="K3:K4"/>
    <mergeCell ref="L3:L4"/>
    <mergeCell ref="F3:F4"/>
    <mergeCell ref="G3:J3"/>
    <mergeCell ref="M3:M4"/>
    <mergeCell ref="A5:L5"/>
    <mergeCell ref="A8:L8"/>
    <mergeCell ref="A15:L1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2.140625" style="5" bestFit="1" customWidth="1"/>
    <col min="14" max="16384" width="9.140625" style="4"/>
  </cols>
  <sheetData>
    <row r="1" spans="1:13" s="3" customFormat="1" ht="29.1" customHeight="1">
      <c r="A1" s="79" t="s">
        <v>361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2</v>
      </c>
      <c r="H3" s="60"/>
      <c r="I3" s="60"/>
      <c r="J3" s="60"/>
      <c r="K3" s="60" t="s">
        <v>279</v>
      </c>
      <c r="L3" s="60" t="s">
        <v>6</v>
      </c>
      <c r="M3" s="63" t="s">
        <v>5</v>
      </c>
    </row>
    <row r="4" spans="1:13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74"/>
      <c r="L4" s="74"/>
      <c r="M4" s="64"/>
    </row>
    <row r="5" spans="1:13" ht="15">
      <c r="A5" s="75" t="s">
        <v>31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>
      <c r="A6" s="8" t="s">
        <v>363</v>
      </c>
      <c r="B6" s="8" t="s">
        <v>364</v>
      </c>
      <c r="C6" s="8" t="s">
        <v>365</v>
      </c>
      <c r="D6" s="8" t="str">
        <f>"0,6838"</f>
        <v>0,6838</v>
      </c>
      <c r="E6" s="8" t="s">
        <v>20</v>
      </c>
      <c r="F6" s="8" t="s">
        <v>21</v>
      </c>
      <c r="G6" s="10" t="s">
        <v>54</v>
      </c>
      <c r="H6" s="10" t="s">
        <v>65</v>
      </c>
      <c r="I6" s="10" t="s">
        <v>90</v>
      </c>
      <c r="J6" s="9"/>
      <c r="K6" s="8" t="str">
        <f>"155,0"</f>
        <v>155,0</v>
      </c>
      <c r="L6" s="10" t="str">
        <f>"105,9890"</f>
        <v>105,9890</v>
      </c>
      <c r="M6" s="8" t="s">
        <v>128</v>
      </c>
    </row>
    <row r="8" spans="1:13" ht="15">
      <c r="A8" s="77" t="s">
        <v>15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3">
      <c r="A9" s="8" t="s">
        <v>367</v>
      </c>
      <c r="B9" s="8" t="s">
        <v>368</v>
      </c>
      <c r="C9" s="8" t="s">
        <v>369</v>
      </c>
      <c r="D9" s="8" t="str">
        <f>"0,6886"</f>
        <v>0,6886</v>
      </c>
      <c r="E9" s="8" t="s">
        <v>36</v>
      </c>
      <c r="F9" s="8" t="s">
        <v>370</v>
      </c>
      <c r="G9" s="10" t="s">
        <v>23</v>
      </c>
      <c r="H9" s="10" t="s">
        <v>260</v>
      </c>
      <c r="I9" s="10" t="s">
        <v>67</v>
      </c>
      <c r="J9" s="9"/>
      <c r="K9" s="8" t="str">
        <f>"220,0"</f>
        <v>220,0</v>
      </c>
      <c r="L9" s="10" t="str">
        <f>"151,4920"</f>
        <v>151,4920</v>
      </c>
      <c r="M9" s="8" t="s">
        <v>371</v>
      </c>
    </row>
    <row r="11" spans="1:13" ht="15">
      <c r="A11" s="77" t="s">
        <v>31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3">
      <c r="A12" s="11" t="s">
        <v>373</v>
      </c>
      <c r="B12" s="11" t="s">
        <v>374</v>
      </c>
      <c r="C12" s="11" t="s">
        <v>375</v>
      </c>
      <c r="D12" s="11" t="str">
        <f>"0,6309"</f>
        <v>0,6309</v>
      </c>
      <c r="E12" s="11" t="s">
        <v>82</v>
      </c>
      <c r="F12" s="11" t="s">
        <v>376</v>
      </c>
      <c r="G12" s="13" t="s">
        <v>67</v>
      </c>
      <c r="H12" s="12" t="s">
        <v>67</v>
      </c>
      <c r="I12" s="12" t="s">
        <v>377</v>
      </c>
      <c r="J12" s="13"/>
      <c r="K12" s="11" t="str">
        <f>"237,5"</f>
        <v>237,5</v>
      </c>
      <c r="L12" s="12" t="str">
        <f>"149,8506"</f>
        <v>149,8506</v>
      </c>
      <c r="M12" s="11" t="s">
        <v>58</v>
      </c>
    </row>
    <row r="13" spans="1:13">
      <c r="A13" s="14" t="s">
        <v>378</v>
      </c>
      <c r="B13" s="14" t="s">
        <v>334</v>
      </c>
      <c r="C13" s="14" t="s">
        <v>335</v>
      </c>
      <c r="D13" s="14" t="str">
        <f>"0,6295"</f>
        <v>0,6295</v>
      </c>
      <c r="E13" s="14" t="s">
        <v>336</v>
      </c>
      <c r="F13" s="14" t="s">
        <v>337</v>
      </c>
      <c r="G13" s="15" t="s">
        <v>64</v>
      </c>
      <c r="H13" s="15" t="s">
        <v>65</v>
      </c>
      <c r="I13" s="15" t="s">
        <v>66</v>
      </c>
      <c r="J13" s="16"/>
      <c r="K13" s="14" t="str">
        <f>"160,0"</f>
        <v>160,0</v>
      </c>
      <c r="L13" s="15" t="str">
        <f>"100,7200"</f>
        <v>100,7200</v>
      </c>
      <c r="M13" s="14" t="s">
        <v>338</v>
      </c>
    </row>
    <row r="15" spans="1:13" ht="15">
      <c r="A15" s="77" t="s">
        <v>59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3">
      <c r="A16" s="8" t="s">
        <v>380</v>
      </c>
      <c r="B16" s="8" t="s">
        <v>381</v>
      </c>
      <c r="C16" s="8" t="s">
        <v>382</v>
      </c>
      <c r="D16" s="8" t="str">
        <f>"0,5863"</f>
        <v>0,5863</v>
      </c>
      <c r="E16" s="8" t="s">
        <v>82</v>
      </c>
      <c r="F16" s="8" t="s">
        <v>213</v>
      </c>
      <c r="G16" s="10" t="s">
        <v>67</v>
      </c>
      <c r="H16" s="10" t="s">
        <v>145</v>
      </c>
      <c r="I16" s="10" t="s">
        <v>377</v>
      </c>
      <c r="J16" s="9"/>
      <c r="K16" s="8" t="str">
        <f>"237,5"</f>
        <v>237,5</v>
      </c>
      <c r="L16" s="10" t="str">
        <f>"139,2463"</f>
        <v>139,2463</v>
      </c>
      <c r="M16" s="8" t="s">
        <v>383</v>
      </c>
    </row>
    <row r="18" spans="1:13" ht="15">
      <c r="A18" s="77" t="s">
        <v>250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3">
      <c r="A19" s="8" t="s">
        <v>385</v>
      </c>
      <c r="B19" s="8" t="s">
        <v>386</v>
      </c>
      <c r="C19" s="8" t="s">
        <v>387</v>
      </c>
      <c r="D19" s="8" t="str">
        <f>"0,5306"</f>
        <v>0,5306</v>
      </c>
      <c r="E19" s="8" t="s">
        <v>50</v>
      </c>
      <c r="F19" s="8" t="s">
        <v>259</v>
      </c>
      <c r="G19" s="9" t="s">
        <v>22</v>
      </c>
      <c r="H19" s="10" t="s">
        <v>22</v>
      </c>
      <c r="I19" s="10" t="s">
        <v>39</v>
      </c>
      <c r="J19" s="9"/>
      <c r="K19" s="8" t="str">
        <f>"200,0"</f>
        <v>200,0</v>
      </c>
      <c r="L19" s="10" t="str">
        <f>"109,4097"</f>
        <v>109,4097</v>
      </c>
      <c r="M19" s="8" t="s">
        <v>77</v>
      </c>
    </row>
    <row r="21" spans="1:13" ht="15">
      <c r="E21" s="20" t="s">
        <v>146</v>
      </c>
    </row>
    <row r="22" spans="1:13" ht="15">
      <c r="E22" s="20" t="s">
        <v>147</v>
      </c>
    </row>
    <row r="23" spans="1:13" ht="15">
      <c r="E23" s="20" t="s">
        <v>148</v>
      </c>
    </row>
    <row r="24" spans="1:13" ht="15">
      <c r="E24" s="20" t="s">
        <v>149</v>
      </c>
    </row>
    <row r="25" spans="1:13" ht="15">
      <c r="E25" s="20" t="s">
        <v>149</v>
      </c>
    </row>
    <row r="26" spans="1:13" ht="15">
      <c r="E26" s="20" t="s">
        <v>150</v>
      </c>
    </row>
    <row r="27" spans="1:13" ht="15">
      <c r="E27" s="20"/>
    </row>
    <row r="29" spans="1:13" ht="18">
      <c r="A29" s="21" t="s">
        <v>151</v>
      </c>
      <c r="B29" s="21"/>
    </row>
    <row r="30" spans="1:13" ht="15">
      <c r="A30" s="22" t="s">
        <v>261</v>
      </c>
      <c r="B30" s="22"/>
    </row>
    <row r="31" spans="1:13" ht="14.25">
      <c r="A31" s="24"/>
      <c r="B31" s="25" t="s">
        <v>168</v>
      </c>
    </row>
    <row r="32" spans="1:13" ht="15">
      <c r="A32" s="26" t="s">
        <v>154</v>
      </c>
      <c r="B32" s="26" t="s">
        <v>155</v>
      </c>
      <c r="C32" s="26" t="s">
        <v>156</v>
      </c>
      <c r="D32" s="26" t="s">
        <v>157</v>
      </c>
      <c r="E32" s="26" t="s">
        <v>158</v>
      </c>
    </row>
    <row r="33" spans="1:5">
      <c r="A33" s="23" t="s">
        <v>362</v>
      </c>
      <c r="B33" s="5" t="s">
        <v>168</v>
      </c>
      <c r="C33" s="5" t="s">
        <v>174</v>
      </c>
      <c r="D33" s="5" t="s">
        <v>90</v>
      </c>
      <c r="E33" s="27" t="s">
        <v>388</v>
      </c>
    </row>
    <row r="36" spans="1:5" ht="15">
      <c r="A36" s="22" t="s">
        <v>152</v>
      </c>
      <c r="B36" s="22"/>
    </row>
    <row r="37" spans="1:5" ht="14.25">
      <c r="A37" s="24"/>
      <c r="B37" s="25" t="s">
        <v>168</v>
      </c>
    </row>
    <row r="38" spans="1:5" ht="15">
      <c r="A38" s="26" t="s">
        <v>154</v>
      </c>
      <c r="B38" s="26" t="s">
        <v>155</v>
      </c>
      <c r="C38" s="26" t="s">
        <v>156</v>
      </c>
      <c r="D38" s="26" t="s">
        <v>157</v>
      </c>
      <c r="E38" s="26" t="s">
        <v>158</v>
      </c>
    </row>
    <row r="39" spans="1:5">
      <c r="A39" s="23" t="s">
        <v>372</v>
      </c>
      <c r="B39" s="5" t="s">
        <v>168</v>
      </c>
      <c r="C39" s="5" t="s">
        <v>174</v>
      </c>
      <c r="D39" s="5" t="s">
        <v>377</v>
      </c>
      <c r="E39" s="27" t="s">
        <v>389</v>
      </c>
    </row>
    <row r="40" spans="1:5">
      <c r="A40" s="23" t="s">
        <v>379</v>
      </c>
      <c r="B40" s="5" t="s">
        <v>168</v>
      </c>
      <c r="C40" s="5" t="s">
        <v>165</v>
      </c>
      <c r="D40" s="5" t="s">
        <v>377</v>
      </c>
      <c r="E40" s="27" t="s">
        <v>390</v>
      </c>
    </row>
    <row r="41" spans="1:5">
      <c r="A41" s="23" t="s">
        <v>332</v>
      </c>
      <c r="B41" s="5" t="s">
        <v>168</v>
      </c>
      <c r="C41" s="5" t="s">
        <v>174</v>
      </c>
      <c r="D41" s="5" t="s">
        <v>66</v>
      </c>
      <c r="E41" s="27" t="s">
        <v>391</v>
      </c>
    </row>
    <row r="43" spans="1:5" ht="14.25">
      <c r="A43" s="24"/>
      <c r="B43" s="25" t="s">
        <v>191</v>
      </c>
    </row>
    <row r="44" spans="1:5" ht="15">
      <c r="A44" s="26" t="s">
        <v>154</v>
      </c>
      <c r="B44" s="26" t="s">
        <v>155</v>
      </c>
      <c r="C44" s="26" t="s">
        <v>156</v>
      </c>
      <c r="D44" s="26" t="s">
        <v>157</v>
      </c>
      <c r="E44" s="26" t="s">
        <v>158</v>
      </c>
    </row>
    <row r="45" spans="1:5">
      <c r="A45" s="23" t="s">
        <v>366</v>
      </c>
      <c r="B45" s="5" t="s">
        <v>312</v>
      </c>
      <c r="C45" s="5" t="s">
        <v>169</v>
      </c>
      <c r="D45" s="5" t="s">
        <v>67</v>
      </c>
      <c r="E45" s="27" t="s">
        <v>392</v>
      </c>
    </row>
    <row r="46" spans="1:5">
      <c r="A46" s="23" t="s">
        <v>384</v>
      </c>
      <c r="B46" s="5" t="s">
        <v>312</v>
      </c>
      <c r="C46" s="5" t="s">
        <v>127</v>
      </c>
      <c r="D46" s="5" t="s">
        <v>39</v>
      </c>
      <c r="E46" s="27" t="s">
        <v>393</v>
      </c>
    </row>
  </sheetData>
  <mergeCells count="16">
    <mergeCell ref="A15:L15"/>
    <mergeCell ref="A18:L18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5.710937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2.140625" style="5" bestFit="1" customWidth="1"/>
    <col min="22" max="16384" width="9.140625" style="4"/>
  </cols>
  <sheetData>
    <row r="1" spans="1:21" s="3" customFormat="1" ht="29.1" customHeight="1">
      <c r="A1" s="79" t="s">
        <v>340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1</v>
      </c>
      <c r="H3" s="60"/>
      <c r="I3" s="60"/>
      <c r="J3" s="60"/>
      <c r="K3" s="60" t="s">
        <v>2</v>
      </c>
      <c r="L3" s="60"/>
      <c r="M3" s="60"/>
      <c r="N3" s="60"/>
      <c r="O3" s="60" t="s">
        <v>3</v>
      </c>
      <c r="P3" s="60"/>
      <c r="Q3" s="60"/>
      <c r="R3" s="60"/>
      <c r="S3" s="60" t="s">
        <v>4</v>
      </c>
      <c r="T3" s="60" t="s">
        <v>6</v>
      </c>
      <c r="U3" s="63" t="s">
        <v>5</v>
      </c>
    </row>
    <row r="4" spans="1:21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74"/>
      <c r="T4" s="74"/>
      <c r="U4" s="64"/>
    </row>
    <row r="5" spans="1:21" ht="15">
      <c r="A5" s="75" t="s">
        <v>59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1">
      <c r="A6" s="11" t="s">
        <v>342</v>
      </c>
      <c r="B6" s="11" t="s">
        <v>343</v>
      </c>
      <c r="C6" s="11" t="s">
        <v>344</v>
      </c>
      <c r="D6" s="11" t="str">
        <f>"0,5853"</f>
        <v>0,5853</v>
      </c>
      <c r="E6" s="11" t="s">
        <v>20</v>
      </c>
      <c r="F6" s="11" t="s">
        <v>21</v>
      </c>
      <c r="G6" s="12" t="s">
        <v>42</v>
      </c>
      <c r="H6" s="12" t="s">
        <v>67</v>
      </c>
      <c r="I6" s="12" t="s">
        <v>44</v>
      </c>
      <c r="J6" s="13"/>
      <c r="K6" s="12" t="s">
        <v>145</v>
      </c>
      <c r="L6" s="12" t="s">
        <v>27</v>
      </c>
      <c r="M6" s="12" t="s">
        <v>295</v>
      </c>
      <c r="N6" s="13"/>
      <c r="O6" s="12" t="s">
        <v>28</v>
      </c>
      <c r="P6" s="12" t="s">
        <v>68</v>
      </c>
      <c r="Q6" s="13" t="s">
        <v>299</v>
      </c>
      <c r="R6" s="13"/>
      <c r="S6" s="11" t="str">
        <f>"755,0"</f>
        <v>755,0</v>
      </c>
      <c r="T6" s="12" t="str">
        <f>"441,9015"</f>
        <v>441,9015</v>
      </c>
      <c r="U6" s="11" t="s">
        <v>345</v>
      </c>
    </row>
    <row r="7" spans="1:21">
      <c r="A7" s="17" t="s">
        <v>347</v>
      </c>
      <c r="B7" s="17" t="s">
        <v>348</v>
      </c>
      <c r="C7" s="17" t="s">
        <v>344</v>
      </c>
      <c r="D7" s="17" t="str">
        <f>"0,5853"</f>
        <v>0,5853</v>
      </c>
      <c r="E7" s="17" t="s">
        <v>50</v>
      </c>
      <c r="F7" s="17" t="s">
        <v>349</v>
      </c>
      <c r="G7" s="19" t="s">
        <v>43</v>
      </c>
      <c r="H7" s="19" t="s">
        <v>44</v>
      </c>
      <c r="I7" s="18" t="s">
        <v>350</v>
      </c>
      <c r="J7" s="18"/>
      <c r="K7" s="19" t="s">
        <v>22</v>
      </c>
      <c r="L7" s="19" t="s">
        <v>52</v>
      </c>
      <c r="M7" s="19" t="s">
        <v>351</v>
      </c>
      <c r="N7" s="18"/>
      <c r="O7" s="19" t="s">
        <v>27</v>
      </c>
      <c r="P7" s="19" t="s">
        <v>121</v>
      </c>
      <c r="Q7" s="18" t="s">
        <v>116</v>
      </c>
      <c r="R7" s="18"/>
      <c r="S7" s="17" t="str">
        <f>"697,5"</f>
        <v>697,5</v>
      </c>
      <c r="T7" s="19" t="str">
        <f>"408,2468"</f>
        <v>408,2468</v>
      </c>
      <c r="U7" s="17" t="s">
        <v>77</v>
      </c>
    </row>
    <row r="8" spans="1:21">
      <c r="A8" s="14" t="s">
        <v>353</v>
      </c>
      <c r="B8" s="14" t="s">
        <v>354</v>
      </c>
      <c r="C8" s="14" t="s">
        <v>344</v>
      </c>
      <c r="D8" s="14" t="str">
        <f>"0,5853"</f>
        <v>0,5853</v>
      </c>
      <c r="E8" s="14" t="s">
        <v>50</v>
      </c>
      <c r="F8" s="14" t="s">
        <v>51</v>
      </c>
      <c r="G8" s="15" t="s">
        <v>74</v>
      </c>
      <c r="H8" s="15" t="s">
        <v>22</v>
      </c>
      <c r="I8" s="15" t="s">
        <v>52</v>
      </c>
      <c r="J8" s="16"/>
      <c r="K8" s="15" t="s">
        <v>22</v>
      </c>
      <c r="L8" s="15" t="s">
        <v>134</v>
      </c>
      <c r="M8" s="16" t="s">
        <v>52</v>
      </c>
      <c r="N8" s="16"/>
      <c r="O8" s="15" t="s">
        <v>42</v>
      </c>
      <c r="P8" s="15" t="s">
        <v>43</v>
      </c>
      <c r="Q8" s="15" t="s">
        <v>44</v>
      </c>
      <c r="R8" s="16"/>
      <c r="S8" s="14" t="str">
        <f>"617,5"</f>
        <v>617,5</v>
      </c>
      <c r="T8" s="15" t="str">
        <f>"361,4228"</f>
        <v>361,4228</v>
      </c>
      <c r="U8" s="14" t="s">
        <v>77</v>
      </c>
    </row>
    <row r="10" spans="1:21" ht="15">
      <c r="E10" s="20" t="s">
        <v>146</v>
      </c>
    </row>
    <row r="11" spans="1:21" ht="15">
      <c r="E11" s="20" t="s">
        <v>147</v>
      </c>
    </row>
    <row r="12" spans="1:21" ht="15">
      <c r="E12" s="20" t="s">
        <v>148</v>
      </c>
    </row>
    <row r="13" spans="1:21" ht="15">
      <c r="E13" s="20" t="s">
        <v>149</v>
      </c>
    </row>
    <row r="14" spans="1:21" ht="15">
      <c r="E14" s="20" t="s">
        <v>149</v>
      </c>
    </row>
    <row r="15" spans="1:21" ht="15">
      <c r="E15" s="20" t="s">
        <v>150</v>
      </c>
    </row>
    <row r="16" spans="1:21" ht="15">
      <c r="E16" s="20"/>
    </row>
    <row r="18" spans="1:5" ht="18">
      <c r="A18" s="21" t="s">
        <v>151</v>
      </c>
      <c r="B18" s="21"/>
    </row>
    <row r="19" spans="1:5" ht="15">
      <c r="A19" s="22" t="s">
        <v>152</v>
      </c>
      <c r="B19" s="22"/>
    </row>
    <row r="20" spans="1:5" ht="14.25">
      <c r="A20" s="24"/>
      <c r="B20" s="25" t="s">
        <v>168</v>
      </c>
    </row>
    <row r="21" spans="1:5" ht="15">
      <c r="A21" s="26" t="s">
        <v>154</v>
      </c>
      <c r="B21" s="26" t="s">
        <v>155</v>
      </c>
      <c r="C21" s="26" t="s">
        <v>156</v>
      </c>
      <c r="D21" s="26" t="s">
        <v>157</v>
      </c>
      <c r="E21" s="26" t="s">
        <v>158</v>
      </c>
    </row>
    <row r="22" spans="1:5">
      <c r="A22" s="23" t="s">
        <v>341</v>
      </c>
      <c r="B22" s="5" t="s">
        <v>168</v>
      </c>
      <c r="C22" s="5" t="s">
        <v>165</v>
      </c>
      <c r="D22" s="5" t="s">
        <v>355</v>
      </c>
      <c r="E22" s="27" t="s">
        <v>356</v>
      </c>
    </row>
    <row r="23" spans="1:5">
      <c r="A23" s="23" t="s">
        <v>346</v>
      </c>
      <c r="B23" s="5" t="s">
        <v>168</v>
      </c>
      <c r="C23" s="5" t="s">
        <v>165</v>
      </c>
      <c r="D23" s="5" t="s">
        <v>357</v>
      </c>
      <c r="E23" s="27" t="s">
        <v>358</v>
      </c>
    </row>
    <row r="24" spans="1:5">
      <c r="A24" s="23" t="s">
        <v>352</v>
      </c>
      <c r="B24" s="5" t="s">
        <v>168</v>
      </c>
      <c r="C24" s="5" t="s">
        <v>165</v>
      </c>
      <c r="D24" s="5" t="s">
        <v>359</v>
      </c>
      <c r="E24" s="27" t="s">
        <v>360</v>
      </c>
    </row>
  </sheetData>
  <mergeCells count="14"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4.5703125" style="5" bestFit="1" customWidth="1"/>
    <col min="7" max="8" width="5.5703125" style="4" bestFit="1" customWidth="1"/>
    <col min="9" max="9" width="2.1406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1" style="5" bestFit="1" customWidth="1"/>
    <col min="14" max="16384" width="9.140625" style="4"/>
  </cols>
  <sheetData>
    <row r="1" spans="1:13" s="3" customFormat="1" ht="29.1" customHeight="1">
      <c r="A1" s="79" t="s">
        <v>331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3</v>
      </c>
      <c r="H3" s="60"/>
      <c r="I3" s="60"/>
      <c r="J3" s="60"/>
      <c r="K3" s="60" t="s">
        <v>279</v>
      </c>
      <c r="L3" s="60" t="s">
        <v>6</v>
      </c>
      <c r="M3" s="63" t="s">
        <v>5</v>
      </c>
    </row>
    <row r="4" spans="1:13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74"/>
      <c r="L4" s="74"/>
      <c r="M4" s="64"/>
    </row>
    <row r="5" spans="1:13" ht="15">
      <c r="A5" s="75" t="s">
        <v>31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>
      <c r="A6" s="8" t="s">
        <v>333</v>
      </c>
      <c r="B6" s="8" t="s">
        <v>334</v>
      </c>
      <c r="C6" s="8" t="s">
        <v>335</v>
      </c>
      <c r="D6" s="8" t="str">
        <f>"0,6295"</f>
        <v>0,6295</v>
      </c>
      <c r="E6" s="8" t="s">
        <v>336</v>
      </c>
      <c r="F6" s="8" t="s">
        <v>337</v>
      </c>
      <c r="G6" s="10" t="s">
        <v>65</v>
      </c>
      <c r="H6" s="10" t="s">
        <v>74</v>
      </c>
      <c r="I6" s="9"/>
      <c r="J6" s="9"/>
      <c r="K6" s="8" t="str">
        <f>"170,0"</f>
        <v>170,0</v>
      </c>
      <c r="L6" s="10" t="str">
        <f>"107,0150"</f>
        <v>107,0150</v>
      </c>
      <c r="M6" s="8" t="s">
        <v>338</v>
      </c>
    </row>
    <row r="8" spans="1:13" ht="15">
      <c r="E8" s="20" t="s">
        <v>146</v>
      </c>
    </row>
    <row r="9" spans="1:13" ht="15">
      <c r="E9" s="20" t="s">
        <v>147</v>
      </c>
    </row>
    <row r="10" spans="1:13" ht="15">
      <c r="E10" s="20" t="s">
        <v>148</v>
      </c>
    </row>
    <row r="11" spans="1:13" ht="15">
      <c r="E11" s="20" t="s">
        <v>149</v>
      </c>
    </row>
    <row r="12" spans="1:13" ht="15">
      <c r="E12" s="20" t="s">
        <v>149</v>
      </c>
    </row>
    <row r="13" spans="1:13" ht="15">
      <c r="E13" s="20" t="s">
        <v>150</v>
      </c>
    </row>
    <row r="14" spans="1:13" ht="15">
      <c r="E14" s="20"/>
    </row>
    <row r="16" spans="1:13" ht="18">
      <c r="A16" s="21" t="s">
        <v>151</v>
      </c>
      <c r="B16" s="21"/>
    </row>
    <row r="17" spans="1:5" ht="15">
      <c r="A17" s="22" t="s">
        <v>152</v>
      </c>
      <c r="B17" s="22"/>
    </row>
    <row r="18" spans="1:5" ht="14.25">
      <c r="A18" s="24"/>
      <c r="B18" s="25" t="s">
        <v>168</v>
      </c>
    </row>
    <row r="19" spans="1:5" ht="15">
      <c r="A19" s="26" t="s">
        <v>154</v>
      </c>
      <c r="B19" s="26" t="s">
        <v>155</v>
      </c>
      <c r="C19" s="26" t="s">
        <v>156</v>
      </c>
      <c r="D19" s="26" t="s">
        <v>157</v>
      </c>
      <c r="E19" s="26" t="s">
        <v>158</v>
      </c>
    </row>
    <row r="20" spans="1:5">
      <c r="A20" s="23" t="s">
        <v>332</v>
      </c>
      <c r="B20" s="5" t="s">
        <v>168</v>
      </c>
      <c r="C20" s="5" t="s">
        <v>174</v>
      </c>
      <c r="D20" s="5" t="s">
        <v>74</v>
      </c>
      <c r="E20" s="27" t="s">
        <v>339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3.14062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3.28515625" style="5" bestFit="1" customWidth="1"/>
    <col min="22" max="16384" width="9.140625" style="4"/>
  </cols>
  <sheetData>
    <row r="1" spans="1:21" s="3" customFormat="1" ht="29.1" customHeight="1">
      <c r="A1" s="79" t="s">
        <v>321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1</v>
      </c>
      <c r="H3" s="60"/>
      <c r="I3" s="60"/>
      <c r="J3" s="60"/>
      <c r="K3" s="60" t="s">
        <v>2</v>
      </c>
      <c r="L3" s="60"/>
      <c r="M3" s="60"/>
      <c r="N3" s="60"/>
      <c r="O3" s="60" t="s">
        <v>3</v>
      </c>
      <c r="P3" s="60"/>
      <c r="Q3" s="60"/>
      <c r="R3" s="60"/>
      <c r="S3" s="60" t="s">
        <v>4</v>
      </c>
      <c r="T3" s="60" t="s">
        <v>6</v>
      </c>
      <c r="U3" s="63" t="s">
        <v>5</v>
      </c>
    </row>
    <row r="4" spans="1:21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74"/>
      <c r="T4" s="74"/>
      <c r="U4" s="64"/>
    </row>
    <row r="5" spans="1:21" ht="15">
      <c r="A5" s="75" t="s">
        <v>59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1">
      <c r="A6" s="8" t="s">
        <v>323</v>
      </c>
      <c r="B6" s="8" t="s">
        <v>324</v>
      </c>
      <c r="C6" s="8" t="s">
        <v>325</v>
      </c>
      <c r="D6" s="8" t="str">
        <f>"0,5857"</f>
        <v>0,5857</v>
      </c>
      <c r="E6" s="8" t="s">
        <v>20</v>
      </c>
      <c r="F6" s="8" t="s">
        <v>21</v>
      </c>
      <c r="G6" s="9" t="s">
        <v>300</v>
      </c>
      <c r="H6" s="10" t="s">
        <v>326</v>
      </c>
      <c r="I6" s="9" t="s">
        <v>327</v>
      </c>
      <c r="J6" s="9"/>
      <c r="K6" s="10" t="s">
        <v>92</v>
      </c>
      <c r="L6" s="9" t="s">
        <v>39</v>
      </c>
      <c r="M6" s="10" t="s">
        <v>39</v>
      </c>
      <c r="N6" s="9"/>
      <c r="O6" s="10" t="s">
        <v>121</v>
      </c>
      <c r="P6" s="10" t="s">
        <v>114</v>
      </c>
      <c r="Q6" s="9" t="s">
        <v>299</v>
      </c>
      <c r="R6" s="9"/>
      <c r="S6" s="8" t="str">
        <f>"790,0"</f>
        <v>790,0</v>
      </c>
      <c r="T6" s="10" t="str">
        <f>"462,7030"</f>
        <v>462,7030</v>
      </c>
      <c r="U6" s="8" t="s">
        <v>328</v>
      </c>
    </row>
    <row r="8" spans="1:21" ht="15">
      <c r="E8" s="20" t="s">
        <v>146</v>
      </c>
    </row>
    <row r="9" spans="1:21" ht="15">
      <c r="E9" s="20" t="s">
        <v>147</v>
      </c>
    </row>
    <row r="10" spans="1:21" ht="15">
      <c r="E10" s="20" t="s">
        <v>148</v>
      </c>
    </row>
    <row r="11" spans="1:21" ht="15">
      <c r="E11" s="20" t="s">
        <v>149</v>
      </c>
    </row>
    <row r="12" spans="1:21" ht="15">
      <c r="E12" s="20" t="s">
        <v>149</v>
      </c>
    </row>
    <row r="13" spans="1:21" ht="15">
      <c r="E13" s="20" t="s">
        <v>150</v>
      </c>
    </row>
    <row r="14" spans="1:21" ht="15">
      <c r="E14" s="20"/>
    </row>
    <row r="16" spans="1:21" ht="18">
      <c r="A16" s="21" t="s">
        <v>151</v>
      </c>
      <c r="B16" s="21"/>
    </row>
    <row r="17" spans="1:5" ht="15">
      <c r="A17" s="22" t="s">
        <v>152</v>
      </c>
      <c r="B17" s="22"/>
    </row>
    <row r="18" spans="1:5" ht="14.25">
      <c r="A18" s="24"/>
      <c r="B18" s="25" t="s">
        <v>168</v>
      </c>
    </row>
    <row r="19" spans="1:5" ht="15">
      <c r="A19" s="26" t="s">
        <v>154</v>
      </c>
      <c r="B19" s="26" t="s">
        <v>155</v>
      </c>
      <c r="C19" s="26" t="s">
        <v>156</v>
      </c>
      <c r="D19" s="26" t="s">
        <v>157</v>
      </c>
      <c r="E19" s="26" t="s">
        <v>158</v>
      </c>
    </row>
    <row r="20" spans="1:5">
      <c r="A20" s="23" t="s">
        <v>322</v>
      </c>
      <c r="B20" s="5" t="s">
        <v>168</v>
      </c>
      <c r="C20" s="5" t="s">
        <v>165</v>
      </c>
      <c r="D20" s="5" t="s">
        <v>329</v>
      </c>
      <c r="E20" s="27" t="s">
        <v>330</v>
      </c>
    </row>
  </sheetData>
  <mergeCells count="14"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7.570312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79" t="s">
        <v>314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1</v>
      </c>
      <c r="H3" s="60"/>
      <c r="I3" s="60"/>
      <c r="J3" s="60"/>
      <c r="K3" s="60" t="s">
        <v>2</v>
      </c>
      <c r="L3" s="60"/>
      <c r="M3" s="60"/>
      <c r="N3" s="60"/>
      <c r="O3" s="60" t="s">
        <v>3</v>
      </c>
      <c r="P3" s="60"/>
      <c r="Q3" s="60"/>
      <c r="R3" s="60"/>
      <c r="S3" s="60" t="s">
        <v>4</v>
      </c>
      <c r="T3" s="60" t="s">
        <v>6</v>
      </c>
      <c r="U3" s="63" t="s">
        <v>5</v>
      </c>
    </row>
    <row r="4" spans="1:21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74"/>
      <c r="T4" s="74"/>
      <c r="U4" s="64"/>
    </row>
    <row r="5" spans="1:21" ht="15">
      <c r="A5" s="75" t="s">
        <v>59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1">
      <c r="A6" s="8" t="s">
        <v>316</v>
      </c>
      <c r="B6" s="8" t="s">
        <v>317</v>
      </c>
      <c r="C6" s="8" t="s">
        <v>318</v>
      </c>
      <c r="D6" s="8" t="str">
        <f>"0,5962"</f>
        <v>0,5962</v>
      </c>
      <c r="E6" s="8" t="s">
        <v>82</v>
      </c>
      <c r="F6" s="8" t="s">
        <v>213</v>
      </c>
      <c r="G6" s="10" t="s">
        <v>295</v>
      </c>
      <c r="H6" s="10" t="s">
        <v>121</v>
      </c>
      <c r="I6" s="9" t="s">
        <v>68</v>
      </c>
      <c r="J6" s="9"/>
      <c r="K6" s="10" t="s">
        <v>74</v>
      </c>
      <c r="L6" s="10" t="s">
        <v>22</v>
      </c>
      <c r="M6" s="10" t="s">
        <v>23</v>
      </c>
      <c r="N6" s="9"/>
      <c r="O6" s="10" t="s">
        <v>121</v>
      </c>
      <c r="P6" s="10" t="s">
        <v>68</v>
      </c>
      <c r="Q6" s="10" t="s">
        <v>122</v>
      </c>
      <c r="R6" s="9"/>
      <c r="S6" s="8" t="str">
        <f>"730,0"</f>
        <v>730,0</v>
      </c>
      <c r="T6" s="10" t="str">
        <f>"435,2625"</f>
        <v>435,2625</v>
      </c>
      <c r="U6" s="8" t="s">
        <v>58</v>
      </c>
    </row>
    <row r="8" spans="1:21" ht="15">
      <c r="E8" s="20" t="s">
        <v>146</v>
      </c>
    </row>
    <row r="9" spans="1:21" ht="15">
      <c r="E9" s="20" t="s">
        <v>147</v>
      </c>
    </row>
    <row r="10" spans="1:21" ht="15">
      <c r="E10" s="20" t="s">
        <v>148</v>
      </c>
    </row>
    <row r="11" spans="1:21" ht="15">
      <c r="E11" s="20" t="s">
        <v>149</v>
      </c>
    </row>
    <row r="12" spans="1:21" ht="15">
      <c r="E12" s="20" t="s">
        <v>149</v>
      </c>
    </row>
    <row r="13" spans="1:21" ht="15">
      <c r="E13" s="20" t="s">
        <v>150</v>
      </c>
    </row>
    <row r="14" spans="1:21" ht="15">
      <c r="E14" s="20"/>
    </row>
    <row r="16" spans="1:21" ht="18">
      <c r="A16" s="21" t="s">
        <v>151</v>
      </c>
      <c r="B16" s="21"/>
    </row>
    <row r="17" spans="1:5" ht="15">
      <c r="A17" s="22" t="s">
        <v>152</v>
      </c>
      <c r="B17" s="22"/>
    </row>
    <row r="18" spans="1:5" ht="14.25">
      <c r="A18" s="24"/>
      <c r="B18" s="25" t="s">
        <v>168</v>
      </c>
    </row>
    <row r="19" spans="1:5" ht="15">
      <c r="A19" s="26" t="s">
        <v>154</v>
      </c>
      <c r="B19" s="26" t="s">
        <v>155</v>
      </c>
      <c r="C19" s="26" t="s">
        <v>156</v>
      </c>
      <c r="D19" s="26" t="s">
        <v>157</v>
      </c>
      <c r="E19" s="26" t="s">
        <v>158</v>
      </c>
    </row>
    <row r="20" spans="1:5">
      <c r="A20" s="23" t="s">
        <v>315</v>
      </c>
      <c r="B20" s="5" t="s">
        <v>168</v>
      </c>
      <c r="C20" s="5" t="s">
        <v>165</v>
      </c>
      <c r="D20" s="5" t="s">
        <v>319</v>
      </c>
      <c r="E20" s="27" t="s">
        <v>320</v>
      </c>
    </row>
  </sheetData>
  <mergeCells count="14"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7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3.5703125" style="5" bestFit="1" customWidth="1"/>
    <col min="14" max="16384" width="9.140625" style="4"/>
  </cols>
  <sheetData>
    <row r="1" spans="1:13" s="3" customFormat="1" ht="29.1" customHeight="1">
      <c r="A1" s="79" t="s">
        <v>280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3</v>
      </c>
      <c r="H3" s="60"/>
      <c r="I3" s="60"/>
      <c r="J3" s="60"/>
      <c r="K3" s="60" t="s">
        <v>279</v>
      </c>
      <c r="L3" s="60" t="s">
        <v>6</v>
      </c>
      <c r="M3" s="63" t="s">
        <v>5</v>
      </c>
    </row>
    <row r="4" spans="1:13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74"/>
      <c r="L4" s="74"/>
      <c r="M4" s="64"/>
    </row>
    <row r="5" spans="1:13" ht="15">
      <c r="A5" s="75" t="s">
        <v>281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>
      <c r="A6" s="8" t="s">
        <v>283</v>
      </c>
      <c r="B6" s="8" t="s">
        <v>284</v>
      </c>
      <c r="C6" s="8" t="s">
        <v>285</v>
      </c>
      <c r="D6" s="8" t="str">
        <f>"0,7450"</f>
        <v>0,7450</v>
      </c>
      <c r="E6" s="8" t="s">
        <v>50</v>
      </c>
      <c r="F6" s="8" t="s">
        <v>51</v>
      </c>
      <c r="G6" s="10" t="s">
        <v>160</v>
      </c>
      <c r="H6" s="10" t="s">
        <v>286</v>
      </c>
      <c r="I6" s="10" t="s">
        <v>104</v>
      </c>
      <c r="J6" s="9"/>
      <c r="K6" s="8" t="str">
        <f>"122,5"</f>
        <v>122,5</v>
      </c>
      <c r="L6" s="10" t="str">
        <f>"112,2529"</f>
        <v>112,2529</v>
      </c>
      <c r="M6" s="8" t="s">
        <v>77</v>
      </c>
    </row>
    <row r="8" spans="1:13" ht="15">
      <c r="A8" s="77" t="s">
        <v>15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3">
      <c r="A9" s="8" t="s">
        <v>288</v>
      </c>
      <c r="B9" s="8" t="s">
        <v>289</v>
      </c>
      <c r="C9" s="8" t="s">
        <v>290</v>
      </c>
      <c r="D9" s="8" t="str">
        <f>"0,6645"</f>
        <v>0,6645</v>
      </c>
      <c r="E9" s="8" t="s">
        <v>99</v>
      </c>
      <c r="F9" s="8" t="s">
        <v>100</v>
      </c>
      <c r="G9" s="10" t="s">
        <v>42</v>
      </c>
      <c r="H9" s="10" t="s">
        <v>67</v>
      </c>
      <c r="I9" s="9" t="s">
        <v>44</v>
      </c>
      <c r="J9" s="9"/>
      <c r="K9" s="8" t="str">
        <f>"220,0"</f>
        <v>220,0</v>
      </c>
      <c r="L9" s="10" t="str">
        <f>"147,5057"</f>
        <v>147,5057</v>
      </c>
      <c r="M9" s="8" t="s">
        <v>69</v>
      </c>
    </row>
    <row r="11" spans="1:13" ht="15">
      <c r="A11" s="77" t="s">
        <v>59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3">
      <c r="A12" s="8" t="s">
        <v>292</v>
      </c>
      <c r="B12" s="8" t="s">
        <v>293</v>
      </c>
      <c r="C12" s="8" t="s">
        <v>294</v>
      </c>
      <c r="D12" s="8" t="str">
        <f>"0,5885"</f>
        <v>0,5885</v>
      </c>
      <c r="E12" s="8" t="s">
        <v>82</v>
      </c>
      <c r="F12" s="8" t="s">
        <v>51</v>
      </c>
      <c r="G12" s="9" t="s">
        <v>115</v>
      </c>
      <c r="H12" s="10" t="s">
        <v>115</v>
      </c>
      <c r="I12" s="10" t="s">
        <v>295</v>
      </c>
      <c r="J12" s="9"/>
      <c r="K12" s="8" t="str">
        <f>"250,0"</f>
        <v>250,0</v>
      </c>
      <c r="L12" s="10" t="str">
        <f>"147,1250"</f>
        <v>147,1250</v>
      </c>
      <c r="M12" s="8" t="s">
        <v>296</v>
      </c>
    </row>
    <row r="14" spans="1:13" ht="15">
      <c r="A14" s="77" t="s">
        <v>94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3">
      <c r="A15" s="8" t="s">
        <v>297</v>
      </c>
      <c r="B15" s="8" t="s">
        <v>119</v>
      </c>
      <c r="C15" s="8" t="s">
        <v>120</v>
      </c>
      <c r="D15" s="8" t="str">
        <f>"0,5633"</f>
        <v>0,5633</v>
      </c>
      <c r="E15" s="8" t="s">
        <v>82</v>
      </c>
      <c r="F15" s="8" t="s">
        <v>83</v>
      </c>
      <c r="G15" s="10" t="s">
        <v>121</v>
      </c>
      <c r="H15" s="10" t="s">
        <v>114</v>
      </c>
      <c r="I15" s="9" t="s">
        <v>122</v>
      </c>
      <c r="J15" s="9"/>
      <c r="K15" s="8" t="str">
        <f>"275,0"</f>
        <v>275,0</v>
      </c>
      <c r="L15" s="10" t="str">
        <f>"154,9075"</f>
        <v>154,9075</v>
      </c>
      <c r="M15" s="8" t="s">
        <v>58</v>
      </c>
    </row>
    <row r="17" spans="1:13" ht="15">
      <c r="A17" s="77" t="s">
        <v>129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3">
      <c r="A18" s="8" t="s">
        <v>298</v>
      </c>
      <c r="B18" s="8" t="s">
        <v>248</v>
      </c>
      <c r="C18" s="8" t="s">
        <v>249</v>
      </c>
      <c r="D18" s="8" t="str">
        <f>"0,5381"</f>
        <v>0,5381</v>
      </c>
      <c r="E18" s="8" t="s">
        <v>99</v>
      </c>
      <c r="F18" s="8" t="s">
        <v>100</v>
      </c>
      <c r="G18" s="10" t="s">
        <v>68</v>
      </c>
      <c r="H18" s="10" t="s">
        <v>299</v>
      </c>
      <c r="I18" s="10" t="s">
        <v>300</v>
      </c>
      <c r="J18" s="9"/>
      <c r="K18" s="8" t="str">
        <f>"300,0"</f>
        <v>300,0</v>
      </c>
      <c r="L18" s="10" t="str">
        <f>"161,4300"</f>
        <v>161,4300</v>
      </c>
      <c r="M18" s="8" t="s">
        <v>69</v>
      </c>
    </row>
    <row r="20" spans="1:13" ht="15">
      <c r="A20" s="77" t="s">
        <v>250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3">
      <c r="A21" s="8" t="s">
        <v>302</v>
      </c>
      <c r="B21" s="8" t="s">
        <v>303</v>
      </c>
      <c r="C21" s="8" t="s">
        <v>304</v>
      </c>
      <c r="D21" s="8" t="str">
        <f>"0,5235"</f>
        <v>0,5235</v>
      </c>
      <c r="E21" s="8" t="s">
        <v>99</v>
      </c>
      <c r="F21" s="8" t="s">
        <v>100</v>
      </c>
      <c r="G21" s="10" t="s">
        <v>42</v>
      </c>
      <c r="H21" s="10" t="s">
        <v>43</v>
      </c>
      <c r="I21" s="10" t="s">
        <v>44</v>
      </c>
      <c r="J21" s="9"/>
      <c r="K21" s="8" t="str">
        <f>"235,0"</f>
        <v>235,0</v>
      </c>
      <c r="L21" s="10" t="str">
        <f>"130,4039"</f>
        <v>130,4039</v>
      </c>
      <c r="M21" s="8" t="s">
        <v>69</v>
      </c>
    </row>
    <row r="23" spans="1:13" ht="15">
      <c r="E23" s="20" t="s">
        <v>146</v>
      </c>
    </row>
    <row r="24" spans="1:13" ht="15">
      <c r="E24" s="20" t="s">
        <v>147</v>
      </c>
    </row>
    <row r="25" spans="1:13" ht="15">
      <c r="E25" s="20" t="s">
        <v>148</v>
      </c>
    </row>
    <row r="26" spans="1:13" ht="15">
      <c r="E26" s="20" t="s">
        <v>149</v>
      </c>
    </row>
    <row r="27" spans="1:13" ht="15">
      <c r="E27" s="20" t="s">
        <v>149</v>
      </c>
    </row>
    <row r="28" spans="1:13" ht="15">
      <c r="E28" s="20" t="s">
        <v>150</v>
      </c>
    </row>
    <row r="29" spans="1:13" ht="15">
      <c r="E29" s="20"/>
    </row>
    <row r="31" spans="1:13" ht="18">
      <c r="A31" s="21" t="s">
        <v>151</v>
      </c>
      <c r="B31" s="21"/>
    </row>
    <row r="32" spans="1:13" ht="15">
      <c r="A32" s="22" t="s">
        <v>152</v>
      </c>
      <c r="B32" s="22"/>
    </row>
    <row r="33" spans="1:5" ht="14.25">
      <c r="A33" s="24"/>
      <c r="B33" s="25" t="s">
        <v>153</v>
      </c>
    </row>
    <row r="34" spans="1:5" ht="15">
      <c r="A34" s="26" t="s">
        <v>154</v>
      </c>
      <c r="B34" s="26" t="s">
        <v>155</v>
      </c>
      <c r="C34" s="26" t="s">
        <v>156</v>
      </c>
      <c r="D34" s="26" t="s">
        <v>157</v>
      </c>
      <c r="E34" s="26" t="s">
        <v>158</v>
      </c>
    </row>
    <row r="35" spans="1:5">
      <c r="A35" s="23" t="s">
        <v>301</v>
      </c>
      <c r="B35" s="5" t="s">
        <v>159</v>
      </c>
      <c r="C35" s="5" t="s">
        <v>127</v>
      </c>
      <c r="D35" s="5" t="s">
        <v>44</v>
      </c>
      <c r="E35" s="27" t="s">
        <v>305</v>
      </c>
    </row>
    <row r="36" spans="1:5">
      <c r="A36" s="23" t="s">
        <v>282</v>
      </c>
      <c r="B36" s="5" t="s">
        <v>306</v>
      </c>
      <c r="C36" s="5" t="s">
        <v>307</v>
      </c>
      <c r="D36" s="5" t="s">
        <v>104</v>
      </c>
      <c r="E36" s="27" t="s">
        <v>308</v>
      </c>
    </row>
    <row r="38" spans="1:5" ht="14.25">
      <c r="A38" s="24"/>
      <c r="B38" s="25" t="s">
        <v>168</v>
      </c>
    </row>
    <row r="39" spans="1:5" ht="15">
      <c r="A39" s="26" t="s">
        <v>154</v>
      </c>
      <c r="B39" s="26" t="s">
        <v>155</v>
      </c>
      <c r="C39" s="26" t="s">
        <v>156</v>
      </c>
      <c r="D39" s="26" t="s">
        <v>157</v>
      </c>
      <c r="E39" s="26" t="s">
        <v>158</v>
      </c>
    </row>
    <row r="40" spans="1:5">
      <c r="A40" s="23" t="s">
        <v>246</v>
      </c>
      <c r="B40" s="5" t="s">
        <v>168</v>
      </c>
      <c r="C40" s="5" t="s">
        <v>102</v>
      </c>
      <c r="D40" s="5" t="s">
        <v>300</v>
      </c>
      <c r="E40" s="27" t="s">
        <v>309</v>
      </c>
    </row>
    <row r="41" spans="1:5">
      <c r="A41" s="23" t="s">
        <v>117</v>
      </c>
      <c r="B41" s="5" t="s">
        <v>168</v>
      </c>
      <c r="C41" s="5" t="s">
        <v>160</v>
      </c>
      <c r="D41" s="5" t="s">
        <v>114</v>
      </c>
      <c r="E41" s="27" t="s">
        <v>310</v>
      </c>
    </row>
    <row r="42" spans="1:5">
      <c r="A42" s="23" t="s">
        <v>291</v>
      </c>
      <c r="B42" s="5" t="s">
        <v>168</v>
      </c>
      <c r="C42" s="5" t="s">
        <v>165</v>
      </c>
      <c r="D42" s="5" t="s">
        <v>295</v>
      </c>
      <c r="E42" s="27" t="s">
        <v>311</v>
      </c>
    </row>
    <row r="44" spans="1:5" ht="14.25">
      <c r="A44" s="24"/>
      <c r="B44" s="25" t="s">
        <v>191</v>
      </c>
    </row>
    <row r="45" spans="1:5" ht="15">
      <c r="A45" s="26" t="s">
        <v>154</v>
      </c>
      <c r="B45" s="26" t="s">
        <v>155</v>
      </c>
      <c r="C45" s="26" t="s">
        <v>156</v>
      </c>
      <c r="D45" s="26" t="s">
        <v>157</v>
      </c>
      <c r="E45" s="26" t="s">
        <v>158</v>
      </c>
    </row>
    <row r="46" spans="1:5">
      <c r="A46" s="23" t="s">
        <v>287</v>
      </c>
      <c r="B46" s="5" t="s">
        <v>312</v>
      </c>
      <c r="C46" s="5" t="s">
        <v>169</v>
      </c>
      <c r="D46" s="5" t="s">
        <v>67</v>
      </c>
      <c r="E46" s="27" t="s">
        <v>313</v>
      </c>
    </row>
  </sheetData>
  <mergeCells count="17">
    <mergeCell ref="A14:L14"/>
    <mergeCell ref="A17:L17"/>
    <mergeCell ref="A20:L20"/>
    <mergeCell ref="K3:K4"/>
    <mergeCell ref="L3:L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71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7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4.140625" style="5" bestFit="1" customWidth="1"/>
    <col min="14" max="16384" width="9.140625" style="4"/>
  </cols>
  <sheetData>
    <row r="1" spans="1:13" s="3" customFormat="1" ht="29.1" customHeight="1">
      <c r="A1" s="79" t="s">
        <v>197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2</v>
      </c>
      <c r="H3" s="60"/>
      <c r="I3" s="60"/>
      <c r="J3" s="60"/>
      <c r="K3" s="60" t="s">
        <v>279</v>
      </c>
      <c r="L3" s="60" t="s">
        <v>6</v>
      </c>
      <c r="M3" s="63" t="s">
        <v>5</v>
      </c>
    </row>
    <row r="4" spans="1:13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74"/>
      <c r="L4" s="74"/>
      <c r="M4" s="64"/>
    </row>
    <row r="5" spans="1:13" ht="15">
      <c r="A5" s="75" t="s">
        <v>198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>
      <c r="A6" s="8" t="s">
        <v>200</v>
      </c>
      <c r="B6" s="8" t="s">
        <v>201</v>
      </c>
      <c r="C6" s="8" t="s">
        <v>202</v>
      </c>
      <c r="D6" s="8" t="str">
        <f>"0,9194"</f>
        <v>0,9194</v>
      </c>
      <c r="E6" s="8" t="s">
        <v>20</v>
      </c>
      <c r="F6" s="8" t="s">
        <v>21</v>
      </c>
      <c r="G6" s="9" t="s">
        <v>203</v>
      </c>
      <c r="H6" s="10" t="s">
        <v>203</v>
      </c>
      <c r="I6" s="9"/>
      <c r="J6" s="9"/>
      <c r="K6" s="8" t="str">
        <f>"95,0"</f>
        <v>95,0</v>
      </c>
      <c r="L6" s="10" t="str">
        <f>"87,3430"</f>
        <v>87,3430</v>
      </c>
      <c r="M6" s="8" t="s">
        <v>30</v>
      </c>
    </row>
    <row r="8" spans="1:13" ht="15">
      <c r="A8" s="77" t="s">
        <v>31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3">
      <c r="A9" s="11" t="s">
        <v>205</v>
      </c>
      <c r="B9" s="11" t="s">
        <v>206</v>
      </c>
      <c r="C9" s="11" t="s">
        <v>207</v>
      </c>
      <c r="D9" s="11" t="str">
        <f>"0,6473"</f>
        <v>0,6473</v>
      </c>
      <c r="E9" s="11" t="s">
        <v>208</v>
      </c>
      <c r="F9" s="11" t="s">
        <v>89</v>
      </c>
      <c r="G9" s="12" t="s">
        <v>101</v>
      </c>
      <c r="H9" s="12" t="s">
        <v>75</v>
      </c>
      <c r="I9" s="13" t="s">
        <v>92</v>
      </c>
      <c r="J9" s="13"/>
      <c r="K9" s="11" t="str">
        <f>"175,0"</f>
        <v>175,0</v>
      </c>
      <c r="L9" s="12" t="str">
        <f>"115,5431"</f>
        <v>115,5431</v>
      </c>
      <c r="M9" s="11" t="s">
        <v>58</v>
      </c>
    </row>
    <row r="10" spans="1:13">
      <c r="A10" s="17" t="s">
        <v>210</v>
      </c>
      <c r="B10" s="17" t="s">
        <v>211</v>
      </c>
      <c r="C10" s="17" t="s">
        <v>212</v>
      </c>
      <c r="D10" s="17" t="str">
        <f>"0,6341"</f>
        <v>0,6341</v>
      </c>
      <c r="E10" s="17" t="s">
        <v>82</v>
      </c>
      <c r="F10" s="17" t="s">
        <v>213</v>
      </c>
      <c r="G10" s="19" t="s">
        <v>65</v>
      </c>
      <c r="H10" s="19" t="s">
        <v>66</v>
      </c>
      <c r="I10" s="18" t="s">
        <v>101</v>
      </c>
      <c r="J10" s="18"/>
      <c r="K10" s="17" t="str">
        <f>"160,0"</f>
        <v>160,0</v>
      </c>
      <c r="L10" s="19" t="str">
        <f>"103,4851"</f>
        <v>103,4851</v>
      </c>
      <c r="M10" s="17" t="s">
        <v>58</v>
      </c>
    </row>
    <row r="11" spans="1:13">
      <c r="A11" s="17" t="s">
        <v>215</v>
      </c>
      <c r="B11" s="17" t="s">
        <v>216</v>
      </c>
      <c r="C11" s="17" t="s">
        <v>35</v>
      </c>
      <c r="D11" s="17" t="str">
        <f>"0,6193"</f>
        <v>0,6193</v>
      </c>
      <c r="E11" s="17" t="s">
        <v>208</v>
      </c>
      <c r="F11" s="17" t="s">
        <v>89</v>
      </c>
      <c r="G11" s="19" t="s">
        <v>160</v>
      </c>
      <c r="H11" s="18" t="s">
        <v>217</v>
      </c>
      <c r="I11" s="18" t="s">
        <v>217</v>
      </c>
      <c r="J11" s="18"/>
      <c r="K11" s="17" t="str">
        <f>"100,0"</f>
        <v>100,0</v>
      </c>
      <c r="L11" s="19" t="str">
        <f>"62,5493"</f>
        <v>62,5493</v>
      </c>
      <c r="M11" s="17" t="s">
        <v>58</v>
      </c>
    </row>
    <row r="12" spans="1:13">
      <c r="A12" s="14" t="s">
        <v>33</v>
      </c>
      <c r="B12" s="14" t="s">
        <v>34</v>
      </c>
      <c r="C12" s="14" t="s">
        <v>35</v>
      </c>
      <c r="D12" s="14" t="str">
        <f>"0,6193"</f>
        <v>0,6193</v>
      </c>
      <c r="E12" s="14" t="s">
        <v>36</v>
      </c>
      <c r="F12" s="14" t="s">
        <v>37</v>
      </c>
      <c r="G12" s="15" t="s">
        <v>40</v>
      </c>
      <c r="H12" s="16" t="s">
        <v>41</v>
      </c>
      <c r="I12" s="15" t="s">
        <v>41</v>
      </c>
      <c r="J12" s="16"/>
      <c r="K12" s="14" t="str">
        <f>"172,5"</f>
        <v>172,5</v>
      </c>
      <c r="L12" s="15" t="str">
        <f>"106,8293"</f>
        <v>106,8293</v>
      </c>
      <c r="M12" s="14" t="s">
        <v>45</v>
      </c>
    </row>
    <row r="14" spans="1:13" ht="15">
      <c r="A14" s="77" t="s">
        <v>59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3">
      <c r="A15" s="11" t="s">
        <v>219</v>
      </c>
      <c r="B15" s="11" t="s">
        <v>220</v>
      </c>
      <c r="C15" s="11" t="s">
        <v>221</v>
      </c>
      <c r="D15" s="11" t="str">
        <f>"0,5939"</f>
        <v>0,5939</v>
      </c>
      <c r="E15" s="11" t="s">
        <v>208</v>
      </c>
      <c r="F15" s="11" t="s">
        <v>89</v>
      </c>
      <c r="G15" s="12" t="s">
        <v>74</v>
      </c>
      <c r="H15" s="13" t="s">
        <v>92</v>
      </c>
      <c r="I15" s="13"/>
      <c r="J15" s="13"/>
      <c r="K15" s="11" t="str">
        <f>"170,0"</f>
        <v>170,0</v>
      </c>
      <c r="L15" s="12" t="str">
        <f>"103,9919"</f>
        <v>103,9919</v>
      </c>
      <c r="M15" s="11" t="s">
        <v>58</v>
      </c>
    </row>
    <row r="16" spans="1:13">
      <c r="A16" s="17" t="s">
        <v>223</v>
      </c>
      <c r="B16" s="17" t="s">
        <v>224</v>
      </c>
      <c r="C16" s="17" t="s">
        <v>225</v>
      </c>
      <c r="D16" s="17" t="str">
        <f>"0,5865"</f>
        <v>0,5865</v>
      </c>
      <c r="E16" s="17" t="s">
        <v>208</v>
      </c>
      <c r="F16" s="17" t="s">
        <v>89</v>
      </c>
      <c r="G16" s="18" t="s">
        <v>75</v>
      </c>
      <c r="H16" s="18" t="s">
        <v>84</v>
      </c>
      <c r="I16" s="19" t="s">
        <v>84</v>
      </c>
      <c r="J16" s="18"/>
      <c r="K16" s="17" t="str">
        <f>"182,5"</f>
        <v>182,5</v>
      </c>
      <c r="L16" s="19" t="str">
        <f>"107,0362"</f>
        <v>107,0362</v>
      </c>
      <c r="M16" s="17" t="s">
        <v>58</v>
      </c>
    </row>
    <row r="17" spans="1:13">
      <c r="A17" s="14" t="s">
        <v>79</v>
      </c>
      <c r="B17" s="14" t="s">
        <v>80</v>
      </c>
      <c r="C17" s="14" t="s">
        <v>81</v>
      </c>
      <c r="D17" s="14" t="str">
        <f>"0,5926"</f>
        <v>0,5926</v>
      </c>
      <c r="E17" s="14" t="s">
        <v>82</v>
      </c>
      <c r="F17" s="14" t="s">
        <v>83</v>
      </c>
      <c r="G17" s="15" t="s">
        <v>74</v>
      </c>
      <c r="H17" s="16" t="s">
        <v>84</v>
      </c>
      <c r="I17" s="16" t="s">
        <v>84</v>
      </c>
      <c r="J17" s="16"/>
      <c r="K17" s="14" t="str">
        <f>"170,0"</f>
        <v>170,0</v>
      </c>
      <c r="L17" s="15" t="str">
        <f>"100,7420"</f>
        <v>100,7420</v>
      </c>
      <c r="M17" s="14" t="s">
        <v>58</v>
      </c>
    </row>
    <row r="19" spans="1:13" ht="15">
      <c r="A19" s="77" t="s">
        <v>94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3">
      <c r="A20" s="11" t="s">
        <v>227</v>
      </c>
      <c r="B20" s="11" t="s">
        <v>228</v>
      </c>
      <c r="C20" s="11" t="s">
        <v>229</v>
      </c>
      <c r="D20" s="11" t="str">
        <f>"0,5651"</f>
        <v>0,5651</v>
      </c>
      <c r="E20" s="11" t="s">
        <v>208</v>
      </c>
      <c r="F20" s="11" t="s">
        <v>89</v>
      </c>
      <c r="G20" s="12" t="s">
        <v>90</v>
      </c>
      <c r="H20" s="12" t="s">
        <v>40</v>
      </c>
      <c r="I20" s="13" t="s">
        <v>74</v>
      </c>
      <c r="J20" s="13"/>
      <c r="K20" s="11" t="str">
        <f>"162,5"</f>
        <v>162,5</v>
      </c>
      <c r="L20" s="12" t="str">
        <f>"91,8288"</f>
        <v>91,8288</v>
      </c>
      <c r="M20" s="11" t="s">
        <v>58</v>
      </c>
    </row>
    <row r="21" spans="1:13">
      <c r="A21" s="14" t="s">
        <v>231</v>
      </c>
      <c r="B21" s="14" t="s">
        <v>232</v>
      </c>
      <c r="C21" s="14" t="s">
        <v>233</v>
      </c>
      <c r="D21" s="14" t="str">
        <f>"0,5591"</f>
        <v>0,5591</v>
      </c>
      <c r="E21" s="14" t="s">
        <v>234</v>
      </c>
      <c r="F21" s="14" t="s">
        <v>51</v>
      </c>
      <c r="G21" s="15" t="s">
        <v>74</v>
      </c>
      <c r="H21" s="15" t="s">
        <v>22</v>
      </c>
      <c r="I21" s="15" t="s">
        <v>92</v>
      </c>
      <c r="J21" s="16"/>
      <c r="K21" s="14" t="str">
        <f>"185,0"</f>
        <v>185,0</v>
      </c>
      <c r="L21" s="15" t="str">
        <f>"118,3279"</f>
        <v>118,3279</v>
      </c>
      <c r="M21" s="14" t="s">
        <v>58</v>
      </c>
    </row>
    <row r="23" spans="1:13" ht="15">
      <c r="A23" s="77" t="s">
        <v>129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3">
      <c r="A24" s="11" t="s">
        <v>236</v>
      </c>
      <c r="B24" s="11" t="s">
        <v>237</v>
      </c>
      <c r="C24" s="11" t="s">
        <v>238</v>
      </c>
      <c r="D24" s="11" t="str">
        <f>"0,5456"</f>
        <v>0,5456</v>
      </c>
      <c r="E24" s="11" t="s">
        <v>234</v>
      </c>
      <c r="F24" s="11" t="s">
        <v>51</v>
      </c>
      <c r="G24" s="12" t="s">
        <v>39</v>
      </c>
      <c r="H24" s="13" t="s">
        <v>53</v>
      </c>
      <c r="I24" s="13" t="s">
        <v>53</v>
      </c>
      <c r="J24" s="13"/>
      <c r="K24" s="11" t="str">
        <f>"200,0"</f>
        <v>200,0</v>
      </c>
      <c r="L24" s="12" t="str">
        <f>"112,3936"</f>
        <v>112,3936</v>
      </c>
      <c r="M24" s="11" t="s">
        <v>58</v>
      </c>
    </row>
    <row r="25" spans="1:13">
      <c r="A25" s="17" t="s">
        <v>240</v>
      </c>
      <c r="B25" s="17" t="s">
        <v>241</v>
      </c>
      <c r="C25" s="17" t="s">
        <v>242</v>
      </c>
      <c r="D25" s="17" t="str">
        <f>"0,5427"</f>
        <v>0,5427</v>
      </c>
      <c r="E25" s="17" t="s">
        <v>82</v>
      </c>
      <c r="F25" s="17" t="s">
        <v>213</v>
      </c>
      <c r="G25" s="19" t="s">
        <v>101</v>
      </c>
      <c r="H25" s="19" t="s">
        <v>75</v>
      </c>
      <c r="I25" s="19" t="s">
        <v>22</v>
      </c>
      <c r="J25" s="18"/>
      <c r="K25" s="17" t="str">
        <f>"180,0"</f>
        <v>180,0</v>
      </c>
      <c r="L25" s="19" t="str">
        <f>"99,6397"</f>
        <v>99,6397</v>
      </c>
      <c r="M25" s="17" t="s">
        <v>58</v>
      </c>
    </row>
    <row r="26" spans="1:13">
      <c r="A26" s="17" t="s">
        <v>244</v>
      </c>
      <c r="B26" s="17" t="s">
        <v>245</v>
      </c>
      <c r="C26" s="17" t="s">
        <v>133</v>
      </c>
      <c r="D26" s="17" t="str">
        <f>"0,5365"</f>
        <v>0,5365</v>
      </c>
      <c r="E26" s="17" t="s">
        <v>82</v>
      </c>
      <c r="F26" s="17" t="s">
        <v>89</v>
      </c>
      <c r="G26" s="19" t="s">
        <v>92</v>
      </c>
      <c r="H26" s="18" t="s">
        <v>38</v>
      </c>
      <c r="I26" s="19" t="s">
        <v>52</v>
      </c>
      <c r="J26" s="18"/>
      <c r="K26" s="17" t="str">
        <f>"195,0"</f>
        <v>195,0</v>
      </c>
      <c r="L26" s="19" t="str">
        <f>"104,6175"</f>
        <v>104,6175</v>
      </c>
      <c r="M26" s="17" t="s">
        <v>58</v>
      </c>
    </row>
    <row r="27" spans="1:13">
      <c r="A27" s="14" t="s">
        <v>247</v>
      </c>
      <c r="B27" s="14" t="s">
        <v>248</v>
      </c>
      <c r="C27" s="14" t="s">
        <v>249</v>
      </c>
      <c r="D27" s="14" t="str">
        <f>"0,5381"</f>
        <v>0,5381</v>
      </c>
      <c r="E27" s="14" t="s">
        <v>99</v>
      </c>
      <c r="F27" s="14" t="s">
        <v>100</v>
      </c>
      <c r="G27" s="15" t="s">
        <v>22</v>
      </c>
      <c r="H27" s="15" t="s">
        <v>38</v>
      </c>
      <c r="I27" s="16" t="s">
        <v>39</v>
      </c>
      <c r="J27" s="16"/>
      <c r="K27" s="14" t="str">
        <f>"192,5"</f>
        <v>192,5</v>
      </c>
      <c r="L27" s="15" t="str">
        <f>"103,5843"</f>
        <v>103,5843</v>
      </c>
      <c r="M27" s="14" t="s">
        <v>69</v>
      </c>
    </row>
    <row r="29" spans="1:13" ht="15">
      <c r="A29" s="77" t="s">
        <v>250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3">
      <c r="A30" s="11" t="s">
        <v>252</v>
      </c>
      <c r="B30" s="11" t="s">
        <v>253</v>
      </c>
      <c r="C30" s="11" t="s">
        <v>254</v>
      </c>
      <c r="D30" s="11" t="str">
        <f>"0,5313"</f>
        <v>0,5313</v>
      </c>
      <c r="E30" s="11" t="s">
        <v>82</v>
      </c>
      <c r="F30" s="11" t="s">
        <v>21</v>
      </c>
      <c r="G30" s="12" t="s">
        <v>39</v>
      </c>
      <c r="H30" s="12" t="s">
        <v>109</v>
      </c>
      <c r="I30" s="12" t="s">
        <v>43</v>
      </c>
      <c r="J30" s="13"/>
      <c r="K30" s="11" t="str">
        <f>"225,0"</f>
        <v>225,0</v>
      </c>
      <c r="L30" s="12" t="str">
        <f>"119,5425"</f>
        <v>119,5425</v>
      </c>
      <c r="M30" s="11" t="s">
        <v>58</v>
      </c>
    </row>
    <row r="31" spans="1:13">
      <c r="A31" s="14" t="s">
        <v>256</v>
      </c>
      <c r="B31" s="14" t="s">
        <v>257</v>
      </c>
      <c r="C31" s="14" t="s">
        <v>258</v>
      </c>
      <c r="D31" s="14" t="str">
        <f>"0,5274"</f>
        <v>0,5274</v>
      </c>
      <c r="E31" s="14" t="s">
        <v>50</v>
      </c>
      <c r="F31" s="14" t="s">
        <v>259</v>
      </c>
      <c r="G31" s="15" t="s">
        <v>53</v>
      </c>
      <c r="H31" s="15" t="s">
        <v>260</v>
      </c>
      <c r="I31" s="15" t="s">
        <v>67</v>
      </c>
      <c r="J31" s="16"/>
      <c r="K31" s="14" t="str">
        <f>"220,0"</f>
        <v>220,0</v>
      </c>
      <c r="L31" s="15" t="str">
        <f>"116,0280"</f>
        <v>116,0280</v>
      </c>
      <c r="M31" s="14" t="s">
        <v>77</v>
      </c>
    </row>
    <row r="33" spans="1:5" ht="15">
      <c r="E33" s="20" t="s">
        <v>146</v>
      </c>
    </row>
    <row r="34" spans="1:5" ht="15">
      <c r="E34" s="20" t="s">
        <v>147</v>
      </c>
    </row>
    <row r="35" spans="1:5" ht="15">
      <c r="E35" s="20" t="s">
        <v>148</v>
      </c>
    </row>
    <row r="36" spans="1:5" ht="15">
      <c r="E36" s="20" t="s">
        <v>149</v>
      </c>
    </row>
    <row r="37" spans="1:5" ht="15">
      <c r="E37" s="20" t="s">
        <v>149</v>
      </c>
    </row>
    <row r="38" spans="1:5" ht="15">
      <c r="E38" s="20" t="s">
        <v>150</v>
      </c>
    </row>
    <row r="39" spans="1:5" ht="15">
      <c r="E39" s="20"/>
    </row>
    <row r="41" spans="1:5" ht="18">
      <c r="A41" s="21" t="s">
        <v>151</v>
      </c>
      <c r="B41" s="21"/>
    </row>
    <row r="42" spans="1:5" ht="15">
      <c r="A42" s="22" t="s">
        <v>261</v>
      </c>
      <c r="B42" s="22"/>
    </row>
    <row r="43" spans="1:5" ht="14.25">
      <c r="A43" s="24"/>
      <c r="B43" s="25" t="s">
        <v>168</v>
      </c>
    </row>
    <row r="44" spans="1:5" ht="15">
      <c r="A44" s="26" t="s">
        <v>154</v>
      </c>
      <c r="B44" s="26" t="s">
        <v>155</v>
      </c>
      <c r="C44" s="26" t="s">
        <v>156</v>
      </c>
      <c r="D44" s="26" t="s">
        <v>157</v>
      </c>
      <c r="E44" s="26" t="s">
        <v>158</v>
      </c>
    </row>
    <row r="45" spans="1:5">
      <c r="A45" s="23" t="s">
        <v>199</v>
      </c>
      <c r="B45" s="5" t="s">
        <v>168</v>
      </c>
      <c r="C45" s="5" t="s">
        <v>262</v>
      </c>
      <c r="D45" s="5" t="s">
        <v>203</v>
      </c>
      <c r="E45" s="27" t="s">
        <v>263</v>
      </c>
    </row>
    <row r="48" spans="1:5" ht="15">
      <c r="A48" s="22" t="s">
        <v>152</v>
      </c>
      <c r="B48" s="22"/>
    </row>
    <row r="49" spans="1:5" ht="14.25">
      <c r="A49" s="24"/>
      <c r="B49" s="25" t="s">
        <v>163</v>
      </c>
    </row>
    <row r="50" spans="1:5" ht="15">
      <c r="A50" s="26" t="s">
        <v>154</v>
      </c>
      <c r="B50" s="26" t="s">
        <v>155</v>
      </c>
      <c r="C50" s="26" t="s">
        <v>156</v>
      </c>
      <c r="D50" s="26" t="s">
        <v>157</v>
      </c>
      <c r="E50" s="26" t="s">
        <v>158</v>
      </c>
    </row>
    <row r="51" spans="1:5">
      <c r="A51" s="23" t="s">
        <v>204</v>
      </c>
      <c r="B51" s="5" t="s">
        <v>164</v>
      </c>
      <c r="C51" s="5" t="s">
        <v>174</v>
      </c>
      <c r="D51" s="5" t="s">
        <v>75</v>
      </c>
      <c r="E51" s="27" t="s">
        <v>264</v>
      </c>
    </row>
    <row r="52" spans="1:5">
      <c r="A52" s="23" t="s">
        <v>235</v>
      </c>
      <c r="B52" s="5" t="s">
        <v>164</v>
      </c>
      <c r="C52" s="5" t="s">
        <v>102</v>
      </c>
      <c r="D52" s="5" t="s">
        <v>39</v>
      </c>
      <c r="E52" s="27" t="s">
        <v>265</v>
      </c>
    </row>
    <row r="53" spans="1:5">
      <c r="A53" s="23" t="s">
        <v>218</v>
      </c>
      <c r="B53" s="5" t="s">
        <v>164</v>
      </c>
      <c r="C53" s="5" t="s">
        <v>165</v>
      </c>
      <c r="D53" s="5" t="s">
        <v>74</v>
      </c>
      <c r="E53" s="27" t="s">
        <v>266</v>
      </c>
    </row>
    <row r="54" spans="1:5">
      <c r="A54" s="23" t="s">
        <v>209</v>
      </c>
      <c r="B54" s="5" t="s">
        <v>164</v>
      </c>
      <c r="C54" s="5" t="s">
        <v>174</v>
      </c>
      <c r="D54" s="5" t="s">
        <v>66</v>
      </c>
      <c r="E54" s="27" t="s">
        <v>267</v>
      </c>
    </row>
    <row r="55" spans="1:5">
      <c r="A55" s="23" t="s">
        <v>239</v>
      </c>
      <c r="B55" s="5" t="s">
        <v>164</v>
      </c>
      <c r="C55" s="5" t="s">
        <v>102</v>
      </c>
      <c r="D55" s="5" t="s">
        <v>22</v>
      </c>
      <c r="E55" s="27" t="s">
        <v>268</v>
      </c>
    </row>
    <row r="56" spans="1:5">
      <c r="A56" s="23" t="s">
        <v>214</v>
      </c>
      <c r="B56" s="5" t="s">
        <v>164</v>
      </c>
      <c r="C56" s="5" t="s">
        <v>174</v>
      </c>
      <c r="D56" s="5" t="s">
        <v>160</v>
      </c>
      <c r="E56" s="27" t="s">
        <v>269</v>
      </c>
    </row>
    <row r="58" spans="1:5" ht="14.25">
      <c r="A58" s="24"/>
      <c r="B58" s="25" t="s">
        <v>168</v>
      </c>
    </row>
    <row r="59" spans="1:5" ht="15">
      <c r="A59" s="26" t="s">
        <v>154</v>
      </c>
      <c r="B59" s="26" t="s">
        <v>155</v>
      </c>
      <c r="C59" s="26" t="s">
        <v>156</v>
      </c>
      <c r="D59" s="26" t="s">
        <v>157</v>
      </c>
      <c r="E59" s="26" t="s">
        <v>158</v>
      </c>
    </row>
    <row r="60" spans="1:5">
      <c r="A60" s="23" t="s">
        <v>251</v>
      </c>
      <c r="B60" s="5" t="s">
        <v>168</v>
      </c>
      <c r="C60" s="5" t="s">
        <v>127</v>
      </c>
      <c r="D60" s="5" t="s">
        <v>43</v>
      </c>
      <c r="E60" s="27" t="s">
        <v>270</v>
      </c>
    </row>
    <row r="61" spans="1:5">
      <c r="A61" s="23" t="s">
        <v>255</v>
      </c>
      <c r="B61" s="5" t="s">
        <v>168</v>
      </c>
      <c r="C61" s="5" t="s">
        <v>127</v>
      </c>
      <c r="D61" s="5" t="s">
        <v>67</v>
      </c>
      <c r="E61" s="27" t="s">
        <v>271</v>
      </c>
    </row>
    <row r="62" spans="1:5">
      <c r="A62" s="23" t="s">
        <v>222</v>
      </c>
      <c r="B62" s="5" t="s">
        <v>168</v>
      </c>
      <c r="C62" s="5" t="s">
        <v>165</v>
      </c>
      <c r="D62" s="5" t="s">
        <v>84</v>
      </c>
      <c r="E62" s="27" t="s">
        <v>272</v>
      </c>
    </row>
    <row r="63" spans="1:5">
      <c r="A63" s="23" t="s">
        <v>32</v>
      </c>
      <c r="B63" s="5" t="s">
        <v>168</v>
      </c>
      <c r="C63" s="5" t="s">
        <v>174</v>
      </c>
      <c r="D63" s="5" t="s">
        <v>41</v>
      </c>
      <c r="E63" s="27" t="s">
        <v>273</v>
      </c>
    </row>
    <row r="64" spans="1:5">
      <c r="A64" s="23" t="s">
        <v>243</v>
      </c>
      <c r="B64" s="5" t="s">
        <v>168</v>
      </c>
      <c r="C64" s="5" t="s">
        <v>102</v>
      </c>
      <c r="D64" s="5" t="s">
        <v>52</v>
      </c>
      <c r="E64" s="27" t="s">
        <v>274</v>
      </c>
    </row>
    <row r="65" spans="1:5">
      <c r="A65" s="23" t="s">
        <v>246</v>
      </c>
      <c r="B65" s="5" t="s">
        <v>168</v>
      </c>
      <c r="C65" s="5" t="s">
        <v>102</v>
      </c>
      <c r="D65" s="5" t="s">
        <v>38</v>
      </c>
      <c r="E65" s="27" t="s">
        <v>275</v>
      </c>
    </row>
    <row r="66" spans="1:5">
      <c r="A66" s="23" t="s">
        <v>78</v>
      </c>
      <c r="B66" s="5" t="s">
        <v>168</v>
      </c>
      <c r="C66" s="5" t="s">
        <v>165</v>
      </c>
      <c r="D66" s="5" t="s">
        <v>74</v>
      </c>
      <c r="E66" s="27" t="s">
        <v>276</v>
      </c>
    </row>
    <row r="67" spans="1:5">
      <c r="A67" s="23" t="s">
        <v>226</v>
      </c>
      <c r="B67" s="5" t="s">
        <v>168</v>
      </c>
      <c r="C67" s="5" t="s">
        <v>160</v>
      </c>
      <c r="D67" s="5" t="s">
        <v>40</v>
      </c>
      <c r="E67" s="27" t="s">
        <v>277</v>
      </c>
    </row>
    <row r="69" spans="1:5" ht="14.25">
      <c r="A69" s="24"/>
      <c r="B69" s="25" t="s">
        <v>191</v>
      </c>
    </row>
    <row r="70" spans="1:5" ht="15">
      <c r="A70" s="26" t="s">
        <v>154</v>
      </c>
      <c r="B70" s="26" t="s">
        <v>155</v>
      </c>
      <c r="C70" s="26" t="s">
        <v>156</v>
      </c>
      <c r="D70" s="26" t="s">
        <v>157</v>
      </c>
      <c r="E70" s="26" t="s">
        <v>158</v>
      </c>
    </row>
    <row r="71" spans="1:5">
      <c r="A71" s="23" t="s">
        <v>230</v>
      </c>
      <c r="B71" s="5" t="s">
        <v>192</v>
      </c>
      <c r="C71" s="5" t="s">
        <v>160</v>
      </c>
      <c r="D71" s="5" t="s">
        <v>92</v>
      </c>
      <c r="E71" s="27" t="s">
        <v>278</v>
      </c>
    </row>
  </sheetData>
  <mergeCells count="17">
    <mergeCell ref="A19:L19"/>
    <mergeCell ref="A23:L23"/>
    <mergeCell ref="A29:L29"/>
    <mergeCell ref="K3:K4"/>
    <mergeCell ref="L3:L4"/>
    <mergeCell ref="A5:L5"/>
    <mergeCell ref="A8:L8"/>
    <mergeCell ref="A14:L14"/>
    <mergeCell ref="A1:M2"/>
    <mergeCell ref="A3:A4"/>
    <mergeCell ref="B3:B4"/>
    <mergeCell ref="C3:C4"/>
    <mergeCell ref="D3:D4"/>
    <mergeCell ref="E3:E4"/>
    <mergeCell ref="F3:F4"/>
    <mergeCell ref="G3:J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U66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7.2851562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4.140625" style="5" bestFit="1" customWidth="1"/>
    <col min="22" max="16384" width="9.140625" style="4"/>
  </cols>
  <sheetData>
    <row r="1" spans="1:21" s="3" customFormat="1" ht="29.1" customHeight="1">
      <c r="A1" s="79" t="s">
        <v>13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1</v>
      </c>
      <c r="H3" s="60"/>
      <c r="I3" s="60"/>
      <c r="J3" s="60"/>
      <c r="K3" s="60" t="s">
        <v>2</v>
      </c>
      <c r="L3" s="60"/>
      <c r="M3" s="60"/>
      <c r="N3" s="60"/>
      <c r="O3" s="60" t="s">
        <v>3</v>
      </c>
      <c r="P3" s="60"/>
      <c r="Q3" s="60"/>
      <c r="R3" s="60"/>
      <c r="S3" s="60" t="s">
        <v>4</v>
      </c>
      <c r="T3" s="60" t="s">
        <v>6</v>
      </c>
      <c r="U3" s="63" t="s">
        <v>5</v>
      </c>
    </row>
    <row r="4" spans="1:21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74"/>
      <c r="T4" s="74"/>
      <c r="U4" s="64"/>
    </row>
    <row r="5" spans="1:21" ht="15">
      <c r="A5" s="75" t="s">
        <v>15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1">
      <c r="A6" s="8" t="s">
        <v>17</v>
      </c>
      <c r="B6" s="8" t="s">
        <v>18</v>
      </c>
      <c r="C6" s="8" t="s">
        <v>19</v>
      </c>
      <c r="D6" s="8" t="str">
        <f>"0,6816"</f>
        <v>0,6816</v>
      </c>
      <c r="E6" s="8" t="s">
        <v>20</v>
      </c>
      <c r="F6" s="8" t="s">
        <v>21</v>
      </c>
      <c r="G6" s="9" t="s">
        <v>22</v>
      </c>
      <c r="H6" s="10" t="s">
        <v>22</v>
      </c>
      <c r="I6" s="9" t="s">
        <v>23</v>
      </c>
      <c r="J6" s="9"/>
      <c r="K6" s="10" t="s">
        <v>24</v>
      </c>
      <c r="L6" s="10" t="s">
        <v>25</v>
      </c>
      <c r="M6" s="10" t="s">
        <v>26</v>
      </c>
      <c r="N6" s="9"/>
      <c r="O6" s="10" t="s">
        <v>27</v>
      </c>
      <c r="P6" s="10" t="s">
        <v>28</v>
      </c>
      <c r="Q6" s="9" t="s">
        <v>29</v>
      </c>
      <c r="R6" s="9"/>
      <c r="S6" s="8" t="str">
        <f>"570,0"</f>
        <v>570,0</v>
      </c>
      <c r="T6" s="10" t="str">
        <f>"388,5120"</f>
        <v>388,5120</v>
      </c>
      <c r="U6" s="8" t="s">
        <v>30</v>
      </c>
    </row>
    <row r="8" spans="1:21" ht="15">
      <c r="A8" s="77" t="s">
        <v>31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1">
      <c r="A9" s="11" t="s">
        <v>33</v>
      </c>
      <c r="B9" s="11" t="s">
        <v>34</v>
      </c>
      <c r="C9" s="11" t="s">
        <v>35</v>
      </c>
      <c r="D9" s="11" t="str">
        <f>"0,6193"</f>
        <v>0,6193</v>
      </c>
      <c r="E9" s="11" t="s">
        <v>36</v>
      </c>
      <c r="F9" s="11" t="s">
        <v>37</v>
      </c>
      <c r="G9" s="12" t="s">
        <v>22</v>
      </c>
      <c r="H9" s="12" t="s">
        <v>38</v>
      </c>
      <c r="I9" s="12" t="s">
        <v>39</v>
      </c>
      <c r="J9" s="13"/>
      <c r="K9" s="12" t="s">
        <v>40</v>
      </c>
      <c r="L9" s="13" t="s">
        <v>41</v>
      </c>
      <c r="M9" s="12" t="s">
        <v>41</v>
      </c>
      <c r="N9" s="13"/>
      <c r="O9" s="12" t="s">
        <v>42</v>
      </c>
      <c r="P9" s="12" t="s">
        <v>43</v>
      </c>
      <c r="Q9" s="12" t="s">
        <v>44</v>
      </c>
      <c r="R9" s="13"/>
      <c r="S9" s="11" t="str">
        <f>"607,5"</f>
        <v>607,5</v>
      </c>
      <c r="T9" s="12" t="str">
        <f>"376,2248"</f>
        <v>376,2248</v>
      </c>
      <c r="U9" s="11" t="s">
        <v>45</v>
      </c>
    </row>
    <row r="10" spans="1:21">
      <c r="A10" s="14" t="s">
        <v>47</v>
      </c>
      <c r="B10" s="14" t="s">
        <v>48</v>
      </c>
      <c r="C10" s="14" t="s">
        <v>49</v>
      </c>
      <c r="D10" s="14" t="str">
        <f>"0,6329"</f>
        <v>0,6329</v>
      </c>
      <c r="E10" s="14" t="s">
        <v>50</v>
      </c>
      <c r="F10" s="14" t="s">
        <v>51</v>
      </c>
      <c r="G10" s="15" t="s">
        <v>22</v>
      </c>
      <c r="H10" s="15" t="s">
        <v>52</v>
      </c>
      <c r="I10" s="15" t="s">
        <v>53</v>
      </c>
      <c r="J10" s="16"/>
      <c r="K10" s="15" t="s">
        <v>26</v>
      </c>
      <c r="L10" s="15" t="s">
        <v>54</v>
      </c>
      <c r="M10" s="16"/>
      <c r="N10" s="16"/>
      <c r="O10" s="15" t="s">
        <v>55</v>
      </c>
      <c r="P10" s="15" t="s">
        <v>56</v>
      </c>
      <c r="Q10" s="16" t="s">
        <v>57</v>
      </c>
      <c r="R10" s="16"/>
      <c r="S10" s="14" t="str">
        <f>"597,5"</f>
        <v>597,5</v>
      </c>
      <c r="T10" s="15" t="str">
        <f>"378,1577"</f>
        <v>378,1577</v>
      </c>
      <c r="U10" s="14" t="s">
        <v>58</v>
      </c>
    </row>
    <row r="12" spans="1:21" ht="15">
      <c r="A12" s="77" t="s">
        <v>59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</row>
    <row r="13" spans="1:21">
      <c r="A13" s="11" t="s">
        <v>61</v>
      </c>
      <c r="B13" s="11" t="s">
        <v>62</v>
      </c>
      <c r="C13" s="11" t="s">
        <v>63</v>
      </c>
      <c r="D13" s="11" t="str">
        <f>"0,5873"</f>
        <v>0,5873</v>
      </c>
      <c r="E13" s="11" t="s">
        <v>36</v>
      </c>
      <c r="F13" s="11" t="s">
        <v>37</v>
      </c>
      <c r="G13" s="12" t="s">
        <v>53</v>
      </c>
      <c r="H13" s="12" t="s">
        <v>43</v>
      </c>
      <c r="I13" s="12" t="s">
        <v>27</v>
      </c>
      <c r="J13" s="13"/>
      <c r="K13" s="12" t="s">
        <v>64</v>
      </c>
      <c r="L13" s="12" t="s">
        <v>65</v>
      </c>
      <c r="M13" s="13" t="s">
        <v>66</v>
      </c>
      <c r="N13" s="13"/>
      <c r="O13" s="13" t="s">
        <v>67</v>
      </c>
      <c r="P13" s="12" t="s">
        <v>27</v>
      </c>
      <c r="Q13" s="13" t="s">
        <v>68</v>
      </c>
      <c r="R13" s="13"/>
      <c r="S13" s="11" t="str">
        <f>"630,0"</f>
        <v>630,0</v>
      </c>
      <c r="T13" s="12" t="str">
        <f>"381,0990"</f>
        <v>381,0990</v>
      </c>
      <c r="U13" s="11" t="s">
        <v>69</v>
      </c>
    </row>
    <row r="14" spans="1:21">
      <c r="A14" s="17" t="s">
        <v>71</v>
      </c>
      <c r="B14" s="17" t="s">
        <v>72</v>
      </c>
      <c r="C14" s="17" t="s">
        <v>73</v>
      </c>
      <c r="D14" s="17" t="str">
        <f>"0,5869"</f>
        <v>0,5869</v>
      </c>
      <c r="E14" s="17" t="s">
        <v>50</v>
      </c>
      <c r="F14" s="17" t="s">
        <v>51</v>
      </c>
      <c r="G14" s="18" t="s">
        <v>39</v>
      </c>
      <c r="H14" s="19" t="s">
        <v>42</v>
      </c>
      <c r="I14" s="19" t="s">
        <v>67</v>
      </c>
      <c r="J14" s="18"/>
      <c r="K14" s="18" t="s">
        <v>74</v>
      </c>
      <c r="L14" s="19" t="s">
        <v>75</v>
      </c>
      <c r="M14" s="19" t="s">
        <v>76</v>
      </c>
      <c r="N14" s="18"/>
      <c r="O14" s="19" t="s">
        <v>67</v>
      </c>
      <c r="P14" s="19" t="s">
        <v>27</v>
      </c>
      <c r="Q14" s="18" t="s">
        <v>29</v>
      </c>
      <c r="R14" s="18"/>
      <c r="S14" s="17" t="str">
        <f>"637,5"</f>
        <v>637,5</v>
      </c>
      <c r="T14" s="19" t="str">
        <f>"374,1487"</f>
        <v>374,1487</v>
      </c>
      <c r="U14" s="17" t="s">
        <v>77</v>
      </c>
    </row>
    <row r="15" spans="1:21">
      <c r="A15" s="17" t="s">
        <v>79</v>
      </c>
      <c r="B15" s="17" t="s">
        <v>80</v>
      </c>
      <c r="C15" s="17" t="s">
        <v>81</v>
      </c>
      <c r="D15" s="17" t="str">
        <f>"0,5926"</f>
        <v>0,5926</v>
      </c>
      <c r="E15" s="17" t="s">
        <v>82</v>
      </c>
      <c r="F15" s="17" t="s">
        <v>83</v>
      </c>
      <c r="G15" s="19" t="s">
        <v>22</v>
      </c>
      <c r="H15" s="18"/>
      <c r="I15" s="18"/>
      <c r="J15" s="18"/>
      <c r="K15" s="19" t="s">
        <v>74</v>
      </c>
      <c r="L15" s="18" t="s">
        <v>84</v>
      </c>
      <c r="M15" s="18" t="s">
        <v>84</v>
      </c>
      <c r="N15" s="18"/>
      <c r="O15" s="19" t="s">
        <v>42</v>
      </c>
      <c r="P15" s="19" t="s">
        <v>55</v>
      </c>
      <c r="Q15" s="19" t="s">
        <v>27</v>
      </c>
      <c r="R15" s="18"/>
      <c r="S15" s="17" t="str">
        <f>"590,0"</f>
        <v>590,0</v>
      </c>
      <c r="T15" s="19" t="str">
        <f>"349,6340"</f>
        <v>349,6340</v>
      </c>
      <c r="U15" s="17" t="s">
        <v>58</v>
      </c>
    </row>
    <row r="16" spans="1:21">
      <c r="A16" s="14" t="s">
        <v>86</v>
      </c>
      <c r="B16" s="14" t="s">
        <v>87</v>
      </c>
      <c r="C16" s="14" t="s">
        <v>88</v>
      </c>
      <c r="D16" s="14" t="str">
        <f>"0,6142"</f>
        <v>0,6142</v>
      </c>
      <c r="E16" s="14" t="s">
        <v>82</v>
      </c>
      <c r="F16" s="14" t="s">
        <v>89</v>
      </c>
      <c r="G16" s="16" t="s">
        <v>90</v>
      </c>
      <c r="H16" s="16" t="s">
        <v>90</v>
      </c>
      <c r="I16" s="15" t="s">
        <v>66</v>
      </c>
      <c r="J16" s="16"/>
      <c r="K16" s="15" t="s">
        <v>26</v>
      </c>
      <c r="L16" s="15" t="s">
        <v>64</v>
      </c>
      <c r="M16" s="15" t="s">
        <v>91</v>
      </c>
      <c r="N16" s="16"/>
      <c r="O16" s="15" t="s">
        <v>92</v>
      </c>
      <c r="P16" s="15" t="s">
        <v>39</v>
      </c>
      <c r="Q16" s="16" t="s">
        <v>42</v>
      </c>
      <c r="R16" s="16"/>
      <c r="S16" s="14" t="str">
        <f>"502,5"</f>
        <v>502,5</v>
      </c>
      <c r="T16" s="15" t="str">
        <f>"308,6355"</f>
        <v>308,6355</v>
      </c>
      <c r="U16" s="14" t="s">
        <v>93</v>
      </c>
    </row>
    <row r="18" spans="1:21" ht="15">
      <c r="A18" s="77" t="s">
        <v>94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</row>
    <row r="19" spans="1:21">
      <c r="A19" s="11" t="s">
        <v>96</v>
      </c>
      <c r="B19" s="11" t="s">
        <v>97</v>
      </c>
      <c r="C19" s="11" t="s">
        <v>98</v>
      </c>
      <c r="D19" s="11" t="str">
        <f>"0,5730"</f>
        <v>0,5730</v>
      </c>
      <c r="E19" s="11" t="s">
        <v>99</v>
      </c>
      <c r="F19" s="11" t="s">
        <v>100</v>
      </c>
      <c r="G19" s="12" t="s">
        <v>90</v>
      </c>
      <c r="H19" s="12" t="s">
        <v>101</v>
      </c>
      <c r="I19" s="12" t="s">
        <v>41</v>
      </c>
      <c r="J19" s="13"/>
      <c r="K19" s="12" t="s">
        <v>102</v>
      </c>
      <c r="L19" s="12" t="s">
        <v>103</v>
      </c>
      <c r="M19" s="12" t="s">
        <v>104</v>
      </c>
      <c r="N19" s="13"/>
      <c r="O19" s="12" t="s">
        <v>22</v>
      </c>
      <c r="P19" s="12" t="s">
        <v>39</v>
      </c>
      <c r="Q19" s="12" t="s">
        <v>42</v>
      </c>
      <c r="R19" s="13"/>
      <c r="S19" s="11" t="str">
        <f>"505,0"</f>
        <v>505,0</v>
      </c>
      <c r="T19" s="12" t="str">
        <f>"306,7269"</f>
        <v>306,7269</v>
      </c>
      <c r="U19" s="11" t="s">
        <v>69</v>
      </c>
    </row>
    <row r="20" spans="1:21">
      <c r="A20" s="17" t="s">
        <v>105</v>
      </c>
      <c r="B20" s="17" t="s">
        <v>106</v>
      </c>
      <c r="C20" s="17" t="s">
        <v>107</v>
      </c>
      <c r="D20" s="17" t="str">
        <f>"0,5560"</f>
        <v>0,5560</v>
      </c>
      <c r="E20" s="17" t="s">
        <v>82</v>
      </c>
      <c r="F20" s="17" t="s">
        <v>108</v>
      </c>
      <c r="G20" s="18" t="s">
        <v>109</v>
      </c>
      <c r="H20" s="18" t="s">
        <v>109</v>
      </c>
      <c r="I20" s="18" t="s">
        <v>109</v>
      </c>
      <c r="J20" s="18"/>
      <c r="K20" s="18" t="s">
        <v>110</v>
      </c>
      <c r="L20" s="18"/>
      <c r="M20" s="18"/>
      <c r="N20" s="18"/>
      <c r="O20" s="18" t="s">
        <v>110</v>
      </c>
      <c r="P20" s="18"/>
      <c r="Q20" s="18"/>
      <c r="R20" s="18"/>
      <c r="S20" s="17" t="str">
        <f>"0,0"</f>
        <v>0,0</v>
      </c>
      <c r="T20" s="19" t="str">
        <f>"0,0000"</f>
        <v>0,0000</v>
      </c>
      <c r="U20" s="17" t="s">
        <v>58</v>
      </c>
    </row>
    <row r="21" spans="1:21">
      <c r="A21" s="17" t="s">
        <v>112</v>
      </c>
      <c r="B21" s="17" t="s">
        <v>113</v>
      </c>
      <c r="C21" s="17" t="s">
        <v>107</v>
      </c>
      <c r="D21" s="17" t="str">
        <f>"0,5560"</f>
        <v>0,5560</v>
      </c>
      <c r="E21" s="17" t="s">
        <v>50</v>
      </c>
      <c r="F21" s="17" t="s">
        <v>51</v>
      </c>
      <c r="G21" s="19" t="s">
        <v>28</v>
      </c>
      <c r="H21" s="18" t="s">
        <v>68</v>
      </c>
      <c r="I21" s="19" t="s">
        <v>114</v>
      </c>
      <c r="J21" s="18"/>
      <c r="K21" s="19" t="s">
        <v>54</v>
      </c>
      <c r="L21" s="18" t="s">
        <v>90</v>
      </c>
      <c r="M21" s="19" t="s">
        <v>90</v>
      </c>
      <c r="N21" s="18"/>
      <c r="O21" s="19" t="s">
        <v>115</v>
      </c>
      <c r="P21" s="19" t="s">
        <v>28</v>
      </c>
      <c r="Q21" s="19" t="s">
        <v>116</v>
      </c>
      <c r="R21" s="18"/>
      <c r="S21" s="17" t="str">
        <f>"695,0"</f>
        <v>695,0</v>
      </c>
      <c r="T21" s="19" t="str">
        <f>"386,4200"</f>
        <v>386,4200</v>
      </c>
      <c r="U21" s="17" t="s">
        <v>58</v>
      </c>
    </row>
    <row r="22" spans="1:21">
      <c r="A22" s="17" t="s">
        <v>118</v>
      </c>
      <c r="B22" s="17" t="s">
        <v>119</v>
      </c>
      <c r="C22" s="17" t="s">
        <v>120</v>
      </c>
      <c r="D22" s="17" t="str">
        <f>"0,5633"</f>
        <v>0,5633</v>
      </c>
      <c r="E22" s="17" t="s">
        <v>82</v>
      </c>
      <c r="F22" s="17" t="s">
        <v>83</v>
      </c>
      <c r="G22" s="18" t="s">
        <v>42</v>
      </c>
      <c r="H22" s="19" t="s">
        <v>42</v>
      </c>
      <c r="I22" s="18" t="s">
        <v>67</v>
      </c>
      <c r="J22" s="18"/>
      <c r="K22" s="19" t="s">
        <v>66</v>
      </c>
      <c r="L22" s="18" t="s">
        <v>74</v>
      </c>
      <c r="M22" s="18"/>
      <c r="N22" s="18"/>
      <c r="O22" s="19" t="s">
        <v>121</v>
      </c>
      <c r="P22" s="19" t="s">
        <v>114</v>
      </c>
      <c r="Q22" s="18" t="s">
        <v>122</v>
      </c>
      <c r="R22" s="18"/>
      <c r="S22" s="17" t="str">
        <f>"645,0"</f>
        <v>645,0</v>
      </c>
      <c r="T22" s="19" t="str">
        <f>"363,3285"</f>
        <v>363,3285</v>
      </c>
      <c r="U22" s="17" t="s">
        <v>58</v>
      </c>
    </row>
    <row r="23" spans="1:21">
      <c r="A23" s="14" t="s">
        <v>124</v>
      </c>
      <c r="B23" s="14" t="s">
        <v>125</v>
      </c>
      <c r="C23" s="14" t="s">
        <v>126</v>
      </c>
      <c r="D23" s="14" t="str">
        <f>"0,5548"</f>
        <v>0,5548</v>
      </c>
      <c r="E23" s="14" t="s">
        <v>20</v>
      </c>
      <c r="F23" s="14" t="s">
        <v>21</v>
      </c>
      <c r="G23" s="15" t="s">
        <v>66</v>
      </c>
      <c r="H23" s="15" t="s">
        <v>74</v>
      </c>
      <c r="I23" s="15" t="s">
        <v>92</v>
      </c>
      <c r="J23" s="16"/>
      <c r="K23" s="15" t="s">
        <v>127</v>
      </c>
      <c r="L23" s="15" t="s">
        <v>26</v>
      </c>
      <c r="M23" s="16" t="s">
        <v>64</v>
      </c>
      <c r="N23" s="16"/>
      <c r="O23" s="15" t="s">
        <v>22</v>
      </c>
      <c r="P23" s="15" t="s">
        <v>39</v>
      </c>
      <c r="Q23" s="15" t="s">
        <v>109</v>
      </c>
      <c r="R23" s="16"/>
      <c r="S23" s="14" t="str">
        <f>"535,0"</f>
        <v>535,0</v>
      </c>
      <c r="T23" s="15" t="str">
        <f>"339,5598"</f>
        <v>339,5598</v>
      </c>
      <c r="U23" s="14" t="s">
        <v>128</v>
      </c>
    </row>
    <row r="25" spans="1:21" ht="15">
      <c r="A25" s="77" t="s">
        <v>129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</row>
    <row r="26" spans="1:21">
      <c r="A26" s="11" t="s">
        <v>131</v>
      </c>
      <c r="B26" s="11" t="s">
        <v>132</v>
      </c>
      <c r="C26" s="11" t="s">
        <v>133</v>
      </c>
      <c r="D26" s="11" t="str">
        <f>"0,5365"</f>
        <v>0,5365</v>
      </c>
      <c r="E26" s="11" t="s">
        <v>82</v>
      </c>
      <c r="F26" s="11" t="s">
        <v>51</v>
      </c>
      <c r="G26" s="12" t="s">
        <v>22</v>
      </c>
      <c r="H26" s="12" t="s">
        <v>23</v>
      </c>
      <c r="I26" s="13" t="s">
        <v>39</v>
      </c>
      <c r="J26" s="13"/>
      <c r="K26" s="12" t="s">
        <v>74</v>
      </c>
      <c r="L26" s="12" t="s">
        <v>22</v>
      </c>
      <c r="M26" s="12" t="s">
        <v>134</v>
      </c>
      <c r="N26" s="13"/>
      <c r="O26" s="12" t="s">
        <v>39</v>
      </c>
      <c r="P26" s="13" t="s">
        <v>109</v>
      </c>
      <c r="Q26" s="13" t="s">
        <v>109</v>
      </c>
      <c r="R26" s="13"/>
      <c r="S26" s="11" t="str">
        <f>"577,5"</f>
        <v>577,5</v>
      </c>
      <c r="T26" s="12" t="str">
        <f>"309,8287"</f>
        <v>309,8287</v>
      </c>
      <c r="U26" s="11" t="s">
        <v>58</v>
      </c>
    </row>
    <row r="27" spans="1:21">
      <c r="A27" s="14" t="s">
        <v>136</v>
      </c>
      <c r="B27" s="14" t="s">
        <v>137</v>
      </c>
      <c r="C27" s="14" t="s">
        <v>138</v>
      </c>
      <c r="D27" s="14" t="str">
        <f>"0,5524"</f>
        <v>0,5524</v>
      </c>
      <c r="E27" s="14" t="s">
        <v>82</v>
      </c>
      <c r="F27" s="14" t="s">
        <v>89</v>
      </c>
      <c r="G27" s="15" t="s">
        <v>22</v>
      </c>
      <c r="H27" s="15" t="s">
        <v>23</v>
      </c>
      <c r="I27" s="16" t="s">
        <v>52</v>
      </c>
      <c r="J27" s="16"/>
      <c r="K27" s="15" t="s">
        <v>54</v>
      </c>
      <c r="L27" s="15" t="s">
        <v>139</v>
      </c>
      <c r="M27" s="16" t="s">
        <v>90</v>
      </c>
      <c r="N27" s="16"/>
      <c r="O27" s="15" t="s">
        <v>22</v>
      </c>
      <c r="P27" s="15" t="s">
        <v>23</v>
      </c>
      <c r="Q27" s="16" t="s">
        <v>39</v>
      </c>
      <c r="R27" s="16"/>
      <c r="S27" s="14" t="str">
        <f>"532,5"</f>
        <v>532,5</v>
      </c>
      <c r="T27" s="15" t="str">
        <f>"308,2723"</f>
        <v>308,2723</v>
      </c>
      <c r="U27" s="14" t="s">
        <v>93</v>
      </c>
    </row>
    <row r="29" spans="1:21" ht="15">
      <c r="A29" s="77" t="s">
        <v>140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</row>
    <row r="30" spans="1:21">
      <c r="A30" s="8" t="s">
        <v>142</v>
      </c>
      <c r="B30" s="8" t="s">
        <v>143</v>
      </c>
      <c r="C30" s="8" t="s">
        <v>144</v>
      </c>
      <c r="D30" s="8" t="str">
        <f>"0,5208"</f>
        <v>0,5208</v>
      </c>
      <c r="E30" s="8" t="s">
        <v>82</v>
      </c>
      <c r="F30" s="8" t="s">
        <v>83</v>
      </c>
      <c r="G30" s="10" t="s">
        <v>23</v>
      </c>
      <c r="H30" s="10" t="s">
        <v>39</v>
      </c>
      <c r="I30" s="9"/>
      <c r="J30" s="9"/>
      <c r="K30" s="10" t="s">
        <v>65</v>
      </c>
      <c r="L30" s="10" t="s">
        <v>66</v>
      </c>
      <c r="M30" s="10" t="s">
        <v>101</v>
      </c>
      <c r="N30" s="9"/>
      <c r="O30" s="10" t="s">
        <v>23</v>
      </c>
      <c r="P30" s="10" t="s">
        <v>42</v>
      </c>
      <c r="Q30" s="9" t="s">
        <v>145</v>
      </c>
      <c r="R30" s="9"/>
      <c r="S30" s="8" t="str">
        <f>"575,0"</f>
        <v>575,0</v>
      </c>
      <c r="T30" s="10" t="str">
        <f>"299,4715"</f>
        <v>299,4715</v>
      </c>
      <c r="U30" s="8" t="s">
        <v>58</v>
      </c>
    </row>
    <row r="32" spans="1:21" ht="15">
      <c r="E32" s="20" t="s">
        <v>146</v>
      </c>
    </row>
    <row r="33" spans="1:5" ht="15">
      <c r="E33" s="20" t="s">
        <v>147</v>
      </c>
    </row>
    <row r="34" spans="1:5" ht="15">
      <c r="E34" s="20" t="s">
        <v>148</v>
      </c>
    </row>
    <row r="35" spans="1:5" ht="15">
      <c r="E35" s="20" t="s">
        <v>149</v>
      </c>
    </row>
    <row r="36" spans="1:5" ht="15">
      <c r="E36" s="20" t="s">
        <v>149</v>
      </c>
    </row>
    <row r="37" spans="1:5" ht="15">
      <c r="E37" s="20" t="s">
        <v>150</v>
      </c>
    </row>
    <row r="38" spans="1:5" ht="15">
      <c r="E38" s="20"/>
    </row>
    <row r="40" spans="1:5" ht="18">
      <c r="A40" s="21" t="s">
        <v>151</v>
      </c>
      <c r="B40" s="21"/>
    </row>
    <row r="41" spans="1:5" ht="15">
      <c r="A41" s="22" t="s">
        <v>152</v>
      </c>
      <c r="B41" s="22"/>
    </row>
    <row r="42" spans="1:5" ht="14.25">
      <c r="A42" s="24"/>
      <c r="B42" s="25" t="s">
        <v>153</v>
      </c>
    </row>
    <row r="43" spans="1:5" ht="15">
      <c r="A43" s="26" t="s">
        <v>154</v>
      </c>
      <c r="B43" s="26" t="s">
        <v>155</v>
      </c>
      <c r="C43" s="26" t="s">
        <v>156</v>
      </c>
      <c r="D43" s="26" t="s">
        <v>157</v>
      </c>
      <c r="E43" s="26" t="s">
        <v>158</v>
      </c>
    </row>
    <row r="44" spans="1:5">
      <c r="A44" s="23" t="s">
        <v>95</v>
      </c>
      <c r="B44" s="5" t="s">
        <v>159</v>
      </c>
      <c r="C44" s="5" t="s">
        <v>160</v>
      </c>
      <c r="D44" s="5" t="s">
        <v>161</v>
      </c>
      <c r="E44" s="27" t="s">
        <v>162</v>
      </c>
    </row>
    <row r="46" spans="1:5" ht="14.25">
      <c r="A46" s="24"/>
      <c r="B46" s="25" t="s">
        <v>163</v>
      </c>
    </row>
    <row r="47" spans="1:5" ht="15">
      <c r="A47" s="26" t="s">
        <v>154</v>
      </c>
      <c r="B47" s="26" t="s">
        <v>155</v>
      </c>
      <c r="C47" s="26" t="s">
        <v>156</v>
      </c>
      <c r="D47" s="26" t="s">
        <v>157</v>
      </c>
      <c r="E47" s="26" t="s">
        <v>158</v>
      </c>
    </row>
    <row r="48" spans="1:5">
      <c r="A48" s="23" t="s">
        <v>60</v>
      </c>
      <c r="B48" s="5" t="s">
        <v>164</v>
      </c>
      <c r="C48" s="5" t="s">
        <v>165</v>
      </c>
      <c r="D48" s="5" t="s">
        <v>166</v>
      </c>
      <c r="E48" s="27" t="s">
        <v>167</v>
      </c>
    </row>
    <row r="50" spans="1:5" ht="14.25">
      <c r="A50" s="24"/>
      <c r="B50" s="25" t="s">
        <v>168</v>
      </c>
    </row>
    <row r="51" spans="1:5" ht="15">
      <c r="A51" s="26" t="s">
        <v>154</v>
      </c>
      <c r="B51" s="26" t="s">
        <v>155</v>
      </c>
      <c r="C51" s="26" t="s">
        <v>156</v>
      </c>
      <c r="D51" s="26" t="s">
        <v>157</v>
      </c>
      <c r="E51" s="26" t="s">
        <v>158</v>
      </c>
    </row>
    <row r="52" spans="1:5">
      <c r="A52" s="23" t="s">
        <v>16</v>
      </c>
      <c r="B52" s="5" t="s">
        <v>168</v>
      </c>
      <c r="C52" s="5" t="s">
        <v>169</v>
      </c>
      <c r="D52" s="5" t="s">
        <v>170</v>
      </c>
      <c r="E52" s="27" t="s">
        <v>171</v>
      </c>
    </row>
    <row r="53" spans="1:5">
      <c r="A53" s="23" t="s">
        <v>111</v>
      </c>
      <c r="B53" s="5" t="s">
        <v>168</v>
      </c>
      <c r="C53" s="5" t="s">
        <v>160</v>
      </c>
      <c r="D53" s="5" t="s">
        <v>172</v>
      </c>
      <c r="E53" s="27" t="s">
        <v>173</v>
      </c>
    </row>
    <row r="54" spans="1:5">
      <c r="A54" s="23" t="s">
        <v>46</v>
      </c>
      <c r="B54" s="5" t="s">
        <v>168</v>
      </c>
      <c r="C54" s="5" t="s">
        <v>174</v>
      </c>
      <c r="D54" s="5" t="s">
        <v>175</v>
      </c>
      <c r="E54" s="27" t="s">
        <v>176</v>
      </c>
    </row>
    <row r="55" spans="1:5">
      <c r="A55" s="23" t="s">
        <v>32</v>
      </c>
      <c r="B55" s="5" t="s">
        <v>168</v>
      </c>
      <c r="C55" s="5" t="s">
        <v>174</v>
      </c>
      <c r="D55" s="5" t="s">
        <v>177</v>
      </c>
      <c r="E55" s="27" t="s">
        <v>178</v>
      </c>
    </row>
    <row r="56" spans="1:5">
      <c r="A56" s="23" t="s">
        <v>70</v>
      </c>
      <c r="B56" s="5" t="s">
        <v>168</v>
      </c>
      <c r="C56" s="5" t="s">
        <v>165</v>
      </c>
      <c r="D56" s="5" t="s">
        <v>179</v>
      </c>
      <c r="E56" s="27" t="s">
        <v>180</v>
      </c>
    </row>
    <row r="57" spans="1:5">
      <c r="A57" s="23" t="s">
        <v>117</v>
      </c>
      <c r="B57" s="5" t="s">
        <v>168</v>
      </c>
      <c r="C57" s="5" t="s">
        <v>160</v>
      </c>
      <c r="D57" s="5" t="s">
        <v>181</v>
      </c>
      <c r="E57" s="27" t="s">
        <v>182</v>
      </c>
    </row>
    <row r="58" spans="1:5">
      <c r="A58" s="23" t="s">
        <v>78</v>
      </c>
      <c r="B58" s="5" t="s">
        <v>168</v>
      </c>
      <c r="C58" s="5" t="s">
        <v>165</v>
      </c>
      <c r="D58" s="5" t="s">
        <v>183</v>
      </c>
      <c r="E58" s="27" t="s">
        <v>184</v>
      </c>
    </row>
    <row r="59" spans="1:5">
      <c r="A59" s="23" t="s">
        <v>130</v>
      </c>
      <c r="B59" s="5" t="s">
        <v>168</v>
      </c>
      <c r="C59" s="5" t="s">
        <v>102</v>
      </c>
      <c r="D59" s="5" t="s">
        <v>185</v>
      </c>
      <c r="E59" s="27" t="s">
        <v>186</v>
      </c>
    </row>
    <row r="60" spans="1:5">
      <c r="A60" s="23" t="s">
        <v>85</v>
      </c>
      <c r="B60" s="5" t="s">
        <v>168</v>
      </c>
      <c r="C60" s="5" t="s">
        <v>165</v>
      </c>
      <c r="D60" s="5" t="s">
        <v>187</v>
      </c>
      <c r="E60" s="27" t="s">
        <v>188</v>
      </c>
    </row>
    <row r="61" spans="1:5">
      <c r="A61" s="23" t="s">
        <v>141</v>
      </c>
      <c r="B61" s="5" t="s">
        <v>168</v>
      </c>
      <c r="C61" s="5" t="s">
        <v>64</v>
      </c>
      <c r="D61" s="5" t="s">
        <v>189</v>
      </c>
      <c r="E61" s="27" t="s">
        <v>190</v>
      </c>
    </row>
    <row r="63" spans="1:5" ht="14.25">
      <c r="A63" s="24"/>
      <c r="B63" s="25" t="s">
        <v>191</v>
      </c>
    </row>
    <row r="64" spans="1:5" ht="15">
      <c r="A64" s="26" t="s">
        <v>154</v>
      </c>
      <c r="B64" s="26" t="s">
        <v>155</v>
      </c>
      <c r="C64" s="26" t="s">
        <v>156</v>
      </c>
      <c r="D64" s="26" t="s">
        <v>157</v>
      </c>
      <c r="E64" s="26" t="s">
        <v>158</v>
      </c>
    </row>
    <row r="65" spans="1:5">
      <c r="A65" s="23" t="s">
        <v>123</v>
      </c>
      <c r="B65" s="5" t="s">
        <v>192</v>
      </c>
      <c r="C65" s="5" t="s">
        <v>160</v>
      </c>
      <c r="D65" s="5" t="s">
        <v>193</v>
      </c>
      <c r="E65" s="27" t="s">
        <v>194</v>
      </c>
    </row>
    <row r="66" spans="1:5">
      <c r="A66" s="23" t="s">
        <v>135</v>
      </c>
      <c r="B66" s="5" t="s">
        <v>192</v>
      </c>
      <c r="C66" s="5" t="s">
        <v>102</v>
      </c>
      <c r="D66" s="5" t="s">
        <v>195</v>
      </c>
      <c r="E66" s="27" t="s">
        <v>196</v>
      </c>
    </row>
  </sheetData>
  <mergeCells count="19">
    <mergeCell ref="A18:T18"/>
    <mergeCell ref="A25:T25"/>
    <mergeCell ref="A29:T29"/>
    <mergeCell ref="D3:D4"/>
    <mergeCell ref="S3:S4"/>
    <mergeCell ref="T3:T4"/>
    <mergeCell ref="A5:T5"/>
    <mergeCell ref="A8:T8"/>
    <mergeCell ref="A12:T12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37"/>
  <sheetViews>
    <sheetView topLeftCell="A4" workbookViewId="0">
      <selection activeCell="A5" sqref="A5:P5"/>
    </sheetView>
  </sheetViews>
  <sheetFormatPr defaultRowHeight="12.75"/>
  <cols>
    <col min="1" max="1" width="40.140625" customWidth="1"/>
    <col min="2" max="2" width="33.7109375" customWidth="1"/>
    <col min="5" max="5" width="26.140625" customWidth="1"/>
    <col min="17" max="17" width="18.42578125" customWidth="1"/>
  </cols>
  <sheetData>
    <row r="1" spans="1:17">
      <c r="A1" s="80" t="s">
        <v>1402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17" ht="123.75" customHeight="1" thickBot="1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</row>
    <row r="3" spans="1:17" ht="15">
      <c r="A3" s="71" t="s">
        <v>0</v>
      </c>
      <c r="B3" s="73" t="s">
        <v>9</v>
      </c>
      <c r="C3" s="73" t="s">
        <v>1403</v>
      </c>
      <c r="D3" s="60" t="s">
        <v>14</v>
      </c>
      <c r="E3" s="60" t="s">
        <v>7</v>
      </c>
      <c r="F3" s="60" t="s">
        <v>11</v>
      </c>
      <c r="G3" s="60" t="s">
        <v>1404</v>
      </c>
      <c r="H3" s="60"/>
      <c r="I3" s="60"/>
      <c r="J3" s="60"/>
      <c r="K3" s="60" t="s">
        <v>1405</v>
      </c>
      <c r="L3" s="60"/>
      <c r="M3" s="60"/>
      <c r="N3" s="60"/>
      <c r="O3" s="60" t="s">
        <v>4</v>
      </c>
      <c r="P3" s="60" t="s">
        <v>6</v>
      </c>
      <c r="Q3" s="63" t="s">
        <v>5</v>
      </c>
    </row>
    <row r="4" spans="1:17" ht="15" thickBot="1">
      <c r="A4" s="72"/>
      <c r="B4" s="74"/>
      <c r="C4" s="74"/>
      <c r="D4" s="74"/>
      <c r="E4" s="74"/>
      <c r="F4" s="74"/>
      <c r="G4" s="30">
        <v>1</v>
      </c>
      <c r="H4" s="30">
        <v>2</v>
      </c>
      <c r="I4" s="30">
        <v>3</v>
      </c>
      <c r="J4" s="30" t="s">
        <v>8</v>
      </c>
      <c r="K4" s="30">
        <v>1</v>
      </c>
      <c r="L4" s="30">
        <v>2</v>
      </c>
      <c r="M4" s="30">
        <v>3</v>
      </c>
      <c r="N4" s="30" t="s">
        <v>8</v>
      </c>
      <c r="O4" s="74"/>
      <c r="P4" s="74"/>
      <c r="Q4" s="64"/>
    </row>
    <row r="5" spans="1:17" ht="15">
      <c r="A5" s="75" t="s">
        <v>198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31"/>
    </row>
    <row r="6" spans="1:17">
      <c r="A6" s="32" t="s">
        <v>1406</v>
      </c>
      <c r="B6" s="33" t="s">
        <v>1407</v>
      </c>
      <c r="C6" s="33" t="s">
        <v>1408</v>
      </c>
      <c r="D6" s="33" t="str">
        <f>"0,9054"</f>
        <v>0,9054</v>
      </c>
      <c r="E6" s="34" t="s">
        <v>1234</v>
      </c>
      <c r="F6" s="34" t="s">
        <v>1235</v>
      </c>
      <c r="G6" s="9"/>
      <c r="H6" s="9"/>
      <c r="I6" s="9"/>
      <c r="J6" s="9"/>
      <c r="K6" s="33" t="s">
        <v>520</v>
      </c>
      <c r="L6" s="33" t="s">
        <v>485</v>
      </c>
      <c r="M6" s="9" t="s">
        <v>529</v>
      </c>
      <c r="N6" s="9"/>
      <c r="O6" s="32" t="s">
        <v>1409</v>
      </c>
      <c r="P6" s="33" t="str">
        <f>"0,0000"</f>
        <v>0,0000</v>
      </c>
      <c r="Q6" s="34" t="s">
        <v>1410</v>
      </c>
    </row>
    <row r="7" spans="1:17">
      <c r="A7" s="27"/>
      <c r="B7" s="29"/>
      <c r="C7" s="29"/>
      <c r="D7" s="29"/>
      <c r="E7" s="31"/>
      <c r="F7" s="31"/>
      <c r="G7" s="29"/>
      <c r="H7" s="29"/>
      <c r="I7" s="29"/>
      <c r="J7" s="29"/>
      <c r="K7" s="29"/>
      <c r="L7" s="29"/>
      <c r="M7" s="29"/>
      <c r="N7" s="29"/>
      <c r="O7" s="27"/>
      <c r="P7" s="29"/>
      <c r="Q7" s="31"/>
    </row>
    <row r="8" spans="1:17" ht="15">
      <c r="A8" s="77" t="s">
        <v>511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31"/>
    </row>
    <row r="9" spans="1:17">
      <c r="A9" s="32" t="s">
        <v>1411</v>
      </c>
      <c r="B9" s="33" t="s">
        <v>1412</v>
      </c>
      <c r="C9" s="33" t="s">
        <v>1413</v>
      </c>
      <c r="D9" s="33" t="str">
        <f>"0,8361"</f>
        <v>0,8361</v>
      </c>
      <c r="E9" s="34" t="s">
        <v>1234</v>
      </c>
      <c r="F9" s="34" t="s">
        <v>1235</v>
      </c>
      <c r="G9" s="9"/>
      <c r="H9" s="9"/>
      <c r="I9" s="9"/>
      <c r="J9" s="9"/>
      <c r="K9" s="33" t="s">
        <v>528</v>
      </c>
      <c r="L9" s="33" t="s">
        <v>529</v>
      </c>
      <c r="M9" s="9" t="s">
        <v>1414</v>
      </c>
      <c r="N9" s="9"/>
      <c r="O9" s="32" t="s">
        <v>529</v>
      </c>
      <c r="P9" s="33" t="str">
        <f>"0,0000"</f>
        <v>0,0000</v>
      </c>
      <c r="Q9" s="34" t="s">
        <v>1410</v>
      </c>
    </row>
    <row r="10" spans="1:17">
      <c r="A10" s="27"/>
      <c r="B10" s="29"/>
      <c r="C10" s="29"/>
      <c r="D10" s="29"/>
      <c r="E10" s="31"/>
      <c r="F10" s="31"/>
      <c r="G10" s="29"/>
      <c r="H10" s="29"/>
      <c r="I10" s="29"/>
      <c r="J10" s="29"/>
      <c r="K10" s="29"/>
      <c r="L10" s="29"/>
      <c r="M10" s="29"/>
      <c r="N10" s="29"/>
      <c r="O10" s="27"/>
      <c r="P10" s="29"/>
      <c r="Q10" s="31"/>
    </row>
    <row r="11" spans="1:17" ht="15">
      <c r="A11" s="77" t="s">
        <v>281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31"/>
    </row>
    <row r="12" spans="1:17">
      <c r="A12" s="35" t="s">
        <v>1415</v>
      </c>
      <c r="B12" s="36" t="s">
        <v>1416</v>
      </c>
      <c r="C12" s="36" t="s">
        <v>1417</v>
      </c>
      <c r="D12" s="36" t="str">
        <f>"0,7382"</f>
        <v>0,7382</v>
      </c>
      <c r="E12" s="37" t="s">
        <v>1234</v>
      </c>
      <c r="F12" s="37" t="s">
        <v>1235</v>
      </c>
      <c r="G12" s="13"/>
      <c r="H12" s="13"/>
      <c r="I12" s="13"/>
      <c r="J12" s="13"/>
      <c r="K12" s="36" t="s">
        <v>529</v>
      </c>
      <c r="L12" s="36" t="s">
        <v>530</v>
      </c>
      <c r="M12" s="36" t="s">
        <v>494</v>
      </c>
      <c r="N12" s="13"/>
      <c r="O12" s="35" t="s">
        <v>1418</v>
      </c>
      <c r="P12" s="36" t="str">
        <f t="shared" ref="P12:P17" si="0">"0,0000"</f>
        <v>0,0000</v>
      </c>
      <c r="Q12" s="37" t="s">
        <v>1410</v>
      </c>
    </row>
    <row r="13" spans="1:17">
      <c r="A13" s="38" t="s">
        <v>1419</v>
      </c>
      <c r="B13" s="39" t="s">
        <v>1420</v>
      </c>
      <c r="C13" s="39" t="s">
        <v>1421</v>
      </c>
      <c r="D13" s="39" t="str">
        <f>"0,7682"</f>
        <v>0,7682</v>
      </c>
      <c r="E13" s="40" t="s">
        <v>1234</v>
      </c>
      <c r="F13" s="40" t="s">
        <v>1235</v>
      </c>
      <c r="G13" s="18"/>
      <c r="H13" s="18"/>
      <c r="I13" s="18"/>
      <c r="J13" s="18"/>
      <c r="K13" s="39" t="s">
        <v>529</v>
      </c>
      <c r="L13" s="39" t="s">
        <v>530</v>
      </c>
      <c r="M13" s="39" t="s">
        <v>495</v>
      </c>
      <c r="N13" s="18"/>
      <c r="O13" s="38" t="s">
        <v>495</v>
      </c>
      <c r="P13" s="39" t="str">
        <f t="shared" si="0"/>
        <v>0,0000</v>
      </c>
      <c r="Q13" s="40" t="s">
        <v>1410</v>
      </c>
    </row>
    <row r="14" spans="1:17">
      <c r="A14" s="38" t="s">
        <v>1422</v>
      </c>
      <c r="B14" s="39" t="s">
        <v>1423</v>
      </c>
      <c r="C14" s="39" t="s">
        <v>755</v>
      </c>
      <c r="D14" s="39" t="str">
        <f>"0,7327"</f>
        <v>0,7327</v>
      </c>
      <c r="E14" s="40" t="s">
        <v>1234</v>
      </c>
      <c r="F14" s="40" t="s">
        <v>1235</v>
      </c>
      <c r="G14" s="18"/>
      <c r="H14" s="18"/>
      <c r="I14" s="18"/>
      <c r="J14" s="18"/>
      <c r="K14" s="39" t="s">
        <v>530</v>
      </c>
      <c r="L14" s="39" t="s">
        <v>495</v>
      </c>
      <c r="M14" s="39" t="s">
        <v>502</v>
      </c>
      <c r="N14" s="18"/>
      <c r="O14" s="38" t="s">
        <v>502</v>
      </c>
      <c r="P14" s="39" t="str">
        <f t="shared" si="0"/>
        <v>0,0000</v>
      </c>
      <c r="Q14" s="40" t="s">
        <v>1410</v>
      </c>
    </row>
    <row r="15" spans="1:17">
      <c r="A15" s="38" t="s">
        <v>1424</v>
      </c>
      <c r="B15" s="39" t="s">
        <v>1425</v>
      </c>
      <c r="C15" s="39" t="s">
        <v>812</v>
      </c>
      <c r="D15" s="39" t="str">
        <f>"0,7357"</f>
        <v>0,7357</v>
      </c>
      <c r="E15" s="40" t="s">
        <v>1234</v>
      </c>
      <c r="F15" s="40" t="s">
        <v>1235</v>
      </c>
      <c r="G15" s="18"/>
      <c r="H15" s="18"/>
      <c r="I15" s="18"/>
      <c r="J15" s="18"/>
      <c r="K15" s="39" t="s">
        <v>495</v>
      </c>
      <c r="L15" s="39" t="s">
        <v>483</v>
      </c>
      <c r="M15" s="39" t="s">
        <v>503</v>
      </c>
      <c r="N15" s="18"/>
      <c r="O15" s="38" t="s">
        <v>503</v>
      </c>
      <c r="P15" s="39" t="str">
        <f t="shared" si="0"/>
        <v>0,0000</v>
      </c>
      <c r="Q15" s="40" t="s">
        <v>1410</v>
      </c>
    </row>
    <row r="16" spans="1:17">
      <c r="A16" s="38" t="s">
        <v>1426</v>
      </c>
      <c r="B16" s="39" t="s">
        <v>1427</v>
      </c>
      <c r="C16" s="39" t="s">
        <v>552</v>
      </c>
      <c r="D16" s="39" t="str">
        <f>"0,7367"</f>
        <v>0,7367</v>
      </c>
      <c r="E16" s="40" t="s">
        <v>1234</v>
      </c>
      <c r="F16" s="40" t="s">
        <v>1235</v>
      </c>
      <c r="G16" s="18"/>
      <c r="H16" s="18"/>
      <c r="I16" s="18"/>
      <c r="J16" s="18"/>
      <c r="K16" s="39" t="s">
        <v>530</v>
      </c>
      <c r="L16" s="39" t="s">
        <v>495</v>
      </c>
      <c r="M16" s="39" t="s">
        <v>509</v>
      </c>
      <c r="N16" s="18"/>
      <c r="O16" s="38" t="s">
        <v>1428</v>
      </c>
      <c r="P16" s="39" t="str">
        <f t="shared" si="0"/>
        <v>0,0000</v>
      </c>
      <c r="Q16" s="40" t="s">
        <v>1410</v>
      </c>
    </row>
    <row r="17" spans="1:17">
      <c r="A17" s="41" t="s">
        <v>1429</v>
      </c>
      <c r="B17" s="42" t="s">
        <v>1430</v>
      </c>
      <c r="C17" s="42" t="s">
        <v>567</v>
      </c>
      <c r="D17" s="42" t="str">
        <f>"0,7258"</f>
        <v>0,7258</v>
      </c>
      <c r="E17" s="43" t="s">
        <v>82</v>
      </c>
      <c r="F17" s="43" t="s">
        <v>370</v>
      </c>
      <c r="G17" s="16"/>
      <c r="H17" s="16"/>
      <c r="I17" s="16"/>
      <c r="J17" s="16"/>
      <c r="K17" s="42" t="s">
        <v>530</v>
      </c>
      <c r="L17" s="42" t="s">
        <v>495</v>
      </c>
      <c r="M17" s="16" t="s">
        <v>502</v>
      </c>
      <c r="N17" s="16"/>
      <c r="O17" s="41" t="s">
        <v>495</v>
      </c>
      <c r="P17" s="42" t="str">
        <f t="shared" si="0"/>
        <v>0,0000</v>
      </c>
      <c r="Q17" s="43" t="s">
        <v>1431</v>
      </c>
    </row>
    <row r="18" spans="1:17">
      <c r="A18" s="27"/>
      <c r="B18" s="29"/>
      <c r="C18" s="29"/>
      <c r="D18" s="29"/>
      <c r="E18" s="31"/>
      <c r="F18" s="31"/>
      <c r="G18" s="29"/>
      <c r="H18" s="29"/>
      <c r="I18" s="29"/>
      <c r="J18" s="29"/>
      <c r="K18" s="29"/>
      <c r="L18" s="29"/>
      <c r="M18" s="29"/>
      <c r="N18" s="29"/>
      <c r="O18" s="27"/>
      <c r="P18" s="29"/>
      <c r="Q18" s="31"/>
    </row>
    <row r="19" spans="1:17" ht="15">
      <c r="A19" s="77" t="s">
        <v>15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31"/>
    </row>
    <row r="20" spans="1:17">
      <c r="A20" s="35" t="s">
        <v>1432</v>
      </c>
      <c r="B20" s="36" t="s">
        <v>1433</v>
      </c>
      <c r="C20" s="36" t="s">
        <v>1434</v>
      </c>
      <c r="D20" s="36" t="str">
        <f>"0,6902"</f>
        <v>0,6902</v>
      </c>
      <c r="E20" s="37" t="s">
        <v>82</v>
      </c>
      <c r="F20" s="37" t="s">
        <v>1235</v>
      </c>
      <c r="G20" s="13"/>
      <c r="H20" s="13"/>
      <c r="I20" s="13"/>
      <c r="J20" s="13"/>
      <c r="K20" s="36" t="s">
        <v>495</v>
      </c>
      <c r="L20" s="36" t="s">
        <v>502</v>
      </c>
      <c r="M20" s="36" t="s">
        <v>483</v>
      </c>
      <c r="N20" s="13"/>
      <c r="O20" s="35" t="s">
        <v>1435</v>
      </c>
      <c r="P20" s="36" t="str">
        <f>"0,0000"</f>
        <v>0,0000</v>
      </c>
      <c r="Q20" s="37" t="s">
        <v>58</v>
      </c>
    </row>
    <row r="21" spans="1:17">
      <c r="A21" s="38" t="s">
        <v>1436</v>
      </c>
      <c r="B21" s="39" t="s">
        <v>1437</v>
      </c>
      <c r="C21" s="39" t="s">
        <v>1438</v>
      </c>
      <c r="D21" s="39" t="str">
        <f>"0,6843"</f>
        <v>0,6843</v>
      </c>
      <c r="E21" s="40" t="s">
        <v>1234</v>
      </c>
      <c r="F21" s="40" t="s">
        <v>1235</v>
      </c>
      <c r="G21" s="18"/>
      <c r="H21" s="18"/>
      <c r="I21" s="18"/>
      <c r="J21" s="18"/>
      <c r="K21" s="39" t="s">
        <v>483</v>
      </c>
      <c r="L21" s="39" t="s">
        <v>503</v>
      </c>
      <c r="M21" s="39" t="s">
        <v>484</v>
      </c>
      <c r="N21" s="18"/>
      <c r="O21" s="38" t="s">
        <v>1439</v>
      </c>
      <c r="P21" s="39" t="str">
        <f>"0,0000"</f>
        <v>0,0000</v>
      </c>
      <c r="Q21" s="40" t="s">
        <v>1410</v>
      </c>
    </row>
    <row r="22" spans="1:17">
      <c r="A22" s="41" t="s">
        <v>1440</v>
      </c>
      <c r="B22" s="42" t="s">
        <v>1441</v>
      </c>
      <c r="C22" s="42" t="s">
        <v>1442</v>
      </c>
      <c r="D22" s="42" t="str">
        <f>"0,6805"</f>
        <v>0,6805</v>
      </c>
      <c r="E22" s="43" t="s">
        <v>1234</v>
      </c>
      <c r="F22" s="43" t="s">
        <v>1235</v>
      </c>
      <c r="G22" s="16"/>
      <c r="H22" s="16"/>
      <c r="I22" s="16"/>
      <c r="J22" s="16"/>
      <c r="K22" s="42" t="s">
        <v>495</v>
      </c>
      <c r="L22" s="42" t="s">
        <v>502</v>
      </c>
      <c r="M22" s="42" t="s">
        <v>483</v>
      </c>
      <c r="N22" s="16"/>
      <c r="O22" s="41" t="s">
        <v>1435</v>
      </c>
      <c r="P22" s="42" t="str">
        <f>"0,0000"</f>
        <v>0,0000</v>
      </c>
      <c r="Q22" s="43" t="s">
        <v>1410</v>
      </c>
    </row>
    <row r="23" spans="1:17">
      <c r="A23" s="27"/>
      <c r="B23" s="29"/>
      <c r="C23" s="29"/>
      <c r="D23" s="29"/>
      <c r="E23" s="31"/>
      <c r="F23" s="31"/>
      <c r="G23" s="29"/>
      <c r="H23" s="29"/>
      <c r="I23" s="29"/>
      <c r="J23" s="29"/>
      <c r="K23" s="29"/>
      <c r="L23" s="29"/>
      <c r="M23" s="29"/>
      <c r="N23" s="29"/>
      <c r="O23" s="27"/>
      <c r="P23" s="29"/>
      <c r="Q23" s="31"/>
    </row>
    <row r="24" spans="1:17" ht="15">
      <c r="A24" s="77" t="s">
        <v>31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31"/>
    </row>
    <row r="25" spans="1:17">
      <c r="A25" s="32" t="s">
        <v>1443</v>
      </c>
      <c r="B25" s="33" t="s">
        <v>1444</v>
      </c>
      <c r="C25" s="33" t="s">
        <v>1445</v>
      </c>
      <c r="D25" s="33" t="str">
        <f>"0,6287"</f>
        <v>0,6287</v>
      </c>
      <c r="E25" s="34" t="s">
        <v>82</v>
      </c>
      <c r="F25" s="34" t="s">
        <v>444</v>
      </c>
      <c r="G25" s="9"/>
      <c r="H25" s="9"/>
      <c r="I25" s="9"/>
      <c r="J25" s="9"/>
      <c r="K25" s="9" t="s">
        <v>530</v>
      </c>
      <c r="L25" s="33" t="s">
        <v>494</v>
      </c>
      <c r="M25" s="33" t="s">
        <v>509</v>
      </c>
      <c r="N25" s="9"/>
      <c r="O25" s="32" t="s">
        <v>1428</v>
      </c>
      <c r="P25" s="33" t="str">
        <f>"0,0000"</f>
        <v>0,0000</v>
      </c>
      <c r="Q25" s="34" t="s">
        <v>58</v>
      </c>
    </row>
    <row r="26" spans="1:17">
      <c r="A26" s="27"/>
      <c r="B26" s="29"/>
      <c r="C26" s="29"/>
      <c r="D26" s="29"/>
      <c r="E26" s="31"/>
      <c r="F26" s="31"/>
      <c r="G26" s="29"/>
      <c r="H26" s="29"/>
      <c r="I26" s="29"/>
      <c r="J26" s="29"/>
      <c r="K26" s="29"/>
      <c r="L26" s="29"/>
      <c r="M26" s="29"/>
      <c r="N26" s="29"/>
      <c r="O26" s="27"/>
      <c r="P26" s="29"/>
      <c r="Q26" s="31"/>
    </row>
    <row r="27" spans="1:17" ht="15">
      <c r="A27" s="77" t="s">
        <v>59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31"/>
    </row>
    <row r="28" spans="1:17">
      <c r="A28" s="35" t="s">
        <v>1446</v>
      </c>
      <c r="B28" s="36" t="s">
        <v>921</v>
      </c>
      <c r="C28" s="36" t="s">
        <v>922</v>
      </c>
      <c r="D28" s="36" t="str">
        <f>"0,5905"</f>
        <v>0,5905</v>
      </c>
      <c r="E28" s="37" t="s">
        <v>36</v>
      </c>
      <c r="F28" s="37" t="s">
        <v>370</v>
      </c>
      <c r="G28" s="13"/>
      <c r="H28" s="13"/>
      <c r="I28" s="13"/>
      <c r="J28" s="13"/>
      <c r="K28" s="36" t="s">
        <v>503</v>
      </c>
      <c r="L28" s="13" t="s">
        <v>527</v>
      </c>
      <c r="M28" s="13" t="s">
        <v>527</v>
      </c>
      <c r="N28" s="13"/>
      <c r="O28" s="35" t="s">
        <v>503</v>
      </c>
      <c r="P28" s="36" t="str">
        <f>"0,0000"</f>
        <v>0,0000</v>
      </c>
      <c r="Q28" s="37" t="s">
        <v>923</v>
      </c>
    </row>
    <row r="29" spans="1:17">
      <c r="A29" s="32" t="s">
        <v>1447</v>
      </c>
      <c r="B29" s="33" t="s">
        <v>1448</v>
      </c>
      <c r="C29" s="33" t="s">
        <v>938</v>
      </c>
      <c r="D29" s="33" t="str">
        <f>"0,5986"</f>
        <v>0,5986</v>
      </c>
      <c r="E29" s="34" t="s">
        <v>82</v>
      </c>
      <c r="F29" s="34" t="s">
        <v>370</v>
      </c>
      <c r="G29" s="9"/>
      <c r="H29" s="9"/>
      <c r="I29" s="9"/>
      <c r="J29" s="9"/>
      <c r="K29" s="33" t="s">
        <v>503</v>
      </c>
      <c r="L29" s="33" t="s">
        <v>527</v>
      </c>
      <c r="M29" s="33" t="s">
        <v>307</v>
      </c>
      <c r="N29" s="9"/>
      <c r="O29" s="32" t="s">
        <v>307</v>
      </c>
      <c r="P29" s="33" t="str">
        <f>"0,0000"</f>
        <v>0,0000</v>
      </c>
      <c r="Q29" s="34" t="s">
        <v>58</v>
      </c>
    </row>
    <row r="30" spans="1:17">
      <c r="A30" s="32" t="s">
        <v>1634</v>
      </c>
      <c r="B30" s="33" t="s">
        <v>1449</v>
      </c>
      <c r="C30" s="33" t="s">
        <v>934</v>
      </c>
      <c r="D30" s="33" t="str">
        <f>"0,5893"</f>
        <v>0,5893</v>
      </c>
      <c r="E30" s="34" t="s">
        <v>1234</v>
      </c>
      <c r="F30" s="34" t="s">
        <v>1235</v>
      </c>
      <c r="G30" s="9"/>
      <c r="H30" s="9"/>
      <c r="I30" s="9"/>
      <c r="J30" s="9"/>
      <c r="K30" s="33" t="s">
        <v>484</v>
      </c>
      <c r="L30" s="9" t="s">
        <v>307</v>
      </c>
      <c r="M30" s="33" t="s">
        <v>307</v>
      </c>
      <c r="N30" s="9" t="s">
        <v>487</v>
      </c>
      <c r="O30" s="32" t="s">
        <v>307</v>
      </c>
      <c r="P30" s="33" t="str">
        <f>"0,0000"</f>
        <v>0,0000</v>
      </c>
      <c r="Q30" s="34" t="s">
        <v>58</v>
      </c>
    </row>
    <row r="31" spans="1:17">
      <c r="A31" s="27"/>
      <c r="B31" s="29"/>
      <c r="C31" s="29"/>
      <c r="D31" s="29"/>
      <c r="E31" s="31"/>
      <c r="F31" s="31"/>
      <c r="G31" s="44"/>
      <c r="H31" s="44"/>
      <c r="I31" s="44"/>
      <c r="J31" s="44"/>
      <c r="K31" s="29"/>
      <c r="L31" s="44"/>
      <c r="M31" s="29"/>
      <c r="N31" s="44"/>
      <c r="O31" s="27"/>
      <c r="P31" s="29"/>
      <c r="Q31" s="31"/>
    </row>
    <row r="32" spans="1:17" ht="15">
      <c r="A32" s="27"/>
      <c r="B32" s="29"/>
      <c r="C32" s="29"/>
      <c r="D32" s="29"/>
      <c r="E32" s="20" t="s">
        <v>146</v>
      </c>
      <c r="F32" s="31"/>
      <c r="G32" s="29"/>
      <c r="H32" s="29"/>
      <c r="I32" s="29"/>
      <c r="J32" s="29"/>
      <c r="K32" s="29"/>
      <c r="L32" s="29"/>
      <c r="M32" s="29"/>
      <c r="N32" s="29"/>
      <c r="O32" s="27"/>
      <c r="P32" s="29"/>
      <c r="Q32" s="31"/>
    </row>
    <row r="33" spans="1:17" ht="15">
      <c r="A33" s="27"/>
      <c r="B33" s="29"/>
      <c r="C33" s="29"/>
      <c r="D33" s="29"/>
      <c r="E33" s="20" t="s">
        <v>147</v>
      </c>
      <c r="F33" s="31"/>
      <c r="G33" s="29"/>
      <c r="H33" s="29"/>
      <c r="I33" s="29"/>
      <c r="J33" s="29"/>
      <c r="K33" s="29"/>
      <c r="L33" s="29"/>
      <c r="M33" s="29"/>
      <c r="N33" s="29"/>
      <c r="O33" s="27"/>
      <c r="P33" s="29"/>
      <c r="Q33" s="31"/>
    </row>
    <row r="34" spans="1:17" ht="15">
      <c r="A34" s="27"/>
      <c r="B34" s="29"/>
      <c r="C34" s="29"/>
      <c r="D34" s="29"/>
      <c r="E34" s="20" t="s">
        <v>148</v>
      </c>
      <c r="F34" s="31"/>
      <c r="G34" s="29"/>
      <c r="H34" s="29"/>
      <c r="I34" s="29"/>
      <c r="J34" s="29"/>
      <c r="K34" s="29"/>
      <c r="L34" s="29"/>
      <c r="M34" s="29"/>
      <c r="N34" s="29"/>
      <c r="O34" s="27"/>
      <c r="P34" s="29"/>
      <c r="Q34" s="31"/>
    </row>
    <row r="35" spans="1:17" ht="15">
      <c r="A35" s="27"/>
      <c r="B35" s="29"/>
      <c r="C35" s="29"/>
      <c r="D35" s="29"/>
      <c r="E35" s="20" t="s">
        <v>149</v>
      </c>
      <c r="F35" s="31"/>
      <c r="G35" s="29"/>
      <c r="H35" s="29"/>
      <c r="I35" s="29"/>
      <c r="J35" s="29"/>
      <c r="K35" s="29"/>
      <c r="L35" s="29"/>
      <c r="M35" s="29"/>
      <c r="N35" s="29"/>
      <c r="O35" s="27"/>
      <c r="P35" s="29"/>
      <c r="Q35" s="31"/>
    </row>
    <row r="36" spans="1:17" ht="15">
      <c r="A36" s="27"/>
      <c r="B36" s="29"/>
      <c r="C36" s="29"/>
      <c r="D36" s="29"/>
      <c r="E36" s="20" t="s">
        <v>149</v>
      </c>
      <c r="F36" s="31"/>
      <c r="G36" s="29"/>
      <c r="H36" s="29"/>
      <c r="I36" s="29"/>
      <c r="J36" s="29"/>
      <c r="K36" s="29"/>
      <c r="L36" s="29"/>
      <c r="M36" s="29"/>
      <c r="N36" s="29"/>
      <c r="O36" s="27"/>
      <c r="P36" s="29"/>
      <c r="Q36" s="31"/>
    </row>
    <row r="37" spans="1:17" ht="15">
      <c r="A37" s="27"/>
      <c r="B37" s="29"/>
      <c r="C37" s="29"/>
      <c r="D37" s="29"/>
      <c r="E37" s="20" t="s">
        <v>150</v>
      </c>
      <c r="F37" s="31"/>
      <c r="G37" s="29"/>
      <c r="H37" s="29"/>
      <c r="I37" s="29"/>
      <c r="J37" s="29"/>
      <c r="K37" s="29"/>
      <c r="L37" s="29"/>
      <c r="M37" s="29"/>
      <c r="N37" s="29"/>
      <c r="O37" s="27"/>
      <c r="P37" s="29"/>
      <c r="Q37" s="31"/>
    </row>
  </sheetData>
  <mergeCells count="18">
    <mergeCell ref="O3:O4"/>
    <mergeCell ref="P3:P4"/>
    <mergeCell ref="Q3:Q4"/>
    <mergeCell ref="A5:P5"/>
    <mergeCell ref="A8:P8"/>
    <mergeCell ref="A3:A4"/>
    <mergeCell ref="B3:B4"/>
    <mergeCell ref="C3:C4"/>
    <mergeCell ref="A1:Q2"/>
    <mergeCell ref="D3:D4"/>
    <mergeCell ref="E3:E4"/>
    <mergeCell ref="F3:F4"/>
    <mergeCell ref="G3:J3"/>
    <mergeCell ref="K3:N3"/>
    <mergeCell ref="A11:P11"/>
    <mergeCell ref="A19:P19"/>
    <mergeCell ref="A24:P24"/>
    <mergeCell ref="A27:P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9"/>
  <sheetViews>
    <sheetView topLeftCell="A16" workbookViewId="0">
      <selection activeCell="F32" sqref="F32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4.5703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1" style="5" bestFit="1" customWidth="1"/>
    <col min="14" max="16384" width="9.140625" style="4"/>
  </cols>
  <sheetData>
    <row r="1" spans="1:13" s="3" customFormat="1" ht="29.1" customHeight="1">
      <c r="A1" s="79" t="s">
        <v>1399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1</v>
      </c>
      <c r="H3" s="60"/>
      <c r="I3" s="60"/>
      <c r="J3" s="60"/>
      <c r="K3" s="60" t="s">
        <v>279</v>
      </c>
      <c r="L3" s="60" t="s">
        <v>6</v>
      </c>
      <c r="M3" s="63" t="s">
        <v>5</v>
      </c>
    </row>
    <row r="4" spans="1:13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74"/>
      <c r="L4" s="74"/>
      <c r="M4" s="64"/>
    </row>
    <row r="5" spans="1:13" ht="15">
      <c r="A5" s="75" t="s">
        <v>783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>
      <c r="A6" s="8" t="s">
        <v>1108</v>
      </c>
      <c r="B6" s="8" t="s">
        <v>1111</v>
      </c>
      <c r="C6" s="8" t="s">
        <v>1110</v>
      </c>
      <c r="D6" s="8" t="str">
        <f>"1,0345"</f>
        <v>1,0345</v>
      </c>
      <c r="E6" s="8" t="s">
        <v>336</v>
      </c>
      <c r="F6" s="8" t="s">
        <v>337</v>
      </c>
      <c r="G6" s="10" t="s">
        <v>487</v>
      </c>
      <c r="H6" s="10" t="s">
        <v>488</v>
      </c>
      <c r="I6" s="9" t="s">
        <v>542</v>
      </c>
      <c r="J6" s="9"/>
      <c r="K6" s="8" t="str">
        <f>"80,0"</f>
        <v>80,0</v>
      </c>
      <c r="L6" s="10" t="str">
        <f>"97,0728"</f>
        <v>97,0728</v>
      </c>
      <c r="M6" s="8" t="s">
        <v>338</v>
      </c>
    </row>
    <row r="8" spans="1:13" ht="15">
      <c r="A8" s="77" t="s">
        <v>31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3">
      <c r="A9" s="8" t="s">
        <v>1311</v>
      </c>
      <c r="B9" s="8" t="s">
        <v>1174</v>
      </c>
      <c r="C9" s="8" t="s">
        <v>1175</v>
      </c>
      <c r="D9" s="8" t="str">
        <f>"0,6198"</f>
        <v>0,6198</v>
      </c>
      <c r="E9" s="8" t="s">
        <v>336</v>
      </c>
      <c r="F9" s="8" t="s">
        <v>337</v>
      </c>
      <c r="G9" s="10" t="s">
        <v>67</v>
      </c>
      <c r="H9" s="9" t="s">
        <v>27</v>
      </c>
      <c r="I9" s="9" t="s">
        <v>28</v>
      </c>
      <c r="J9" s="9"/>
      <c r="K9" s="8" t="str">
        <f>"220,0"</f>
        <v>220,0</v>
      </c>
      <c r="L9" s="10" t="str">
        <f>"136,3560"</f>
        <v>136,3560</v>
      </c>
      <c r="M9" s="8" t="s">
        <v>58</v>
      </c>
    </row>
    <row r="11" spans="1:13" ht="15">
      <c r="E11" s="20" t="s">
        <v>146</v>
      </c>
    </row>
    <row r="12" spans="1:13" ht="15">
      <c r="E12" s="20" t="s">
        <v>147</v>
      </c>
    </row>
    <row r="13" spans="1:13" ht="15">
      <c r="E13" s="20" t="s">
        <v>148</v>
      </c>
    </row>
    <row r="14" spans="1:13" ht="15">
      <c r="E14" s="20" t="s">
        <v>149</v>
      </c>
    </row>
    <row r="15" spans="1:13" ht="15">
      <c r="E15" s="20" t="s">
        <v>149</v>
      </c>
    </row>
    <row r="16" spans="1:13" ht="15">
      <c r="E16" s="20" t="s">
        <v>150</v>
      </c>
    </row>
    <row r="17" spans="1:5" ht="15">
      <c r="E17" s="20"/>
    </row>
    <row r="19" spans="1:5" ht="18">
      <c r="A19" s="21" t="s">
        <v>151</v>
      </c>
      <c r="B19" s="21"/>
    </row>
    <row r="20" spans="1:5" ht="15">
      <c r="A20" s="22" t="s">
        <v>261</v>
      </c>
      <c r="B20" s="22"/>
    </row>
    <row r="21" spans="1:5" ht="14.25">
      <c r="A21" s="24"/>
      <c r="B21" s="25" t="s">
        <v>191</v>
      </c>
    </row>
    <row r="22" spans="1:5" ht="15">
      <c r="A22" s="26" t="s">
        <v>154</v>
      </c>
      <c r="B22" s="26" t="s">
        <v>155</v>
      </c>
      <c r="C22" s="26" t="s">
        <v>156</v>
      </c>
      <c r="D22" s="26" t="s">
        <v>157</v>
      </c>
      <c r="E22" s="26" t="s">
        <v>158</v>
      </c>
    </row>
    <row r="23" spans="1:5">
      <c r="A23" s="23" t="s">
        <v>1107</v>
      </c>
      <c r="B23" s="5" t="s">
        <v>192</v>
      </c>
      <c r="C23" s="5" t="s">
        <v>1047</v>
      </c>
      <c r="D23" s="5" t="s">
        <v>488</v>
      </c>
      <c r="E23" s="27" t="s">
        <v>1400</v>
      </c>
    </row>
    <row r="26" spans="1:5" ht="15">
      <c r="A26" s="22" t="s">
        <v>152</v>
      </c>
      <c r="B26" s="22"/>
    </row>
    <row r="27" spans="1:5" ht="14.25">
      <c r="A27" s="24"/>
      <c r="B27" s="25" t="s">
        <v>168</v>
      </c>
    </row>
    <row r="28" spans="1:5" ht="15">
      <c r="A28" s="26" t="s">
        <v>154</v>
      </c>
      <c r="B28" s="26" t="s">
        <v>155</v>
      </c>
      <c r="C28" s="26" t="s">
        <v>156</v>
      </c>
      <c r="D28" s="26" t="s">
        <v>157</v>
      </c>
      <c r="E28" s="26" t="s">
        <v>158</v>
      </c>
    </row>
    <row r="29" spans="1:5">
      <c r="A29" s="23" t="s">
        <v>1172</v>
      </c>
      <c r="B29" s="5" t="s">
        <v>168</v>
      </c>
      <c r="C29" s="5" t="s">
        <v>174</v>
      </c>
      <c r="D29" s="5" t="s">
        <v>67</v>
      </c>
      <c r="E29" s="27" t="s">
        <v>1401</v>
      </c>
    </row>
  </sheetData>
  <mergeCells count="13"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A3" sqref="A3:A4"/>
    </sheetView>
  </sheetViews>
  <sheetFormatPr defaultRowHeight="12.75"/>
  <cols>
    <col min="1" max="1" width="31.7109375" customWidth="1"/>
    <col min="2" max="2" width="31.5703125" customWidth="1"/>
    <col min="6" max="6" width="38.5703125" customWidth="1"/>
    <col min="17" max="17" width="20.140625" customWidth="1"/>
  </cols>
  <sheetData>
    <row r="1" spans="1:17">
      <c r="A1" s="80" t="s">
        <v>1635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17" ht="114" customHeight="1" thickBot="1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</row>
    <row r="3" spans="1:17" ht="15">
      <c r="A3" s="71" t="s">
        <v>0</v>
      </c>
      <c r="B3" s="73" t="s">
        <v>9</v>
      </c>
      <c r="C3" s="73" t="s">
        <v>1403</v>
      </c>
      <c r="D3" s="60" t="s">
        <v>14</v>
      </c>
      <c r="E3" s="60" t="s">
        <v>7</v>
      </c>
      <c r="F3" s="60" t="s">
        <v>11</v>
      </c>
      <c r="G3" s="60" t="s">
        <v>1404</v>
      </c>
      <c r="H3" s="60"/>
      <c r="I3" s="60"/>
      <c r="J3" s="60"/>
      <c r="K3" s="60" t="s">
        <v>1405</v>
      </c>
      <c r="L3" s="60"/>
      <c r="M3" s="60"/>
      <c r="N3" s="60"/>
      <c r="O3" s="60" t="s">
        <v>4</v>
      </c>
      <c r="P3" s="60" t="s">
        <v>6</v>
      </c>
      <c r="Q3" s="63" t="s">
        <v>5</v>
      </c>
    </row>
    <row r="4" spans="1:17" ht="15" thickBot="1">
      <c r="A4" s="72"/>
      <c r="B4" s="74"/>
      <c r="C4" s="74"/>
      <c r="D4" s="74"/>
      <c r="E4" s="74"/>
      <c r="F4" s="74"/>
      <c r="G4" s="30">
        <v>1</v>
      </c>
      <c r="H4" s="30">
        <v>2</v>
      </c>
      <c r="I4" s="30">
        <v>3</v>
      </c>
      <c r="J4" s="30" t="s">
        <v>8</v>
      </c>
      <c r="K4" s="30">
        <v>1</v>
      </c>
      <c r="L4" s="30">
        <v>2</v>
      </c>
      <c r="M4" s="30">
        <v>3</v>
      </c>
      <c r="N4" s="30" t="s">
        <v>8</v>
      </c>
      <c r="O4" s="74"/>
      <c r="P4" s="74"/>
      <c r="Q4" s="64"/>
    </row>
    <row r="5" spans="1:17" ht="15">
      <c r="A5" s="75" t="s">
        <v>129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31"/>
    </row>
    <row r="6" spans="1:17">
      <c r="A6" s="32" t="s">
        <v>136</v>
      </c>
      <c r="B6" s="33" t="s">
        <v>137</v>
      </c>
      <c r="C6" s="33" t="s">
        <v>138</v>
      </c>
      <c r="D6" s="33" t="str">
        <f>"0,5524"</f>
        <v>0,5524</v>
      </c>
      <c r="E6" s="34" t="s">
        <v>82</v>
      </c>
      <c r="F6" s="34" t="s">
        <v>89</v>
      </c>
      <c r="G6" s="33" t="s">
        <v>484</v>
      </c>
      <c r="H6" s="33" t="s">
        <v>488</v>
      </c>
      <c r="I6" s="33" t="s">
        <v>165</v>
      </c>
      <c r="J6" s="9"/>
      <c r="K6" s="33" t="s">
        <v>509</v>
      </c>
      <c r="L6" s="33" t="s">
        <v>484</v>
      </c>
      <c r="M6" s="33" t="s">
        <v>487</v>
      </c>
      <c r="N6" s="9"/>
      <c r="O6" s="32" t="str">
        <f>"160,0"</f>
        <v>160,0</v>
      </c>
      <c r="P6" s="33" t="str">
        <f>"92,6264"</f>
        <v>92,6264</v>
      </c>
      <c r="Q6" s="34" t="s">
        <v>93</v>
      </c>
    </row>
    <row r="7" spans="1:17">
      <c r="A7" s="27"/>
      <c r="B7" s="29"/>
      <c r="C7" s="29"/>
      <c r="D7" s="29"/>
      <c r="E7" s="31"/>
      <c r="F7" s="31"/>
      <c r="G7" s="29"/>
      <c r="H7" s="29"/>
      <c r="I7" s="29"/>
      <c r="J7" s="44"/>
      <c r="K7" s="29"/>
      <c r="L7" s="29"/>
      <c r="M7" s="29"/>
      <c r="N7" s="44"/>
      <c r="O7" s="27"/>
      <c r="P7" s="29"/>
      <c r="Q7" s="31"/>
    </row>
    <row r="8" spans="1:17" ht="15">
      <c r="A8" s="27"/>
      <c r="B8" s="29"/>
      <c r="C8" s="29"/>
      <c r="D8" s="29"/>
      <c r="E8" s="20" t="s">
        <v>146</v>
      </c>
      <c r="F8" s="31"/>
      <c r="G8" s="29"/>
      <c r="H8" s="29"/>
      <c r="I8" s="29"/>
      <c r="J8" s="29"/>
      <c r="K8" s="29"/>
      <c r="L8" s="29"/>
      <c r="M8" s="29"/>
      <c r="N8" s="29"/>
      <c r="O8" s="27"/>
      <c r="P8" s="29"/>
      <c r="Q8" s="31"/>
    </row>
    <row r="9" spans="1:17" ht="15">
      <c r="A9" s="27"/>
      <c r="B9" s="29"/>
      <c r="C9" s="29"/>
      <c r="D9" s="29"/>
      <c r="E9" s="20" t="s">
        <v>147</v>
      </c>
      <c r="F9" s="31"/>
      <c r="G9" s="29"/>
      <c r="H9" s="29"/>
      <c r="I9" s="29"/>
      <c r="J9" s="29"/>
      <c r="K9" s="29"/>
      <c r="L9" s="29"/>
      <c r="M9" s="29"/>
      <c r="N9" s="29"/>
      <c r="O9" s="27"/>
      <c r="P9" s="29"/>
      <c r="Q9" s="31"/>
    </row>
    <row r="10" spans="1:17" ht="15">
      <c r="A10" s="27"/>
      <c r="B10" s="29"/>
      <c r="C10" s="29"/>
      <c r="D10" s="29"/>
      <c r="E10" s="20" t="s">
        <v>148</v>
      </c>
      <c r="F10" s="31"/>
      <c r="G10" s="29"/>
      <c r="H10" s="29"/>
      <c r="I10" s="29"/>
      <c r="J10" s="29"/>
      <c r="K10" s="29"/>
      <c r="L10" s="29"/>
      <c r="M10" s="29"/>
      <c r="N10" s="29"/>
      <c r="O10" s="27"/>
      <c r="P10" s="29"/>
      <c r="Q10" s="31"/>
    </row>
    <row r="11" spans="1:17" ht="15">
      <c r="A11" s="27"/>
      <c r="B11" s="29"/>
      <c r="C11" s="29"/>
      <c r="D11" s="29"/>
      <c r="E11" s="20" t="s">
        <v>149</v>
      </c>
      <c r="F11" s="31"/>
      <c r="G11" s="29"/>
      <c r="H11" s="29"/>
      <c r="I11" s="29"/>
      <c r="J11" s="29"/>
      <c r="K11" s="29"/>
      <c r="L11" s="29"/>
      <c r="M11" s="29"/>
      <c r="N11" s="29"/>
      <c r="O11" s="27"/>
      <c r="P11" s="29"/>
      <c r="Q11" s="31"/>
    </row>
    <row r="12" spans="1:17" ht="15">
      <c r="A12" s="27"/>
      <c r="B12" s="29"/>
      <c r="C12" s="29"/>
      <c r="D12" s="29"/>
      <c r="E12" s="20" t="s">
        <v>149</v>
      </c>
      <c r="F12" s="31"/>
      <c r="G12" s="29"/>
      <c r="H12" s="29"/>
      <c r="I12" s="29"/>
      <c r="J12" s="29"/>
      <c r="K12" s="29"/>
      <c r="L12" s="29"/>
      <c r="M12" s="29"/>
      <c r="N12" s="29"/>
      <c r="O12" s="27"/>
      <c r="P12" s="29"/>
      <c r="Q12" s="31"/>
    </row>
    <row r="13" spans="1:17" ht="15">
      <c r="A13" s="27"/>
      <c r="B13" s="29"/>
      <c r="C13" s="29"/>
      <c r="D13" s="29"/>
      <c r="E13" s="20" t="s">
        <v>150</v>
      </c>
      <c r="F13" s="31"/>
      <c r="G13" s="29"/>
      <c r="H13" s="29"/>
      <c r="I13" s="29"/>
      <c r="J13" s="29"/>
      <c r="K13" s="29"/>
      <c r="L13" s="29"/>
      <c r="M13" s="29"/>
      <c r="N13" s="29"/>
      <c r="O13" s="27"/>
      <c r="P13" s="29"/>
      <c r="Q13" s="31"/>
    </row>
    <row r="14" spans="1:17" ht="15">
      <c r="A14" s="27"/>
      <c r="B14" s="29"/>
      <c r="C14" s="29"/>
      <c r="D14" s="29"/>
      <c r="E14" s="20"/>
      <c r="F14" s="31"/>
      <c r="G14" s="29"/>
      <c r="H14" s="29"/>
      <c r="I14" s="29"/>
      <c r="J14" s="29"/>
      <c r="K14" s="29"/>
      <c r="L14" s="29"/>
      <c r="M14" s="29"/>
      <c r="N14" s="29"/>
      <c r="O14" s="27"/>
      <c r="P14" s="29"/>
      <c r="Q14" s="31"/>
    </row>
    <row r="15" spans="1:17">
      <c r="A15" s="27"/>
      <c r="B15" s="29"/>
      <c r="C15" s="29"/>
      <c r="D15" s="29"/>
      <c r="E15" s="31"/>
      <c r="F15" s="31"/>
      <c r="G15" s="29"/>
      <c r="H15" s="29"/>
      <c r="I15" s="29"/>
      <c r="J15" s="29"/>
      <c r="K15" s="29"/>
      <c r="L15" s="29"/>
      <c r="M15" s="29"/>
      <c r="N15" s="29"/>
      <c r="O15" s="27"/>
      <c r="P15" s="29"/>
      <c r="Q15" s="31"/>
    </row>
    <row r="16" spans="1:17" ht="18">
      <c r="A16" s="45" t="s">
        <v>151</v>
      </c>
      <c r="B16" s="46"/>
      <c r="C16" s="29"/>
      <c r="D16" s="29"/>
      <c r="E16" s="31"/>
      <c r="F16" s="31"/>
      <c r="G16" s="29"/>
      <c r="H16" s="29"/>
      <c r="I16" s="29"/>
      <c r="J16" s="29"/>
      <c r="K16" s="29"/>
      <c r="L16" s="29"/>
      <c r="M16" s="29"/>
      <c r="N16" s="29"/>
      <c r="O16" s="27"/>
      <c r="P16" s="29"/>
      <c r="Q16" s="31"/>
    </row>
    <row r="17" spans="1:17" ht="15">
      <c r="A17" s="47" t="s">
        <v>152</v>
      </c>
      <c r="B17" s="28"/>
      <c r="C17" s="29"/>
      <c r="D17" s="29"/>
      <c r="E17" s="31"/>
      <c r="F17" s="31"/>
      <c r="G17" s="29"/>
      <c r="H17" s="29"/>
      <c r="I17" s="29"/>
      <c r="J17" s="29"/>
      <c r="K17" s="29"/>
      <c r="L17" s="29"/>
      <c r="M17" s="29"/>
      <c r="N17" s="29"/>
      <c r="O17" s="27"/>
      <c r="P17" s="29"/>
      <c r="Q17" s="31"/>
    </row>
    <row r="18" spans="1:17" ht="14.25">
      <c r="A18" s="48"/>
      <c r="B18" s="49" t="s">
        <v>191</v>
      </c>
      <c r="C18" s="29"/>
      <c r="D18" s="29"/>
      <c r="E18" s="31"/>
      <c r="F18" s="31"/>
      <c r="G18" s="29"/>
      <c r="H18" s="29"/>
      <c r="I18" s="29"/>
      <c r="J18" s="29"/>
      <c r="K18" s="29"/>
      <c r="L18" s="29"/>
      <c r="M18" s="29"/>
      <c r="N18" s="29"/>
      <c r="O18" s="27"/>
      <c r="P18" s="29"/>
      <c r="Q18" s="31"/>
    </row>
    <row r="19" spans="1:17" ht="15">
      <c r="A19" s="26" t="s">
        <v>154</v>
      </c>
      <c r="B19" s="26" t="s">
        <v>155</v>
      </c>
      <c r="C19" s="26" t="s">
        <v>156</v>
      </c>
      <c r="D19" s="26" t="s">
        <v>157</v>
      </c>
      <c r="E19" s="26" t="s">
        <v>158</v>
      </c>
      <c r="F19" s="31"/>
      <c r="G19" s="29"/>
      <c r="H19" s="29"/>
      <c r="I19" s="29"/>
      <c r="J19" s="29"/>
      <c r="K19" s="29"/>
      <c r="L19" s="29"/>
      <c r="M19" s="29"/>
      <c r="N19" s="29"/>
      <c r="O19" s="27"/>
      <c r="P19" s="29"/>
      <c r="Q19" s="31"/>
    </row>
    <row r="20" spans="1:17">
      <c r="A20" s="50" t="s">
        <v>135</v>
      </c>
      <c r="B20" s="29" t="s">
        <v>192</v>
      </c>
      <c r="C20" s="29" t="s">
        <v>102</v>
      </c>
      <c r="D20" s="29" t="s">
        <v>66</v>
      </c>
      <c r="E20" s="27" t="s">
        <v>1450</v>
      </c>
      <c r="F20" s="31"/>
      <c r="G20" s="29"/>
      <c r="H20" s="29"/>
      <c r="I20" s="29"/>
      <c r="J20" s="29"/>
      <c r="K20" s="29"/>
      <c r="L20" s="29"/>
      <c r="M20" s="29"/>
      <c r="N20" s="29"/>
      <c r="O20" s="27"/>
      <c r="P20" s="29"/>
      <c r="Q20" s="31"/>
    </row>
    <row r="21" spans="1:17">
      <c r="A21" s="27"/>
      <c r="B21" s="29"/>
      <c r="C21" s="29"/>
      <c r="D21" s="29"/>
      <c r="E21" s="31"/>
      <c r="F21" s="31"/>
      <c r="G21" s="29"/>
      <c r="H21" s="29"/>
      <c r="I21" s="29"/>
      <c r="J21" s="29"/>
      <c r="K21" s="29"/>
      <c r="L21" s="29"/>
      <c r="M21" s="29"/>
      <c r="N21" s="29"/>
      <c r="O21" s="27"/>
      <c r="P21" s="29"/>
      <c r="Q21" s="31"/>
    </row>
    <row r="22" spans="1:17">
      <c r="A22" s="27"/>
      <c r="B22" s="29"/>
      <c r="C22" s="29"/>
      <c r="D22" s="29"/>
      <c r="E22" s="31"/>
      <c r="F22" s="31"/>
      <c r="G22" s="29"/>
      <c r="H22" s="29"/>
      <c r="I22" s="29"/>
      <c r="J22" s="29"/>
      <c r="K22" s="29"/>
      <c r="L22" s="29"/>
      <c r="M22" s="29"/>
      <c r="N22" s="29"/>
      <c r="O22" s="27"/>
      <c r="P22" s="29"/>
      <c r="Q22" s="31"/>
    </row>
    <row r="23" spans="1:17">
      <c r="A23" s="27"/>
      <c r="B23" s="29"/>
      <c r="C23" s="29"/>
      <c r="D23" s="29"/>
      <c r="E23" s="31"/>
      <c r="F23" s="31"/>
      <c r="G23" s="29"/>
      <c r="H23" s="29"/>
      <c r="I23" s="29"/>
      <c r="J23" s="29"/>
      <c r="K23" s="29"/>
      <c r="L23" s="29"/>
      <c r="M23" s="29"/>
      <c r="N23" s="29"/>
      <c r="O23" s="27"/>
      <c r="P23" s="29"/>
      <c r="Q23" s="31"/>
    </row>
    <row r="24" spans="1:17">
      <c r="A24" s="27"/>
      <c r="B24" s="29"/>
      <c r="C24" s="29"/>
      <c r="D24" s="29"/>
      <c r="E24" s="31"/>
      <c r="F24" s="31"/>
      <c r="G24" s="29"/>
      <c r="H24" s="29"/>
      <c r="I24" s="29"/>
      <c r="J24" s="29"/>
      <c r="K24" s="29"/>
      <c r="L24" s="29"/>
      <c r="M24" s="29"/>
      <c r="N24" s="29"/>
      <c r="O24" s="27"/>
      <c r="P24" s="29"/>
      <c r="Q24" s="31"/>
    </row>
    <row r="25" spans="1:17">
      <c r="A25" s="27"/>
      <c r="B25" s="29"/>
      <c r="C25" s="29"/>
      <c r="D25" s="29"/>
      <c r="E25" s="31"/>
      <c r="F25" s="31"/>
      <c r="G25" s="29"/>
      <c r="H25" s="29"/>
      <c r="I25" s="29"/>
      <c r="J25" s="29"/>
      <c r="K25" s="29"/>
      <c r="L25" s="29"/>
      <c r="M25" s="29"/>
      <c r="N25" s="29"/>
      <c r="O25" s="27"/>
      <c r="P25" s="29"/>
      <c r="Q25" s="31"/>
    </row>
    <row r="26" spans="1:17">
      <c r="A26" s="27"/>
      <c r="B26" s="29"/>
      <c r="C26" s="29"/>
      <c r="D26" s="29"/>
      <c r="E26" s="31"/>
      <c r="F26" s="31"/>
      <c r="G26" s="29"/>
      <c r="H26" s="29"/>
      <c r="I26" s="29"/>
      <c r="J26" s="29"/>
      <c r="K26" s="29"/>
      <c r="L26" s="29"/>
      <c r="M26" s="29"/>
      <c r="N26" s="29"/>
      <c r="O26" s="27"/>
      <c r="P26" s="29"/>
      <c r="Q26" s="31"/>
    </row>
    <row r="27" spans="1:17">
      <c r="A27" s="27"/>
      <c r="B27" s="29"/>
      <c r="C27" s="29"/>
      <c r="D27" s="29"/>
      <c r="E27" s="31"/>
      <c r="F27" s="31"/>
      <c r="G27" s="29"/>
      <c r="H27" s="29"/>
      <c r="I27" s="29"/>
      <c r="J27" s="29"/>
      <c r="K27" s="29"/>
      <c r="L27" s="29"/>
      <c r="M27" s="29"/>
      <c r="N27" s="29"/>
      <c r="O27" s="27"/>
      <c r="P27" s="29"/>
      <c r="Q27" s="31"/>
    </row>
    <row r="28" spans="1:17">
      <c r="A28" s="27"/>
      <c r="B28" s="29"/>
      <c r="C28" s="29"/>
      <c r="D28" s="29"/>
      <c r="E28" s="31"/>
      <c r="F28" s="31"/>
      <c r="G28" s="29"/>
      <c r="H28" s="29"/>
      <c r="I28" s="29"/>
      <c r="J28" s="29"/>
      <c r="K28" s="29"/>
      <c r="L28" s="29"/>
      <c r="M28" s="29"/>
      <c r="N28" s="29"/>
      <c r="O28" s="27"/>
      <c r="P28" s="29"/>
      <c r="Q28" s="31"/>
    </row>
  </sheetData>
  <mergeCells count="13">
    <mergeCell ref="P3:P4"/>
    <mergeCell ref="Q3:Q4"/>
    <mergeCell ref="A5:P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71"/>
  <sheetViews>
    <sheetView workbookViewId="0">
      <selection activeCell="N14" sqref="N14"/>
    </sheetView>
  </sheetViews>
  <sheetFormatPr defaultRowHeight="12.75"/>
  <cols>
    <col min="1" max="1" width="24.85546875" customWidth="1"/>
    <col min="2" max="2" width="33.42578125" customWidth="1"/>
    <col min="4" max="4" width="13.140625" customWidth="1"/>
    <col min="6" max="6" width="33" customWidth="1"/>
    <col min="11" max="11" width="21.140625" customWidth="1"/>
  </cols>
  <sheetData>
    <row r="1" spans="1:11" s="3" customFormat="1" ht="29.1" customHeight="1">
      <c r="A1" s="79" t="s">
        <v>1451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>
      <c r="A3" s="71" t="s">
        <v>0</v>
      </c>
      <c r="B3" s="73" t="s">
        <v>9</v>
      </c>
      <c r="C3" s="73" t="s">
        <v>12</v>
      </c>
      <c r="D3" s="60" t="s">
        <v>1452</v>
      </c>
      <c r="E3" s="60" t="s">
        <v>7</v>
      </c>
      <c r="F3" s="60" t="s">
        <v>11</v>
      </c>
      <c r="G3" s="60" t="s">
        <v>1453</v>
      </c>
      <c r="H3" s="60"/>
      <c r="I3" s="60" t="s">
        <v>1454</v>
      </c>
      <c r="J3" s="60" t="s">
        <v>6</v>
      </c>
      <c r="K3" s="63" t="s">
        <v>5</v>
      </c>
    </row>
    <row r="4" spans="1:11" s="1" customFormat="1" ht="21" customHeight="1" thickBot="1">
      <c r="A4" s="72"/>
      <c r="B4" s="74"/>
      <c r="C4" s="74"/>
      <c r="D4" s="74"/>
      <c r="E4" s="74"/>
      <c r="F4" s="74"/>
      <c r="G4" s="2" t="s">
        <v>1455</v>
      </c>
      <c r="H4" s="51" t="s">
        <v>1456</v>
      </c>
      <c r="I4" s="74"/>
      <c r="J4" s="74"/>
      <c r="K4" s="64"/>
    </row>
    <row r="5" spans="1:11" s="4" customFormat="1" ht="15">
      <c r="A5" s="75" t="s">
        <v>771</v>
      </c>
      <c r="B5" s="76"/>
      <c r="C5" s="76"/>
      <c r="D5" s="76"/>
      <c r="E5" s="76"/>
      <c r="F5" s="76"/>
      <c r="G5" s="76"/>
      <c r="H5" s="76"/>
      <c r="I5" s="76"/>
      <c r="J5" s="76"/>
      <c r="K5" s="5"/>
    </row>
    <row r="6" spans="1:11" s="4" customFormat="1">
      <c r="A6" s="8" t="s">
        <v>785</v>
      </c>
      <c r="B6" s="8" t="s">
        <v>786</v>
      </c>
      <c r="C6" s="8" t="s">
        <v>1457</v>
      </c>
      <c r="D6" s="8" t="str">
        <f>"2,0800"</f>
        <v>2,0800</v>
      </c>
      <c r="E6" s="8" t="s">
        <v>82</v>
      </c>
      <c r="F6" s="8" t="s">
        <v>21</v>
      </c>
      <c r="G6" s="10" t="s">
        <v>518</v>
      </c>
      <c r="H6" s="52" t="s">
        <v>1458</v>
      </c>
      <c r="I6" s="8" t="str">
        <f>"1175,0"</f>
        <v>1175,0</v>
      </c>
      <c r="J6" s="10" t="str">
        <f>"2443,9999"</f>
        <v>2443,9999</v>
      </c>
      <c r="K6" s="8" t="s">
        <v>788</v>
      </c>
    </row>
    <row r="7" spans="1:11" s="4" customFormat="1">
      <c r="A7" s="5"/>
      <c r="B7" s="5"/>
      <c r="C7" s="5"/>
      <c r="D7" s="5"/>
      <c r="E7" s="5"/>
      <c r="F7" s="5"/>
      <c r="H7" s="53"/>
      <c r="I7" s="5"/>
      <c r="K7" s="5"/>
    </row>
    <row r="8" spans="1:11" s="4" customFormat="1" ht="15">
      <c r="A8" s="77" t="s">
        <v>511</v>
      </c>
      <c r="B8" s="78"/>
      <c r="C8" s="78"/>
      <c r="D8" s="78"/>
      <c r="E8" s="78"/>
      <c r="F8" s="78"/>
      <c r="G8" s="78"/>
      <c r="H8" s="78"/>
      <c r="I8" s="78"/>
      <c r="J8" s="78"/>
      <c r="K8" s="5"/>
    </row>
    <row r="9" spans="1:11" s="4" customFormat="1">
      <c r="A9" s="8" t="s">
        <v>1009</v>
      </c>
      <c r="B9" s="8" t="s">
        <v>1010</v>
      </c>
      <c r="C9" s="8" t="s">
        <v>515</v>
      </c>
      <c r="D9" s="8" t="str">
        <f>"0,9100"</f>
        <v>0,9100</v>
      </c>
      <c r="E9" s="8" t="s">
        <v>82</v>
      </c>
      <c r="F9" s="8" t="s">
        <v>376</v>
      </c>
      <c r="G9" s="10" t="s">
        <v>484</v>
      </c>
      <c r="H9" s="52" t="s">
        <v>520</v>
      </c>
      <c r="I9" s="8" t="str">
        <f>"1800,0"</f>
        <v>1800,0</v>
      </c>
      <c r="J9" s="10" t="str">
        <f>"1638,0000"</f>
        <v>1638,0000</v>
      </c>
      <c r="K9" s="8" t="s">
        <v>1012</v>
      </c>
    </row>
    <row r="10" spans="1:11" s="4" customFormat="1">
      <c r="A10" s="5"/>
      <c r="B10" s="5"/>
      <c r="C10" s="5"/>
      <c r="D10" s="5"/>
      <c r="E10" s="5"/>
      <c r="F10" s="5"/>
      <c r="H10" s="53"/>
      <c r="I10" s="5"/>
      <c r="K10" s="5"/>
    </row>
    <row r="11" spans="1:11" s="4" customFormat="1" ht="15">
      <c r="A11" s="77" t="s">
        <v>281</v>
      </c>
      <c r="B11" s="78"/>
      <c r="C11" s="78"/>
      <c r="D11" s="78"/>
      <c r="E11" s="78"/>
      <c r="F11" s="78"/>
      <c r="G11" s="78"/>
      <c r="H11" s="78"/>
      <c r="I11" s="78"/>
      <c r="J11" s="78"/>
      <c r="K11" s="5"/>
    </row>
    <row r="12" spans="1:11" s="4" customFormat="1">
      <c r="A12" s="11" t="s">
        <v>1459</v>
      </c>
      <c r="B12" s="11" t="s">
        <v>1460</v>
      </c>
      <c r="C12" s="11" t="s">
        <v>1461</v>
      </c>
      <c r="D12" s="11" t="str">
        <f>"0,8833"</f>
        <v>0,8833</v>
      </c>
      <c r="E12" s="11" t="s">
        <v>82</v>
      </c>
      <c r="F12" s="11" t="s">
        <v>640</v>
      </c>
      <c r="G12" s="12" t="s">
        <v>527</v>
      </c>
      <c r="H12" s="54" t="s">
        <v>518</v>
      </c>
      <c r="I12" s="11" t="str">
        <f>"1625,0"</f>
        <v>1625,0</v>
      </c>
      <c r="J12" s="12" t="str">
        <f>"1435,3625"</f>
        <v>1435,3625</v>
      </c>
      <c r="K12" s="11" t="s">
        <v>58</v>
      </c>
    </row>
    <row r="13" spans="1:11" s="4" customFormat="1">
      <c r="A13" s="14" t="s">
        <v>1462</v>
      </c>
      <c r="B13" s="14" t="s">
        <v>1463</v>
      </c>
      <c r="C13" s="14" t="s">
        <v>1464</v>
      </c>
      <c r="D13" s="14" t="str">
        <f>"0,8346"</f>
        <v>0,8346</v>
      </c>
      <c r="E13" s="14" t="s">
        <v>82</v>
      </c>
      <c r="F13" s="14" t="s">
        <v>89</v>
      </c>
      <c r="G13" s="15" t="s">
        <v>307</v>
      </c>
      <c r="H13" s="55" t="s">
        <v>1465</v>
      </c>
      <c r="I13" s="14" t="str">
        <f>"2835,0"</f>
        <v>2835,0</v>
      </c>
      <c r="J13" s="15" t="str">
        <f>"2366,0909"</f>
        <v>2366,0909</v>
      </c>
      <c r="K13" s="14" t="s">
        <v>1466</v>
      </c>
    </row>
    <row r="14" spans="1:11" s="4" customFormat="1">
      <c r="A14" s="5"/>
      <c r="B14" s="5"/>
      <c r="C14" s="5"/>
      <c r="D14" s="5"/>
      <c r="E14" s="5"/>
      <c r="F14" s="5"/>
      <c r="H14" s="53"/>
      <c r="I14" s="5"/>
      <c r="K14" s="5"/>
    </row>
    <row r="15" spans="1:11" s="4" customFormat="1" ht="15">
      <c r="A15" s="77" t="s">
        <v>15</v>
      </c>
      <c r="B15" s="78"/>
      <c r="C15" s="78"/>
      <c r="D15" s="78"/>
      <c r="E15" s="78"/>
      <c r="F15" s="78"/>
      <c r="G15" s="78"/>
      <c r="H15" s="78"/>
      <c r="I15" s="78"/>
      <c r="J15" s="78"/>
      <c r="K15" s="5"/>
    </row>
    <row r="16" spans="1:11" s="4" customFormat="1">
      <c r="A16" s="11" t="s">
        <v>1467</v>
      </c>
      <c r="B16" s="11" t="s">
        <v>1468</v>
      </c>
      <c r="C16" s="11" t="s">
        <v>1310</v>
      </c>
      <c r="D16" s="11" t="str">
        <f>"0,8175"</f>
        <v>0,8175</v>
      </c>
      <c r="E16" s="11" t="s">
        <v>50</v>
      </c>
      <c r="F16" s="11" t="s">
        <v>51</v>
      </c>
      <c r="G16" s="12" t="s">
        <v>1348</v>
      </c>
      <c r="H16" s="54" t="s">
        <v>1469</v>
      </c>
      <c r="I16" s="11" t="str">
        <f>"2827,5"</f>
        <v>2827,5</v>
      </c>
      <c r="J16" s="12" t="str">
        <f>"2311,4812"</f>
        <v>2311,4812</v>
      </c>
      <c r="K16" s="11" t="s">
        <v>77</v>
      </c>
    </row>
    <row r="17" spans="1:11" s="4" customFormat="1">
      <c r="A17" s="14" t="s">
        <v>1470</v>
      </c>
      <c r="B17" s="14" t="s">
        <v>841</v>
      </c>
      <c r="C17" s="14" t="s">
        <v>842</v>
      </c>
      <c r="D17" s="14" t="str">
        <f>"0,8020"</f>
        <v>0,8020</v>
      </c>
      <c r="E17" s="14" t="s">
        <v>82</v>
      </c>
      <c r="F17" s="14" t="s">
        <v>376</v>
      </c>
      <c r="G17" s="15" t="s">
        <v>169</v>
      </c>
      <c r="H17" s="55" t="s">
        <v>1471</v>
      </c>
      <c r="I17" s="14" t="str">
        <f>"1950,0"</f>
        <v>1950,0</v>
      </c>
      <c r="J17" s="15" t="str">
        <f>"1563,9000"</f>
        <v>1563,9000</v>
      </c>
      <c r="K17" s="14" t="s">
        <v>58</v>
      </c>
    </row>
    <row r="18" spans="1:11" s="4" customFormat="1">
      <c r="A18" s="5"/>
      <c r="B18" s="5"/>
      <c r="C18" s="5"/>
      <c r="D18" s="5"/>
      <c r="E18" s="5"/>
      <c r="F18" s="5"/>
      <c r="H18" s="53"/>
      <c r="I18" s="5"/>
      <c r="K18" s="5"/>
    </row>
    <row r="19" spans="1:11" s="4" customFormat="1" ht="15">
      <c r="A19" s="77" t="s">
        <v>31</v>
      </c>
      <c r="B19" s="78"/>
      <c r="C19" s="78"/>
      <c r="D19" s="78"/>
      <c r="E19" s="78"/>
      <c r="F19" s="78"/>
      <c r="G19" s="78"/>
      <c r="H19" s="78"/>
      <c r="I19" s="78"/>
      <c r="J19" s="78"/>
      <c r="K19" s="5"/>
    </row>
    <row r="20" spans="1:11" s="4" customFormat="1">
      <c r="A20" s="11" t="s">
        <v>1472</v>
      </c>
      <c r="B20" s="11" t="s">
        <v>871</v>
      </c>
      <c r="C20" s="11" t="s">
        <v>872</v>
      </c>
      <c r="D20" s="11" t="str">
        <f>"0,7790"</f>
        <v>0,7790</v>
      </c>
      <c r="E20" s="11" t="s">
        <v>82</v>
      </c>
      <c r="F20" s="11" t="s">
        <v>51</v>
      </c>
      <c r="G20" s="12" t="s">
        <v>174</v>
      </c>
      <c r="H20" s="54" t="s">
        <v>1473</v>
      </c>
      <c r="I20" s="11" t="str">
        <f>"2640,0"</f>
        <v>2640,0</v>
      </c>
      <c r="J20" s="12" t="str">
        <f>"2056,5600"</f>
        <v>2056,5600</v>
      </c>
      <c r="K20" s="11" t="s">
        <v>58</v>
      </c>
    </row>
    <row r="21" spans="1:11" s="4" customFormat="1">
      <c r="A21" s="5"/>
      <c r="B21" s="5"/>
      <c r="C21" s="5"/>
      <c r="D21" s="5"/>
      <c r="E21" s="5"/>
      <c r="F21" s="5"/>
      <c r="H21" s="53"/>
      <c r="I21" s="5"/>
      <c r="K21" s="5"/>
    </row>
    <row r="22" spans="1:11" s="4" customFormat="1" ht="15">
      <c r="A22" s="77" t="s">
        <v>59</v>
      </c>
      <c r="B22" s="78"/>
      <c r="C22" s="78"/>
      <c r="D22" s="78"/>
      <c r="E22" s="78"/>
      <c r="F22" s="78"/>
      <c r="G22" s="78"/>
      <c r="H22" s="78"/>
      <c r="I22" s="78"/>
      <c r="J22" s="78"/>
      <c r="K22" s="5"/>
    </row>
    <row r="23" spans="1:11" s="4" customFormat="1">
      <c r="A23" s="11" t="s">
        <v>1474</v>
      </c>
      <c r="B23" s="11" t="s">
        <v>1475</v>
      </c>
      <c r="C23" s="11" t="s">
        <v>1476</v>
      </c>
      <c r="D23" s="11" t="str">
        <f>"0,7638"</f>
        <v>0,7638</v>
      </c>
      <c r="E23" s="11" t="s">
        <v>82</v>
      </c>
      <c r="F23" s="11" t="s">
        <v>349</v>
      </c>
      <c r="G23" s="12" t="s">
        <v>542</v>
      </c>
      <c r="H23" s="54" t="s">
        <v>1477</v>
      </c>
      <c r="I23" s="11" t="str">
        <f>"2635,0"</f>
        <v>2635,0</v>
      </c>
      <c r="J23" s="12" t="str">
        <f>"2012,6131"</f>
        <v>2012,6131</v>
      </c>
      <c r="K23" s="11" t="s">
        <v>58</v>
      </c>
    </row>
    <row r="24" spans="1:11" s="4" customFormat="1">
      <c r="A24" s="17" t="s">
        <v>1478</v>
      </c>
      <c r="B24" s="17" t="s">
        <v>926</v>
      </c>
      <c r="C24" s="17" t="s">
        <v>927</v>
      </c>
      <c r="D24" s="17" t="str">
        <f>"0,7341"</f>
        <v>0,7341</v>
      </c>
      <c r="E24" s="17" t="s">
        <v>82</v>
      </c>
      <c r="F24" s="17" t="s">
        <v>370</v>
      </c>
      <c r="G24" s="19" t="s">
        <v>553</v>
      </c>
      <c r="H24" s="56" t="s">
        <v>1479</v>
      </c>
      <c r="I24" s="17" t="str">
        <f>"2362,5"</f>
        <v>2362,5</v>
      </c>
      <c r="J24" s="19" t="str">
        <f>"1734,3112"</f>
        <v>1734,3112</v>
      </c>
      <c r="K24" s="17" t="s">
        <v>58</v>
      </c>
    </row>
    <row r="25" spans="1:11" s="4" customFormat="1">
      <c r="A25" s="17" t="s">
        <v>1480</v>
      </c>
      <c r="B25" s="17" t="s">
        <v>1481</v>
      </c>
      <c r="C25" s="17" t="s">
        <v>1482</v>
      </c>
      <c r="D25" s="17" t="str">
        <f>"0,7730"</f>
        <v>0,7730</v>
      </c>
      <c r="E25" s="17" t="s">
        <v>82</v>
      </c>
      <c r="F25" s="17" t="s">
        <v>435</v>
      </c>
      <c r="G25" s="19" t="s">
        <v>542</v>
      </c>
      <c r="H25" s="56" t="s">
        <v>1479</v>
      </c>
      <c r="I25" s="17" t="str">
        <f>"2295,0"</f>
        <v>2295,0</v>
      </c>
      <c r="J25" s="19" t="str">
        <f>"1774,0350"</f>
        <v>1774,0350</v>
      </c>
      <c r="K25" s="17" t="s">
        <v>58</v>
      </c>
    </row>
    <row r="26" spans="1:11" s="4" customFormat="1">
      <c r="A26" s="14" t="s">
        <v>1483</v>
      </c>
      <c r="B26" s="14" t="s">
        <v>1484</v>
      </c>
      <c r="C26" s="14" t="s">
        <v>1476</v>
      </c>
      <c r="D26" s="14" t="str">
        <f>"0,7638"</f>
        <v>0,7638</v>
      </c>
      <c r="E26" s="14" t="s">
        <v>99</v>
      </c>
      <c r="F26" s="14" t="s">
        <v>100</v>
      </c>
      <c r="G26" s="15" t="s">
        <v>542</v>
      </c>
      <c r="H26" s="55" t="s">
        <v>1479</v>
      </c>
      <c r="I26" s="14" t="str">
        <f>"2295,0"</f>
        <v>2295,0</v>
      </c>
      <c r="J26" s="15" t="str">
        <f>"1752,9211"</f>
        <v>1752,9211</v>
      </c>
      <c r="K26" s="14" t="s">
        <v>69</v>
      </c>
    </row>
    <row r="27" spans="1:11" s="4" customFormat="1">
      <c r="A27" s="5"/>
      <c r="B27" s="5"/>
      <c r="C27" s="5"/>
      <c r="D27" s="5"/>
      <c r="E27" s="5"/>
      <c r="F27" s="5"/>
      <c r="H27" s="53"/>
      <c r="I27" s="5"/>
      <c r="K27" s="5"/>
    </row>
    <row r="28" spans="1:11" s="4" customFormat="1" ht="15">
      <c r="A28" s="77" t="s">
        <v>94</v>
      </c>
      <c r="B28" s="78"/>
      <c r="C28" s="78"/>
      <c r="D28" s="78"/>
      <c r="E28" s="78"/>
      <c r="F28" s="78"/>
      <c r="G28" s="78"/>
      <c r="H28" s="78"/>
      <c r="I28" s="78"/>
      <c r="J28" s="78"/>
      <c r="K28" s="5"/>
    </row>
    <row r="29" spans="1:11" s="4" customFormat="1">
      <c r="A29" s="11" t="s">
        <v>1485</v>
      </c>
      <c r="B29" s="11" t="s">
        <v>963</v>
      </c>
      <c r="C29" s="11" t="s">
        <v>964</v>
      </c>
      <c r="D29" s="11" t="str">
        <f>"0,6967"</f>
        <v>0,6967</v>
      </c>
      <c r="E29" s="11" t="s">
        <v>82</v>
      </c>
      <c r="F29" s="11" t="s">
        <v>51</v>
      </c>
      <c r="G29" s="12" t="s">
        <v>203</v>
      </c>
      <c r="H29" s="54" t="s">
        <v>1479</v>
      </c>
      <c r="I29" s="11" t="str">
        <f>"2565,0"</f>
        <v>2565,0</v>
      </c>
      <c r="J29" s="12" t="str">
        <f>"1787,0354"</f>
        <v>1787,0354</v>
      </c>
      <c r="K29" s="11" t="s">
        <v>58</v>
      </c>
    </row>
    <row r="30" spans="1:11" s="4" customFormat="1">
      <c r="A30" s="14" t="s">
        <v>984</v>
      </c>
      <c r="B30" s="14" t="s">
        <v>985</v>
      </c>
      <c r="C30" s="14" t="s">
        <v>986</v>
      </c>
      <c r="D30" s="14" t="str">
        <f>"0,6618"</f>
        <v>0,6618</v>
      </c>
      <c r="E30" s="14" t="s">
        <v>82</v>
      </c>
      <c r="F30" s="14" t="s">
        <v>376</v>
      </c>
      <c r="G30" s="15" t="s">
        <v>160</v>
      </c>
      <c r="H30" s="55" t="s">
        <v>1486</v>
      </c>
      <c r="I30" s="14" t="str">
        <f>"1800,0"</f>
        <v>1800,0</v>
      </c>
      <c r="J30" s="15" t="str">
        <f>"1191,2400"</f>
        <v>1191,2400</v>
      </c>
      <c r="K30" s="14" t="s">
        <v>987</v>
      </c>
    </row>
    <row r="31" spans="1:11" s="4" customFormat="1">
      <c r="A31" s="5"/>
      <c r="B31" s="5"/>
      <c r="C31" s="5"/>
      <c r="D31" s="5"/>
      <c r="E31" s="5"/>
      <c r="F31" s="5"/>
      <c r="H31" s="53"/>
      <c r="I31" s="5"/>
      <c r="K31" s="5"/>
    </row>
    <row r="32" spans="1:11" s="4" customFormat="1" ht="15">
      <c r="A32" s="77" t="s">
        <v>129</v>
      </c>
      <c r="B32" s="78"/>
      <c r="C32" s="78"/>
      <c r="D32" s="78"/>
      <c r="E32" s="78"/>
      <c r="F32" s="78"/>
      <c r="G32" s="78"/>
      <c r="H32" s="78"/>
      <c r="I32" s="78"/>
      <c r="J32" s="78"/>
      <c r="K32" s="5"/>
    </row>
    <row r="33" spans="1:11" s="4" customFormat="1">
      <c r="A33" s="8" t="s">
        <v>993</v>
      </c>
      <c r="B33" s="8" t="s">
        <v>994</v>
      </c>
      <c r="C33" s="8" t="s">
        <v>995</v>
      </c>
      <c r="D33" s="8" t="str">
        <f>"0,6722"</f>
        <v>0,6722</v>
      </c>
      <c r="E33" s="8" t="s">
        <v>82</v>
      </c>
      <c r="F33" s="8" t="s">
        <v>376</v>
      </c>
      <c r="G33" s="10" t="s">
        <v>496</v>
      </c>
      <c r="H33" s="52" t="s">
        <v>1487</v>
      </c>
      <c r="I33" s="8" t="str">
        <f>"3465,0"</f>
        <v>3465,0</v>
      </c>
      <c r="J33" s="10" t="str">
        <f>"2329,1731"</f>
        <v>2329,1731</v>
      </c>
      <c r="K33" s="8" t="s">
        <v>998</v>
      </c>
    </row>
    <row r="34" spans="1:11" s="4" customFormat="1">
      <c r="A34" s="5"/>
      <c r="B34" s="5"/>
      <c r="C34" s="5"/>
      <c r="D34" s="5"/>
      <c r="E34" s="5"/>
      <c r="F34" s="5"/>
      <c r="H34" s="53"/>
      <c r="I34" s="5"/>
      <c r="K34" s="5"/>
    </row>
    <row r="35" spans="1:11" s="4" customFormat="1" ht="15">
      <c r="A35" s="5"/>
      <c r="B35" s="5"/>
      <c r="C35" s="5"/>
      <c r="D35" s="5"/>
      <c r="E35" s="20" t="s">
        <v>146</v>
      </c>
      <c r="F35" s="5"/>
      <c r="H35" s="53"/>
      <c r="I35" s="5"/>
      <c r="K35" s="5"/>
    </row>
    <row r="36" spans="1:11" s="4" customFormat="1" ht="15">
      <c r="A36" s="5"/>
      <c r="B36" s="5"/>
      <c r="C36" s="5"/>
      <c r="D36" s="5"/>
      <c r="E36" s="20" t="s">
        <v>147</v>
      </c>
      <c r="F36" s="5"/>
      <c r="H36" s="53"/>
      <c r="I36" s="5"/>
      <c r="K36" s="5"/>
    </row>
    <row r="37" spans="1:11" s="4" customFormat="1" ht="15">
      <c r="A37" s="5"/>
      <c r="B37" s="5"/>
      <c r="C37" s="5"/>
      <c r="D37" s="5"/>
      <c r="E37" s="20" t="s">
        <v>148</v>
      </c>
      <c r="F37" s="5"/>
      <c r="H37" s="53"/>
      <c r="I37" s="5"/>
      <c r="K37" s="5"/>
    </row>
    <row r="38" spans="1:11" s="4" customFormat="1" ht="15">
      <c r="A38" s="5"/>
      <c r="B38" s="5"/>
      <c r="C38" s="5"/>
      <c r="D38" s="5"/>
      <c r="E38" s="20" t="s">
        <v>149</v>
      </c>
      <c r="F38" s="5"/>
      <c r="H38" s="53"/>
      <c r="I38" s="5"/>
      <c r="K38" s="5"/>
    </row>
    <row r="39" spans="1:11" s="4" customFormat="1" ht="15">
      <c r="A39" s="5"/>
      <c r="B39" s="5"/>
      <c r="C39" s="5"/>
      <c r="D39" s="5"/>
      <c r="E39" s="20" t="s">
        <v>149</v>
      </c>
      <c r="F39" s="5"/>
      <c r="H39" s="53"/>
      <c r="I39" s="5"/>
      <c r="K39" s="5"/>
    </row>
    <row r="40" spans="1:11" s="4" customFormat="1" ht="15">
      <c r="A40" s="5"/>
      <c r="B40" s="5"/>
      <c r="C40" s="5"/>
      <c r="D40" s="5"/>
      <c r="E40" s="20" t="s">
        <v>150</v>
      </c>
      <c r="F40" s="5"/>
      <c r="H40" s="53"/>
      <c r="I40" s="5"/>
      <c r="K40" s="5"/>
    </row>
    <row r="41" spans="1:11" s="4" customFormat="1" ht="15">
      <c r="A41" s="5"/>
      <c r="B41" s="5"/>
      <c r="C41" s="5"/>
      <c r="D41" s="5"/>
      <c r="E41" s="20"/>
      <c r="F41" s="5"/>
      <c r="H41" s="53"/>
      <c r="I41" s="5"/>
      <c r="K41" s="5"/>
    </row>
    <row r="42" spans="1:11" s="4" customFormat="1">
      <c r="A42" s="5"/>
      <c r="B42" s="5"/>
      <c r="C42" s="5"/>
      <c r="D42" s="5"/>
      <c r="E42" s="5"/>
      <c r="F42" s="5"/>
      <c r="H42" s="53"/>
      <c r="I42" s="5"/>
      <c r="K42" s="5"/>
    </row>
    <row r="43" spans="1:11" s="4" customFormat="1" ht="18">
      <c r="A43" s="21" t="s">
        <v>151</v>
      </c>
      <c r="B43" s="21"/>
      <c r="C43" s="5"/>
      <c r="D43" s="5"/>
      <c r="E43" s="5"/>
      <c r="F43" s="5"/>
      <c r="H43" s="53"/>
      <c r="I43" s="5"/>
      <c r="K43" s="5"/>
    </row>
    <row r="44" spans="1:11" s="4" customFormat="1" ht="15">
      <c r="A44" s="22" t="s">
        <v>152</v>
      </c>
      <c r="B44" s="22"/>
      <c r="C44" s="5"/>
      <c r="D44" s="5"/>
      <c r="E44" s="5"/>
      <c r="F44" s="5"/>
      <c r="H44" s="53"/>
      <c r="I44" s="5"/>
      <c r="K44" s="5"/>
    </row>
    <row r="45" spans="1:11" s="4" customFormat="1" ht="14.25">
      <c r="A45" s="24"/>
      <c r="B45" s="25" t="s">
        <v>153</v>
      </c>
      <c r="C45" s="5"/>
      <c r="D45" s="5"/>
      <c r="E45" s="5"/>
      <c r="F45" s="5"/>
      <c r="H45" s="53"/>
      <c r="I45" s="5"/>
      <c r="K45" s="5"/>
    </row>
    <row r="46" spans="1:11" s="4" customFormat="1" ht="15">
      <c r="A46" s="26" t="s">
        <v>154</v>
      </c>
      <c r="B46" s="26" t="s">
        <v>155</v>
      </c>
      <c r="C46" s="26" t="s">
        <v>156</v>
      </c>
      <c r="D46" s="26" t="s">
        <v>157</v>
      </c>
      <c r="E46" s="26" t="s">
        <v>1488</v>
      </c>
      <c r="F46" s="5"/>
      <c r="H46" s="53"/>
      <c r="I46" s="5"/>
      <c r="K46" s="5"/>
    </row>
    <row r="47" spans="1:11" s="4" customFormat="1">
      <c r="A47" s="23" t="s">
        <v>1008</v>
      </c>
      <c r="B47" s="5" t="s">
        <v>306</v>
      </c>
      <c r="C47" s="5" t="s">
        <v>484</v>
      </c>
      <c r="D47" s="5" t="s">
        <v>1489</v>
      </c>
      <c r="E47" s="27" t="s">
        <v>1490</v>
      </c>
      <c r="F47" s="5"/>
      <c r="H47" s="53"/>
      <c r="I47" s="5"/>
      <c r="K47" s="5"/>
    </row>
    <row r="48" spans="1:11" s="4" customFormat="1">
      <c r="A48" s="23" t="s">
        <v>1491</v>
      </c>
      <c r="B48" s="5" t="s">
        <v>159</v>
      </c>
      <c r="C48" s="5" t="s">
        <v>307</v>
      </c>
      <c r="D48" s="5" t="s">
        <v>1492</v>
      </c>
      <c r="E48" s="27" t="s">
        <v>1493</v>
      </c>
      <c r="F48" s="5"/>
      <c r="H48" s="53"/>
      <c r="I48" s="5"/>
      <c r="K48" s="5"/>
    </row>
    <row r="49" spans="1:11" s="4" customFormat="1">
      <c r="A49" s="5"/>
      <c r="B49" s="5"/>
      <c r="C49" s="5"/>
      <c r="D49" s="5"/>
      <c r="E49" s="5"/>
      <c r="F49" s="5"/>
      <c r="H49" s="53"/>
      <c r="I49" s="5"/>
      <c r="K49" s="5"/>
    </row>
    <row r="50" spans="1:11" s="4" customFormat="1" ht="14.25">
      <c r="A50" s="24"/>
      <c r="B50" s="25" t="s">
        <v>163</v>
      </c>
      <c r="C50" s="5"/>
      <c r="D50" s="5"/>
      <c r="E50" s="5"/>
      <c r="F50" s="5"/>
      <c r="H50" s="53"/>
      <c r="I50" s="5"/>
      <c r="K50" s="5"/>
    </row>
    <row r="51" spans="1:11" s="4" customFormat="1" ht="15">
      <c r="A51" s="26" t="s">
        <v>154</v>
      </c>
      <c r="B51" s="26" t="s">
        <v>155</v>
      </c>
      <c r="C51" s="26" t="s">
        <v>156</v>
      </c>
      <c r="D51" s="26" t="s">
        <v>157</v>
      </c>
      <c r="E51" s="26" t="s">
        <v>1488</v>
      </c>
      <c r="F51" s="5"/>
      <c r="H51" s="53"/>
      <c r="I51" s="5"/>
      <c r="K51" s="5"/>
    </row>
    <row r="52" spans="1:11" s="4" customFormat="1">
      <c r="A52" s="23" t="s">
        <v>1494</v>
      </c>
      <c r="B52" s="5" t="s">
        <v>164</v>
      </c>
      <c r="C52" s="5" t="s">
        <v>307</v>
      </c>
      <c r="D52" s="5" t="s">
        <v>1495</v>
      </c>
      <c r="E52" s="27" t="s">
        <v>1496</v>
      </c>
      <c r="F52" s="5"/>
      <c r="H52" s="53"/>
      <c r="I52" s="5"/>
      <c r="K52" s="5"/>
    </row>
    <row r="53" spans="1:11" s="4" customFormat="1">
      <c r="A53" s="5"/>
      <c r="B53" s="5"/>
      <c r="C53" s="5"/>
      <c r="D53" s="5"/>
      <c r="E53" s="5"/>
      <c r="F53" s="5"/>
      <c r="H53" s="53"/>
      <c r="I53" s="5"/>
      <c r="K53" s="5"/>
    </row>
    <row r="54" spans="1:11" s="4" customFormat="1" ht="14.25">
      <c r="A54" s="24"/>
      <c r="B54" s="25" t="s">
        <v>168</v>
      </c>
      <c r="C54" s="5"/>
      <c r="D54" s="5"/>
      <c r="E54" s="5"/>
      <c r="F54" s="5"/>
      <c r="H54" s="53"/>
      <c r="I54" s="5"/>
      <c r="K54" s="5"/>
    </row>
    <row r="55" spans="1:11" s="4" customFormat="1" ht="15">
      <c r="A55" s="26" t="s">
        <v>154</v>
      </c>
      <c r="B55" s="26" t="s">
        <v>155</v>
      </c>
      <c r="C55" s="26" t="s">
        <v>156</v>
      </c>
      <c r="D55" s="26" t="s">
        <v>157</v>
      </c>
      <c r="E55" s="26" t="s">
        <v>1488</v>
      </c>
      <c r="F55" s="5"/>
      <c r="H55" s="53"/>
      <c r="I55" s="5"/>
      <c r="K55" s="5"/>
    </row>
    <row r="56" spans="1:11" s="4" customFormat="1">
      <c r="A56" s="23" t="s">
        <v>992</v>
      </c>
      <c r="B56" s="5" t="s">
        <v>168</v>
      </c>
      <c r="C56" s="5" t="s">
        <v>102</v>
      </c>
      <c r="D56" s="5" t="s">
        <v>1497</v>
      </c>
      <c r="E56" s="27" t="s">
        <v>1498</v>
      </c>
      <c r="F56" s="5"/>
      <c r="H56" s="53"/>
      <c r="I56" s="5"/>
      <c r="K56" s="5"/>
    </row>
    <row r="57" spans="1:11" s="4" customFormat="1">
      <c r="A57" s="23" t="s">
        <v>1499</v>
      </c>
      <c r="B57" s="5" t="s">
        <v>168</v>
      </c>
      <c r="C57" s="5" t="s">
        <v>169</v>
      </c>
      <c r="D57" s="5" t="s">
        <v>1500</v>
      </c>
      <c r="E57" s="27" t="s">
        <v>1501</v>
      </c>
      <c r="F57" s="5"/>
      <c r="H57" s="53"/>
      <c r="I57" s="5"/>
      <c r="K57" s="5"/>
    </row>
    <row r="58" spans="1:11" s="4" customFormat="1">
      <c r="A58" s="23" t="s">
        <v>869</v>
      </c>
      <c r="B58" s="5" t="s">
        <v>168</v>
      </c>
      <c r="C58" s="5" t="s">
        <v>174</v>
      </c>
      <c r="D58" s="5" t="s">
        <v>1502</v>
      </c>
      <c r="E58" s="27" t="s">
        <v>1503</v>
      </c>
      <c r="F58" s="5"/>
      <c r="H58" s="53"/>
      <c r="I58" s="5"/>
      <c r="K58" s="5"/>
    </row>
    <row r="59" spans="1:11" s="4" customFormat="1">
      <c r="A59" s="23" t="s">
        <v>1504</v>
      </c>
      <c r="B59" s="5" t="s">
        <v>168</v>
      </c>
      <c r="C59" s="5" t="s">
        <v>165</v>
      </c>
      <c r="D59" s="5" t="s">
        <v>1505</v>
      </c>
      <c r="E59" s="27" t="s">
        <v>1506</v>
      </c>
      <c r="F59" s="5"/>
      <c r="H59" s="53"/>
      <c r="I59" s="5"/>
      <c r="K59" s="5"/>
    </row>
    <row r="60" spans="1:11" s="4" customFormat="1">
      <c r="A60" s="23" t="s">
        <v>961</v>
      </c>
      <c r="B60" s="5" t="s">
        <v>168</v>
      </c>
      <c r="C60" s="5" t="s">
        <v>160</v>
      </c>
      <c r="D60" s="5" t="s">
        <v>1507</v>
      </c>
      <c r="E60" s="27" t="s">
        <v>1508</v>
      </c>
      <c r="F60" s="5"/>
      <c r="H60" s="53"/>
      <c r="I60" s="5"/>
      <c r="K60" s="5"/>
    </row>
    <row r="61" spans="1:11" s="4" customFormat="1">
      <c r="A61" s="23" t="s">
        <v>1509</v>
      </c>
      <c r="B61" s="5" t="s">
        <v>168</v>
      </c>
      <c r="C61" s="5" t="s">
        <v>165</v>
      </c>
      <c r="D61" s="5" t="s">
        <v>1510</v>
      </c>
      <c r="E61" s="27" t="s">
        <v>1511</v>
      </c>
      <c r="F61" s="5"/>
      <c r="H61" s="53"/>
      <c r="I61" s="5"/>
      <c r="K61" s="5"/>
    </row>
    <row r="62" spans="1:11" s="4" customFormat="1">
      <c r="A62" s="23" t="s">
        <v>1512</v>
      </c>
      <c r="B62" s="5" t="s">
        <v>168</v>
      </c>
      <c r="C62" s="5" t="s">
        <v>165</v>
      </c>
      <c r="D62" s="5" t="s">
        <v>1510</v>
      </c>
      <c r="E62" s="27" t="s">
        <v>1513</v>
      </c>
      <c r="F62" s="5"/>
      <c r="H62" s="53"/>
      <c r="I62" s="5"/>
      <c r="K62" s="5"/>
    </row>
    <row r="63" spans="1:11" s="4" customFormat="1">
      <c r="A63" s="23" t="s">
        <v>924</v>
      </c>
      <c r="B63" s="5" t="s">
        <v>168</v>
      </c>
      <c r="C63" s="5" t="s">
        <v>165</v>
      </c>
      <c r="D63" s="5" t="s">
        <v>1514</v>
      </c>
      <c r="E63" s="27" t="s">
        <v>1515</v>
      </c>
      <c r="F63" s="5"/>
      <c r="H63" s="53"/>
      <c r="I63" s="5"/>
      <c r="K63" s="5"/>
    </row>
    <row r="64" spans="1:11" s="4" customFormat="1">
      <c r="A64" s="23" t="s">
        <v>839</v>
      </c>
      <c r="B64" s="5" t="s">
        <v>168</v>
      </c>
      <c r="C64" s="5" t="s">
        <v>169</v>
      </c>
      <c r="D64" s="5" t="s">
        <v>1516</v>
      </c>
      <c r="E64" s="27" t="s">
        <v>1517</v>
      </c>
      <c r="F64" s="5"/>
      <c r="H64" s="53"/>
      <c r="I64" s="5"/>
      <c r="K64" s="5"/>
    </row>
    <row r="65" spans="1:11" s="4" customFormat="1">
      <c r="A65" s="5"/>
      <c r="B65" s="5"/>
      <c r="C65" s="5"/>
      <c r="D65" s="5"/>
      <c r="E65" s="5"/>
      <c r="F65" s="5"/>
      <c r="H65" s="53"/>
      <c r="I65" s="5"/>
      <c r="K65" s="5"/>
    </row>
    <row r="66" spans="1:11" s="4" customFormat="1" ht="14.25">
      <c r="A66" s="24"/>
      <c r="B66" s="25" t="s">
        <v>191</v>
      </c>
      <c r="C66" s="5"/>
      <c r="D66" s="5"/>
      <c r="E66" s="5"/>
      <c r="F66" s="5"/>
      <c r="H66" s="53"/>
      <c r="I66" s="5"/>
      <c r="K66" s="5"/>
    </row>
    <row r="67" spans="1:11" s="4" customFormat="1" ht="15">
      <c r="A67" s="26" t="s">
        <v>154</v>
      </c>
      <c r="B67" s="26" t="s">
        <v>155</v>
      </c>
      <c r="C67" s="26" t="s">
        <v>156</v>
      </c>
      <c r="D67" s="26" t="s">
        <v>157</v>
      </c>
      <c r="E67" s="26" t="s">
        <v>1488</v>
      </c>
      <c r="F67" s="5"/>
      <c r="H67" s="53"/>
      <c r="I67" s="5"/>
      <c r="K67" s="5"/>
    </row>
    <row r="68" spans="1:11" s="4" customFormat="1">
      <c r="A68" s="23" t="s">
        <v>983</v>
      </c>
      <c r="B68" s="5" t="s">
        <v>1087</v>
      </c>
      <c r="C68" s="5" t="s">
        <v>160</v>
      </c>
      <c r="D68" s="5" t="s">
        <v>1489</v>
      </c>
      <c r="E68" s="27" t="s">
        <v>1518</v>
      </c>
      <c r="F68" s="5"/>
      <c r="H68" s="53"/>
      <c r="I68" s="5"/>
      <c r="K68" s="5"/>
    </row>
    <row r="69" spans="1:11" s="4" customFormat="1">
      <c r="A69" s="5"/>
      <c r="B69" s="5"/>
      <c r="C69" s="5"/>
      <c r="D69" s="5"/>
      <c r="E69" s="5"/>
      <c r="F69" s="5"/>
      <c r="H69" s="53"/>
      <c r="I69" s="5"/>
      <c r="K69" s="5"/>
    </row>
    <row r="70" spans="1:11" s="4" customFormat="1">
      <c r="A70" s="5"/>
      <c r="B70" s="5"/>
      <c r="C70" s="5"/>
      <c r="D70" s="5"/>
      <c r="E70" s="5"/>
      <c r="F70" s="5"/>
      <c r="H70" s="53"/>
      <c r="I70" s="5"/>
      <c r="K70" s="5"/>
    </row>
    <row r="71" spans="1:11" s="4" customFormat="1">
      <c r="A71" s="5"/>
      <c r="B71" s="5"/>
      <c r="C71" s="5"/>
      <c r="D71" s="5"/>
      <c r="E71" s="5"/>
      <c r="F71" s="5"/>
      <c r="H71" s="53"/>
      <c r="I71" s="5"/>
      <c r="K71" s="5"/>
    </row>
  </sheetData>
  <mergeCells count="19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A22:J22"/>
    <mergeCell ref="A28:J28"/>
    <mergeCell ref="A32:J32"/>
    <mergeCell ref="K3:K4"/>
    <mergeCell ref="A5:J5"/>
    <mergeCell ref="A8:J8"/>
    <mergeCell ref="A11:J11"/>
    <mergeCell ref="A15:J15"/>
    <mergeCell ref="A19:J1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A3" sqref="A3:A4"/>
    </sheetView>
  </sheetViews>
  <sheetFormatPr defaultRowHeight="12.75"/>
  <cols>
    <col min="1" max="1" width="26" customWidth="1"/>
    <col min="2" max="2" width="31" customWidth="1"/>
    <col min="4" max="4" width="12.42578125" customWidth="1"/>
    <col min="5" max="5" width="27.140625" customWidth="1"/>
    <col min="6" max="6" width="39.5703125" customWidth="1"/>
    <col min="11" max="11" width="16.140625" customWidth="1"/>
  </cols>
  <sheetData>
    <row r="1" spans="1:11" s="3" customFormat="1" ht="29.1" customHeight="1">
      <c r="A1" s="79" t="s">
        <v>1519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>
      <c r="A3" s="71" t="s">
        <v>0</v>
      </c>
      <c r="B3" s="73" t="s">
        <v>9</v>
      </c>
      <c r="C3" s="73" t="s">
        <v>12</v>
      </c>
      <c r="D3" s="60" t="s">
        <v>1452</v>
      </c>
      <c r="E3" s="60" t="s">
        <v>7</v>
      </c>
      <c r="F3" s="60" t="s">
        <v>11</v>
      </c>
      <c r="G3" s="60" t="s">
        <v>1453</v>
      </c>
      <c r="H3" s="60"/>
      <c r="I3" s="60" t="s">
        <v>1454</v>
      </c>
      <c r="J3" s="60" t="s">
        <v>6</v>
      </c>
      <c r="K3" s="63" t="s">
        <v>5</v>
      </c>
    </row>
    <row r="4" spans="1:11" s="1" customFormat="1" ht="21" customHeight="1" thickBot="1">
      <c r="A4" s="72"/>
      <c r="B4" s="74"/>
      <c r="C4" s="74"/>
      <c r="D4" s="74"/>
      <c r="E4" s="74"/>
      <c r="F4" s="74"/>
      <c r="G4" s="2" t="s">
        <v>1455</v>
      </c>
      <c r="H4" s="51" t="s">
        <v>1456</v>
      </c>
      <c r="I4" s="74"/>
      <c r="J4" s="74"/>
      <c r="K4" s="64"/>
    </row>
    <row r="5" spans="1:11" s="4" customFormat="1" ht="15">
      <c r="A5" s="75" t="s">
        <v>31</v>
      </c>
      <c r="B5" s="76"/>
      <c r="C5" s="76"/>
      <c r="D5" s="76"/>
      <c r="E5" s="76"/>
      <c r="F5" s="76"/>
      <c r="G5" s="76"/>
      <c r="H5" s="76"/>
      <c r="I5" s="76"/>
      <c r="J5" s="76"/>
      <c r="K5" s="5"/>
    </row>
    <row r="6" spans="1:11" s="4" customFormat="1">
      <c r="A6" s="11" t="s">
        <v>1520</v>
      </c>
      <c r="B6" s="11" t="s">
        <v>1521</v>
      </c>
      <c r="C6" s="11" t="s">
        <v>49</v>
      </c>
      <c r="D6" s="11" t="str">
        <f>"0,7800"</f>
        <v>0,7800</v>
      </c>
      <c r="E6" s="11" t="s">
        <v>50</v>
      </c>
      <c r="F6" s="11" t="s">
        <v>51</v>
      </c>
      <c r="G6" s="12" t="s">
        <v>488</v>
      </c>
      <c r="H6" s="57">
        <v>44</v>
      </c>
      <c r="I6" s="11" t="str">
        <f>"3440,0"</f>
        <v>3440,0</v>
      </c>
      <c r="J6" s="12" t="str">
        <f>"2683,1999"</f>
        <v>2683,1999</v>
      </c>
      <c r="K6" s="11" t="s">
        <v>58</v>
      </c>
    </row>
    <row r="7" spans="1:11" s="4" customFormat="1">
      <c r="A7" s="14" t="s">
        <v>1522</v>
      </c>
      <c r="B7" s="14" t="s">
        <v>1523</v>
      </c>
      <c r="C7" s="14" t="s">
        <v>49</v>
      </c>
      <c r="D7" s="14" t="str">
        <f>"0,7800"</f>
        <v>0,7800</v>
      </c>
      <c r="E7" s="14" t="s">
        <v>99</v>
      </c>
      <c r="F7" s="14" t="s">
        <v>100</v>
      </c>
      <c r="G7" s="15" t="s">
        <v>488</v>
      </c>
      <c r="H7" s="58">
        <v>28</v>
      </c>
      <c r="I7" s="14" t="str">
        <f>"2240,0"</f>
        <v>2240,0</v>
      </c>
      <c r="J7" s="15" t="str">
        <f>"1747,1999"</f>
        <v>1747,1999</v>
      </c>
      <c r="K7" s="14" t="s">
        <v>69</v>
      </c>
    </row>
    <row r="8" spans="1:11" s="4" customFormat="1">
      <c r="A8" s="5"/>
      <c r="B8" s="5"/>
      <c r="C8" s="5"/>
      <c r="D8" s="5"/>
      <c r="E8" s="5"/>
      <c r="F8" s="5"/>
      <c r="H8" s="53"/>
      <c r="I8" s="5"/>
      <c r="K8" s="5"/>
    </row>
    <row r="9" spans="1:11" s="4" customFormat="1" ht="15">
      <c r="A9" s="77" t="s">
        <v>59</v>
      </c>
      <c r="B9" s="78"/>
      <c r="C9" s="78"/>
      <c r="D9" s="78"/>
      <c r="E9" s="78"/>
      <c r="F9" s="78"/>
      <c r="G9" s="78"/>
      <c r="H9" s="78"/>
      <c r="I9" s="78"/>
      <c r="J9" s="78"/>
      <c r="K9" s="5"/>
    </row>
    <row r="10" spans="1:11" s="4" customFormat="1">
      <c r="A10" s="8" t="s">
        <v>1524</v>
      </c>
      <c r="B10" s="8" t="s">
        <v>1525</v>
      </c>
      <c r="C10" s="8" t="s">
        <v>934</v>
      </c>
      <c r="D10" s="8" t="str">
        <f>"0,7217"</f>
        <v>0,7217</v>
      </c>
      <c r="E10" s="8" t="s">
        <v>82</v>
      </c>
      <c r="F10" s="8" t="s">
        <v>51</v>
      </c>
      <c r="G10" s="10" t="s">
        <v>165</v>
      </c>
      <c r="H10" s="52">
        <v>38</v>
      </c>
      <c r="I10" s="8" t="str">
        <f>"3420,0"</f>
        <v>3420,0</v>
      </c>
      <c r="J10" s="10" t="str">
        <f>"2468,2140"</f>
        <v>2468,2140</v>
      </c>
      <c r="K10" s="8" t="s">
        <v>58</v>
      </c>
    </row>
    <row r="11" spans="1:11" s="4" customFormat="1">
      <c r="A11" s="5"/>
      <c r="B11" s="5"/>
      <c r="C11" s="5"/>
      <c r="D11" s="5"/>
      <c r="E11" s="5"/>
      <c r="F11" s="5"/>
      <c r="H11" s="53"/>
      <c r="I11" s="5"/>
      <c r="K11" s="5"/>
    </row>
    <row r="12" spans="1:11" s="4" customFormat="1" ht="15">
      <c r="A12" s="77" t="s">
        <v>129</v>
      </c>
      <c r="B12" s="78"/>
      <c r="C12" s="78"/>
      <c r="D12" s="78"/>
      <c r="E12" s="78"/>
      <c r="F12" s="78"/>
      <c r="G12" s="78"/>
      <c r="H12" s="78"/>
      <c r="I12" s="78"/>
      <c r="J12" s="78"/>
      <c r="K12" s="5"/>
    </row>
    <row r="13" spans="1:11" s="4" customFormat="1">
      <c r="A13" s="11" t="s">
        <v>1526</v>
      </c>
      <c r="B13" s="11" t="s">
        <v>1527</v>
      </c>
      <c r="C13" s="11" t="s">
        <v>1528</v>
      </c>
      <c r="D13" s="11" t="str">
        <f>"0,6894"</f>
        <v>0,6894</v>
      </c>
      <c r="E13" s="11" t="s">
        <v>50</v>
      </c>
      <c r="F13" s="11" t="s">
        <v>51</v>
      </c>
      <c r="G13" s="12" t="s">
        <v>826</v>
      </c>
      <c r="H13" s="54">
        <v>34</v>
      </c>
      <c r="I13" s="11" t="str">
        <f>"3485,0"</f>
        <v>3485,0</v>
      </c>
      <c r="J13" s="12" t="str">
        <f>"2402,5591"</f>
        <v>2402,5591</v>
      </c>
      <c r="K13" s="11" t="s">
        <v>77</v>
      </c>
    </row>
    <row r="14" spans="1:11" s="4" customFormat="1">
      <c r="A14" s="14" t="s">
        <v>1529</v>
      </c>
      <c r="B14" s="14" t="s">
        <v>1530</v>
      </c>
      <c r="C14" s="14" t="s">
        <v>1531</v>
      </c>
      <c r="D14" s="14" t="str">
        <f>"0,6924"</f>
        <v>0,6924</v>
      </c>
      <c r="E14" s="14" t="s">
        <v>99</v>
      </c>
      <c r="F14" s="14" t="s">
        <v>100</v>
      </c>
      <c r="G14" s="15" t="s">
        <v>826</v>
      </c>
      <c r="H14" s="55">
        <v>34</v>
      </c>
      <c r="I14" s="14" t="str">
        <f>"3485,0"</f>
        <v>3485,0</v>
      </c>
      <c r="J14" s="15" t="str">
        <f>"2413,0139"</f>
        <v>2413,0139</v>
      </c>
      <c r="K14" s="14" t="s">
        <v>69</v>
      </c>
    </row>
    <row r="15" spans="1:11" s="4" customFormat="1">
      <c r="A15" s="5"/>
      <c r="B15" s="5"/>
      <c r="C15" s="5"/>
      <c r="D15" s="5"/>
      <c r="E15" s="5"/>
      <c r="F15" s="5"/>
      <c r="H15" s="53"/>
      <c r="I15" s="5"/>
      <c r="K15" s="5"/>
    </row>
    <row r="16" spans="1:11" s="4" customFormat="1" ht="15">
      <c r="A16" s="77" t="s">
        <v>250</v>
      </c>
      <c r="B16" s="78"/>
      <c r="C16" s="78"/>
      <c r="D16" s="78"/>
      <c r="E16" s="78"/>
      <c r="F16" s="78"/>
      <c r="G16" s="78"/>
      <c r="H16" s="78"/>
      <c r="I16" s="78"/>
      <c r="J16" s="78"/>
      <c r="K16" s="5"/>
    </row>
    <row r="17" spans="1:11" s="4" customFormat="1">
      <c r="A17" s="11" t="s">
        <v>252</v>
      </c>
      <c r="B17" s="11" t="s">
        <v>253</v>
      </c>
      <c r="C17" s="11" t="s">
        <v>254</v>
      </c>
      <c r="D17" s="11" t="str">
        <f>"0,6777"</f>
        <v>0,6777</v>
      </c>
      <c r="E17" s="11" t="s">
        <v>82</v>
      </c>
      <c r="F17" s="11" t="s">
        <v>21</v>
      </c>
      <c r="G17" s="12" t="s">
        <v>103</v>
      </c>
      <c r="H17" s="54">
        <v>33</v>
      </c>
      <c r="I17" s="11" t="str">
        <f>"3877,5"</f>
        <v>3877,5</v>
      </c>
      <c r="J17" s="12" t="str">
        <f>"2627,7817"</f>
        <v>2627,7817</v>
      </c>
      <c r="K17" s="11" t="s">
        <v>58</v>
      </c>
    </row>
    <row r="18" spans="1:11" s="4" customFormat="1">
      <c r="A18" s="14" t="s">
        <v>1532</v>
      </c>
      <c r="B18" s="14" t="s">
        <v>1533</v>
      </c>
      <c r="C18" s="14" t="s">
        <v>1534</v>
      </c>
      <c r="D18" s="14" t="str">
        <f>"0,7008"</f>
        <v>0,7008</v>
      </c>
      <c r="E18" s="14" t="s">
        <v>526</v>
      </c>
      <c r="F18" s="14" t="s">
        <v>51</v>
      </c>
      <c r="G18" s="15" t="s">
        <v>286</v>
      </c>
      <c r="H18" s="55">
        <v>28</v>
      </c>
      <c r="I18" s="14" t="str">
        <f>"3150,0"</f>
        <v>3150,0</v>
      </c>
      <c r="J18" s="15" t="str">
        <f>"2207,5200"</f>
        <v>2207,5200</v>
      </c>
      <c r="K18" s="14" t="s">
        <v>69</v>
      </c>
    </row>
    <row r="19" spans="1:11" s="4" customFormat="1">
      <c r="A19" s="5"/>
      <c r="B19" s="5"/>
      <c r="C19" s="5"/>
      <c r="D19" s="5"/>
      <c r="E19" s="5"/>
      <c r="F19" s="5"/>
      <c r="H19" s="53"/>
      <c r="I19" s="5"/>
      <c r="K19" s="5"/>
    </row>
    <row r="20" spans="1:11" s="4" customFormat="1" ht="15">
      <c r="A20" s="5"/>
      <c r="B20" s="5"/>
      <c r="C20" s="5"/>
      <c r="D20" s="5"/>
      <c r="E20" s="20" t="s">
        <v>146</v>
      </c>
      <c r="F20" s="5"/>
      <c r="H20" s="53"/>
      <c r="I20" s="5"/>
      <c r="K20" s="5"/>
    </row>
    <row r="21" spans="1:11" s="4" customFormat="1" ht="15">
      <c r="A21" s="5"/>
      <c r="B21" s="5"/>
      <c r="C21" s="5"/>
      <c r="D21" s="5"/>
      <c r="E21" s="20" t="s">
        <v>147</v>
      </c>
      <c r="F21" s="5"/>
      <c r="H21" s="53"/>
      <c r="I21" s="5"/>
      <c r="K21" s="5"/>
    </row>
    <row r="22" spans="1:11" s="4" customFormat="1" ht="15">
      <c r="A22" s="5"/>
      <c r="B22" s="5"/>
      <c r="C22" s="5"/>
      <c r="D22" s="5"/>
      <c r="E22" s="20" t="s">
        <v>148</v>
      </c>
      <c r="F22" s="5"/>
      <c r="H22" s="53"/>
      <c r="I22" s="5"/>
      <c r="K22" s="5"/>
    </row>
    <row r="23" spans="1:11" s="4" customFormat="1" ht="15">
      <c r="A23" s="5"/>
      <c r="B23" s="5"/>
      <c r="C23" s="5"/>
      <c r="D23" s="5"/>
      <c r="E23" s="20" t="s">
        <v>149</v>
      </c>
      <c r="F23" s="5"/>
      <c r="H23" s="53"/>
      <c r="I23" s="5"/>
      <c r="K23" s="5"/>
    </row>
    <row r="24" spans="1:11" s="4" customFormat="1" ht="15">
      <c r="A24" s="5"/>
      <c r="B24" s="5"/>
      <c r="C24" s="5"/>
      <c r="D24" s="5"/>
      <c r="E24" s="20" t="s">
        <v>149</v>
      </c>
      <c r="F24" s="5"/>
      <c r="H24" s="53"/>
      <c r="I24" s="5"/>
      <c r="K24" s="5"/>
    </row>
    <row r="25" spans="1:11" s="4" customFormat="1" ht="15">
      <c r="A25" s="5"/>
      <c r="B25" s="5"/>
      <c r="C25" s="5"/>
      <c r="D25" s="5"/>
      <c r="E25" s="20" t="s">
        <v>150</v>
      </c>
      <c r="F25" s="5"/>
      <c r="H25" s="53"/>
      <c r="I25" s="5"/>
      <c r="K25" s="5"/>
    </row>
    <row r="26" spans="1:11" s="4" customFormat="1" ht="15">
      <c r="A26" s="5"/>
      <c r="B26" s="5"/>
      <c r="C26" s="5"/>
      <c r="D26" s="5"/>
      <c r="E26" s="20"/>
      <c r="F26" s="5"/>
      <c r="H26" s="53"/>
      <c r="I26" s="5"/>
      <c r="K26" s="5"/>
    </row>
    <row r="27" spans="1:11" s="4" customFormat="1">
      <c r="A27" s="5"/>
      <c r="B27" s="5"/>
      <c r="C27" s="5"/>
      <c r="D27" s="5"/>
      <c r="E27" s="5"/>
      <c r="F27" s="5"/>
      <c r="H27" s="53"/>
      <c r="I27" s="5"/>
      <c r="K27" s="5"/>
    </row>
    <row r="28" spans="1:11" s="4" customFormat="1" ht="18">
      <c r="A28" s="21" t="s">
        <v>151</v>
      </c>
      <c r="B28" s="21"/>
      <c r="C28" s="5"/>
      <c r="D28" s="5"/>
      <c r="E28" s="5"/>
      <c r="F28" s="5"/>
      <c r="H28" s="53"/>
      <c r="I28" s="5"/>
      <c r="K28" s="5"/>
    </row>
    <row r="29" spans="1:11" s="4" customFormat="1" ht="15">
      <c r="A29" s="22" t="s">
        <v>152</v>
      </c>
      <c r="B29" s="22"/>
      <c r="C29" s="5"/>
      <c r="D29" s="5"/>
      <c r="E29" s="5"/>
      <c r="F29" s="5"/>
      <c r="H29" s="53"/>
      <c r="I29" s="5"/>
      <c r="K29" s="5"/>
    </row>
    <row r="30" spans="1:11" s="4" customFormat="1" ht="14.25">
      <c r="A30" s="24"/>
      <c r="B30" s="25" t="s">
        <v>168</v>
      </c>
      <c r="C30" s="5"/>
      <c r="D30" s="5"/>
      <c r="E30" s="5"/>
      <c r="F30" s="5"/>
      <c r="H30" s="53"/>
      <c r="I30" s="5"/>
      <c r="K30" s="5"/>
    </row>
    <row r="31" spans="1:11" s="4" customFormat="1" ht="15">
      <c r="A31" s="26" t="s">
        <v>154</v>
      </c>
      <c r="B31" s="26" t="s">
        <v>155</v>
      </c>
      <c r="C31" s="26" t="s">
        <v>156</v>
      </c>
      <c r="D31" s="26" t="s">
        <v>157</v>
      </c>
      <c r="E31" s="26" t="s">
        <v>1488</v>
      </c>
      <c r="F31" s="5"/>
      <c r="H31" s="53"/>
      <c r="I31" s="5"/>
      <c r="K31" s="5"/>
    </row>
    <row r="32" spans="1:11" s="4" customFormat="1">
      <c r="A32" s="23" t="s">
        <v>1535</v>
      </c>
      <c r="B32" s="5" t="s">
        <v>168</v>
      </c>
      <c r="C32" s="5" t="s">
        <v>174</v>
      </c>
      <c r="D32" s="5" t="s">
        <v>1536</v>
      </c>
      <c r="E32" s="27" t="s">
        <v>1537</v>
      </c>
      <c r="F32" s="5"/>
      <c r="H32" s="53"/>
      <c r="I32" s="5"/>
      <c r="K32" s="5"/>
    </row>
    <row r="33" spans="1:11" s="4" customFormat="1">
      <c r="A33" s="23" t="s">
        <v>251</v>
      </c>
      <c r="B33" s="5" t="s">
        <v>168</v>
      </c>
      <c r="C33" s="5" t="s">
        <v>127</v>
      </c>
      <c r="D33" s="5" t="s">
        <v>1538</v>
      </c>
      <c r="E33" s="27" t="s">
        <v>1539</v>
      </c>
      <c r="F33" s="5"/>
      <c r="H33" s="53"/>
      <c r="I33" s="5"/>
      <c r="K33" s="5"/>
    </row>
    <row r="34" spans="1:11" s="4" customFormat="1">
      <c r="A34" s="23" t="s">
        <v>1540</v>
      </c>
      <c r="B34" s="5" t="s">
        <v>168</v>
      </c>
      <c r="C34" s="5" t="s">
        <v>165</v>
      </c>
      <c r="D34" s="5" t="s">
        <v>1541</v>
      </c>
      <c r="E34" s="27" t="s">
        <v>1542</v>
      </c>
      <c r="F34" s="5"/>
      <c r="H34" s="53"/>
      <c r="I34" s="5"/>
      <c r="K34" s="5"/>
    </row>
    <row r="35" spans="1:11" s="4" customFormat="1">
      <c r="A35" s="23" t="s">
        <v>1543</v>
      </c>
      <c r="B35" s="5" t="s">
        <v>168</v>
      </c>
      <c r="C35" s="5" t="s">
        <v>127</v>
      </c>
      <c r="D35" s="5" t="s">
        <v>1544</v>
      </c>
      <c r="E35" s="27" t="s">
        <v>1545</v>
      </c>
      <c r="F35" s="5"/>
      <c r="H35" s="53"/>
      <c r="I35" s="5"/>
      <c r="K35" s="5"/>
    </row>
    <row r="36" spans="1:11" s="4" customFormat="1">
      <c r="A36" s="23" t="s">
        <v>1546</v>
      </c>
      <c r="B36" s="5" t="s">
        <v>168</v>
      </c>
      <c r="C36" s="5" t="s">
        <v>174</v>
      </c>
      <c r="D36" s="5" t="s">
        <v>1547</v>
      </c>
      <c r="E36" s="27" t="s">
        <v>1548</v>
      </c>
      <c r="F36" s="5"/>
      <c r="H36" s="53"/>
      <c r="I36" s="5"/>
      <c r="K36" s="5"/>
    </row>
    <row r="37" spans="1:11" s="4" customFormat="1">
      <c r="A37" s="5"/>
      <c r="B37" s="5"/>
      <c r="C37" s="5"/>
      <c r="D37" s="5"/>
      <c r="E37" s="5"/>
      <c r="F37" s="5"/>
      <c r="H37" s="53"/>
      <c r="I37" s="5"/>
      <c r="K37" s="5"/>
    </row>
    <row r="38" spans="1:11" s="4" customFormat="1" ht="14.25">
      <c r="A38" s="24"/>
      <c r="B38" s="25" t="s">
        <v>191</v>
      </c>
      <c r="C38" s="5"/>
      <c r="D38" s="5"/>
      <c r="E38" s="5"/>
      <c r="F38" s="5"/>
      <c r="H38" s="53"/>
      <c r="I38" s="5"/>
      <c r="K38" s="5"/>
    </row>
    <row r="39" spans="1:11" s="4" customFormat="1" ht="15">
      <c r="A39" s="26" t="s">
        <v>154</v>
      </c>
      <c r="B39" s="26" t="s">
        <v>155</v>
      </c>
      <c r="C39" s="26" t="s">
        <v>156</v>
      </c>
      <c r="D39" s="26" t="s">
        <v>157</v>
      </c>
      <c r="E39" s="26" t="s">
        <v>1488</v>
      </c>
      <c r="F39" s="5"/>
      <c r="H39" s="53"/>
      <c r="I39" s="5"/>
      <c r="K39" s="5"/>
    </row>
    <row r="40" spans="1:11" s="4" customFormat="1">
      <c r="A40" s="23" t="s">
        <v>1549</v>
      </c>
      <c r="B40" s="5" t="s">
        <v>192</v>
      </c>
      <c r="C40" s="5" t="s">
        <v>102</v>
      </c>
      <c r="D40" s="5" t="s">
        <v>1550</v>
      </c>
      <c r="E40" s="27" t="s">
        <v>1551</v>
      </c>
      <c r="F40" s="5"/>
      <c r="H40" s="53"/>
      <c r="I40" s="5"/>
      <c r="K40" s="5"/>
    </row>
    <row r="41" spans="1:11" s="4" customFormat="1">
      <c r="A41" s="23" t="s">
        <v>1552</v>
      </c>
      <c r="B41" s="5" t="s">
        <v>312</v>
      </c>
      <c r="C41" s="5" t="s">
        <v>102</v>
      </c>
      <c r="D41" s="5" t="s">
        <v>1550</v>
      </c>
      <c r="E41" s="27" t="s">
        <v>1553</v>
      </c>
      <c r="F41" s="5"/>
      <c r="H41" s="53"/>
      <c r="I41" s="5"/>
      <c r="K41" s="5"/>
    </row>
  </sheetData>
  <mergeCells count="15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  <mergeCell ref="A9:J9"/>
    <mergeCell ref="A12:J12"/>
    <mergeCell ref="A16:J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selection activeCell="A3" sqref="A3:A4"/>
    </sheetView>
  </sheetViews>
  <sheetFormatPr defaultRowHeight="12.75"/>
  <cols>
    <col min="1" max="1" width="25.7109375" customWidth="1"/>
    <col min="2" max="2" width="33.7109375" customWidth="1"/>
    <col min="4" max="4" width="13.85546875" customWidth="1"/>
    <col min="5" max="5" width="23.7109375" customWidth="1"/>
    <col min="6" max="6" width="38.42578125" customWidth="1"/>
    <col min="10" max="10" width="14.5703125" customWidth="1"/>
    <col min="11" max="11" width="22.85546875" customWidth="1"/>
  </cols>
  <sheetData>
    <row r="1" spans="1:11" s="3" customFormat="1" ht="29.1" customHeight="1">
      <c r="A1" s="79" t="s">
        <v>1554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1453</v>
      </c>
      <c r="H3" s="60"/>
      <c r="I3" s="60" t="s">
        <v>1454</v>
      </c>
      <c r="J3" s="60" t="s">
        <v>6</v>
      </c>
      <c r="K3" s="63" t="s">
        <v>5</v>
      </c>
    </row>
    <row r="4" spans="1:11" s="1" customFormat="1" ht="21" customHeight="1" thickBot="1">
      <c r="A4" s="72"/>
      <c r="B4" s="74"/>
      <c r="C4" s="74"/>
      <c r="D4" s="74"/>
      <c r="E4" s="74"/>
      <c r="F4" s="74"/>
      <c r="G4" s="2" t="s">
        <v>1455</v>
      </c>
      <c r="H4" s="51" t="s">
        <v>1456</v>
      </c>
      <c r="I4" s="74"/>
      <c r="J4" s="74"/>
      <c r="K4" s="64"/>
    </row>
    <row r="5" spans="1:11" s="4" customFormat="1" ht="15">
      <c r="A5" s="75" t="s">
        <v>15</v>
      </c>
      <c r="B5" s="76"/>
      <c r="C5" s="76"/>
      <c r="D5" s="76"/>
      <c r="E5" s="76"/>
      <c r="F5" s="76"/>
      <c r="G5" s="76"/>
      <c r="H5" s="76"/>
      <c r="I5" s="76"/>
      <c r="J5" s="76"/>
      <c r="K5" s="5"/>
    </row>
    <row r="6" spans="1:11" s="4" customFormat="1">
      <c r="A6" s="11" t="s">
        <v>1555</v>
      </c>
      <c r="B6" s="11" t="s">
        <v>1556</v>
      </c>
      <c r="C6" s="11" t="s">
        <v>1557</v>
      </c>
      <c r="D6" s="11" t="str">
        <f>"0,7031"</f>
        <v>0,7031</v>
      </c>
      <c r="E6" s="11" t="s">
        <v>605</v>
      </c>
      <c r="F6" s="11" t="s">
        <v>435</v>
      </c>
      <c r="G6" s="12" t="s">
        <v>483</v>
      </c>
      <c r="H6" s="54" t="s">
        <v>1053</v>
      </c>
      <c r="I6" s="11" t="str">
        <f>"2420,0"</f>
        <v>2420,0</v>
      </c>
      <c r="J6" s="12" t="str">
        <f>"1837,6222"</f>
        <v>1837,6222</v>
      </c>
      <c r="K6" s="11" t="s">
        <v>606</v>
      </c>
    </row>
    <row r="7" spans="1:11" s="4" customFormat="1">
      <c r="A7" s="17" t="s">
        <v>1558</v>
      </c>
      <c r="B7" s="17" t="s">
        <v>1559</v>
      </c>
      <c r="C7" s="17" t="s">
        <v>1149</v>
      </c>
      <c r="D7" s="17" t="str">
        <f>"0,6867"</f>
        <v>0,6867</v>
      </c>
      <c r="E7" s="17" t="s">
        <v>82</v>
      </c>
      <c r="F7" s="17" t="s">
        <v>640</v>
      </c>
      <c r="G7" s="19" t="s">
        <v>483</v>
      </c>
      <c r="H7" s="56" t="s">
        <v>1560</v>
      </c>
      <c r="I7" s="17" t="str">
        <f>"1980,0"</f>
        <v>1980,0</v>
      </c>
      <c r="J7" s="19" t="str">
        <f>"1468,4393"</f>
        <v>1468,4393</v>
      </c>
      <c r="K7" s="17" t="s">
        <v>58</v>
      </c>
    </row>
    <row r="8" spans="1:11" s="4" customFormat="1">
      <c r="A8" s="17" t="s">
        <v>1555</v>
      </c>
      <c r="B8" s="17" t="s">
        <v>1561</v>
      </c>
      <c r="C8" s="17" t="s">
        <v>1557</v>
      </c>
      <c r="D8" s="17" t="str">
        <f>"0,7031"</f>
        <v>0,7031</v>
      </c>
      <c r="E8" s="17" t="s">
        <v>605</v>
      </c>
      <c r="F8" s="17" t="s">
        <v>435</v>
      </c>
      <c r="G8" s="19" t="s">
        <v>483</v>
      </c>
      <c r="H8" s="56" t="s">
        <v>1053</v>
      </c>
      <c r="I8" s="17" t="str">
        <f>"2420,0"</f>
        <v>2420,0</v>
      </c>
      <c r="J8" s="19" t="str">
        <f>"1701,5021"</f>
        <v>1701,5021</v>
      </c>
      <c r="K8" s="17" t="s">
        <v>606</v>
      </c>
    </row>
    <row r="9" spans="1:11" s="4" customFormat="1">
      <c r="A9" s="17" t="s">
        <v>1562</v>
      </c>
      <c r="B9" s="17" t="s">
        <v>1563</v>
      </c>
      <c r="C9" s="17" t="s">
        <v>592</v>
      </c>
      <c r="D9" s="17" t="str">
        <f>"0,6760"</f>
        <v>0,6760</v>
      </c>
      <c r="E9" s="17" t="s">
        <v>82</v>
      </c>
      <c r="F9" s="17" t="s">
        <v>89</v>
      </c>
      <c r="G9" s="19" t="s">
        <v>483</v>
      </c>
      <c r="H9" s="56" t="s">
        <v>1564</v>
      </c>
      <c r="I9" s="17" t="str">
        <f>"2970,0"</f>
        <v>2970,0</v>
      </c>
      <c r="J9" s="19" t="str">
        <f>"2571,8893"</f>
        <v>2571,8893</v>
      </c>
      <c r="K9" s="17" t="s">
        <v>1565</v>
      </c>
    </row>
    <row r="10" spans="1:11" s="4" customFormat="1">
      <c r="A10" s="14" t="s">
        <v>1566</v>
      </c>
      <c r="B10" s="14" t="s">
        <v>1567</v>
      </c>
      <c r="C10" s="14" t="s">
        <v>1568</v>
      </c>
      <c r="D10" s="14" t="str">
        <f>"0,6701"</f>
        <v>0,6701</v>
      </c>
      <c r="E10" s="14" t="s">
        <v>50</v>
      </c>
      <c r="F10" s="14" t="s">
        <v>51</v>
      </c>
      <c r="G10" s="15" t="s">
        <v>483</v>
      </c>
      <c r="H10" s="55" t="s">
        <v>1569</v>
      </c>
      <c r="I10" s="14" t="str">
        <f>"2695,0"</f>
        <v>2695,0</v>
      </c>
      <c r="J10" s="15" t="str">
        <f>"2672,7608"</f>
        <v>2672,7608</v>
      </c>
      <c r="K10" s="14" t="s">
        <v>742</v>
      </c>
    </row>
    <row r="11" spans="1:11" s="4" customFormat="1" ht="15">
      <c r="A11" s="86" t="s">
        <v>1570</v>
      </c>
      <c r="B11" s="86"/>
      <c r="C11" s="86"/>
      <c r="D11" s="86"/>
      <c r="E11" s="86"/>
      <c r="F11" s="86"/>
      <c r="G11" s="86"/>
      <c r="H11" s="86"/>
      <c r="I11" s="86"/>
      <c r="J11" s="86"/>
      <c r="K11" s="59"/>
    </row>
    <row r="12" spans="1:11" s="4" customFormat="1">
      <c r="A12" s="11" t="s">
        <v>862</v>
      </c>
      <c r="B12" s="11" t="s">
        <v>863</v>
      </c>
      <c r="C12" s="11" t="s">
        <v>864</v>
      </c>
      <c r="D12" s="11" t="str">
        <f>"0,6262"</f>
        <v>0,6262</v>
      </c>
      <c r="E12" s="11" t="s">
        <v>526</v>
      </c>
      <c r="F12" s="11" t="s">
        <v>51</v>
      </c>
      <c r="G12" s="12" t="s">
        <v>483</v>
      </c>
      <c r="H12" s="54" t="s">
        <v>1571</v>
      </c>
      <c r="I12" s="11" t="str">
        <f>"2805,0"</f>
        <v>2805,0</v>
      </c>
      <c r="J12" s="12" t="str">
        <f>"1791,6209"</f>
        <v>1791,6209</v>
      </c>
      <c r="K12" s="11" t="s">
        <v>531</v>
      </c>
    </row>
    <row r="13" spans="1:11" s="4" customFormat="1">
      <c r="A13" s="17" t="s">
        <v>1572</v>
      </c>
      <c r="B13" s="17" t="s">
        <v>1573</v>
      </c>
      <c r="C13" s="17" t="s">
        <v>864</v>
      </c>
      <c r="D13" s="17" t="str">
        <f>"0,6262"</f>
        <v>0,6262</v>
      </c>
      <c r="E13" s="17" t="s">
        <v>50</v>
      </c>
      <c r="F13" s="17" t="s">
        <v>51</v>
      </c>
      <c r="G13" s="19" t="s">
        <v>483</v>
      </c>
      <c r="H13" s="56" t="s">
        <v>509</v>
      </c>
      <c r="I13" s="17" t="str">
        <f>"2750,0"</f>
        <v>2750,0</v>
      </c>
      <c r="J13" s="19" t="str">
        <f>"1722,0501"</f>
        <v>1722,0501</v>
      </c>
      <c r="K13" s="17" t="s">
        <v>742</v>
      </c>
    </row>
    <row r="14" spans="1:11" s="4" customFormat="1">
      <c r="A14" s="14" t="s">
        <v>1574</v>
      </c>
      <c r="B14" s="14" t="s">
        <v>1575</v>
      </c>
      <c r="C14" s="14" t="s">
        <v>860</v>
      </c>
      <c r="D14" s="14" t="str">
        <f>"0,6251"</f>
        <v>0,6251</v>
      </c>
      <c r="E14" s="14" t="s">
        <v>605</v>
      </c>
      <c r="F14" s="14" t="s">
        <v>435</v>
      </c>
      <c r="G14" s="15" t="s">
        <v>483</v>
      </c>
      <c r="H14" s="55" t="s">
        <v>1053</v>
      </c>
      <c r="I14" s="14" t="str">
        <f>"2420,0"</f>
        <v>2420,0</v>
      </c>
      <c r="J14" s="15" t="str">
        <f>"1512,7420"</f>
        <v>1512,7420</v>
      </c>
      <c r="K14" s="14" t="s">
        <v>882</v>
      </c>
    </row>
    <row r="15" spans="1:11" s="4" customFormat="1" ht="15">
      <c r="A15" s="87" t="s">
        <v>59</v>
      </c>
      <c r="B15" s="87"/>
      <c r="C15" s="87"/>
      <c r="D15" s="87"/>
      <c r="E15" s="87"/>
      <c r="F15" s="87"/>
      <c r="G15" s="87"/>
      <c r="H15" s="87"/>
      <c r="I15" s="87"/>
      <c r="J15" s="87"/>
      <c r="K15" s="5"/>
    </row>
    <row r="16" spans="1:11" s="4" customFormat="1">
      <c r="A16" s="11" t="s">
        <v>1576</v>
      </c>
      <c r="B16" s="11" t="s">
        <v>1577</v>
      </c>
      <c r="C16" s="11" t="s">
        <v>1578</v>
      </c>
      <c r="D16" s="11" t="str">
        <f>"0,5922"</f>
        <v>0,5922</v>
      </c>
      <c r="E16" s="11" t="s">
        <v>82</v>
      </c>
      <c r="F16" s="11" t="s">
        <v>51</v>
      </c>
      <c r="G16" s="12" t="s">
        <v>483</v>
      </c>
      <c r="H16" s="54" t="s">
        <v>1579</v>
      </c>
      <c r="I16" s="11" t="str">
        <f>"3410,0"</f>
        <v>3410,0</v>
      </c>
      <c r="J16" s="12" t="str">
        <f>"2019,4019"</f>
        <v>2019,4019</v>
      </c>
      <c r="K16" s="11" t="s">
        <v>58</v>
      </c>
    </row>
    <row r="17" spans="1:11" s="4" customFormat="1">
      <c r="A17" s="17" t="s">
        <v>1580</v>
      </c>
      <c r="B17" s="17" t="s">
        <v>1581</v>
      </c>
      <c r="C17" s="17" t="s">
        <v>1582</v>
      </c>
      <c r="D17" s="17" t="str">
        <f>"0,5965"</f>
        <v>0,5965</v>
      </c>
      <c r="E17" s="17" t="s">
        <v>801</v>
      </c>
      <c r="F17" s="17" t="s">
        <v>51</v>
      </c>
      <c r="G17" s="19" t="s">
        <v>483</v>
      </c>
      <c r="H17" s="56" t="s">
        <v>1583</v>
      </c>
      <c r="I17" s="17" t="str">
        <f>"3245,0"</f>
        <v>3245,0</v>
      </c>
      <c r="J17" s="19" t="str">
        <f>"1995,6473"</f>
        <v>1995,6473</v>
      </c>
      <c r="K17" s="17" t="s">
        <v>756</v>
      </c>
    </row>
    <row r="18" spans="1:11" s="4" customFormat="1">
      <c r="A18" s="14" t="s">
        <v>1584</v>
      </c>
      <c r="B18" s="14" t="s">
        <v>1585</v>
      </c>
      <c r="C18" s="14" t="s">
        <v>1197</v>
      </c>
      <c r="D18" s="14" t="str">
        <f>"0,5978"</f>
        <v>0,5978</v>
      </c>
      <c r="E18" s="14" t="s">
        <v>50</v>
      </c>
      <c r="F18" s="14" t="s">
        <v>51</v>
      </c>
      <c r="G18" s="15" t="s">
        <v>483</v>
      </c>
      <c r="H18" s="55" t="s">
        <v>483</v>
      </c>
      <c r="I18" s="14" t="str">
        <f>"3025,0"</f>
        <v>3025,0</v>
      </c>
      <c r="J18" s="15" t="str">
        <f>"1824,6202"</f>
        <v>1824,6202</v>
      </c>
      <c r="K18" s="14" t="s">
        <v>742</v>
      </c>
    </row>
    <row r="19" spans="1:11" s="4" customFormat="1" ht="15">
      <c r="A19" s="87" t="s">
        <v>94</v>
      </c>
      <c r="B19" s="87"/>
      <c r="C19" s="87"/>
      <c r="D19" s="87"/>
      <c r="E19" s="87"/>
      <c r="F19" s="87"/>
      <c r="G19" s="87"/>
      <c r="H19" s="87"/>
      <c r="I19" s="87"/>
      <c r="J19" s="87"/>
      <c r="K19" s="5"/>
    </row>
    <row r="20" spans="1:11" s="4" customFormat="1">
      <c r="A20" s="11" t="s">
        <v>1586</v>
      </c>
      <c r="B20" s="11" t="s">
        <v>1587</v>
      </c>
      <c r="C20" s="11" t="s">
        <v>1316</v>
      </c>
      <c r="D20" s="11" t="str">
        <f>"0,5568"</f>
        <v>0,5568</v>
      </c>
      <c r="E20" s="11" t="s">
        <v>82</v>
      </c>
      <c r="F20" s="11" t="s">
        <v>51</v>
      </c>
      <c r="G20" s="12" t="s">
        <v>483</v>
      </c>
      <c r="H20" s="54">
        <v>61</v>
      </c>
      <c r="I20" s="11" t="str">
        <f>"3300,0"</f>
        <v>3300,0</v>
      </c>
      <c r="J20" s="12" t="str">
        <f>"1837,4400"</f>
        <v>1837,4400</v>
      </c>
      <c r="K20" s="11" t="s">
        <v>58</v>
      </c>
    </row>
    <row r="21" spans="1:11" s="4" customFormat="1">
      <c r="A21" s="14" t="s">
        <v>1588</v>
      </c>
      <c r="B21" s="14" t="s">
        <v>1372</v>
      </c>
      <c r="C21" s="14" t="s">
        <v>1373</v>
      </c>
      <c r="D21" s="14" t="str">
        <f>"0,5649"</f>
        <v>0,5649</v>
      </c>
      <c r="E21" s="14" t="s">
        <v>82</v>
      </c>
      <c r="F21" s="14" t="s">
        <v>939</v>
      </c>
      <c r="G21" s="15" t="s">
        <v>483</v>
      </c>
      <c r="H21" s="55" t="s">
        <v>1458</v>
      </c>
      <c r="I21" s="14" t="str">
        <f>"2585,0"</f>
        <v>2585,0</v>
      </c>
      <c r="J21" s="15" t="str">
        <f>"1460,3957"</f>
        <v>1460,3957</v>
      </c>
      <c r="K21" s="14" t="s">
        <v>1374</v>
      </c>
    </row>
    <row r="22" spans="1:11" s="4" customFormat="1">
      <c r="A22" s="5"/>
      <c r="B22" s="5"/>
      <c r="C22" s="5"/>
      <c r="D22" s="5"/>
      <c r="E22" s="5"/>
      <c r="F22" s="5"/>
      <c r="H22" s="53"/>
      <c r="I22" s="5"/>
      <c r="K22" s="5"/>
    </row>
    <row r="23" spans="1:11" s="4" customFormat="1" ht="15">
      <c r="A23" s="5"/>
      <c r="B23" s="5"/>
      <c r="C23" s="5"/>
      <c r="D23" s="5"/>
      <c r="E23" s="20" t="s">
        <v>146</v>
      </c>
      <c r="F23" s="5"/>
      <c r="H23" s="53"/>
      <c r="I23" s="5"/>
      <c r="K23" s="5"/>
    </row>
    <row r="24" spans="1:11" s="4" customFormat="1" ht="15">
      <c r="A24" s="5"/>
      <c r="B24" s="5"/>
      <c r="C24" s="5"/>
      <c r="D24" s="5"/>
      <c r="E24" s="20" t="s">
        <v>147</v>
      </c>
      <c r="F24" s="5"/>
      <c r="H24" s="53"/>
      <c r="I24" s="5"/>
      <c r="K24" s="5"/>
    </row>
    <row r="25" spans="1:11" s="4" customFormat="1" ht="15">
      <c r="A25" s="5"/>
      <c r="B25" s="5"/>
      <c r="C25" s="5"/>
      <c r="D25" s="5"/>
      <c r="E25" s="20" t="s">
        <v>148</v>
      </c>
      <c r="F25" s="5"/>
      <c r="H25" s="53"/>
      <c r="I25" s="5"/>
      <c r="K25" s="5"/>
    </row>
    <row r="26" spans="1:11" s="4" customFormat="1" ht="15">
      <c r="A26" s="5"/>
      <c r="B26" s="5"/>
      <c r="C26" s="5"/>
      <c r="D26" s="5"/>
      <c r="E26" s="20" t="s">
        <v>149</v>
      </c>
      <c r="F26" s="5"/>
      <c r="H26" s="53"/>
      <c r="I26" s="5"/>
      <c r="K26" s="5"/>
    </row>
    <row r="27" spans="1:11" s="4" customFormat="1" ht="15">
      <c r="A27" s="5"/>
      <c r="B27" s="5"/>
      <c r="C27" s="5"/>
      <c r="D27" s="5"/>
      <c r="E27" s="20" t="s">
        <v>149</v>
      </c>
      <c r="F27" s="5"/>
      <c r="H27" s="53"/>
      <c r="I27" s="5"/>
      <c r="K27" s="5"/>
    </row>
    <row r="28" spans="1:11" s="4" customFormat="1" ht="15">
      <c r="A28" s="5"/>
      <c r="B28" s="5"/>
      <c r="C28" s="5"/>
      <c r="D28" s="5"/>
      <c r="E28" s="20" t="s">
        <v>150</v>
      </c>
      <c r="F28" s="5"/>
      <c r="H28" s="53"/>
      <c r="I28" s="5"/>
      <c r="K28" s="5"/>
    </row>
    <row r="29" spans="1:11" s="4" customFormat="1" ht="15">
      <c r="A29" s="5"/>
      <c r="B29" s="5"/>
      <c r="C29" s="5"/>
      <c r="D29" s="5"/>
      <c r="E29" s="20"/>
      <c r="F29" s="5"/>
      <c r="H29" s="53"/>
      <c r="I29" s="5"/>
      <c r="K29" s="5"/>
    </row>
    <row r="30" spans="1:11" s="4" customFormat="1">
      <c r="A30" s="5"/>
      <c r="B30" s="5"/>
      <c r="C30" s="5"/>
      <c r="D30" s="5"/>
      <c r="E30" s="5"/>
      <c r="F30" s="5"/>
      <c r="H30" s="53"/>
      <c r="I30" s="5"/>
      <c r="K30" s="5"/>
    </row>
    <row r="31" spans="1:11" s="4" customFormat="1" ht="18">
      <c r="A31" s="21" t="s">
        <v>151</v>
      </c>
      <c r="B31" s="21"/>
      <c r="C31" s="5"/>
      <c r="D31" s="5"/>
      <c r="E31" s="5"/>
      <c r="F31" s="5"/>
      <c r="H31" s="53"/>
      <c r="I31" s="5"/>
      <c r="K31" s="5"/>
    </row>
    <row r="32" spans="1:11" s="4" customFormat="1" ht="15">
      <c r="A32" s="22" t="s">
        <v>152</v>
      </c>
      <c r="B32" s="22"/>
      <c r="C32" s="5"/>
      <c r="D32" s="5"/>
      <c r="E32" s="5"/>
      <c r="F32" s="5"/>
      <c r="H32" s="53"/>
      <c r="I32" s="5"/>
      <c r="K32" s="5"/>
    </row>
    <row r="33" spans="1:11" s="4" customFormat="1" ht="14.25">
      <c r="A33" s="24"/>
      <c r="B33" s="25" t="s">
        <v>153</v>
      </c>
      <c r="C33" s="5"/>
      <c r="D33" s="5"/>
      <c r="E33" s="5"/>
      <c r="F33" s="5"/>
      <c r="H33" s="53"/>
      <c r="I33" s="5"/>
      <c r="K33" s="5"/>
    </row>
    <row r="34" spans="1:11" s="4" customFormat="1" ht="15">
      <c r="A34" s="26" t="s">
        <v>154</v>
      </c>
      <c r="B34" s="26" t="s">
        <v>155</v>
      </c>
      <c r="C34" s="26" t="s">
        <v>156</v>
      </c>
      <c r="D34" s="26" t="s">
        <v>157</v>
      </c>
      <c r="E34" s="26" t="s">
        <v>158</v>
      </c>
      <c r="F34" s="5"/>
      <c r="H34" s="53"/>
      <c r="I34" s="5"/>
      <c r="K34" s="5"/>
    </row>
    <row r="35" spans="1:11" s="4" customFormat="1">
      <c r="A35" s="23" t="s">
        <v>1589</v>
      </c>
      <c r="B35" s="5" t="s">
        <v>1590</v>
      </c>
      <c r="C35" s="5" t="s">
        <v>110</v>
      </c>
      <c r="D35" s="5" t="s">
        <v>1591</v>
      </c>
      <c r="E35" s="27" t="s">
        <v>1592</v>
      </c>
      <c r="F35" s="5"/>
      <c r="H35" s="53"/>
      <c r="I35" s="5"/>
      <c r="K35" s="5"/>
    </row>
    <row r="36" spans="1:11" s="4" customFormat="1">
      <c r="A36" s="23" t="s">
        <v>1593</v>
      </c>
      <c r="B36" s="5" t="s">
        <v>1590</v>
      </c>
      <c r="C36" s="5" t="s">
        <v>110</v>
      </c>
      <c r="D36" s="5" t="s">
        <v>1594</v>
      </c>
      <c r="E36" s="27" t="s">
        <v>1595</v>
      </c>
      <c r="F36" s="5"/>
      <c r="H36" s="53"/>
      <c r="I36" s="5"/>
      <c r="K36" s="5"/>
    </row>
    <row r="37" spans="1:11" s="4" customFormat="1">
      <c r="A37" s="5"/>
      <c r="B37" s="5"/>
      <c r="C37" s="5"/>
      <c r="D37" s="5"/>
      <c r="E37" s="5"/>
      <c r="F37" s="5"/>
      <c r="H37" s="53"/>
      <c r="I37" s="5"/>
      <c r="K37" s="5"/>
    </row>
    <row r="38" spans="1:11" s="4" customFormat="1" ht="14.25">
      <c r="A38" s="24"/>
      <c r="B38" s="25" t="s">
        <v>163</v>
      </c>
      <c r="C38" s="5"/>
      <c r="D38" s="5"/>
      <c r="E38" s="5"/>
      <c r="F38" s="5"/>
      <c r="H38" s="53"/>
      <c r="I38" s="5"/>
      <c r="K38" s="5"/>
    </row>
    <row r="39" spans="1:11" s="4" customFormat="1" ht="15">
      <c r="A39" s="26" t="s">
        <v>154</v>
      </c>
      <c r="B39" s="26" t="s">
        <v>155</v>
      </c>
      <c r="C39" s="26" t="s">
        <v>156</v>
      </c>
      <c r="D39" s="26" t="s">
        <v>157</v>
      </c>
      <c r="E39" s="26" t="s">
        <v>158</v>
      </c>
      <c r="F39" s="5"/>
      <c r="H39" s="53"/>
      <c r="I39" s="5"/>
      <c r="K39" s="5"/>
    </row>
    <row r="40" spans="1:11" s="4" customFormat="1">
      <c r="A40" s="23" t="s">
        <v>861</v>
      </c>
      <c r="B40" s="5" t="s">
        <v>164</v>
      </c>
      <c r="C40" s="5" t="s">
        <v>110</v>
      </c>
      <c r="D40" s="5" t="s">
        <v>1596</v>
      </c>
      <c r="E40" s="27" t="s">
        <v>1597</v>
      </c>
      <c r="F40" s="5"/>
      <c r="H40" s="53"/>
      <c r="I40" s="5"/>
      <c r="K40" s="5"/>
    </row>
    <row r="41" spans="1:11" s="4" customFormat="1">
      <c r="A41" s="5"/>
      <c r="B41" s="5"/>
      <c r="C41" s="5"/>
      <c r="D41" s="5"/>
      <c r="E41" s="5"/>
      <c r="F41" s="5"/>
      <c r="H41" s="53"/>
      <c r="I41" s="5"/>
      <c r="K41" s="5"/>
    </row>
    <row r="42" spans="1:11" s="4" customFormat="1" ht="14.25">
      <c r="A42" s="24"/>
      <c r="B42" s="25" t="s">
        <v>168</v>
      </c>
      <c r="C42" s="5"/>
      <c r="D42" s="5"/>
      <c r="E42" s="5"/>
      <c r="F42" s="5"/>
      <c r="H42" s="53"/>
      <c r="I42" s="5"/>
      <c r="K42" s="5"/>
    </row>
    <row r="43" spans="1:11" s="4" customFormat="1" ht="15">
      <c r="A43" s="26" t="s">
        <v>154</v>
      </c>
      <c r="B43" s="26" t="s">
        <v>155</v>
      </c>
      <c r="C43" s="26" t="s">
        <v>156</v>
      </c>
      <c r="D43" s="26" t="s">
        <v>157</v>
      </c>
      <c r="E43" s="26" t="s">
        <v>158</v>
      </c>
      <c r="F43" s="5"/>
      <c r="H43" s="53"/>
      <c r="I43" s="5"/>
      <c r="K43" s="5"/>
    </row>
    <row r="44" spans="1:11" s="4" customFormat="1">
      <c r="A44" s="23" t="s">
        <v>1598</v>
      </c>
      <c r="B44" s="5" t="s">
        <v>168</v>
      </c>
      <c r="C44" s="5" t="s">
        <v>110</v>
      </c>
      <c r="D44" s="5" t="s">
        <v>1599</v>
      </c>
      <c r="E44" s="27" t="s">
        <v>1600</v>
      </c>
      <c r="F44" s="5"/>
      <c r="H44" s="53"/>
      <c r="I44" s="5"/>
      <c r="K44" s="5"/>
    </row>
    <row r="45" spans="1:11" s="4" customFormat="1">
      <c r="A45" s="23" t="s">
        <v>1601</v>
      </c>
      <c r="B45" s="5" t="s">
        <v>168</v>
      </c>
      <c r="C45" s="5" t="s">
        <v>110</v>
      </c>
      <c r="D45" s="5" t="s">
        <v>1602</v>
      </c>
      <c r="E45" s="27" t="s">
        <v>1603</v>
      </c>
      <c r="F45" s="5"/>
      <c r="H45" s="53"/>
      <c r="I45" s="5"/>
      <c r="K45" s="5"/>
    </row>
    <row r="46" spans="1:11" s="4" customFormat="1">
      <c r="A46" s="23" t="s">
        <v>1604</v>
      </c>
      <c r="B46" s="5" t="s">
        <v>168</v>
      </c>
      <c r="C46" s="5" t="s">
        <v>110</v>
      </c>
      <c r="D46" s="5" t="s">
        <v>1605</v>
      </c>
      <c r="E46" s="27" t="s">
        <v>1606</v>
      </c>
      <c r="F46" s="5"/>
      <c r="H46" s="53"/>
      <c r="I46" s="5"/>
      <c r="K46" s="5"/>
    </row>
    <row r="47" spans="1:11" s="4" customFormat="1">
      <c r="A47" s="23" t="s">
        <v>1589</v>
      </c>
      <c r="B47" s="5" t="s">
        <v>168</v>
      </c>
      <c r="C47" s="5" t="s">
        <v>110</v>
      </c>
      <c r="D47" s="5" t="s">
        <v>1591</v>
      </c>
      <c r="E47" s="27" t="s">
        <v>1607</v>
      </c>
      <c r="F47" s="5"/>
      <c r="H47" s="53"/>
      <c r="I47" s="5"/>
      <c r="K47" s="5"/>
    </row>
    <row r="48" spans="1:11" s="4" customFormat="1">
      <c r="A48" s="23" t="s">
        <v>1608</v>
      </c>
      <c r="B48" s="5" t="s">
        <v>168</v>
      </c>
      <c r="C48" s="5" t="s">
        <v>110</v>
      </c>
      <c r="D48" s="5" t="s">
        <v>1591</v>
      </c>
      <c r="E48" s="27" t="s">
        <v>1609</v>
      </c>
      <c r="F48" s="5"/>
      <c r="H48" s="53"/>
      <c r="I48" s="5"/>
      <c r="K48" s="5"/>
    </row>
    <row r="49" spans="1:11" s="4" customFormat="1">
      <c r="A49" s="23" t="s">
        <v>1370</v>
      </c>
      <c r="B49" s="5" t="s">
        <v>168</v>
      </c>
      <c r="C49" s="5" t="s">
        <v>110</v>
      </c>
      <c r="D49" s="5" t="s">
        <v>1610</v>
      </c>
      <c r="E49" s="27" t="s">
        <v>1611</v>
      </c>
      <c r="F49" s="5"/>
      <c r="H49" s="53"/>
      <c r="I49" s="5"/>
      <c r="K49" s="5"/>
    </row>
    <row r="50" spans="1:11" s="4" customFormat="1">
      <c r="A50" s="5"/>
      <c r="B50" s="5"/>
      <c r="C50" s="5"/>
      <c r="D50" s="5"/>
      <c r="E50" s="5"/>
      <c r="F50" s="5"/>
      <c r="H50" s="53"/>
      <c r="I50" s="5"/>
      <c r="K50" s="5"/>
    </row>
    <row r="51" spans="1:11" s="4" customFormat="1" ht="14.25">
      <c r="A51" s="24"/>
      <c r="B51" s="25" t="s">
        <v>191</v>
      </c>
      <c r="C51" s="5"/>
      <c r="D51" s="5"/>
      <c r="E51" s="5"/>
      <c r="F51" s="5"/>
      <c r="H51" s="53"/>
      <c r="I51" s="5"/>
      <c r="K51" s="5"/>
    </row>
    <row r="52" spans="1:11" s="4" customFormat="1" ht="15">
      <c r="A52" s="26" t="s">
        <v>154</v>
      </c>
      <c r="B52" s="26" t="s">
        <v>155</v>
      </c>
      <c r="C52" s="26" t="s">
        <v>156</v>
      </c>
      <c r="D52" s="26" t="s">
        <v>157</v>
      </c>
      <c r="E52" s="26" t="s">
        <v>158</v>
      </c>
      <c r="F52" s="5"/>
      <c r="H52" s="53"/>
      <c r="I52" s="5"/>
      <c r="K52" s="5"/>
    </row>
    <row r="53" spans="1:11" s="4" customFormat="1">
      <c r="A53" s="23" t="s">
        <v>1612</v>
      </c>
      <c r="B53" s="5" t="s">
        <v>1613</v>
      </c>
      <c r="C53" s="5" t="s">
        <v>110</v>
      </c>
      <c r="D53" s="5" t="s">
        <v>1614</v>
      </c>
      <c r="E53" s="27" t="s">
        <v>1615</v>
      </c>
      <c r="F53" s="5"/>
      <c r="H53" s="53"/>
      <c r="I53" s="5"/>
      <c r="K53" s="5"/>
    </row>
    <row r="54" spans="1:11" s="4" customFormat="1">
      <c r="A54" s="23" t="s">
        <v>1616</v>
      </c>
      <c r="B54" s="5" t="s">
        <v>1613</v>
      </c>
      <c r="C54" s="5" t="s">
        <v>110</v>
      </c>
      <c r="D54" s="5" t="s">
        <v>1617</v>
      </c>
      <c r="E54" s="27" t="s">
        <v>1618</v>
      </c>
      <c r="F54" s="5"/>
      <c r="H54" s="53"/>
      <c r="I54" s="5"/>
      <c r="K54" s="5"/>
    </row>
    <row r="55" spans="1:11" s="4" customFormat="1">
      <c r="A55" s="23" t="s">
        <v>1619</v>
      </c>
      <c r="B55" s="5" t="s">
        <v>1620</v>
      </c>
      <c r="C55" s="5" t="s">
        <v>110</v>
      </c>
      <c r="D55" s="5" t="s">
        <v>1621</v>
      </c>
      <c r="E55" s="27" t="s">
        <v>1622</v>
      </c>
      <c r="F55" s="5"/>
      <c r="H55" s="53"/>
      <c r="I55" s="5"/>
      <c r="K55" s="5"/>
    </row>
    <row r="56" spans="1:11" s="4" customFormat="1">
      <c r="A56" s="23" t="s">
        <v>1623</v>
      </c>
      <c r="B56" s="5" t="s">
        <v>1620</v>
      </c>
      <c r="C56" s="5" t="s">
        <v>110</v>
      </c>
      <c r="D56" s="5" t="s">
        <v>1624</v>
      </c>
      <c r="E56" s="27" t="s">
        <v>1625</v>
      </c>
      <c r="F56" s="5"/>
      <c r="H56" s="53"/>
      <c r="I56" s="5"/>
      <c r="K56" s="5"/>
    </row>
    <row r="57" spans="1:11" s="4" customFormat="1">
      <c r="A57" s="5"/>
      <c r="B57" s="5"/>
      <c r="C57" s="5"/>
      <c r="D57" s="5"/>
      <c r="E57" s="5"/>
      <c r="F57" s="5"/>
      <c r="H57" s="53"/>
      <c r="I57" s="5"/>
      <c r="K57" s="5"/>
    </row>
  </sheetData>
  <mergeCells count="15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  <mergeCell ref="A11:J11"/>
    <mergeCell ref="A15:J15"/>
    <mergeCell ref="A19:J1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A3" sqref="A3:A4"/>
    </sheetView>
  </sheetViews>
  <sheetFormatPr defaultRowHeight="12.75"/>
  <cols>
    <col min="1" max="1" width="25.140625" customWidth="1"/>
    <col min="2" max="2" width="28.140625" customWidth="1"/>
    <col min="3" max="3" width="16" customWidth="1"/>
    <col min="4" max="4" width="13.85546875" customWidth="1"/>
    <col min="5" max="5" width="22.85546875" customWidth="1"/>
    <col min="6" max="6" width="29.85546875" customWidth="1"/>
    <col min="11" max="11" width="23.42578125" customWidth="1"/>
  </cols>
  <sheetData>
    <row r="1" spans="1:11" s="3" customFormat="1" ht="29.1" customHeight="1">
      <c r="A1" s="79" t="s">
        <v>1626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1453</v>
      </c>
      <c r="H3" s="60"/>
      <c r="I3" s="60" t="s">
        <v>1454</v>
      </c>
      <c r="J3" s="60" t="s">
        <v>6</v>
      </c>
      <c r="K3" s="63" t="s">
        <v>5</v>
      </c>
    </row>
    <row r="4" spans="1:11" s="1" customFormat="1" ht="21" customHeight="1" thickBot="1">
      <c r="A4" s="72"/>
      <c r="B4" s="74"/>
      <c r="C4" s="74"/>
      <c r="D4" s="74"/>
      <c r="E4" s="74"/>
      <c r="F4" s="74"/>
      <c r="G4" s="2" t="s">
        <v>1455</v>
      </c>
      <c r="H4" s="51" t="s">
        <v>1456</v>
      </c>
      <c r="I4" s="74"/>
      <c r="J4" s="74"/>
      <c r="K4" s="64"/>
    </row>
    <row r="5" spans="1:11" s="4" customFormat="1" ht="15">
      <c r="A5" s="75" t="s">
        <v>1627</v>
      </c>
      <c r="B5" s="76"/>
      <c r="C5" s="76"/>
      <c r="D5" s="76"/>
      <c r="E5" s="76"/>
      <c r="F5" s="76"/>
      <c r="G5" s="76"/>
      <c r="H5" s="76"/>
      <c r="I5" s="76"/>
      <c r="J5" s="76"/>
      <c r="K5" s="5"/>
    </row>
    <row r="6" spans="1:11" s="4" customFormat="1">
      <c r="A6" s="8" t="s">
        <v>1628</v>
      </c>
      <c r="B6" s="8" t="s">
        <v>967</v>
      </c>
      <c r="C6" s="8" t="s">
        <v>1629</v>
      </c>
      <c r="D6" s="8" t="str">
        <f>"0,5683"</f>
        <v>0,5683</v>
      </c>
      <c r="E6" s="8" t="s">
        <v>605</v>
      </c>
      <c r="F6" s="8" t="s">
        <v>435</v>
      </c>
      <c r="G6" s="10" t="s">
        <v>169</v>
      </c>
      <c r="H6" s="52" t="s">
        <v>520</v>
      </c>
      <c r="I6" s="8" t="str">
        <f>"2250,0"</f>
        <v>2250,0</v>
      </c>
      <c r="J6" s="10" t="str">
        <f>"1278,6750"</f>
        <v>1278,6750</v>
      </c>
      <c r="K6" s="8" t="s">
        <v>606</v>
      </c>
    </row>
    <row r="7" spans="1:11" s="4" customFormat="1">
      <c r="A7" s="5"/>
      <c r="B7" s="5"/>
      <c r="C7" s="5"/>
      <c r="D7" s="5"/>
      <c r="E7" s="5"/>
      <c r="F7" s="5"/>
      <c r="H7" s="53"/>
      <c r="I7" s="5"/>
      <c r="K7" s="5"/>
    </row>
    <row r="8" spans="1:11" s="4" customFormat="1" ht="15">
      <c r="A8" s="5"/>
      <c r="B8" s="5"/>
      <c r="C8" s="5"/>
      <c r="D8" s="5"/>
      <c r="E8" s="20" t="s">
        <v>146</v>
      </c>
      <c r="F8" s="5"/>
      <c r="H8" s="53"/>
      <c r="I8" s="5"/>
      <c r="K8" s="5"/>
    </row>
    <row r="9" spans="1:11" s="4" customFormat="1" ht="15">
      <c r="A9" s="5"/>
      <c r="B9" s="5"/>
      <c r="C9" s="5"/>
      <c r="D9" s="5"/>
      <c r="E9" s="20" t="s">
        <v>147</v>
      </c>
      <c r="F9" s="5"/>
      <c r="H9" s="53"/>
      <c r="I9" s="5"/>
      <c r="K9" s="5"/>
    </row>
    <row r="10" spans="1:11" s="4" customFormat="1" ht="15">
      <c r="A10" s="5"/>
      <c r="B10" s="5"/>
      <c r="C10" s="5"/>
      <c r="D10" s="5"/>
      <c r="E10" s="20" t="s">
        <v>148</v>
      </c>
      <c r="F10" s="5"/>
      <c r="H10" s="53"/>
      <c r="I10" s="5"/>
      <c r="K10" s="5"/>
    </row>
    <row r="11" spans="1:11" s="4" customFormat="1" ht="15">
      <c r="A11" s="5"/>
      <c r="B11" s="5"/>
      <c r="C11" s="5"/>
      <c r="D11" s="5"/>
      <c r="E11" s="20" t="s">
        <v>149</v>
      </c>
      <c r="F11" s="5"/>
      <c r="H11" s="53"/>
      <c r="I11" s="5"/>
      <c r="K11" s="5"/>
    </row>
    <row r="12" spans="1:11" s="4" customFormat="1" ht="15">
      <c r="A12" s="5"/>
      <c r="B12" s="5"/>
      <c r="C12" s="5"/>
      <c r="D12" s="5"/>
      <c r="E12" s="20" t="s">
        <v>149</v>
      </c>
      <c r="F12" s="5"/>
      <c r="H12" s="53"/>
      <c r="I12" s="5"/>
      <c r="K12" s="5"/>
    </row>
    <row r="13" spans="1:11" s="4" customFormat="1" ht="15">
      <c r="A13" s="5"/>
      <c r="B13" s="5"/>
      <c r="C13" s="5"/>
      <c r="D13" s="5"/>
      <c r="E13" s="20" t="s">
        <v>150</v>
      </c>
      <c r="F13" s="5"/>
      <c r="H13" s="53"/>
      <c r="I13" s="5"/>
      <c r="K13" s="5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A3" sqref="A3:A4"/>
    </sheetView>
  </sheetViews>
  <sheetFormatPr defaultRowHeight="12.75"/>
  <cols>
    <col min="1" max="1" width="19.7109375" customWidth="1"/>
    <col min="2" max="2" width="32.28515625" customWidth="1"/>
    <col min="4" max="4" width="12.28515625" customWidth="1"/>
    <col min="5" max="5" width="20.85546875" customWidth="1"/>
    <col min="6" max="6" width="34.7109375" customWidth="1"/>
    <col min="8" max="8" width="11.140625" customWidth="1"/>
  </cols>
  <sheetData>
    <row r="1" spans="1:11" s="3" customFormat="1" ht="29.1" customHeight="1">
      <c r="A1" s="79" t="s">
        <v>1630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1453</v>
      </c>
      <c r="H3" s="60"/>
      <c r="I3" s="60" t="s">
        <v>1454</v>
      </c>
      <c r="J3" s="60" t="s">
        <v>6</v>
      </c>
      <c r="K3" s="63" t="s">
        <v>5</v>
      </c>
    </row>
    <row r="4" spans="1:11" s="1" customFormat="1" ht="21" customHeight="1" thickBot="1">
      <c r="A4" s="72"/>
      <c r="B4" s="74"/>
      <c r="C4" s="74"/>
      <c r="D4" s="74"/>
      <c r="E4" s="74"/>
      <c r="F4" s="74"/>
      <c r="G4" s="2" t="s">
        <v>1455</v>
      </c>
      <c r="H4" s="51" t="s">
        <v>1456</v>
      </c>
      <c r="I4" s="74"/>
      <c r="J4" s="74"/>
      <c r="K4" s="64"/>
    </row>
    <row r="5" spans="1:11" s="4" customFormat="1" ht="15">
      <c r="A5" s="75" t="s">
        <v>1627</v>
      </c>
      <c r="B5" s="76"/>
      <c r="C5" s="76"/>
      <c r="D5" s="76"/>
      <c r="E5" s="76"/>
      <c r="F5" s="76"/>
      <c r="G5" s="76"/>
      <c r="H5" s="76"/>
      <c r="I5" s="76"/>
      <c r="J5" s="76"/>
      <c r="K5" s="5"/>
    </row>
    <row r="6" spans="1:11" s="4" customFormat="1">
      <c r="A6" s="8" t="s">
        <v>1631</v>
      </c>
      <c r="B6" s="8" t="s">
        <v>1632</v>
      </c>
      <c r="C6" s="8" t="s">
        <v>1633</v>
      </c>
      <c r="D6" s="8" t="str">
        <f>"0,5641"</f>
        <v>0,5641</v>
      </c>
      <c r="E6" s="8" t="s">
        <v>82</v>
      </c>
      <c r="F6" s="8" t="s">
        <v>51</v>
      </c>
      <c r="G6" s="10" t="s">
        <v>160</v>
      </c>
      <c r="H6" s="52">
        <v>31</v>
      </c>
      <c r="I6" s="8" t="str">
        <f>"0,0"</f>
        <v>0,0</v>
      </c>
      <c r="J6" s="10" t="str">
        <f>"0,0000"</f>
        <v>0,0000</v>
      </c>
      <c r="K6" s="8" t="s">
        <v>58</v>
      </c>
    </row>
    <row r="7" spans="1:11" s="4" customFormat="1">
      <c r="A7" s="5"/>
      <c r="B7" s="5"/>
      <c r="C7" s="5"/>
      <c r="D7" s="5"/>
      <c r="E7" s="5"/>
      <c r="F7" s="5"/>
      <c r="H7" s="53"/>
      <c r="I7" s="5"/>
      <c r="K7" s="5"/>
    </row>
    <row r="8" spans="1:11" s="4" customFormat="1" ht="15">
      <c r="A8" s="5"/>
      <c r="B8" s="5"/>
      <c r="C8" s="5"/>
      <c r="D8" s="5"/>
      <c r="E8" s="20" t="s">
        <v>146</v>
      </c>
      <c r="F8" s="5"/>
      <c r="H8" s="53"/>
      <c r="I8" s="5"/>
      <c r="K8" s="5"/>
    </row>
    <row r="9" spans="1:11" s="4" customFormat="1" ht="15">
      <c r="A9" s="5"/>
      <c r="B9" s="5"/>
      <c r="C9" s="5"/>
      <c r="D9" s="5"/>
      <c r="E9" s="20" t="s">
        <v>147</v>
      </c>
      <c r="F9" s="5"/>
      <c r="H9" s="53"/>
      <c r="I9" s="5"/>
      <c r="K9" s="5"/>
    </row>
    <row r="10" spans="1:11" s="4" customFormat="1" ht="15">
      <c r="A10" s="5"/>
      <c r="B10" s="5"/>
      <c r="C10" s="5"/>
      <c r="D10" s="5"/>
      <c r="E10" s="20" t="s">
        <v>148</v>
      </c>
      <c r="F10" s="5"/>
      <c r="H10" s="53"/>
      <c r="I10" s="5"/>
      <c r="K10" s="5"/>
    </row>
    <row r="11" spans="1:11" s="4" customFormat="1" ht="15">
      <c r="A11" s="5"/>
      <c r="B11" s="5"/>
      <c r="C11" s="5"/>
      <c r="D11" s="5"/>
      <c r="E11" s="20" t="s">
        <v>149</v>
      </c>
      <c r="F11" s="5"/>
      <c r="H11" s="53"/>
      <c r="I11" s="5"/>
      <c r="K11" s="5"/>
    </row>
    <row r="12" spans="1:11" s="4" customFormat="1" ht="15">
      <c r="A12" s="5"/>
      <c r="B12" s="5"/>
      <c r="C12" s="5"/>
      <c r="D12" s="5"/>
      <c r="E12" s="20" t="s">
        <v>149</v>
      </c>
      <c r="F12" s="5"/>
      <c r="H12" s="53"/>
      <c r="I12" s="5"/>
      <c r="K12" s="5"/>
    </row>
    <row r="13" spans="1:11" s="4" customFormat="1" ht="15">
      <c r="A13" s="5"/>
      <c r="B13" s="5"/>
      <c r="C13" s="5"/>
      <c r="D13" s="5"/>
      <c r="E13" s="20" t="s">
        <v>150</v>
      </c>
      <c r="F13" s="5"/>
      <c r="H13" s="53"/>
      <c r="I13" s="5"/>
      <c r="K13" s="5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6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4.5703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85546875" style="5" bestFit="1" customWidth="1"/>
    <col min="14" max="16384" width="9.140625" style="4"/>
  </cols>
  <sheetData>
    <row r="1" spans="1:13" s="3" customFormat="1" ht="29.1" customHeight="1">
      <c r="A1" s="79" t="s">
        <v>1343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2</v>
      </c>
      <c r="H3" s="60"/>
      <c r="I3" s="60"/>
      <c r="J3" s="60"/>
      <c r="K3" s="60" t="s">
        <v>279</v>
      </c>
      <c r="L3" s="60" t="s">
        <v>6</v>
      </c>
      <c r="M3" s="63" t="s">
        <v>5</v>
      </c>
    </row>
    <row r="4" spans="1:13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74"/>
      <c r="L4" s="74"/>
      <c r="M4" s="64"/>
    </row>
    <row r="5" spans="1:13" ht="15">
      <c r="A5" s="75" t="s">
        <v>783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>
      <c r="A6" s="11" t="s">
        <v>1108</v>
      </c>
      <c r="B6" s="11" t="s">
        <v>1109</v>
      </c>
      <c r="C6" s="11" t="s">
        <v>1110</v>
      </c>
      <c r="D6" s="11" t="str">
        <f>"1,0345"</f>
        <v>1,0345</v>
      </c>
      <c r="E6" s="11" t="s">
        <v>336</v>
      </c>
      <c r="F6" s="11" t="s">
        <v>337</v>
      </c>
      <c r="G6" s="13" t="s">
        <v>169</v>
      </c>
      <c r="H6" s="12" t="s">
        <v>169</v>
      </c>
      <c r="I6" s="12" t="s">
        <v>542</v>
      </c>
      <c r="J6" s="13"/>
      <c r="K6" s="11" t="str">
        <f>"85,0"</f>
        <v>85,0</v>
      </c>
      <c r="L6" s="12" t="str">
        <f>"87,9283"</f>
        <v>87,9283</v>
      </c>
      <c r="M6" s="11" t="s">
        <v>338</v>
      </c>
    </row>
    <row r="7" spans="1:13">
      <c r="A7" s="14" t="s">
        <v>1108</v>
      </c>
      <c r="B7" s="14" t="s">
        <v>1111</v>
      </c>
      <c r="C7" s="14" t="s">
        <v>1110</v>
      </c>
      <c r="D7" s="14" t="str">
        <f>"1,0345"</f>
        <v>1,0345</v>
      </c>
      <c r="E7" s="14" t="s">
        <v>336</v>
      </c>
      <c r="F7" s="14" t="s">
        <v>337</v>
      </c>
      <c r="G7" s="16" t="s">
        <v>169</v>
      </c>
      <c r="H7" s="15" t="s">
        <v>169</v>
      </c>
      <c r="I7" s="15" t="s">
        <v>542</v>
      </c>
      <c r="J7" s="16"/>
      <c r="K7" s="14" t="str">
        <f>"85,0"</f>
        <v>85,0</v>
      </c>
      <c r="L7" s="15" t="str">
        <f>"103,1398"</f>
        <v>103,1398</v>
      </c>
      <c r="M7" s="14" t="s">
        <v>338</v>
      </c>
    </row>
    <row r="9" spans="1:13" ht="15">
      <c r="A9" s="77" t="s">
        <v>477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3">
      <c r="A10" s="11" t="s">
        <v>1345</v>
      </c>
      <c r="B10" s="11" t="s">
        <v>1346</v>
      </c>
      <c r="C10" s="11" t="s">
        <v>1347</v>
      </c>
      <c r="D10" s="11" t="str">
        <f>"0,9786"</f>
        <v>0,9786</v>
      </c>
      <c r="E10" s="11" t="s">
        <v>336</v>
      </c>
      <c r="F10" s="11" t="s">
        <v>337</v>
      </c>
      <c r="G10" s="12" t="s">
        <v>517</v>
      </c>
      <c r="H10" s="12" t="s">
        <v>1348</v>
      </c>
      <c r="I10" s="13" t="s">
        <v>174</v>
      </c>
      <c r="J10" s="13"/>
      <c r="K10" s="11" t="str">
        <f>"72,5"</f>
        <v>72,5</v>
      </c>
      <c r="L10" s="12" t="str">
        <f>"70,9449"</f>
        <v>70,9449</v>
      </c>
      <c r="M10" s="11" t="s">
        <v>1349</v>
      </c>
    </row>
    <row r="11" spans="1:13">
      <c r="A11" s="17" t="s">
        <v>713</v>
      </c>
      <c r="B11" s="17" t="s">
        <v>714</v>
      </c>
      <c r="C11" s="17" t="s">
        <v>715</v>
      </c>
      <c r="D11" s="17" t="str">
        <f>"0,9739"</f>
        <v>0,9739</v>
      </c>
      <c r="E11" s="17" t="s">
        <v>336</v>
      </c>
      <c r="F11" s="17" t="s">
        <v>337</v>
      </c>
      <c r="G11" s="19" t="s">
        <v>517</v>
      </c>
      <c r="H11" s="19" t="s">
        <v>307</v>
      </c>
      <c r="I11" s="18" t="s">
        <v>1348</v>
      </c>
      <c r="J11" s="18"/>
      <c r="K11" s="17" t="str">
        <f>"67,5"</f>
        <v>67,5</v>
      </c>
      <c r="L11" s="19" t="str">
        <f>"65,7383"</f>
        <v>65,7383</v>
      </c>
      <c r="M11" s="17" t="s">
        <v>338</v>
      </c>
    </row>
    <row r="12" spans="1:13">
      <c r="A12" s="14" t="s">
        <v>716</v>
      </c>
      <c r="B12" s="14" t="s">
        <v>717</v>
      </c>
      <c r="C12" s="14" t="s">
        <v>715</v>
      </c>
      <c r="D12" s="14" t="str">
        <f>"0,9739"</f>
        <v>0,9739</v>
      </c>
      <c r="E12" s="14" t="s">
        <v>336</v>
      </c>
      <c r="F12" s="14" t="s">
        <v>337</v>
      </c>
      <c r="G12" s="15" t="s">
        <v>517</v>
      </c>
      <c r="H12" s="15" t="s">
        <v>307</v>
      </c>
      <c r="I12" s="16" t="s">
        <v>1348</v>
      </c>
      <c r="J12" s="16"/>
      <c r="K12" s="14" t="str">
        <f>"67,5"</f>
        <v>67,5</v>
      </c>
      <c r="L12" s="15" t="str">
        <f>"66,3299"</f>
        <v>66,3299</v>
      </c>
      <c r="M12" s="14" t="s">
        <v>338</v>
      </c>
    </row>
    <row r="14" spans="1:13" ht="15">
      <c r="A14" s="77" t="s">
        <v>198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3">
      <c r="A15" s="8" t="s">
        <v>724</v>
      </c>
      <c r="B15" s="8" t="s">
        <v>725</v>
      </c>
      <c r="C15" s="8" t="s">
        <v>726</v>
      </c>
      <c r="D15" s="8" t="str">
        <f>"0,9153"</f>
        <v>0,9153</v>
      </c>
      <c r="E15" s="8" t="s">
        <v>336</v>
      </c>
      <c r="F15" s="8" t="s">
        <v>337</v>
      </c>
      <c r="G15" s="9" t="s">
        <v>826</v>
      </c>
      <c r="H15" s="10" t="s">
        <v>102</v>
      </c>
      <c r="I15" s="9" t="s">
        <v>127</v>
      </c>
      <c r="J15" s="9"/>
      <c r="K15" s="8" t="str">
        <f>"110,0"</f>
        <v>110,0</v>
      </c>
      <c r="L15" s="10" t="str">
        <f>"100,6830"</f>
        <v>100,6830</v>
      </c>
      <c r="M15" s="8" t="s">
        <v>338</v>
      </c>
    </row>
    <row r="17" spans="1:13" ht="15">
      <c r="A17" s="77" t="s">
        <v>511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3">
      <c r="A18" s="8" t="s">
        <v>1305</v>
      </c>
      <c r="B18" s="8" t="s">
        <v>1306</v>
      </c>
      <c r="C18" s="8" t="s">
        <v>515</v>
      </c>
      <c r="D18" s="8" t="str">
        <f>"0,8609"</f>
        <v>0,8609</v>
      </c>
      <c r="E18" s="8" t="s">
        <v>50</v>
      </c>
      <c r="F18" s="8" t="s">
        <v>51</v>
      </c>
      <c r="G18" s="10" t="s">
        <v>165</v>
      </c>
      <c r="H18" s="10" t="s">
        <v>203</v>
      </c>
      <c r="I18" s="10" t="s">
        <v>160</v>
      </c>
      <c r="J18" s="9"/>
      <c r="K18" s="8" t="str">
        <f>"100,0"</f>
        <v>100,0</v>
      </c>
      <c r="L18" s="10" t="str">
        <f>"92,9772"</f>
        <v>92,9772</v>
      </c>
      <c r="M18" s="8" t="s">
        <v>77</v>
      </c>
    </row>
    <row r="20" spans="1:13" ht="15">
      <c r="A20" s="77" t="s">
        <v>511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3">
      <c r="A21" s="8" t="s">
        <v>1135</v>
      </c>
      <c r="B21" s="8" t="s">
        <v>1136</v>
      </c>
      <c r="C21" s="8" t="s">
        <v>515</v>
      </c>
      <c r="D21" s="8" t="str">
        <f>"0,8128"</f>
        <v>0,8128</v>
      </c>
      <c r="E21" s="8" t="s">
        <v>336</v>
      </c>
      <c r="F21" s="8" t="s">
        <v>337</v>
      </c>
      <c r="G21" s="10" t="s">
        <v>203</v>
      </c>
      <c r="H21" s="9" t="s">
        <v>496</v>
      </c>
      <c r="I21" s="9" t="s">
        <v>102</v>
      </c>
      <c r="J21" s="9"/>
      <c r="K21" s="8" t="str">
        <f>"95,0"</f>
        <v>95,0</v>
      </c>
      <c r="L21" s="10" t="str">
        <f>"77,2160"</f>
        <v>77,2160</v>
      </c>
      <c r="M21" s="8" t="s">
        <v>338</v>
      </c>
    </row>
    <row r="23" spans="1:13" ht="15">
      <c r="A23" s="77" t="s">
        <v>281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3">
      <c r="A24" s="8" t="s">
        <v>1350</v>
      </c>
      <c r="B24" s="8" t="s">
        <v>566</v>
      </c>
      <c r="C24" s="8" t="s">
        <v>567</v>
      </c>
      <c r="D24" s="8" t="str">
        <f>"0,7258"</f>
        <v>0,7258</v>
      </c>
      <c r="E24" s="8" t="s">
        <v>336</v>
      </c>
      <c r="F24" s="8" t="s">
        <v>337</v>
      </c>
      <c r="G24" s="10" t="s">
        <v>90</v>
      </c>
      <c r="H24" s="10" t="s">
        <v>101</v>
      </c>
      <c r="I24" s="9" t="s">
        <v>75</v>
      </c>
      <c r="J24" s="9"/>
      <c r="K24" s="8" t="str">
        <f>"165,0"</f>
        <v>165,0</v>
      </c>
      <c r="L24" s="10" t="str">
        <f>"119,7570"</f>
        <v>119,7570</v>
      </c>
      <c r="M24" s="8" t="s">
        <v>338</v>
      </c>
    </row>
    <row r="26" spans="1:13" ht="15">
      <c r="A26" s="77" t="s">
        <v>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3">
      <c r="A27" s="8" t="s">
        <v>1308</v>
      </c>
      <c r="B27" s="8" t="s">
        <v>1309</v>
      </c>
      <c r="C27" s="8" t="s">
        <v>1310</v>
      </c>
      <c r="D27" s="8" t="str">
        <f>"0,6851"</f>
        <v>0,6851</v>
      </c>
      <c r="E27" s="8" t="s">
        <v>336</v>
      </c>
      <c r="F27" s="8" t="s">
        <v>337</v>
      </c>
      <c r="G27" s="10" t="s">
        <v>160</v>
      </c>
      <c r="H27" s="10" t="s">
        <v>102</v>
      </c>
      <c r="I27" s="9" t="s">
        <v>24</v>
      </c>
      <c r="J27" s="9"/>
      <c r="K27" s="8" t="str">
        <f>"110,0"</f>
        <v>110,0</v>
      </c>
      <c r="L27" s="10" t="str">
        <f>"75,3610"</f>
        <v>75,3610</v>
      </c>
      <c r="M27" s="8" t="s">
        <v>338</v>
      </c>
    </row>
    <row r="29" spans="1:13" ht="15">
      <c r="A29" s="77" t="s">
        <v>31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3">
      <c r="A30" s="11" t="s">
        <v>1311</v>
      </c>
      <c r="B30" s="11" t="s">
        <v>1174</v>
      </c>
      <c r="C30" s="11" t="s">
        <v>1175</v>
      </c>
      <c r="D30" s="11" t="str">
        <f>"0,6198"</f>
        <v>0,6198</v>
      </c>
      <c r="E30" s="11" t="s">
        <v>336</v>
      </c>
      <c r="F30" s="11" t="s">
        <v>337</v>
      </c>
      <c r="G30" s="13" t="s">
        <v>407</v>
      </c>
      <c r="H30" s="12" t="s">
        <v>407</v>
      </c>
      <c r="I30" s="13" t="s">
        <v>1351</v>
      </c>
      <c r="J30" s="13"/>
      <c r="K30" s="11" t="str">
        <f>"252,5"</f>
        <v>252,5</v>
      </c>
      <c r="L30" s="12" t="str">
        <f>"156,4995"</f>
        <v>156,4995</v>
      </c>
      <c r="M30" s="11" t="s">
        <v>58</v>
      </c>
    </row>
    <row r="31" spans="1:13">
      <c r="A31" s="17" t="s">
        <v>1353</v>
      </c>
      <c r="B31" s="17" t="s">
        <v>1354</v>
      </c>
      <c r="C31" s="17" t="s">
        <v>864</v>
      </c>
      <c r="D31" s="17" t="str">
        <f>"0,6262"</f>
        <v>0,6262</v>
      </c>
      <c r="E31" s="17" t="s">
        <v>82</v>
      </c>
      <c r="F31" s="17" t="s">
        <v>213</v>
      </c>
      <c r="G31" s="19" t="s">
        <v>66</v>
      </c>
      <c r="H31" s="19" t="s">
        <v>75</v>
      </c>
      <c r="I31" s="18" t="s">
        <v>92</v>
      </c>
      <c r="J31" s="18"/>
      <c r="K31" s="17" t="str">
        <f>"175,0"</f>
        <v>175,0</v>
      </c>
      <c r="L31" s="19" t="str">
        <f>"109,5850"</f>
        <v>109,5850</v>
      </c>
      <c r="M31" s="17" t="s">
        <v>58</v>
      </c>
    </row>
    <row r="32" spans="1:13">
      <c r="A32" s="14" t="s">
        <v>1356</v>
      </c>
      <c r="B32" s="14" t="s">
        <v>1357</v>
      </c>
      <c r="C32" s="14" t="s">
        <v>1358</v>
      </c>
      <c r="D32" s="14" t="str">
        <f>"0,6241"</f>
        <v>0,6241</v>
      </c>
      <c r="E32" s="14" t="s">
        <v>20</v>
      </c>
      <c r="F32" s="14" t="s">
        <v>21</v>
      </c>
      <c r="G32" s="15" t="s">
        <v>74</v>
      </c>
      <c r="H32" s="15" t="s">
        <v>75</v>
      </c>
      <c r="I32" s="16" t="s">
        <v>92</v>
      </c>
      <c r="J32" s="16"/>
      <c r="K32" s="14" t="str">
        <f>"175,0"</f>
        <v>175,0</v>
      </c>
      <c r="L32" s="15" t="str">
        <f>"109,2175"</f>
        <v>109,2175</v>
      </c>
      <c r="M32" s="14" t="s">
        <v>408</v>
      </c>
    </row>
    <row r="34" spans="1:13" ht="15">
      <c r="A34" s="77" t="s">
        <v>59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3">
      <c r="A35" s="11" t="s">
        <v>1360</v>
      </c>
      <c r="B35" s="11" t="s">
        <v>1361</v>
      </c>
      <c r="C35" s="11" t="s">
        <v>1362</v>
      </c>
      <c r="D35" s="11" t="str">
        <f>"0,5928"</f>
        <v>0,5928</v>
      </c>
      <c r="E35" s="11" t="s">
        <v>82</v>
      </c>
      <c r="F35" s="11" t="s">
        <v>51</v>
      </c>
      <c r="G35" s="12" t="s">
        <v>23</v>
      </c>
      <c r="H35" s="12" t="s">
        <v>39</v>
      </c>
      <c r="I35" s="12" t="s">
        <v>53</v>
      </c>
      <c r="J35" s="13"/>
      <c r="K35" s="11" t="str">
        <f>"205,0"</f>
        <v>205,0</v>
      </c>
      <c r="L35" s="12" t="str">
        <f>"121,5240"</f>
        <v>121,5240</v>
      </c>
      <c r="M35" s="11" t="s">
        <v>58</v>
      </c>
    </row>
    <row r="36" spans="1:13">
      <c r="A36" s="17" t="s">
        <v>1363</v>
      </c>
      <c r="B36" s="17" t="s">
        <v>1295</v>
      </c>
      <c r="C36" s="17" t="s">
        <v>1296</v>
      </c>
      <c r="D36" s="17" t="str">
        <f>"0,6029"</f>
        <v>0,6029</v>
      </c>
      <c r="E36" s="17" t="s">
        <v>336</v>
      </c>
      <c r="F36" s="17" t="s">
        <v>337</v>
      </c>
      <c r="G36" s="19" t="s">
        <v>101</v>
      </c>
      <c r="H36" s="18" t="s">
        <v>41</v>
      </c>
      <c r="I36" s="18" t="s">
        <v>134</v>
      </c>
      <c r="J36" s="18"/>
      <c r="K36" s="17" t="str">
        <f>"165,0"</f>
        <v>165,0</v>
      </c>
      <c r="L36" s="19" t="str">
        <f>"99,4785"</f>
        <v>99,4785</v>
      </c>
      <c r="M36" s="17" t="s">
        <v>338</v>
      </c>
    </row>
    <row r="37" spans="1:13">
      <c r="A37" s="14" t="s">
        <v>936</v>
      </c>
      <c r="B37" s="14" t="s">
        <v>937</v>
      </c>
      <c r="C37" s="14" t="s">
        <v>938</v>
      </c>
      <c r="D37" s="14" t="str">
        <f>"0,5986"</f>
        <v>0,5986</v>
      </c>
      <c r="E37" s="14" t="s">
        <v>82</v>
      </c>
      <c r="F37" s="14" t="s">
        <v>939</v>
      </c>
      <c r="G37" s="15" t="s">
        <v>42</v>
      </c>
      <c r="H37" s="15" t="s">
        <v>67</v>
      </c>
      <c r="I37" s="15" t="s">
        <v>145</v>
      </c>
      <c r="J37" s="16"/>
      <c r="K37" s="14" t="str">
        <f>"230,0"</f>
        <v>230,0</v>
      </c>
      <c r="L37" s="15" t="str">
        <f>"138,9171"</f>
        <v>138,9171</v>
      </c>
      <c r="M37" s="14" t="s">
        <v>58</v>
      </c>
    </row>
    <row r="39" spans="1:13" ht="15">
      <c r="A39" s="77" t="s">
        <v>94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3">
      <c r="A40" s="11" t="s">
        <v>1365</v>
      </c>
      <c r="B40" s="11" t="s">
        <v>1366</v>
      </c>
      <c r="C40" s="11" t="s">
        <v>233</v>
      </c>
      <c r="D40" s="11" t="str">
        <f>"0,5591"</f>
        <v>0,5591</v>
      </c>
      <c r="E40" s="11" t="s">
        <v>20</v>
      </c>
      <c r="F40" s="11" t="s">
        <v>21</v>
      </c>
      <c r="G40" s="12" t="s">
        <v>68</v>
      </c>
      <c r="H40" s="12" t="s">
        <v>412</v>
      </c>
      <c r="I40" s="13" t="s">
        <v>1367</v>
      </c>
      <c r="J40" s="13"/>
      <c r="K40" s="11" t="str">
        <f>"282,5"</f>
        <v>282,5</v>
      </c>
      <c r="L40" s="12" t="str">
        <f>"157,9457"</f>
        <v>157,9457</v>
      </c>
      <c r="M40" s="11" t="s">
        <v>1368</v>
      </c>
    </row>
    <row r="41" spans="1:13">
      <c r="A41" s="17" t="s">
        <v>1369</v>
      </c>
      <c r="B41" s="17" t="s">
        <v>1319</v>
      </c>
      <c r="C41" s="17" t="s">
        <v>1320</v>
      </c>
      <c r="D41" s="17" t="str">
        <f>"0,5662"</f>
        <v>0,5662</v>
      </c>
      <c r="E41" s="17" t="s">
        <v>336</v>
      </c>
      <c r="F41" s="17" t="s">
        <v>337</v>
      </c>
      <c r="G41" s="19" t="s">
        <v>122</v>
      </c>
      <c r="H41" s="18" t="s">
        <v>300</v>
      </c>
      <c r="I41" s="18" t="s">
        <v>414</v>
      </c>
      <c r="J41" s="18"/>
      <c r="K41" s="17" t="str">
        <f>"280,0"</f>
        <v>280,0</v>
      </c>
      <c r="L41" s="19" t="str">
        <f>"158,5220"</f>
        <v>158,5220</v>
      </c>
      <c r="M41" s="17" t="s">
        <v>338</v>
      </c>
    </row>
    <row r="42" spans="1:13">
      <c r="A42" s="17" t="s">
        <v>1371</v>
      </c>
      <c r="B42" s="17" t="s">
        <v>1372</v>
      </c>
      <c r="C42" s="17" t="s">
        <v>1373</v>
      </c>
      <c r="D42" s="17" t="str">
        <f>"0,5649"</f>
        <v>0,5649</v>
      </c>
      <c r="E42" s="17" t="s">
        <v>82</v>
      </c>
      <c r="F42" s="17" t="s">
        <v>939</v>
      </c>
      <c r="G42" s="19" t="s">
        <v>74</v>
      </c>
      <c r="H42" s="19" t="s">
        <v>22</v>
      </c>
      <c r="I42" s="19" t="s">
        <v>92</v>
      </c>
      <c r="J42" s="18"/>
      <c r="K42" s="17" t="str">
        <f>"185,0"</f>
        <v>185,0</v>
      </c>
      <c r="L42" s="19" t="str">
        <f>"104,5157"</f>
        <v>104,5157</v>
      </c>
      <c r="M42" s="17" t="s">
        <v>1374</v>
      </c>
    </row>
    <row r="43" spans="1:13">
      <c r="A43" s="17" t="s">
        <v>1375</v>
      </c>
      <c r="B43" s="17" t="s">
        <v>1213</v>
      </c>
      <c r="C43" s="17" t="s">
        <v>991</v>
      </c>
      <c r="D43" s="17" t="str">
        <f>"0,5639"</f>
        <v>0,5639</v>
      </c>
      <c r="E43" s="17" t="s">
        <v>336</v>
      </c>
      <c r="F43" s="17" t="s">
        <v>337</v>
      </c>
      <c r="G43" s="19" t="s">
        <v>75</v>
      </c>
      <c r="H43" s="18"/>
      <c r="I43" s="18"/>
      <c r="J43" s="18"/>
      <c r="K43" s="17" t="str">
        <f>"175,0"</f>
        <v>175,0</v>
      </c>
      <c r="L43" s="19" t="str">
        <f>"98,6825"</f>
        <v>98,6825</v>
      </c>
      <c r="M43" s="17" t="s">
        <v>338</v>
      </c>
    </row>
    <row r="44" spans="1:13">
      <c r="A44" s="14" t="s">
        <v>989</v>
      </c>
      <c r="B44" s="14" t="s">
        <v>990</v>
      </c>
      <c r="C44" s="14" t="s">
        <v>991</v>
      </c>
      <c r="D44" s="14" t="str">
        <f>"0,5639"</f>
        <v>0,5639</v>
      </c>
      <c r="E44" s="14" t="s">
        <v>336</v>
      </c>
      <c r="F44" s="14" t="s">
        <v>337</v>
      </c>
      <c r="G44" s="15" t="s">
        <v>75</v>
      </c>
      <c r="H44" s="16"/>
      <c r="I44" s="16"/>
      <c r="J44" s="16"/>
      <c r="K44" s="14" t="str">
        <f>"175,0"</f>
        <v>175,0</v>
      </c>
      <c r="L44" s="15" t="str">
        <f>"167,7602"</f>
        <v>167,7602</v>
      </c>
      <c r="M44" s="14" t="s">
        <v>338</v>
      </c>
    </row>
    <row r="46" spans="1:13" ht="15">
      <c r="A46" s="77" t="s">
        <v>250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</row>
    <row r="47" spans="1:13">
      <c r="A47" s="8" t="s">
        <v>1018</v>
      </c>
      <c r="B47" s="8" t="s">
        <v>1019</v>
      </c>
      <c r="C47" s="8" t="s">
        <v>1376</v>
      </c>
      <c r="D47" s="8" t="str">
        <f>"0,5319"</f>
        <v>0,5319</v>
      </c>
      <c r="E47" s="8" t="s">
        <v>82</v>
      </c>
      <c r="F47" s="8" t="s">
        <v>51</v>
      </c>
      <c r="G47" s="10" t="s">
        <v>115</v>
      </c>
      <c r="H47" s="9" t="s">
        <v>29</v>
      </c>
      <c r="I47" s="9" t="s">
        <v>29</v>
      </c>
      <c r="J47" s="9"/>
      <c r="K47" s="8" t="str">
        <f>"245,0"</f>
        <v>245,0</v>
      </c>
      <c r="L47" s="10" t="str">
        <f>"130,7064"</f>
        <v>130,7064</v>
      </c>
      <c r="M47" s="8" t="s">
        <v>1021</v>
      </c>
    </row>
    <row r="49" spans="1:5" ht="15">
      <c r="E49" s="20" t="s">
        <v>146</v>
      </c>
    </row>
    <row r="50" spans="1:5" ht="15">
      <c r="E50" s="20" t="s">
        <v>147</v>
      </c>
    </row>
    <row r="51" spans="1:5" ht="15">
      <c r="E51" s="20" t="s">
        <v>148</v>
      </c>
    </row>
    <row r="52" spans="1:5" ht="15">
      <c r="E52" s="20" t="s">
        <v>149</v>
      </c>
    </row>
    <row r="53" spans="1:5" ht="15">
      <c r="E53" s="20" t="s">
        <v>149</v>
      </c>
    </row>
    <row r="54" spans="1:5" ht="15">
      <c r="E54" s="20" t="s">
        <v>150</v>
      </c>
    </row>
    <row r="55" spans="1:5" ht="15">
      <c r="E55" s="20"/>
    </row>
    <row r="57" spans="1:5" ht="18">
      <c r="A57" s="21" t="s">
        <v>151</v>
      </c>
      <c r="B57" s="21"/>
    </row>
    <row r="58" spans="1:5" ht="15">
      <c r="A58" s="22" t="s">
        <v>261</v>
      </c>
      <c r="B58" s="22"/>
    </row>
    <row r="59" spans="1:5" ht="14.25">
      <c r="A59" s="24"/>
      <c r="B59" s="25" t="s">
        <v>650</v>
      </c>
    </row>
    <row r="60" spans="1:5" ht="15">
      <c r="A60" s="26" t="s">
        <v>154</v>
      </c>
      <c r="B60" s="26" t="s">
        <v>155</v>
      </c>
      <c r="C60" s="26" t="s">
        <v>156</v>
      </c>
      <c r="D60" s="26" t="s">
        <v>157</v>
      </c>
      <c r="E60" s="26" t="s">
        <v>158</v>
      </c>
    </row>
    <row r="61" spans="1:5">
      <c r="A61" s="23" t="s">
        <v>1304</v>
      </c>
      <c r="B61" s="5" t="s">
        <v>651</v>
      </c>
      <c r="C61" s="5" t="s">
        <v>484</v>
      </c>
      <c r="D61" s="5" t="s">
        <v>160</v>
      </c>
      <c r="E61" s="27" t="s">
        <v>1377</v>
      </c>
    </row>
    <row r="63" spans="1:5" ht="14.25">
      <c r="A63" s="24"/>
      <c r="B63" s="25" t="s">
        <v>168</v>
      </c>
    </row>
    <row r="64" spans="1:5" ht="15">
      <c r="A64" s="26" t="s">
        <v>154</v>
      </c>
      <c r="B64" s="26" t="s">
        <v>155</v>
      </c>
      <c r="C64" s="26" t="s">
        <v>156</v>
      </c>
      <c r="D64" s="26" t="s">
        <v>157</v>
      </c>
      <c r="E64" s="26" t="s">
        <v>158</v>
      </c>
    </row>
    <row r="65" spans="1:5">
      <c r="A65" s="23" t="s">
        <v>723</v>
      </c>
      <c r="B65" s="5" t="s">
        <v>168</v>
      </c>
      <c r="C65" s="5" t="s">
        <v>262</v>
      </c>
      <c r="D65" s="5" t="s">
        <v>102</v>
      </c>
      <c r="E65" s="27" t="s">
        <v>1378</v>
      </c>
    </row>
    <row r="66" spans="1:5">
      <c r="A66" s="23" t="s">
        <v>1107</v>
      </c>
      <c r="B66" s="5" t="s">
        <v>168</v>
      </c>
      <c r="C66" s="5" t="s">
        <v>1047</v>
      </c>
      <c r="D66" s="5" t="s">
        <v>542</v>
      </c>
      <c r="E66" s="27" t="s">
        <v>1379</v>
      </c>
    </row>
    <row r="67" spans="1:5">
      <c r="A67" s="23" t="s">
        <v>1344</v>
      </c>
      <c r="B67" s="5" t="s">
        <v>168</v>
      </c>
      <c r="C67" s="5" t="s">
        <v>652</v>
      </c>
      <c r="D67" s="5" t="s">
        <v>1348</v>
      </c>
      <c r="E67" s="27" t="s">
        <v>1380</v>
      </c>
    </row>
    <row r="68" spans="1:5">
      <c r="A68" s="23" t="s">
        <v>712</v>
      </c>
      <c r="B68" s="5" t="s">
        <v>168</v>
      </c>
      <c r="C68" s="5" t="s">
        <v>652</v>
      </c>
      <c r="D68" s="5" t="s">
        <v>307</v>
      </c>
      <c r="E68" s="27" t="s">
        <v>1381</v>
      </c>
    </row>
    <row r="70" spans="1:5" ht="14.25">
      <c r="A70" s="24"/>
      <c r="B70" s="25" t="s">
        <v>191</v>
      </c>
    </row>
    <row r="71" spans="1:5" ht="15">
      <c r="A71" s="26" t="s">
        <v>154</v>
      </c>
      <c r="B71" s="26" t="s">
        <v>155</v>
      </c>
      <c r="C71" s="26" t="s">
        <v>156</v>
      </c>
      <c r="D71" s="26" t="s">
        <v>157</v>
      </c>
      <c r="E71" s="26" t="s">
        <v>158</v>
      </c>
    </row>
    <row r="72" spans="1:5">
      <c r="A72" s="23" t="s">
        <v>1107</v>
      </c>
      <c r="B72" s="5" t="s">
        <v>192</v>
      </c>
      <c r="C72" s="5" t="s">
        <v>1047</v>
      </c>
      <c r="D72" s="5" t="s">
        <v>542</v>
      </c>
      <c r="E72" s="27" t="s">
        <v>1382</v>
      </c>
    </row>
    <row r="73" spans="1:5">
      <c r="A73" s="23" t="s">
        <v>712</v>
      </c>
      <c r="B73" s="5" t="s">
        <v>312</v>
      </c>
      <c r="C73" s="5" t="s">
        <v>652</v>
      </c>
      <c r="D73" s="5" t="s">
        <v>307</v>
      </c>
      <c r="E73" s="27" t="s">
        <v>1383</v>
      </c>
    </row>
    <row r="76" spans="1:5" ht="15">
      <c r="A76" s="22" t="s">
        <v>152</v>
      </c>
      <c r="B76" s="22"/>
    </row>
    <row r="77" spans="1:5" ht="14.25">
      <c r="A77" s="24"/>
      <c r="B77" s="25" t="s">
        <v>168</v>
      </c>
    </row>
    <row r="78" spans="1:5" ht="15">
      <c r="A78" s="26" t="s">
        <v>154</v>
      </c>
      <c r="B78" s="26" t="s">
        <v>155</v>
      </c>
      <c r="C78" s="26" t="s">
        <v>156</v>
      </c>
      <c r="D78" s="26" t="s">
        <v>157</v>
      </c>
      <c r="E78" s="26" t="s">
        <v>158</v>
      </c>
    </row>
    <row r="79" spans="1:5">
      <c r="A79" s="23" t="s">
        <v>1317</v>
      </c>
      <c r="B79" s="5" t="s">
        <v>168</v>
      </c>
      <c r="C79" s="5" t="s">
        <v>160</v>
      </c>
      <c r="D79" s="5" t="s">
        <v>122</v>
      </c>
      <c r="E79" s="27" t="s">
        <v>1384</v>
      </c>
    </row>
    <row r="80" spans="1:5">
      <c r="A80" s="23" t="s">
        <v>1364</v>
      </c>
      <c r="B80" s="5" t="s">
        <v>168</v>
      </c>
      <c r="C80" s="5" t="s">
        <v>160</v>
      </c>
      <c r="D80" s="5" t="s">
        <v>412</v>
      </c>
      <c r="E80" s="27" t="s">
        <v>1385</v>
      </c>
    </row>
    <row r="81" spans="1:5">
      <c r="A81" s="23" t="s">
        <v>1172</v>
      </c>
      <c r="B81" s="5" t="s">
        <v>168</v>
      </c>
      <c r="C81" s="5" t="s">
        <v>174</v>
      </c>
      <c r="D81" s="5" t="s">
        <v>407</v>
      </c>
      <c r="E81" s="27" t="s">
        <v>1386</v>
      </c>
    </row>
    <row r="82" spans="1:5">
      <c r="A82" s="23" t="s">
        <v>1359</v>
      </c>
      <c r="B82" s="5" t="s">
        <v>168</v>
      </c>
      <c r="C82" s="5" t="s">
        <v>165</v>
      </c>
      <c r="D82" s="5" t="s">
        <v>53</v>
      </c>
      <c r="E82" s="27" t="s">
        <v>1387</v>
      </c>
    </row>
    <row r="83" spans="1:5">
      <c r="A83" s="23" t="s">
        <v>564</v>
      </c>
      <c r="B83" s="5" t="s">
        <v>168</v>
      </c>
      <c r="C83" s="5" t="s">
        <v>307</v>
      </c>
      <c r="D83" s="5" t="s">
        <v>101</v>
      </c>
      <c r="E83" s="27" t="s">
        <v>1388</v>
      </c>
    </row>
    <row r="84" spans="1:5">
      <c r="A84" s="23" t="s">
        <v>1352</v>
      </c>
      <c r="B84" s="5" t="s">
        <v>168</v>
      </c>
      <c r="C84" s="5" t="s">
        <v>174</v>
      </c>
      <c r="D84" s="5" t="s">
        <v>75</v>
      </c>
      <c r="E84" s="27" t="s">
        <v>1389</v>
      </c>
    </row>
    <row r="85" spans="1:5">
      <c r="A85" s="23" t="s">
        <v>1355</v>
      </c>
      <c r="B85" s="5" t="s">
        <v>168</v>
      </c>
      <c r="C85" s="5" t="s">
        <v>174</v>
      </c>
      <c r="D85" s="5" t="s">
        <v>75</v>
      </c>
      <c r="E85" s="27" t="s">
        <v>1390</v>
      </c>
    </row>
    <row r="86" spans="1:5">
      <c r="A86" s="23" t="s">
        <v>1370</v>
      </c>
      <c r="B86" s="5" t="s">
        <v>168</v>
      </c>
      <c r="C86" s="5" t="s">
        <v>160</v>
      </c>
      <c r="D86" s="5" t="s">
        <v>92</v>
      </c>
      <c r="E86" s="27" t="s">
        <v>1391</v>
      </c>
    </row>
    <row r="87" spans="1:5">
      <c r="A87" s="23" t="s">
        <v>1293</v>
      </c>
      <c r="B87" s="5" t="s">
        <v>168</v>
      </c>
      <c r="C87" s="5" t="s">
        <v>165</v>
      </c>
      <c r="D87" s="5" t="s">
        <v>101</v>
      </c>
      <c r="E87" s="27" t="s">
        <v>1392</v>
      </c>
    </row>
    <row r="88" spans="1:5">
      <c r="A88" s="23" t="s">
        <v>988</v>
      </c>
      <c r="B88" s="5" t="s">
        <v>168</v>
      </c>
      <c r="C88" s="5" t="s">
        <v>160</v>
      </c>
      <c r="D88" s="5" t="s">
        <v>75</v>
      </c>
      <c r="E88" s="27" t="s">
        <v>1393</v>
      </c>
    </row>
    <row r="89" spans="1:5">
      <c r="A89" s="23" t="s">
        <v>1134</v>
      </c>
      <c r="B89" s="5" t="s">
        <v>168</v>
      </c>
      <c r="C89" s="5" t="s">
        <v>484</v>
      </c>
      <c r="D89" s="5" t="s">
        <v>203</v>
      </c>
      <c r="E89" s="27" t="s">
        <v>1394</v>
      </c>
    </row>
    <row r="90" spans="1:5">
      <c r="A90" s="23" t="s">
        <v>1307</v>
      </c>
      <c r="B90" s="5" t="s">
        <v>168</v>
      </c>
      <c r="C90" s="5" t="s">
        <v>169</v>
      </c>
      <c r="D90" s="5" t="s">
        <v>102</v>
      </c>
      <c r="E90" s="27" t="s">
        <v>1395</v>
      </c>
    </row>
    <row r="92" spans="1:5" ht="14.25">
      <c r="A92" s="24"/>
      <c r="B92" s="25" t="s">
        <v>191</v>
      </c>
    </row>
    <row r="93" spans="1:5" ht="15">
      <c r="A93" s="26" t="s">
        <v>154</v>
      </c>
      <c r="B93" s="26" t="s">
        <v>155</v>
      </c>
      <c r="C93" s="26" t="s">
        <v>156</v>
      </c>
      <c r="D93" s="26" t="s">
        <v>157</v>
      </c>
      <c r="E93" s="26" t="s">
        <v>158</v>
      </c>
    </row>
    <row r="94" spans="1:5">
      <c r="A94" s="23" t="s">
        <v>988</v>
      </c>
      <c r="B94" s="5" t="s">
        <v>1084</v>
      </c>
      <c r="C94" s="5" t="s">
        <v>160</v>
      </c>
      <c r="D94" s="5" t="s">
        <v>75</v>
      </c>
      <c r="E94" s="27" t="s">
        <v>1396</v>
      </c>
    </row>
    <row r="95" spans="1:5">
      <c r="A95" s="23" t="s">
        <v>935</v>
      </c>
      <c r="B95" s="5" t="s">
        <v>312</v>
      </c>
      <c r="C95" s="5" t="s">
        <v>165</v>
      </c>
      <c r="D95" s="5" t="s">
        <v>145</v>
      </c>
      <c r="E95" s="27" t="s">
        <v>1397</v>
      </c>
    </row>
    <row r="96" spans="1:5">
      <c r="A96" s="23" t="s">
        <v>1017</v>
      </c>
      <c r="B96" s="5" t="s">
        <v>312</v>
      </c>
      <c r="C96" s="5" t="s">
        <v>127</v>
      </c>
      <c r="D96" s="5" t="s">
        <v>115</v>
      </c>
      <c r="E96" s="27" t="s">
        <v>1398</v>
      </c>
    </row>
  </sheetData>
  <mergeCells count="22">
    <mergeCell ref="A5:L5"/>
    <mergeCell ref="A9:L9"/>
    <mergeCell ref="A14:L14"/>
    <mergeCell ref="A39:L39"/>
    <mergeCell ref="A46:L46"/>
    <mergeCell ref="A17:L17"/>
    <mergeCell ref="A20:L20"/>
    <mergeCell ref="A23:L23"/>
    <mergeCell ref="A26:L26"/>
    <mergeCell ref="A29:L29"/>
    <mergeCell ref="A34:L3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55"/>
  <sheetViews>
    <sheetView topLeftCell="A10"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4.5703125" style="5" bestFit="1" customWidth="1"/>
    <col min="7" max="9" width="5.5703125" style="4" bestFit="1" customWidth="1"/>
    <col min="10" max="10" width="4.85546875" style="4" bestFit="1" customWidth="1"/>
    <col min="11" max="18" width="5.5703125" style="4" bestFit="1" customWidth="1"/>
    <col min="19" max="19" width="7.85546875" style="5" bestFit="1" customWidth="1"/>
    <col min="20" max="20" width="8.5703125" style="4" bestFit="1" customWidth="1"/>
    <col min="21" max="21" width="12.140625" style="5" bestFit="1" customWidth="1"/>
    <col min="22" max="16384" width="9.140625" style="4"/>
  </cols>
  <sheetData>
    <row r="1" spans="1:21" s="3" customFormat="1" ht="29.1" customHeight="1">
      <c r="A1" s="79" t="s">
        <v>1303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1</v>
      </c>
      <c r="H3" s="60"/>
      <c r="I3" s="60"/>
      <c r="J3" s="60"/>
      <c r="K3" s="60" t="s">
        <v>2</v>
      </c>
      <c r="L3" s="60"/>
      <c r="M3" s="60"/>
      <c r="N3" s="60"/>
      <c r="O3" s="60" t="s">
        <v>3</v>
      </c>
      <c r="P3" s="60"/>
      <c r="Q3" s="60"/>
      <c r="R3" s="60"/>
      <c r="S3" s="60" t="s">
        <v>4</v>
      </c>
      <c r="T3" s="60" t="s">
        <v>6</v>
      </c>
      <c r="U3" s="63" t="s">
        <v>5</v>
      </c>
    </row>
    <row r="4" spans="1:21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74"/>
      <c r="T4" s="74"/>
      <c r="U4" s="64"/>
    </row>
    <row r="5" spans="1:21" ht="15">
      <c r="A5" s="75" t="s">
        <v>783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1">
      <c r="A6" s="8" t="s">
        <v>1108</v>
      </c>
      <c r="B6" s="8" t="s">
        <v>1111</v>
      </c>
      <c r="C6" s="8" t="s">
        <v>1110</v>
      </c>
      <c r="D6" s="8" t="str">
        <f>"1,0345"</f>
        <v>1,0345</v>
      </c>
      <c r="E6" s="8" t="s">
        <v>336</v>
      </c>
      <c r="F6" s="8" t="s">
        <v>337</v>
      </c>
      <c r="G6" s="10" t="s">
        <v>487</v>
      </c>
      <c r="H6" s="10" t="s">
        <v>488</v>
      </c>
      <c r="I6" s="9" t="s">
        <v>542</v>
      </c>
      <c r="J6" s="9"/>
      <c r="K6" s="9" t="s">
        <v>169</v>
      </c>
      <c r="L6" s="10" t="s">
        <v>169</v>
      </c>
      <c r="M6" s="10" t="s">
        <v>542</v>
      </c>
      <c r="N6" s="9"/>
      <c r="O6" s="10" t="s">
        <v>160</v>
      </c>
      <c r="P6" s="10" t="s">
        <v>102</v>
      </c>
      <c r="Q6" s="9" t="s">
        <v>103</v>
      </c>
      <c r="R6" s="9"/>
      <c r="S6" s="8" t="str">
        <f>"275,0"</f>
        <v>275,0</v>
      </c>
      <c r="T6" s="10" t="str">
        <f>"333,6877"</f>
        <v>333,6877</v>
      </c>
      <c r="U6" s="8" t="s">
        <v>338</v>
      </c>
    </row>
    <row r="8" spans="1:21" ht="15">
      <c r="A8" s="77" t="s">
        <v>511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1">
      <c r="A9" s="8" t="s">
        <v>1305</v>
      </c>
      <c r="B9" s="8" t="s">
        <v>1306</v>
      </c>
      <c r="C9" s="8" t="s">
        <v>515</v>
      </c>
      <c r="D9" s="8" t="str">
        <f>"0,8609"</f>
        <v>0,8609</v>
      </c>
      <c r="E9" s="8" t="s">
        <v>50</v>
      </c>
      <c r="F9" s="8" t="s">
        <v>51</v>
      </c>
      <c r="G9" s="10" t="s">
        <v>25</v>
      </c>
      <c r="H9" s="9" t="s">
        <v>847</v>
      </c>
      <c r="I9" s="9" t="s">
        <v>847</v>
      </c>
      <c r="J9" s="9"/>
      <c r="K9" s="9" t="s">
        <v>165</v>
      </c>
      <c r="L9" s="10" t="s">
        <v>165</v>
      </c>
      <c r="M9" s="10" t="s">
        <v>203</v>
      </c>
      <c r="N9" s="10" t="s">
        <v>160</v>
      </c>
      <c r="O9" s="10" t="s">
        <v>102</v>
      </c>
      <c r="P9" s="10" t="s">
        <v>548</v>
      </c>
      <c r="Q9" s="10" t="s">
        <v>103</v>
      </c>
      <c r="R9" s="10" t="s">
        <v>24</v>
      </c>
      <c r="S9" s="8" t="str">
        <f>"342,5"</f>
        <v>342,5</v>
      </c>
      <c r="T9" s="10" t="str">
        <f>"318,4469"</f>
        <v>318,4469</v>
      </c>
      <c r="U9" s="8" t="s">
        <v>77</v>
      </c>
    </row>
    <row r="11" spans="1:21" ht="15">
      <c r="A11" s="77" t="s">
        <v>15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</row>
    <row r="12" spans="1:21">
      <c r="A12" s="8" t="s">
        <v>1308</v>
      </c>
      <c r="B12" s="8" t="s">
        <v>1309</v>
      </c>
      <c r="C12" s="8" t="s">
        <v>1310</v>
      </c>
      <c r="D12" s="8" t="str">
        <f>"0,6851"</f>
        <v>0,6851</v>
      </c>
      <c r="E12" s="8" t="s">
        <v>336</v>
      </c>
      <c r="F12" s="8" t="s">
        <v>337</v>
      </c>
      <c r="G12" s="10" t="s">
        <v>160</v>
      </c>
      <c r="H12" s="9" t="s">
        <v>217</v>
      </c>
      <c r="I12" s="10" t="s">
        <v>217</v>
      </c>
      <c r="J12" s="9"/>
      <c r="K12" s="10" t="s">
        <v>160</v>
      </c>
      <c r="L12" s="10" t="s">
        <v>102</v>
      </c>
      <c r="M12" s="9" t="s">
        <v>24</v>
      </c>
      <c r="N12" s="9"/>
      <c r="O12" s="10" t="s">
        <v>127</v>
      </c>
      <c r="P12" s="9" t="s">
        <v>26</v>
      </c>
      <c r="Q12" s="10" t="s">
        <v>65</v>
      </c>
      <c r="R12" s="9"/>
      <c r="S12" s="8" t="str">
        <f>"367,5"</f>
        <v>367,5</v>
      </c>
      <c r="T12" s="10" t="str">
        <f>"251,7743"</f>
        <v>251,7743</v>
      </c>
      <c r="U12" s="8" t="s">
        <v>338</v>
      </c>
    </row>
    <row r="14" spans="1:21" ht="15">
      <c r="A14" s="77" t="s">
        <v>31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</row>
    <row r="15" spans="1:21">
      <c r="A15" s="11" t="s">
        <v>1166</v>
      </c>
      <c r="B15" s="11" t="s">
        <v>1167</v>
      </c>
      <c r="C15" s="11" t="s">
        <v>1168</v>
      </c>
      <c r="D15" s="11" t="str">
        <f>"0,6214"</f>
        <v>0,6214</v>
      </c>
      <c r="E15" s="11" t="s">
        <v>82</v>
      </c>
      <c r="F15" s="11" t="s">
        <v>337</v>
      </c>
      <c r="G15" s="13" t="s">
        <v>39</v>
      </c>
      <c r="H15" s="12" t="s">
        <v>39</v>
      </c>
      <c r="I15" s="13" t="s">
        <v>43</v>
      </c>
      <c r="J15" s="13"/>
      <c r="K15" s="12" t="s">
        <v>67</v>
      </c>
      <c r="L15" s="12" t="s">
        <v>377</v>
      </c>
      <c r="M15" s="12" t="s">
        <v>115</v>
      </c>
      <c r="N15" s="13"/>
      <c r="O15" s="12" t="s">
        <v>67</v>
      </c>
      <c r="P15" s="13" t="s">
        <v>56</v>
      </c>
      <c r="Q15" s="13" t="s">
        <v>56</v>
      </c>
      <c r="R15" s="13"/>
      <c r="S15" s="11" t="str">
        <f>"665,0"</f>
        <v>665,0</v>
      </c>
      <c r="T15" s="12" t="str">
        <f>"425,6279"</f>
        <v>425,6279</v>
      </c>
      <c r="U15" s="11" t="s">
        <v>338</v>
      </c>
    </row>
    <row r="16" spans="1:21">
      <c r="A16" s="14" t="s">
        <v>1311</v>
      </c>
      <c r="B16" s="14" t="s">
        <v>1174</v>
      </c>
      <c r="C16" s="14" t="s">
        <v>1175</v>
      </c>
      <c r="D16" s="14" t="str">
        <f>"0,6198"</f>
        <v>0,6198</v>
      </c>
      <c r="E16" s="14" t="s">
        <v>336</v>
      </c>
      <c r="F16" s="14" t="s">
        <v>337</v>
      </c>
      <c r="G16" s="15" t="s">
        <v>67</v>
      </c>
      <c r="H16" s="16" t="s">
        <v>27</v>
      </c>
      <c r="I16" s="16" t="s">
        <v>28</v>
      </c>
      <c r="J16" s="16"/>
      <c r="K16" s="16" t="s">
        <v>407</v>
      </c>
      <c r="L16" s="15" t="s">
        <v>407</v>
      </c>
      <c r="M16" s="16" t="s">
        <v>1312</v>
      </c>
      <c r="N16" s="16"/>
      <c r="O16" s="15" t="s">
        <v>67</v>
      </c>
      <c r="P16" s="15" t="s">
        <v>27</v>
      </c>
      <c r="Q16" s="16" t="s">
        <v>29</v>
      </c>
      <c r="R16" s="16"/>
      <c r="S16" s="14" t="str">
        <f>"712,5"</f>
        <v>712,5</v>
      </c>
      <c r="T16" s="15" t="str">
        <f>"441,6075"</f>
        <v>441,6075</v>
      </c>
      <c r="U16" s="14" t="s">
        <v>58</v>
      </c>
    </row>
    <row r="18" spans="1:21" ht="15">
      <c r="A18" s="77" t="s">
        <v>94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</row>
    <row r="19" spans="1:21">
      <c r="A19" s="11" t="s">
        <v>1314</v>
      </c>
      <c r="B19" s="11" t="s">
        <v>1315</v>
      </c>
      <c r="C19" s="11" t="s">
        <v>1316</v>
      </c>
      <c r="D19" s="11" t="str">
        <f>"0,5568"</f>
        <v>0,5568</v>
      </c>
      <c r="E19" s="11" t="s">
        <v>50</v>
      </c>
      <c r="F19" s="11" t="s">
        <v>51</v>
      </c>
      <c r="G19" s="12" t="s">
        <v>67</v>
      </c>
      <c r="H19" s="12" t="s">
        <v>44</v>
      </c>
      <c r="I19" s="12" t="s">
        <v>115</v>
      </c>
      <c r="J19" s="13"/>
      <c r="K19" s="12" t="s">
        <v>92</v>
      </c>
      <c r="L19" s="12" t="s">
        <v>351</v>
      </c>
      <c r="M19" s="12" t="s">
        <v>42</v>
      </c>
      <c r="N19" s="13"/>
      <c r="O19" s="12" t="s">
        <v>53</v>
      </c>
      <c r="P19" s="12" t="s">
        <v>109</v>
      </c>
      <c r="Q19" s="12" t="s">
        <v>145</v>
      </c>
      <c r="R19" s="13"/>
      <c r="S19" s="11" t="str">
        <f>"685,0"</f>
        <v>685,0</v>
      </c>
      <c r="T19" s="12" t="str">
        <f>"389,0362"</f>
        <v>389,0362</v>
      </c>
      <c r="U19" s="11" t="s">
        <v>77</v>
      </c>
    </row>
    <row r="20" spans="1:21">
      <c r="A20" s="17" t="s">
        <v>1318</v>
      </c>
      <c r="B20" s="17" t="s">
        <v>1319</v>
      </c>
      <c r="C20" s="17" t="s">
        <v>1320</v>
      </c>
      <c r="D20" s="17" t="str">
        <f>"0,5662"</f>
        <v>0,5662</v>
      </c>
      <c r="E20" s="17" t="s">
        <v>336</v>
      </c>
      <c r="F20" s="17" t="s">
        <v>337</v>
      </c>
      <c r="G20" s="19" t="s">
        <v>22</v>
      </c>
      <c r="H20" s="19" t="s">
        <v>39</v>
      </c>
      <c r="I20" s="18" t="s">
        <v>67</v>
      </c>
      <c r="J20" s="18"/>
      <c r="K20" s="19" t="s">
        <v>122</v>
      </c>
      <c r="L20" s="18" t="s">
        <v>300</v>
      </c>
      <c r="M20" s="18" t="s">
        <v>414</v>
      </c>
      <c r="N20" s="18"/>
      <c r="O20" s="19" t="s">
        <v>22</v>
      </c>
      <c r="P20" s="19" t="s">
        <v>39</v>
      </c>
      <c r="Q20" s="18" t="s">
        <v>67</v>
      </c>
      <c r="R20" s="18"/>
      <c r="S20" s="17" t="str">
        <f>"680,0"</f>
        <v>680,0</v>
      </c>
      <c r="T20" s="19" t="str">
        <f>"384,9820"</f>
        <v>384,9820</v>
      </c>
      <c r="U20" s="17" t="s">
        <v>338</v>
      </c>
    </row>
    <row r="21" spans="1:21">
      <c r="A21" s="17" t="s">
        <v>1322</v>
      </c>
      <c r="B21" s="17" t="s">
        <v>1323</v>
      </c>
      <c r="C21" s="17" t="s">
        <v>429</v>
      </c>
      <c r="D21" s="17" t="str">
        <f>"0,5573"</f>
        <v>0,5573</v>
      </c>
      <c r="E21" s="17" t="s">
        <v>82</v>
      </c>
      <c r="F21" s="17" t="s">
        <v>376</v>
      </c>
      <c r="G21" s="19" t="s">
        <v>52</v>
      </c>
      <c r="H21" s="19" t="s">
        <v>39</v>
      </c>
      <c r="I21" s="19" t="s">
        <v>53</v>
      </c>
      <c r="J21" s="18"/>
      <c r="K21" s="18" t="s">
        <v>23</v>
      </c>
      <c r="L21" s="19" t="s">
        <v>52</v>
      </c>
      <c r="M21" s="19" t="s">
        <v>39</v>
      </c>
      <c r="N21" s="18"/>
      <c r="O21" s="19" t="s">
        <v>109</v>
      </c>
      <c r="P21" s="19" t="s">
        <v>67</v>
      </c>
      <c r="Q21" s="19" t="s">
        <v>43</v>
      </c>
      <c r="R21" s="18"/>
      <c r="S21" s="17" t="str">
        <f>"630,0"</f>
        <v>630,0</v>
      </c>
      <c r="T21" s="19" t="str">
        <f>"351,0990"</f>
        <v>351,0990</v>
      </c>
      <c r="U21" s="17" t="s">
        <v>58</v>
      </c>
    </row>
    <row r="22" spans="1:21">
      <c r="A22" s="14" t="s">
        <v>1325</v>
      </c>
      <c r="B22" s="14" t="s">
        <v>1326</v>
      </c>
      <c r="C22" s="14" t="s">
        <v>1327</v>
      </c>
      <c r="D22" s="14" t="str">
        <f>"0,5630"</f>
        <v>0,5630</v>
      </c>
      <c r="E22" s="14" t="s">
        <v>50</v>
      </c>
      <c r="F22" s="14" t="s">
        <v>51</v>
      </c>
      <c r="G22" s="15" t="s">
        <v>75</v>
      </c>
      <c r="H22" s="15" t="s">
        <v>92</v>
      </c>
      <c r="I22" s="16" t="s">
        <v>52</v>
      </c>
      <c r="J22" s="16"/>
      <c r="K22" s="15" t="s">
        <v>92</v>
      </c>
      <c r="L22" s="15" t="s">
        <v>351</v>
      </c>
      <c r="M22" s="15" t="s">
        <v>618</v>
      </c>
      <c r="N22" s="16"/>
      <c r="O22" s="16" t="s">
        <v>23</v>
      </c>
      <c r="P22" s="15" t="s">
        <v>23</v>
      </c>
      <c r="Q22" s="15" t="s">
        <v>53</v>
      </c>
      <c r="R22" s="16"/>
      <c r="S22" s="14" t="str">
        <f>"597,5"</f>
        <v>597,5</v>
      </c>
      <c r="T22" s="15" t="str">
        <f>"336,3925"</f>
        <v>336,3925</v>
      </c>
      <c r="U22" s="14" t="s">
        <v>77</v>
      </c>
    </row>
    <row r="24" spans="1:21" ht="15">
      <c r="E24" s="20" t="s">
        <v>146</v>
      </c>
    </row>
    <row r="25" spans="1:21" ht="15">
      <c r="E25" s="20" t="s">
        <v>147</v>
      </c>
    </row>
    <row r="26" spans="1:21" ht="15">
      <c r="E26" s="20" t="s">
        <v>148</v>
      </c>
    </row>
    <row r="27" spans="1:21" ht="15">
      <c r="E27" s="20" t="s">
        <v>149</v>
      </c>
    </row>
    <row r="28" spans="1:21" ht="15">
      <c r="E28" s="20" t="s">
        <v>149</v>
      </c>
    </row>
    <row r="29" spans="1:21" ht="15">
      <c r="E29" s="20" t="s">
        <v>150</v>
      </c>
    </row>
    <row r="30" spans="1:21" ht="15">
      <c r="E30" s="20"/>
    </row>
    <row r="32" spans="1:21" ht="18">
      <c r="A32" s="21" t="s">
        <v>151</v>
      </c>
      <c r="B32" s="21"/>
    </row>
    <row r="33" spans="1:5" ht="15">
      <c r="A33" s="22" t="s">
        <v>261</v>
      </c>
      <c r="B33" s="22"/>
    </row>
    <row r="34" spans="1:5" ht="14.25">
      <c r="A34" s="24"/>
      <c r="B34" s="25" t="s">
        <v>650</v>
      </c>
    </row>
    <row r="35" spans="1:5" ht="15">
      <c r="A35" s="26" t="s">
        <v>154</v>
      </c>
      <c r="B35" s="26" t="s">
        <v>155</v>
      </c>
      <c r="C35" s="26" t="s">
        <v>156</v>
      </c>
      <c r="D35" s="26" t="s">
        <v>157</v>
      </c>
      <c r="E35" s="26" t="s">
        <v>158</v>
      </c>
    </row>
    <row r="36" spans="1:5">
      <c r="A36" s="23" t="s">
        <v>1304</v>
      </c>
      <c r="B36" s="5" t="s">
        <v>651</v>
      </c>
      <c r="C36" s="5" t="s">
        <v>484</v>
      </c>
      <c r="D36" s="5" t="s">
        <v>1328</v>
      </c>
      <c r="E36" s="27" t="s">
        <v>1329</v>
      </c>
    </row>
    <row r="38" spans="1:5" ht="14.25">
      <c r="A38" s="24"/>
      <c r="B38" s="25" t="s">
        <v>191</v>
      </c>
    </row>
    <row r="39" spans="1:5" ht="15">
      <c r="A39" s="26" t="s">
        <v>154</v>
      </c>
      <c r="B39" s="26" t="s">
        <v>155</v>
      </c>
      <c r="C39" s="26" t="s">
        <v>156</v>
      </c>
      <c r="D39" s="26" t="s">
        <v>157</v>
      </c>
      <c r="E39" s="26" t="s">
        <v>158</v>
      </c>
    </row>
    <row r="40" spans="1:5">
      <c r="A40" s="23" t="s">
        <v>1107</v>
      </c>
      <c r="B40" s="5" t="s">
        <v>192</v>
      </c>
      <c r="C40" s="5" t="s">
        <v>1047</v>
      </c>
      <c r="D40" s="5" t="s">
        <v>114</v>
      </c>
      <c r="E40" s="27" t="s">
        <v>1330</v>
      </c>
    </row>
    <row r="43" spans="1:5" ht="15">
      <c r="A43" s="22" t="s">
        <v>152</v>
      </c>
      <c r="B43" s="22"/>
    </row>
    <row r="44" spans="1:5" ht="14.25">
      <c r="A44" s="24"/>
      <c r="B44" s="25" t="s">
        <v>163</v>
      </c>
    </row>
    <row r="45" spans="1:5" ht="15">
      <c r="A45" s="26" t="s">
        <v>154</v>
      </c>
      <c r="B45" s="26" t="s">
        <v>155</v>
      </c>
      <c r="C45" s="26" t="s">
        <v>156</v>
      </c>
      <c r="D45" s="26" t="s">
        <v>157</v>
      </c>
      <c r="E45" s="26" t="s">
        <v>158</v>
      </c>
    </row>
    <row r="46" spans="1:5">
      <c r="A46" s="23" t="s">
        <v>1165</v>
      </c>
      <c r="B46" s="5" t="s">
        <v>164</v>
      </c>
      <c r="C46" s="5" t="s">
        <v>174</v>
      </c>
      <c r="D46" s="5" t="s">
        <v>1331</v>
      </c>
      <c r="E46" s="27" t="s">
        <v>1332</v>
      </c>
    </row>
    <row r="47" spans="1:5">
      <c r="A47" s="23" t="s">
        <v>1313</v>
      </c>
      <c r="B47" s="5" t="s">
        <v>164</v>
      </c>
      <c r="C47" s="5" t="s">
        <v>160</v>
      </c>
      <c r="D47" s="5" t="s">
        <v>1333</v>
      </c>
      <c r="E47" s="27" t="s">
        <v>1334</v>
      </c>
    </row>
    <row r="49" spans="1:5" ht="14.25">
      <c r="A49" s="24"/>
      <c r="B49" s="25" t="s">
        <v>168</v>
      </c>
    </row>
    <row r="50" spans="1:5" ht="15">
      <c r="A50" s="26" t="s">
        <v>154</v>
      </c>
      <c r="B50" s="26" t="s">
        <v>155</v>
      </c>
      <c r="C50" s="26" t="s">
        <v>156</v>
      </c>
      <c r="D50" s="26" t="s">
        <v>157</v>
      </c>
      <c r="E50" s="26" t="s">
        <v>158</v>
      </c>
    </row>
    <row r="51" spans="1:5">
      <c r="A51" s="23" t="s">
        <v>1172</v>
      </c>
      <c r="B51" s="5" t="s">
        <v>168</v>
      </c>
      <c r="C51" s="5" t="s">
        <v>174</v>
      </c>
      <c r="D51" s="5" t="s">
        <v>1335</v>
      </c>
      <c r="E51" s="27" t="s">
        <v>1336</v>
      </c>
    </row>
    <row r="52" spans="1:5">
      <c r="A52" s="23" t="s">
        <v>1317</v>
      </c>
      <c r="B52" s="5" t="s">
        <v>168</v>
      </c>
      <c r="C52" s="5" t="s">
        <v>160</v>
      </c>
      <c r="D52" s="5" t="s">
        <v>1337</v>
      </c>
      <c r="E52" s="27" t="s">
        <v>1338</v>
      </c>
    </row>
    <row r="53" spans="1:5">
      <c r="A53" s="23" t="s">
        <v>1321</v>
      </c>
      <c r="B53" s="5" t="s">
        <v>168</v>
      </c>
      <c r="C53" s="5" t="s">
        <v>160</v>
      </c>
      <c r="D53" s="5" t="s">
        <v>166</v>
      </c>
      <c r="E53" s="27" t="s">
        <v>1339</v>
      </c>
    </row>
    <row r="54" spans="1:5">
      <c r="A54" s="23" t="s">
        <v>1324</v>
      </c>
      <c r="B54" s="5" t="s">
        <v>168</v>
      </c>
      <c r="C54" s="5" t="s">
        <v>160</v>
      </c>
      <c r="D54" s="5" t="s">
        <v>175</v>
      </c>
      <c r="E54" s="27" t="s">
        <v>1340</v>
      </c>
    </row>
    <row r="55" spans="1:5">
      <c r="A55" s="23" t="s">
        <v>1307</v>
      </c>
      <c r="B55" s="5" t="s">
        <v>168</v>
      </c>
      <c r="C55" s="5" t="s">
        <v>169</v>
      </c>
      <c r="D55" s="5" t="s">
        <v>1341</v>
      </c>
      <c r="E55" s="27" t="s">
        <v>1342</v>
      </c>
    </row>
  </sheetData>
  <mergeCells count="18">
    <mergeCell ref="A14:T14"/>
    <mergeCell ref="A18:T18"/>
    <mergeCell ref="S3:S4"/>
    <mergeCell ref="T3:T4"/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4.5703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1" style="5" bestFit="1" customWidth="1"/>
    <col min="14" max="16384" width="9.140625" style="4"/>
  </cols>
  <sheetData>
    <row r="1" spans="1:13" s="3" customFormat="1" ht="29.1" customHeight="1">
      <c r="A1" s="79" t="s">
        <v>1292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3</v>
      </c>
      <c r="H3" s="60"/>
      <c r="I3" s="60"/>
      <c r="J3" s="60"/>
      <c r="K3" s="60" t="s">
        <v>279</v>
      </c>
      <c r="L3" s="60" t="s">
        <v>6</v>
      </c>
      <c r="M3" s="63" t="s">
        <v>5</v>
      </c>
    </row>
    <row r="4" spans="1:13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74"/>
      <c r="L4" s="74"/>
      <c r="M4" s="64"/>
    </row>
    <row r="5" spans="1:13" ht="15">
      <c r="A5" s="75" t="s">
        <v>59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>
      <c r="A6" s="11" t="s">
        <v>1294</v>
      </c>
      <c r="B6" s="11" t="s">
        <v>1295</v>
      </c>
      <c r="C6" s="11" t="s">
        <v>1296</v>
      </c>
      <c r="D6" s="11" t="str">
        <f>"0,6029"</f>
        <v>0,6029</v>
      </c>
      <c r="E6" s="11" t="s">
        <v>336</v>
      </c>
      <c r="F6" s="11" t="s">
        <v>337</v>
      </c>
      <c r="G6" s="12" t="s">
        <v>65</v>
      </c>
      <c r="H6" s="12" t="s">
        <v>75</v>
      </c>
      <c r="I6" s="12" t="s">
        <v>39</v>
      </c>
      <c r="J6" s="13"/>
      <c r="K6" s="11" t="str">
        <f>"200,0"</f>
        <v>200,0</v>
      </c>
      <c r="L6" s="12" t="str">
        <f>"120,5800"</f>
        <v>120,5800</v>
      </c>
      <c r="M6" s="11" t="s">
        <v>338</v>
      </c>
    </row>
    <row r="7" spans="1:13">
      <c r="A7" s="14" t="s">
        <v>1298</v>
      </c>
      <c r="B7" s="14" t="s">
        <v>1299</v>
      </c>
      <c r="C7" s="14" t="s">
        <v>1300</v>
      </c>
      <c r="D7" s="14" t="str">
        <f>"0,6050"</f>
        <v>0,6050</v>
      </c>
      <c r="E7" s="14" t="s">
        <v>336</v>
      </c>
      <c r="F7" s="14" t="s">
        <v>337</v>
      </c>
      <c r="G7" s="15" t="s">
        <v>64</v>
      </c>
      <c r="H7" s="15" t="s">
        <v>66</v>
      </c>
      <c r="I7" s="15" t="s">
        <v>22</v>
      </c>
      <c r="J7" s="16"/>
      <c r="K7" s="14" t="str">
        <f>"180,0"</f>
        <v>180,0</v>
      </c>
      <c r="L7" s="15" t="str">
        <f>"108,9000"</f>
        <v>108,9000</v>
      </c>
      <c r="M7" s="14" t="s">
        <v>338</v>
      </c>
    </row>
    <row r="9" spans="1:13" ht="15">
      <c r="E9" s="20" t="s">
        <v>146</v>
      </c>
    </row>
    <row r="10" spans="1:13" ht="15">
      <c r="E10" s="20" t="s">
        <v>147</v>
      </c>
    </row>
    <row r="11" spans="1:13" ht="15">
      <c r="E11" s="20" t="s">
        <v>148</v>
      </c>
    </row>
    <row r="12" spans="1:13" ht="15">
      <c r="E12" s="20" t="s">
        <v>149</v>
      </c>
    </row>
    <row r="13" spans="1:13" ht="15">
      <c r="E13" s="20" t="s">
        <v>149</v>
      </c>
    </row>
    <row r="14" spans="1:13" ht="15">
      <c r="E14" s="20" t="s">
        <v>150</v>
      </c>
    </row>
    <row r="15" spans="1:13" ht="15">
      <c r="E15" s="20"/>
    </row>
    <row r="17" spans="1:5" ht="18">
      <c r="A17" s="21" t="s">
        <v>151</v>
      </c>
      <c r="B17" s="21"/>
    </row>
    <row r="18" spans="1:5" ht="15">
      <c r="A18" s="22" t="s">
        <v>152</v>
      </c>
      <c r="B18" s="22"/>
    </row>
    <row r="19" spans="1:5" ht="14.25">
      <c r="A19" s="24"/>
      <c r="B19" s="25" t="s">
        <v>168</v>
      </c>
    </row>
    <row r="20" spans="1:5" ht="15">
      <c r="A20" s="26" t="s">
        <v>154</v>
      </c>
      <c r="B20" s="26" t="s">
        <v>155</v>
      </c>
      <c r="C20" s="26" t="s">
        <v>156</v>
      </c>
      <c r="D20" s="26" t="s">
        <v>157</v>
      </c>
      <c r="E20" s="26" t="s">
        <v>158</v>
      </c>
    </row>
    <row r="21" spans="1:5">
      <c r="A21" s="23" t="s">
        <v>1293</v>
      </c>
      <c r="B21" s="5" t="s">
        <v>168</v>
      </c>
      <c r="C21" s="5" t="s">
        <v>165</v>
      </c>
      <c r="D21" s="5" t="s">
        <v>39</v>
      </c>
      <c r="E21" s="27" t="s">
        <v>1301</v>
      </c>
    </row>
    <row r="22" spans="1:5">
      <c r="A22" s="23" t="s">
        <v>1297</v>
      </c>
      <c r="B22" s="5" t="s">
        <v>168</v>
      </c>
      <c r="C22" s="5" t="s">
        <v>165</v>
      </c>
      <c r="D22" s="5" t="s">
        <v>22</v>
      </c>
      <c r="E22" s="27" t="s">
        <v>1302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25.140625" style="5" bestFit="1" customWidth="1"/>
    <col min="7" max="9" width="4.5703125" style="4" bestFit="1" customWidth="1"/>
    <col min="10" max="10" width="4.85546875" style="4" bestFit="1" customWidth="1"/>
    <col min="11" max="11" width="7.85546875" style="5" bestFit="1" customWidth="1"/>
    <col min="12" max="12" width="7.5703125" style="4" bestFit="1" customWidth="1"/>
    <col min="13" max="13" width="10.28515625" style="5" bestFit="1" customWidth="1"/>
    <col min="14" max="16384" width="9.140625" style="4"/>
  </cols>
  <sheetData>
    <row r="1" spans="1:13" s="3" customFormat="1" ht="29.1" customHeight="1">
      <c r="A1" s="79" t="s">
        <v>1286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1</v>
      </c>
      <c r="H3" s="60"/>
      <c r="I3" s="60"/>
      <c r="J3" s="60"/>
      <c r="K3" s="60" t="s">
        <v>279</v>
      </c>
      <c r="L3" s="60" t="s">
        <v>6</v>
      </c>
      <c r="M3" s="63" t="s">
        <v>5</v>
      </c>
    </row>
    <row r="4" spans="1:13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74"/>
      <c r="L4" s="74"/>
      <c r="M4" s="64"/>
    </row>
    <row r="5" spans="1:13" ht="15">
      <c r="A5" s="75" t="s">
        <v>477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>
      <c r="A6" s="8" t="s">
        <v>1288</v>
      </c>
      <c r="B6" s="8" t="s">
        <v>1289</v>
      </c>
      <c r="C6" s="8" t="s">
        <v>1290</v>
      </c>
      <c r="D6" s="8" t="str">
        <f>"0,9708"</f>
        <v>0,9708</v>
      </c>
      <c r="E6" s="8" t="s">
        <v>765</v>
      </c>
      <c r="F6" s="8" t="s">
        <v>640</v>
      </c>
      <c r="G6" s="10" t="s">
        <v>488</v>
      </c>
      <c r="H6" s="9" t="s">
        <v>553</v>
      </c>
      <c r="I6" s="9" t="s">
        <v>727</v>
      </c>
      <c r="J6" s="9"/>
      <c r="K6" s="8" t="str">
        <f>"80,0"</f>
        <v>80,0</v>
      </c>
      <c r="L6" s="10" t="str">
        <f>"91,6482"</f>
        <v>91,6482</v>
      </c>
      <c r="M6" s="8" t="s">
        <v>766</v>
      </c>
    </row>
    <row r="8" spans="1:13" ht="15">
      <c r="E8" s="20" t="s">
        <v>146</v>
      </c>
    </row>
    <row r="9" spans="1:13" ht="15">
      <c r="E9" s="20" t="s">
        <v>147</v>
      </c>
    </row>
    <row r="10" spans="1:13" ht="15">
      <c r="E10" s="20" t="s">
        <v>148</v>
      </c>
    </row>
    <row r="11" spans="1:13" ht="15">
      <c r="E11" s="20" t="s">
        <v>149</v>
      </c>
    </row>
    <row r="12" spans="1:13" ht="15">
      <c r="E12" s="20" t="s">
        <v>149</v>
      </c>
    </row>
    <row r="13" spans="1:13" ht="15">
      <c r="E13" s="20" t="s">
        <v>150</v>
      </c>
    </row>
    <row r="14" spans="1:13" ht="15">
      <c r="E14" s="20"/>
    </row>
    <row r="16" spans="1:13" ht="18">
      <c r="A16" s="21" t="s">
        <v>151</v>
      </c>
      <c r="B16" s="21"/>
    </row>
    <row r="17" spans="1:5" ht="15">
      <c r="A17" s="22" t="s">
        <v>261</v>
      </c>
      <c r="B17" s="22"/>
    </row>
    <row r="18" spans="1:5" ht="14.25">
      <c r="A18" s="24"/>
      <c r="B18" s="25" t="s">
        <v>650</v>
      </c>
    </row>
    <row r="19" spans="1:5" ht="15">
      <c r="A19" s="26" t="s">
        <v>154</v>
      </c>
      <c r="B19" s="26" t="s">
        <v>155</v>
      </c>
      <c r="C19" s="26" t="s">
        <v>156</v>
      </c>
      <c r="D19" s="26" t="s">
        <v>157</v>
      </c>
      <c r="E19" s="26" t="s">
        <v>158</v>
      </c>
    </row>
    <row r="20" spans="1:5">
      <c r="A20" s="23" t="s">
        <v>1287</v>
      </c>
      <c r="B20" s="5" t="s">
        <v>306</v>
      </c>
      <c r="C20" s="5" t="s">
        <v>652</v>
      </c>
      <c r="D20" s="5" t="s">
        <v>488</v>
      </c>
      <c r="E20" s="27" t="s">
        <v>1291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5"/>
  <sheetViews>
    <sheetView topLeftCell="A13"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7109375" style="5" bestFit="1" customWidth="1"/>
    <col min="14" max="16384" width="9.140625" style="4"/>
  </cols>
  <sheetData>
    <row r="1" spans="1:13" s="3" customFormat="1" ht="29.1" customHeight="1">
      <c r="A1" s="79" t="s">
        <v>1102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3</v>
      </c>
      <c r="H3" s="60"/>
      <c r="I3" s="60"/>
      <c r="J3" s="60"/>
      <c r="K3" s="60" t="s">
        <v>279</v>
      </c>
      <c r="L3" s="60" t="s">
        <v>6</v>
      </c>
      <c r="M3" s="63" t="s">
        <v>5</v>
      </c>
    </row>
    <row r="4" spans="1:13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74"/>
      <c r="L4" s="74"/>
      <c r="M4" s="64"/>
    </row>
    <row r="5" spans="1:13" ht="15">
      <c r="A5" s="75" t="s">
        <v>783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>
      <c r="A6" s="11" t="s">
        <v>1104</v>
      </c>
      <c r="B6" s="11" t="s">
        <v>1105</v>
      </c>
      <c r="C6" s="11" t="s">
        <v>1106</v>
      </c>
      <c r="D6" s="11" t="str">
        <f>"1,0512"</f>
        <v>1,0512</v>
      </c>
      <c r="E6" s="11" t="s">
        <v>82</v>
      </c>
      <c r="F6" s="11" t="s">
        <v>435</v>
      </c>
      <c r="G6" s="12" t="s">
        <v>165</v>
      </c>
      <c r="H6" s="12" t="s">
        <v>203</v>
      </c>
      <c r="I6" s="12" t="s">
        <v>160</v>
      </c>
      <c r="J6" s="13"/>
      <c r="K6" s="11" t="str">
        <f>"100,0"</f>
        <v>100,0</v>
      </c>
      <c r="L6" s="12" t="str">
        <f>"108,2736"</f>
        <v>108,2736</v>
      </c>
      <c r="M6" s="11" t="s">
        <v>58</v>
      </c>
    </row>
    <row r="7" spans="1:13">
      <c r="A7" s="17" t="s">
        <v>1108</v>
      </c>
      <c r="B7" s="17" t="s">
        <v>1109</v>
      </c>
      <c r="C7" s="17" t="s">
        <v>1110</v>
      </c>
      <c r="D7" s="17" t="str">
        <f>"1,0345"</f>
        <v>1,0345</v>
      </c>
      <c r="E7" s="17" t="s">
        <v>336</v>
      </c>
      <c r="F7" s="17" t="s">
        <v>337</v>
      </c>
      <c r="G7" s="19" t="s">
        <v>160</v>
      </c>
      <c r="H7" s="19" t="s">
        <v>102</v>
      </c>
      <c r="I7" s="18" t="s">
        <v>103</v>
      </c>
      <c r="J7" s="18"/>
      <c r="K7" s="17" t="str">
        <f>"110,0"</f>
        <v>110,0</v>
      </c>
      <c r="L7" s="19" t="str">
        <f>"113,7895"</f>
        <v>113,7895</v>
      </c>
      <c r="M7" s="17" t="s">
        <v>338</v>
      </c>
    </row>
    <row r="8" spans="1:13">
      <c r="A8" s="14" t="s">
        <v>1108</v>
      </c>
      <c r="B8" s="14" t="s">
        <v>1111</v>
      </c>
      <c r="C8" s="14" t="s">
        <v>1110</v>
      </c>
      <c r="D8" s="14" t="str">
        <f>"1,0345"</f>
        <v>1,0345</v>
      </c>
      <c r="E8" s="14" t="s">
        <v>336</v>
      </c>
      <c r="F8" s="14" t="s">
        <v>337</v>
      </c>
      <c r="G8" s="15" t="s">
        <v>160</v>
      </c>
      <c r="H8" s="15" t="s">
        <v>102</v>
      </c>
      <c r="I8" s="16" t="s">
        <v>103</v>
      </c>
      <c r="J8" s="16"/>
      <c r="K8" s="14" t="str">
        <f>"110,0"</f>
        <v>110,0</v>
      </c>
      <c r="L8" s="15" t="str">
        <f>"133,4751"</f>
        <v>133,4751</v>
      </c>
      <c r="M8" s="14" t="s">
        <v>338</v>
      </c>
    </row>
    <row r="10" spans="1:13" ht="15">
      <c r="A10" s="77" t="s">
        <v>477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3">
      <c r="A11" s="11" t="s">
        <v>1112</v>
      </c>
      <c r="B11" s="11" t="s">
        <v>507</v>
      </c>
      <c r="C11" s="11" t="s">
        <v>508</v>
      </c>
      <c r="D11" s="11" t="str">
        <f>"0,9840"</f>
        <v>0,9840</v>
      </c>
      <c r="E11" s="11" t="s">
        <v>82</v>
      </c>
      <c r="F11" s="11" t="s">
        <v>213</v>
      </c>
      <c r="G11" s="12" t="s">
        <v>103</v>
      </c>
      <c r="H11" s="13"/>
      <c r="I11" s="13"/>
      <c r="J11" s="13"/>
      <c r="K11" s="11" t="str">
        <f>"117,5"</f>
        <v>117,5</v>
      </c>
      <c r="L11" s="12" t="str">
        <f>"115,6200"</f>
        <v>115,6200</v>
      </c>
      <c r="M11" s="11" t="s">
        <v>510</v>
      </c>
    </row>
    <row r="12" spans="1:13">
      <c r="A12" s="17" t="s">
        <v>499</v>
      </c>
      <c r="B12" s="17" t="s">
        <v>500</v>
      </c>
      <c r="C12" s="17" t="s">
        <v>501</v>
      </c>
      <c r="D12" s="17" t="str">
        <f>"0,9747"</f>
        <v>0,9747</v>
      </c>
      <c r="E12" s="17" t="s">
        <v>434</v>
      </c>
      <c r="F12" s="17" t="s">
        <v>435</v>
      </c>
      <c r="G12" s="19" t="s">
        <v>102</v>
      </c>
      <c r="H12" s="19" t="s">
        <v>103</v>
      </c>
      <c r="I12" s="18"/>
      <c r="J12" s="18"/>
      <c r="K12" s="17" t="str">
        <f>"117,5"</f>
        <v>117,5</v>
      </c>
      <c r="L12" s="19" t="str">
        <f>"114,5272"</f>
        <v>114,5272</v>
      </c>
      <c r="M12" s="17" t="s">
        <v>504</v>
      </c>
    </row>
    <row r="13" spans="1:13">
      <c r="A13" s="17" t="s">
        <v>1114</v>
      </c>
      <c r="B13" s="17" t="s">
        <v>1115</v>
      </c>
      <c r="C13" s="17" t="s">
        <v>1116</v>
      </c>
      <c r="D13" s="17" t="str">
        <f>"0,9944"</f>
        <v>0,9944</v>
      </c>
      <c r="E13" s="17" t="s">
        <v>82</v>
      </c>
      <c r="F13" s="17" t="s">
        <v>51</v>
      </c>
      <c r="G13" s="19" t="s">
        <v>165</v>
      </c>
      <c r="H13" s="19" t="s">
        <v>728</v>
      </c>
      <c r="I13" s="19" t="s">
        <v>826</v>
      </c>
      <c r="J13" s="18"/>
      <c r="K13" s="17" t="str">
        <f>"102,5"</f>
        <v>102,5</v>
      </c>
      <c r="L13" s="19" t="str">
        <f>"101,9209"</f>
        <v>101,9209</v>
      </c>
      <c r="M13" s="17" t="s">
        <v>1117</v>
      </c>
    </row>
    <row r="14" spans="1:13">
      <c r="A14" s="17" t="s">
        <v>1119</v>
      </c>
      <c r="B14" s="17" t="s">
        <v>1120</v>
      </c>
      <c r="C14" s="17" t="s">
        <v>1121</v>
      </c>
      <c r="D14" s="17" t="str">
        <f>"0,9935"</f>
        <v>0,9935</v>
      </c>
      <c r="E14" s="17" t="s">
        <v>801</v>
      </c>
      <c r="F14" s="17" t="s">
        <v>51</v>
      </c>
      <c r="G14" s="19" t="s">
        <v>203</v>
      </c>
      <c r="H14" s="18" t="s">
        <v>826</v>
      </c>
      <c r="I14" s="18" t="s">
        <v>496</v>
      </c>
      <c r="J14" s="18"/>
      <c r="K14" s="17" t="str">
        <f>"95,0"</f>
        <v>95,0</v>
      </c>
      <c r="L14" s="19" t="str">
        <f>"94,3825"</f>
        <v>94,3825</v>
      </c>
      <c r="M14" s="17" t="s">
        <v>1122</v>
      </c>
    </row>
    <row r="15" spans="1:13">
      <c r="A15" s="14" t="s">
        <v>1123</v>
      </c>
      <c r="B15" s="14" t="s">
        <v>1124</v>
      </c>
      <c r="C15" s="14" t="s">
        <v>1121</v>
      </c>
      <c r="D15" s="14" t="str">
        <f>"0,9935"</f>
        <v>0,9935</v>
      </c>
      <c r="E15" s="14" t="s">
        <v>801</v>
      </c>
      <c r="F15" s="14" t="s">
        <v>51</v>
      </c>
      <c r="G15" s="15" t="s">
        <v>203</v>
      </c>
      <c r="H15" s="16" t="s">
        <v>826</v>
      </c>
      <c r="I15" s="16" t="s">
        <v>496</v>
      </c>
      <c r="J15" s="16"/>
      <c r="K15" s="14" t="str">
        <f>"95,0"</f>
        <v>95,0</v>
      </c>
      <c r="L15" s="15" t="str">
        <f>"95,2319"</f>
        <v>95,2319</v>
      </c>
      <c r="M15" s="14" t="s">
        <v>1122</v>
      </c>
    </row>
    <row r="17" spans="1:13" ht="15">
      <c r="A17" s="77" t="s">
        <v>198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3">
      <c r="A18" s="11" t="s">
        <v>1126</v>
      </c>
      <c r="B18" s="11" t="s">
        <v>1127</v>
      </c>
      <c r="C18" s="11" t="s">
        <v>1128</v>
      </c>
      <c r="D18" s="11" t="str">
        <f>"0,9426"</f>
        <v>0,9426</v>
      </c>
      <c r="E18" s="11" t="s">
        <v>82</v>
      </c>
      <c r="F18" s="11" t="s">
        <v>51</v>
      </c>
      <c r="G18" s="12" t="s">
        <v>160</v>
      </c>
      <c r="H18" s="13" t="s">
        <v>217</v>
      </c>
      <c r="I18" s="13" t="s">
        <v>217</v>
      </c>
      <c r="J18" s="13"/>
      <c r="K18" s="11" t="str">
        <f>"100,0"</f>
        <v>100,0</v>
      </c>
      <c r="L18" s="12" t="str">
        <f>"97,0878"</f>
        <v>97,0878</v>
      </c>
      <c r="M18" s="11" t="s">
        <v>58</v>
      </c>
    </row>
    <row r="19" spans="1:13">
      <c r="A19" s="14" t="s">
        <v>724</v>
      </c>
      <c r="B19" s="14" t="s">
        <v>725</v>
      </c>
      <c r="C19" s="14" t="s">
        <v>726</v>
      </c>
      <c r="D19" s="14" t="str">
        <f>"0,9153"</f>
        <v>0,9153</v>
      </c>
      <c r="E19" s="14" t="s">
        <v>336</v>
      </c>
      <c r="F19" s="14" t="s">
        <v>337</v>
      </c>
      <c r="G19" s="15" t="s">
        <v>54</v>
      </c>
      <c r="H19" s="15" t="s">
        <v>90</v>
      </c>
      <c r="I19" s="15" t="s">
        <v>40</v>
      </c>
      <c r="J19" s="16"/>
      <c r="K19" s="14" t="str">
        <f>"162,5"</f>
        <v>162,5</v>
      </c>
      <c r="L19" s="15" t="str">
        <f>"148,7363"</f>
        <v>148,7363</v>
      </c>
      <c r="M19" s="14" t="s">
        <v>338</v>
      </c>
    </row>
    <row r="21" spans="1:13" ht="15">
      <c r="A21" s="77" t="s">
        <v>511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3">
      <c r="A22" s="11" t="s">
        <v>513</v>
      </c>
      <c r="B22" s="11" t="s">
        <v>514</v>
      </c>
      <c r="C22" s="11" t="s">
        <v>515</v>
      </c>
      <c r="D22" s="11" t="str">
        <f>"0,8609"</f>
        <v>0,8609</v>
      </c>
      <c r="E22" s="11" t="s">
        <v>50</v>
      </c>
      <c r="F22" s="11" t="s">
        <v>516</v>
      </c>
      <c r="G22" s="12" t="s">
        <v>521</v>
      </c>
      <c r="H22" s="13" t="s">
        <v>488</v>
      </c>
      <c r="I22" s="12" t="s">
        <v>488</v>
      </c>
      <c r="J22" s="13"/>
      <c r="K22" s="11" t="str">
        <f>"80,0"</f>
        <v>80,0</v>
      </c>
      <c r="L22" s="12" t="str">
        <f>"81,2690"</f>
        <v>81,2690</v>
      </c>
      <c r="M22" s="11" t="s">
        <v>58</v>
      </c>
    </row>
    <row r="23" spans="1:13">
      <c r="A23" s="14" t="s">
        <v>533</v>
      </c>
      <c r="B23" s="14" t="s">
        <v>534</v>
      </c>
      <c r="C23" s="14" t="s">
        <v>535</v>
      </c>
      <c r="D23" s="14" t="str">
        <f>"0,8928"</f>
        <v>0,8928</v>
      </c>
      <c r="E23" s="14" t="s">
        <v>82</v>
      </c>
      <c r="F23" s="14" t="s">
        <v>435</v>
      </c>
      <c r="G23" s="15" t="s">
        <v>165</v>
      </c>
      <c r="H23" s="15" t="s">
        <v>203</v>
      </c>
      <c r="I23" s="15" t="s">
        <v>160</v>
      </c>
      <c r="J23" s="16"/>
      <c r="K23" s="14" t="str">
        <f>"100,0"</f>
        <v>100,0</v>
      </c>
      <c r="L23" s="15" t="str">
        <f>"89,2800"</f>
        <v>89,2800</v>
      </c>
      <c r="M23" s="14" t="s">
        <v>536</v>
      </c>
    </row>
    <row r="25" spans="1:13" ht="15">
      <c r="A25" s="77" t="s">
        <v>281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3">
      <c r="A26" s="8" t="s">
        <v>1130</v>
      </c>
      <c r="B26" s="8" t="s">
        <v>1131</v>
      </c>
      <c r="C26" s="8" t="s">
        <v>1132</v>
      </c>
      <c r="D26" s="8" t="str">
        <f>"0,8015"</f>
        <v>0,8015</v>
      </c>
      <c r="E26" s="8" t="s">
        <v>36</v>
      </c>
      <c r="F26" s="8" t="s">
        <v>37</v>
      </c>
      <c r="G26" s="10" t="s">
        <v>102</v>
      </c>
      <c r="H26" s="9" t="s">
        <v>24</v>
      </c>
      <c r="I26" s="10" t="s">
        <v>24</v>
      </c>
      <c r="J26" s="9"/>
      <c r="K26" s="8" t="str">
        <f>"120,0"</f>
        <v>120,0</v>
      </c>
      <c r="L26" s="10" t="str">
        <f>"96,1860"</f>
        <v>96,1860</v>
      </c>
      <c r="M26" s="8" t="s">
        <v>1133</v>
      </c>
    </row>
    <row r="28" spans="1:13" ht="15">
      <c r="A28" s="77" t="s">
        <v>511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3">
      <c r="A29" s="8" t="s">
        <v>1135</v>
      </c>
      <c r="B29" s="8" t="s">
        <v>1136</v>
      </c>
      <c r="C29" s="8" t="s">
        <v>515</v>
      </c>
      <c r="D29" s="8" t="str">
        <f>"0,8128"</f>
        <v>0,8128</v>
      </c>
      <c r="E29" s="8" t="s">
        <v>336</v>
      </c>
      <c r="F29" s="8" t="s">
        <v>337</v>
      </c>
      <c r="G29" s="10" t="s">
        <v>24</v>
      </c>
      <c r="H29" s="9" t="s">
        <v>25</v>
      </c>
      <c r="I29" s="9" t="s">
        <v>25</v>
      </c>
      <c r="J29" s="9"/>
      <c r="K29" s="8" t="str">
        <f>"120,0"</f>
        <v>120,0</v>
      </c>
      <c r="L29" s="10" t="str">
        <f>"97,5360"</f>
        <v>97,5360</v>
      </c>
      <c r="M29" s="8" t="s">
        <v>338</v>
      </c>
    </row>
    <row r="31" spans="1:13" ht="15">
      <c r="A31" s="77" t="s">
        <v>281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3">
      <c r="A32" s="8" t="s">
        <v>1138</v>
      </c>
      <c r="B32" s="8" t="s">
        <v>1139</v>
      </c>
      <c r="C32" s="8" t="s">
        <v>1140</v>
      </c>
      <c r="D32" s="8" t="str">
        <f>"0,7717"</f>
        <v>0,7717</v>
      </c>
      <c r="E32" s="8" t="s">
        <v>82</v>
      </c>
      <c r="F32" s="8" t="s">
        <v>51</v>
      </c>
      <c r="G32" s="10" t="s">
        <v>25</v>
      </c>
      <c r="H32" s="10" t="s">
        <v>54</v>
      </c>
      <c r="I32" s="10" t="s">
        <v>66</v>
      </c>
      <c r="J32" s="9"/>
      <c r="K32" s="8" t="str">
        <f>"160,0"</f>
        <v>160,0</v>
      </c>
      <c r="L32" s="10" t="str">
        <f>"123,4720"</f>
        <v>123,4720</v>
      </c>
      <c r="M32" s="8" t="s">
        <v>58</v>
      </c>
    </row>
    <row r="34" spans="1:13" ht="15">
      <c r="A34" s="77" t="s">
        <v>15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3">
      <c r="A35" s="11" t="s">
        <v>1142</v>
      </c>
      <c r="B35" s="11" t="s">
        <v>1143</v>
      </c>
      <c r="C35" s="11" t="s">
        <v>1144</v>
      </c>
      <c r="D35" s="11" t="str">
        <f>"0,6655"</f>
        <v>0,6655</v>
      </c>
      <c r="E35" s="11" t="s">
        <v>1145</v>
      </c>
      <c r="F35" s="11" t="s">
        <v>640</v>
      </c>
      <c r="G35" s="12" t="s">
        <v>22</v>
      </c>
      <c r="H35" s="13" t="s">
        <v>53</v>
      </c>
      <c r="I35" s="13" t="s">
        <v>53</v>
      </c>
      <c r="J35" s="13"/>
      <c r="K35" s="11" t="str">
        <f>"180,0"</f>
        <v>180,0</v>
      </c>
      <c r="L35" s="12" t="str">
        <f>"135,3729"</f>
        <v>135,3729</v>
      </c>
      <c r="M35" s="11" t="s">
        <v>58</v>
      </c>
    </row>
    <row r="36" spans="1:13">
      <c r="A36" s="17" t="s">
        <v>1147</v>
      </c>
      <c r="B36" s="17" t="s">
        <v>1148</v>
      </c>
      <c r="C36" s="17" t="s">
        <v>1149</v>
      </c>
      <c r="D36" s="17" t="str">
        <f>"0,6867"</f>
        <v>0,6867</v>
      </c>
      <c r="E36" s="17" t="s">
        <v>82</v>
      </c>
      <c r="F36" s="17" t="s">
        <v>51</v>
      </c>
      <c r="G36" s="19" t="s">
        <v>160</v>
      </c>
      <c r="H36" s="18" t="s">
        <v>102</v>
      </c>
      <c r="I36" s="19" t="s">
        <v>127</v>
      </c>
      <c r="J36" s="18"/>
      <c r="K36" s="17" t="str">
        <f>"125,0"</f>
        <v>125,0</v>
      </c>
      <c r="L36" s="19" t="str">
        <f>"92,7045"</f>
        <v>92,7045</v>
      </c>
      <c r="M36" s="17" t="s">
        <v>58</v>
      </c>
    </row>
    <row r="37" spans="1:13">
      <c r="A37" s="17" t="s">
        <v>586</v>
      </c>
      <c r="B37" s="17" t="s">
        <v>587</v>
      </c>
      <c r="C37" s="17" t="s">
        <v>588</v>
      </c>
      <c r="D37" s="17" t="str">
        <f>"0,6801"</f>
        <v>0,6801</v>
      </c>
      <c r="E37" s="17" t="s">
        <v>336</v>
      </c>
      <c r="F37" s="17" t="s">
        <v>337</v>
      </c>
      <c r="G37" s="19" t="s">
        <v>92</v>
      </c>
      <c r="H37" s="19" t="s">
        <v>53</v>
      </c>
      <c r="I37" s="19" t="s">
        <v>42</v>
      </c>
      <c r="J37" s="18"/>
      <c r="K37" s="17" t="str">
        <f>"210,0"</f>
        <v>210,0</v>
      </c>
      <c r="L37" s="19" t="str">
        <f>"142,8210"</f>
        <v>142,8210</v>
      </c>
      <c r="M37" s="17" t="s">
        <v>338</v>
      </c>
    </row>
    <row r="38" spans="1:13">
      <c r="A38" s="17" t="s">
        <v>1151</v>
      </c>
      <c r="B38" s="17" t="s">
        <v>1152</v>
      </c>
      <c r="C38" s="17" t="s">
        <v>1149</v>
      </c>
      <c r="D38" s="17" t="str">
        <f>"0,6867"</f>
        <v>0,6867</v>
      </c>
      <c r="E38" s="17" t="s">
        <v>82</v>
      </c>
      <c r="F38" s="17" t="s">
        <v>640</v>
      </c>
      <c r="G38" s="19" t="s">
        <v>53</v>
      </c>
      <c r="H38" s="18" t="s">
        <v>67</v>
      </c>
      <c r="I38" s="18"/>
      <c r="J38" s="18"/>
      <c r="K38" s="17" t="str">
        <f>"205,0"</f>
        <v>205,0</v>
      </c>
      <c r="L38" s="19" t="str">
        <f>"140,7735"</f>
        <v>140,7735</v>
      </c>
      <c r="M38" s="17" t="s">
        <v>58</v>
      </c>
    </row>
    <row r="39" spans="1:13">
      <c r="A39" s="17" t="s">
        <v>1154</v>
      </c>
      <c r="B39" s="17" t="s">
        <v>1155</v>
      </c>
      <c r="C39" s="17" t="s">
        <v>1156</v>
      </c>
      <c r="D39" s="17" t="str">
        <f>"0,6708"</f>
        <v>0,6708</v>
      </c>
      <c r="E39" s="17" t="s">
        <v>82</v>
      </c>
      <c r="F39" s="17" t="s">
        <v>370</v>
      </c>
      <c r="G39" s="18" t="s">
        <v>52</v>
      </c>
      <c r="H39" s="19" t="s">
        <v>52</v>
      </c>
      <c r="I39" s="19" t="s">
        <v>996</v>
      </c>
      <c r="J39" s="18"/>
      <c r="K39" s="17" t="str">
        <f>"202,0"</f>
        <v>202,0</v>
      </c>
      <c r="L39" s="19" t="str">
        <f>"215,4475"</f>
        <v>215,4475</v>
      </c>
      <c r="M39" s="17" t="s">
        <v>371</v>
      </c>
    </row>
    <row r="40" spans="1:13">
      <c r="A40" s="14" t="s">
        <v>1158</v>
      </c>
      <c r="B40" s="14" t="s">
        <v>1159</v>
      </c>
      <c r="C40" s="14" t="s">
        <v>1160</v>
      </c>
      <c r="D40" s="14" t="str">
        <f>"0,6694"</f>
        <v>0,6694</v>
      </c>
      <c r="E40" s="14" t="s">
        <v>82</v>
      </c>
      <c r="F40" s="14" t="s">
        <v>577</v>
      </c>
      <c r="G40" s="16" t="s">
        <v>22</v>
      </c>
      <c r="H40" s="15" t="s">
        <v>52</v>
      </c>
      <c r="I40" s="15" t="s">
        <v>39</v>
      </c>
      <c r="J40" s="16"/>
      <c r="K40" s="14" t="str">
        <f>"200,0"</f>
        <v>200,0</v>
      </c>
      <c r="L40" s="15" t="str">
        <f>"274,1862"</f>
        <v>274,1862</v>
      </c>
      <c r="M40" s="14" t="s">
        <v>58</v>
      </c>
    </row>
    <row r="42" spans="1:13" ht="15">
      <c r="A42" s="77" t="s">
        <v>31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3">
      <c r="A43" s="11" t="s">
        <v>1162</v>
      </c>
      <c r="B43" s="11" t="s">
        <v>1163</v>
      </c>
      <c r="C43" s="11" t="s">
        <v>1164</v>
      </c>
      <c r="D43" s="11" t="str">
        <f>"0,6352"</f>
        <v>0,6352</v>
      </c>
      <c r="E43" s="11" t="s">
        <v>82</v>
      </c>
      <c r="F43" s="11" t="s">
        <v>213</v>
      </c>
      <c r="G43" s="12" t="s">
        <v>66</v>
      </c>
      <c r="H43" s="12" t="s">
        <v>75</v>
      </c>
      <c r="I43" s="13" t="s">
        <v>23</v>
      </c>
      <c r="J43" s="13"/>
      <c r="K43" s="11" t="str">
        <f>"175,0"</f>
        <v>175,0</v>
      </c>
      <c r="L43" s="12" t="str">
        <f>"120,0528"</f>
        <v>120,0528</v>
      </c>
      <c r="M43" s="11" t="s">
        <v>58</v>
      </c>
    </row>
    <row r="44" spans="1:13">
      <c r="A44" s="17" t="s">
        <v>1166</v>
      </c>
      <c r="B44" s="17" t="s">
        <v>1167</v>
      </c>
      <c r="C44" s="17" t="s">
        <v>1168</v>
      </c>
      <c r="D44" s="17" t="str">
        <f>"0,6214"</f>
        <v>0,6214</v>
      </c>
      <c r="E44" s="17" t="s">
        <v>336</v>
      </c>
      <c r="F44" s="17" t="s">
        <v>337</v>
      </c>
      <c r="G44" s="19" t="s">
        <v>67</v>
      </c>
      <c r="H44" s="18" t="s">
        <v>56</v>
      </c>
      <c r="I44" s="18" t="s">
        <v>56</v>
      </c>
      <c r="J44" s="18"/>
      <c r="K44" s="17" t="str">
        <f>"220,0"</f>
        <v>220,0</v>
      </c>
      <c r="L44" s="19" t="str">
        <f>"140,8092"</f>
        <v>140,8092</v>
      </c>
      <c r="M44" s="17" t="s">
        <v>338</v>
      </c>
    </row>
    <row r="45" spans="1:13">
      <c r="A45" s="17" t="s">
        <v>600</v>
      </c>
      <c r="B45" s="17" t="s">
        <v>601</v>
      </c>
      <c r="C45" s="17" t="s">
        <v>420</v>
      </c>
      <c r="D45" s="17" t="str">
        <f>"0,6219"</f>
        <v>0,6219</v>
      </c>
      <c r="E45" s="17" t="s">
        <v>20</v>
      </c>
      <c r="F45" s="17" t="s">
        <v>21</v>
      </c>
      <c r="G45" s="19" t="s">
        <v>116</v>
      </c>
      <c r="H45" s="18" t="s">
        <v>68</v>
      </c>
      <c r="I45" s="18" t="s">
        <v>68</v>
      </c>
      <c r="J45" s="18"/>
      <c r="K45" s="17" t="str">
        <f>"265,0"</f>
        <v>265,0</v>
      </c>
      <c r="L45" s="19" t="str">
        <f>"164,8035"</f>
        <v>164,8035</v>
      </c>
      <c r="M45" s="17" t="s">
        <v>128</v>
      </c>
    </row>
    <row r="46" spans="1:13">
      <c r="A46" s="17" t="s">
        <v>1170</v>
      </c>
      <c r="B46" s="17" t="s">
        <v>1171</v>
      </c>
      <c r="C46" s="17" t="s">
        <v>35</v>
      </c>
      <c r="D46" s="17" t="str">
        <f>"0,6193"</f>
        <v>0,6193</v>
      </c>
      <c r="E46" s="17" t="s">
        <v>82</v>
      </c>
      <c r="F46" s="17" t="s">
        <v>213</v>
      </c>
      <c r="G46" s="19" t="s">
        <v>27</v>
      </c>
      <c r="H46" s="19" t="s">
        <v>28</v>
      </c>
      <c r="I46" s="18" t="s">
        <v>121</v>
      </c>
      <c r="J46" s="18"/>
      <c r="K46" s="17" t="str">
        <f>"255,0"</f>
        <v>255,0</v>
      </c>
      <c r="L46" s="19" t="str">
        <f>"157,9215"</f>
        <v>157,9215</v>
      </c>
      <c r="M46" s="17" t="s">
        <v>58</v>
      </c>
    </row>
    <row r="47" spans="1:13">
      <c r="A47" s="17" t="s">
        <v>1173</v>
      </c>
      <c r="B47" s="17" t="s">
        <v>1174</v>
      </c>
      <c r="C47" s="17" t="s">
        <v>1175</v>
      </c>
      <c r="D47" s="17" t="str">
        <f>"0,6198"</f>
        <v>0,6198</v>
      </c>
      <c r="E47" s="17" t="s">
        <v>336</v>
      </c>
      <c r="F47" s="17" t="s">
        <v>337</v>
      </c>
      <c r="G47" s="19" t="s">
        <v>67</v>
      </c>
      <c r="H47" s="19" t="s">
        <v>27</v>
      </c>
      <c r="I47" s="18" t="s">
        <v>29</v>
      </c>
      <c r="J47" s="18"/>
      <c r="K47" s="17" t="str">
        <f>"240,0"</f>
        <v>240,0</v>
      </c>
      <c r="L47" s="19" t="str">
        <f>"148,7520"</f>
        <v>148,7520</v>
      </c>
      <c r="M47" s="17" t="s">
        <v>58</v>
      </c>
    </row>
    <row r="48" spans="1:13">
      <c r="A48" s="17" t="s">
        <v>1177</v>
      </c>
      <c r="B48" s="17" t="s">
        <v>1178</v>
      </c>
      <c r="C48" s="17" t="s">
        <v>1179</v>
      </c>
      <c r="D48" s="17" t="str">
        <f>"0,6209"</f>
        <v>0,6209</v>
      </c>
      <c r="E48" s="17" t="s">
        <v>336</v>
      </c>
      <c r="F48" s="17" t="s">
        <v>337</v>
      </c>
      <c r="G48" s="19" t="s">
        <v>39</v>
      </c>
      <c r="H48" s="19" t="s">
        <v>42</v>
      </c>
      <c r="I48" s="18" t="s">
        <v>109</v>
      </c>
      <c r="J48" s="18"/>
      <c r="K48" s="17" t="str">
        <f>"210,0"</f>
        <v>210,0</v>
      </c>
      <c r="L48" s="19" t="str">
        <f>"130,3890"</f>
        <v>130,3890</v>
      </c>
      <c r="M48" s="17" t="s">
        <v>1180</v>
      </c>
    </row>
    <row r="49" spans="1:13">
      <c r="A49" s="17" t="s">
        <v>1182</v>
      </c>
      <c r="B49" s="17" t="s">
        <v>1183</v>
      </c>
      <c r="C49" s="17" t="s">
        <v>891</v>
      </c>
      <c r="D49" s="17" t="str">
        <f>"0,6203"</f>
        <v>0,6203</v>
      </c>
      <c r="E49" s="17" t="s">
        <v>36</v>
      </c>
      <c r="F49" s="17" t="s">
        <v>37</v>
      </c>
      <c r="G49" s="19" t="s">
        <v>75</v>
      </c>
      <c r="H49" s="19" t="s">
        <v>134</v>
      </c>
      <c r="I49" s="19" t="s">
        <v>52</v>
      </c>
      <c r="J49" s="18"/>
      <c r="K49" s="17" t="str">
        <f>"195,0"</f>
        <v>195,0</v>
      </c>
      <c r="L49" s="19" t="str">
        <f>"120,9585"</f>
        <v>120,9585</v>
      </c>
      <c r="M49" s="17" t="s">
        <v>58</v>
      </c>
    </row>
    <row r="50" spans="1:13">
      <c r="A50" s="17" t="s">
        <v>1185</v>
      </c>
      <c r="B50" s="17" t="s">
        <v>1186</v>
      </c>
      <c r="C50" s="17" t="s">
        <v>1168</v>
      </c>
      <c r="D50" s="17" t="str">
        <f>"0,6214"</f>
        <v>0,6214</v>
      </c>
      <c r="E50" s="17" t="s">
        <v>36</v>
      </c>
      <c r="F50" s="17" t="s">
        <v>370</v>
      </c>
      <c r="G50" s="19" t="s">
        <v>66</v>
      </c>
      <c r="H50" s="19" t="s">
        <v>22</v>
      </c>
      <c r="I50" s="18" t="s">
        <v>23</v>
      </c>
      <c r="J50" s="18"/>
      <c r="K50" s="17" t="str">
        <f>"180,0"</f>
        <v>180,0</v>
      </c>
      <c r="L50" s="19" t="str">
        <f>"127,9587"</f>
        <v>127,9587</v>
      </c>
      <c r="M50" s="17" t="s">
        <v>1007</v>
      </c>
    </row>
    <row r="51" spans="1:13">
      <c r="A51" s="17" t="s">
        <v>1187</v>
      </c>
      <c r="B51" s="17" t="s">
        <v>1188</v>
      </c>
      <c r="C51" s="17" t="s">
        <v>1179</v>
      </c>
      <c r="D51" s="17" t="str">
        <f>"0,6209"</f>
        <v>0,6209</v>
      </c>
      <c r="E51" s="17" t="s">
        <v>336</v>
      </c>
      <c r="F51" s="17" t="s">
        <v>337</v>
      </c>
      <c r="G51" s="19" t="s">
        <v>39</v>
      </c>
      <c r="H51" s="19" t="s">
        <v>42</v>
      </c>
      <c r="I51" s="18" t="s">
        <v>109</v>
      </c>
      <c r="J51" s="18"/>
      <c r="K51" s="17" t="str">
        <f>"210,0"</f>
        <v>210,0</v>
      </c>
      <c r="L51" s="19" t="str">
        <f>"207,3185"</f>
        <v>207,3185</v>
      </c>
      <c r="M51" s="17" t="s">
        <v>1180</v>
      </c>
    </row>
    <row r="52" spans="1:13">
      <c r="A52" s="14" t="s">
        <v>1190</v>
      </c>
      <c r="B52" s="14" t="s">
        <v>1191</v>
      </c>
      <c r="C52" s="14" t="s">
        <v>860</v>
      </c>
      <c r="D52" s="14" t="str">
        <f>"0,6251"</f>
        <v>0,6251</v>
      </c>
      <c r="E52" s="14" t="s">
        <v>1192</v>
      </c>
      <c r="F52" s="14" t="s">
        <v>213</v>
      </c>
      <c r="G52" s="15" t="s">
        <v>54</v>
      </c>
      <c r="H52" s="15" t="s">
        <v>1026</v>
      </c>
      <c r="I52" s="15" t="s">
        <v>66</v>
      </c>
      <c r="J52" s="16"/>
      <c r="K52" s="14" t="str">
        <f>"160,0"</f>
        <v>160,0</v>
      </c>
      <c r="L52" s="15" t="str">
        <f>"208,2333"</f>
        <v>208,2333</v>
      </c>
      <c r="M52" s="14" t="s">
        <v>1193</v>
      </c>
    </row>
    <row r="54" spans="1:13" ht="15">
      <c r="A54" s="77" t="s">
        <v>59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</row>
    <row r="55" spans="1:13">
      <c r="A55" s="11" t="s">
        <v>1195</v>
      </c>
      <c r="B55" s="11" t="s">
        <v>1196</v>
      </c>
      <c r="C55" s="11" t="s">
        <v>1197</v>
      </c>
      <c r="D55" s="11" t="str">
        <f>"0,5978"</f>
        <v>0,5978</v>
      </c>
      <c r="E55" s="11" t="s">
        <v>801</v>
      </c>
      <c r="F55" s="11" t="s">
        <v>51</v>
      </c>
      <c r="G55" s="12" t="s">
        <v>23</v>
      </c>
      <c r="H55" s="12" t="s">
        <v>39</v>
      </c>
      <c r="I55" s="12" t="s">
        <v>42</v>
      </c>
      <c r="J55" s="13"/>
      <c r="K55" s="11" t="str">
        <f>"210,0"</f>
        <v>210,0</v>
      </c>
      <c r="L55" s="12" t="str">
        <f>"130,5595"</f>
        <v>130,5595</v>
      </c>
      <c r="M55" s="11" t="s">
        <v>802</v>
      </c>
    </row>
    <row r="56" spans="1:13">
      <c r="A56" s="17" t="s">
        <v>1198</v>
      </c>
      <c r="B56" s="17" t="s">
        <v>621</v>
      </c>
      <c r="C56" s="17" t="s">
        <v>622</v>
      </c>
      <c r="D56" s="17" t="str">
        <f>"0,5914"</f>
        <v>0,5914</v>
      </c>
      <c r="E56" s="17" t="s">
        <v>82</v>
      </c>
      <c r="F56" s="17" t="s">
        <v>83</v>
      </c>
      <c r="G56" s="19" t="s">
        <v>39</v>
      </c>
      <c r="H56" s="19" t="s">
        <v>42</v>
      </c>
      <c r="I56" s="18"/>
      <c r="J56" s="18"/>
      <c r="K56" s="17" t="str">
        <f>"210,0"</f>
        <v>210,0</v>
      </c>
      <c r="L56" s="19" t="str">
        <f>"126,6779"</f>
        <v>126,6779</v>
      </c>
      <c r="M56" s="17" t="s">
        <v>58</v>
      </c>
    </row>
    <row r="57" spans="1:13">
      <c r="A57" s="17" t="s">
        <v>1200</v>
      </c>
      <c r="B57" s="17" t="s">
        <v>1201</v>
      </c>
      <c r="C57" s="17" t="s">
        <v>1202</v>
      </c>
      <c r="D57" s="17" t="str">
        <f>"0,6105"</f>
        <v>0,6105</v>
      </c>
      <c r="E57" s="17" t="s">
        <v>82</v>
      </c>
      <c r="F57" s="17" t="s">
        <v>51</v>
      </c>
      <c r="G57" s="19" t="s">
        <v>92</v>
      </c>
      <c r="H57" s="19" t="s">
        <v>1020</v>
      </c>
      <c r="I57" s="19" t="s">
        <v>53</v>
      </c>
      <c r="J57" s="18"/>
      <c r="K57" s="17" t="str">
        <f>"205,0"</f>
        <v>205,0</v>
      </c>
      <c r="L57" s="19" t="str">
        <f>"126,3937"</f>
        <v>126,3937</v>
      </c>
      <c r="M57" s="17" t="s">
        <v>1203</v>
      </c>
    </row>
    <row r="58" spans="1:13">
      <c r="A58" s="17" t="s">
        <v>1205</v>
      </c>
      <c r="B58" s="17" t="s">
        <v>1206</v>
      </c>
      <c r="C58" s="17" t="s">
        <v>1207</v>
      </c>
      <c r="D58" s="17" t="str">
        <f>"0,6018"</f>
        <v>0,6018</v>
      </c>
      <c r="E58" s="17" t="s">
        <v>82</v>
      </c>
      <c r="F58" s="17" t="s">
        <v>51</v>
      </c>
      <c r="G58" s="19" t="s">
        <v>43</v>
      </c>
      <c r="H58" s="18" t="s">
        <v>27</v>
      </c>
      <c r="I58" s="19" t="s">
        <v>27</v>
      </c>
      <c r="J58" s="18"/>
      <c r="K58" s="17" t="str">
        <f>"240,0"</f>
        <v>240,0</v>
      </c>
      <c r="L58" s="19" t="str">
        <f>"144,4320"</f>
        <v>144,4320</v>
      </c>
      <c r="M58" s="17" t="s">
        <v>58</v>
      </c>
    </row>
    <row r="59" spans="1:13">
      <c r="A59" s="17" t="s">
        <v>1209</v>
      </c>
      <c r="B59" s="17" t="s">
        <v>1210</v>
      </c>
      <c r="C59" s="17" t="s">
        <v>344</v>
      </c>
      <c r="D59" s="17" t="str">
        <f>"0,5853"</f>
        <v>0,5853</v>
      </c>
      <c r="E59" s="17" t="s">
        <v>50</v>
      </c>
      <c r="F59" s="17" t="s">
        <v>51</v>
      </c>
      <c r="G59" s="19" t="s">
        <v>43</v>
      </c>
      <c r="H59" s="19" t="s">
        <v>44</v>
      </c>
      <c r="I59" s="18" t="s">
        <v>1211</v>
      </c>
      <c r="J59" s="18"/>
      <c r="K59" s="17" t="str">
        <f>"235,0"</f>
        <v>235,0</v>
      </c>
      <c r="L59" s="19" t="str">
        <f>"137,5455"</f>
        <v>137,5455</v>
      </c>
      <c r="M59" s="17" t="s">
        <v>58</v>
      </c>
    </row>
    <row r="60" spans="1:13">
      <c r="A60" s="14" t="s">
        <v>1212</v>
      </c>
      <c r="B60" s="14" t="s">
        <v>629</v>
      </c>
      <c r="C60" s="14" t="s">
        <v>630</v>
      </c>
      <c r="D60" s="14" t="str">
        <f>"0,5930"</f>
        <v>0,5930</v>
      </c>
      <c r="E60" s="14" t="s">
        <v>526</v>
      </c>
      <c r="F60" s="14" t="s">
        <v>51</v>
      </c>
      <c r="G60" s="15" t="s">
        <v>39</v>
      </c>
      <c r="H60" s="16" t="s">
        <v>42</v>
      </c>
      <c r="I60" s="15" t="s">
        <v>109</v>
      </c>
      <c r="J60" s="16"/>
      <c r="K60" s="14" t="str">
        <f>"215,0"</f>
        <v>215,0</v>
      </c>
      <c r="L60" s="15" t="str">
        <f>"127,4950"</f>
        <v>127,4950</v>
      </c>
      <c r="M60" s="14" t="s">
        <v>58</v>
      </c>
    </row>
    <row r="62" spans="1:13" ht="15">
      <c r="A62" s="77" t="s">
        <v>94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</row>
    <row r="63" spans="1:13">
      <c r="A63" s="11" t="s">
        <v>989</v>
      </c>
      <c r="B63" s="11" t="s">
        <v>1213</v>
      </c>
      <c r="C63" s="11" t="s">
        <v>991</v>
      </c>
      <c r="D63" s="11" t="str">
        <f>"0,5639"</f>
        <v>0,5639</v>
      </c>
      <c r="E63" s="11" t="s">
        <v>336</v>
      </c>
      <c r="F63" s="11" t="s">
        <v>337</v>
      </c>
      <c r="G63" s="12" t="s">
        <v>67</v>
      </c>
      <c r="H63" s="12" t="s">
        <v>27</v>
      </c>
      <c r="I63" s="13" t="s">
        <v>121</v>
      </c>
      <c r="J63" s="13"/>
      <c r="K63" s="11" t="str">
        <f>"240,0"</f>
        <v>240,0</v>
      </c>
      <c r="L63" s="12" t="str">
        <f>"135,3360"</f>
        <v>135,3360</v>
      </c>
      <c r="M63" s="11" t="s">
        <v>338</v>
      </c>
    </row>
    <row r="64" spans="1:13">
      <c r="A64" s="17" t="s">
        <v>1215</v>
      </c>
      <c r="B64" s="17" t="s">
        <v>1216</v>
      </c>
      <c r="C64" s="17" t="s">
        <v>1217</v>
      </c>
      <c r="D64" s="17" t="str">
        <f>"0,5545"</f>
        <v>0,5545</v>
      </c>
      <c r="E64" s="17" t="s">
        <v>36</v>
      </c>
      <c r="F64" s="17" t="s">
        <v>370</v>
      </c>
      <c r="G64" s="19" t="s">
        <v>53</v>
      </c>
      <c r="H64" s="19" t="s">
        <v>1218</v>
      </c>
      <c r="I64" s="19" t="s">
        <v>109</v>
      </c>
      <c r="J64" s="18"/>
      <c r="K64" s="17" t="str">
        <f>"215,0"</f>
        <v>215,0</v>
      </c>
      <c r="L64" s="19" t="str">
        <f>"119,2175"</f>
        <v>119,2175</v>
      </c>
      <c r="M64" s="17" t="s">
        <v>371</v>
      </c>
    </row>
    <row r="65" spans="1:13">
      <c r="A65" s="17" t="s">
        <v>1220</v>
      </c>
      <c r="B65" s="17" t="s">
        <v>1221</v>
      </c>
      <c r="C65" s="17" t="s">
        <v>1222</v>
      </c>
      <c r="D65" s="17" t="str">
        <f>"0,5599"</f>
        <v>0,5599</v>
      </c>
      <c r="E65" s="17" t="s">
        <v>50</v>
      </c>
      <c r="F65" s="17" t="s">
        <v>51</v>
      </c>
      <c r="G65" s="19" t="s">
        <v>53</v>
      </c>
      <c r="H65" s="19" t="s">
        <v>42</v>
      </c>
      <c r="I65" s="18" t="s">
        <v>109</v>
      </c>
      <c r="J65" s="18"/>
      <c r="K65" s="17" t="str">
        <f>"210,0"</f>
        <v>210,0</v>
      </c>
      <c r="L65" s="19" t="str">
        <f>"117,5790"</f>
        <v>117,5790</v>
      </c>
      <c r="M65" s="17" t="s">
        <v>77</v>
      </c>
    </row>
    <row r="66" spans="1:13">
      <c r="A66" s="17" t="s">
        <v>1224</v>
      </c>
      <c r="B66" s="17" t="s">
        <v>1225</v>
      </c>
      <c r="C66" s="17" t="s">
        <v>1226</v>
      </c>
      <c r="D66" s="17" t="str">
        <f>"0,5586"</f>
        <v>0,5586</v>
      </c>
      <c r="E66" s="17" t="s">
        <v>82</v>
      </c>
      <c r="F66" s="17" t="s">
        <v>51</v>
      </c>
      <c r="G66" s="19" t="s">
        <v>23</v>
      </c>
      <c r="H66" s="19" t="s">
        <v>39</v>
      </c>
      <c r="I66" s="19" t="s">
        <v>53</v>
      </c>
      <c r="J66" s="18"/>
      <c r="K66" s="17" t="str">
        <f>"205,0"</f>
        <v>205,0</v>
      </c>
      <c r="L66" s="19" t="str">
        <f>"114,5130"</f>
        <v>114,5130</v>
      </c>
      <c r="M66" s="17" t="s">
        <v>58</v>
      </c>
    </row>
    <row r="67" spans="1:13">
      <c r="A67" s="14" t="s">
        <v>989</v>
      </c>
      <c r="B67" s="14" t="s">
        <v>990</v>
      </c>
      <c r="C67" s="14" t="s">
        <v>991</v>
      </c>
      <c r="D67" s="14" t="str">
        <f>"0,5639"</f>
        <v>0,5639</v>
      </c>
      <c r="E67" s="14" t="s">
        <v>336</v>
      </c>
      <c r="F67" s="14" t="s">
        <v>337</v>
      </c>
      <c r="G67" s="15" t="s">
        <v>67</v>
      </c>
      <c r="H67" s="15" t="s">
        <v>27</v>
      </c>
      <c r="I67" s="16" t="s">
        <v>121</v>
      </c>
      <c r="J67" s="16"/>
      <c r="K67" s="14" t="str">
        <f>"240,0"</f>
        <v>240,0</v>
      </c>
      <c r="L67" s="15" t="str">
        <f>"230,0712"</f>
        <v>230,0712</v>
      </c>
      <c r="M67" s="14" t="s">
        <v>338</v>
      </c>
    </row>
    <row r="69" spans="1:13" ht="15">
      <c r="A69" s="77" t="s">
        <v>129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</row>
    <row r="70" spans="1:13">
      <c r="A70" s="11" t="s">
        <v>1228</v>
      </c>
      <c r="B70" s="11" t="s">
        <v>1229</v>
      </c>
      <c r="C70" s="11" t="s">
        <v>1230</v>
      </c>
      <c r="D70" s="11" t="str">
        <f>"0,5393"</f>
        <v>0,5393</v>
      </c>
      <c r="E70" s="11" t="s">
        <v>82</v>
      </c>
      <c r="F70" s="11" t="s">
        <v>51</v>
      </c>
      <c r="G70" s="12" t="s">
        <v>23</v>
      </c>
      <c r="H70" s="12" t="s">
        <v>42</v>
      </c>
      <c r="I70" s="13" t="s">
        <v>67</v>
      </c>
      <c r="J70" s="13"/>
      <c r="K70" s="11" t="str">
        <f>"210,0"</f>
        <v>210,0</v>
      </c>
      <c r="L70" s="12" t="str">
        <f>"113,2530"</f>
        <v>113,2530</v>
      </c>
      <c r="M70" s="11" t="s">
        <v>531</v>
      </c>
    </row>
    <row r="71" spans="1:13">
      <c r="A71" s="14" t="s">
        <v>1232</v>
      </c>
      <c r="B71" s="14" t="s">
        <v>1233</v>
      </c>
      <c r="C71" s="14" t="s">
        <v>133</v>
      </c>
      <c r="D71" s="14" t="str">
        <f>"0,5365"</f>
        <v>0,5365</v>
      </c>
      <c r="E71" s="14" t="s">
        <v>1234</v>
      </c>
      <c r="F71" s="14" t="s">
        <v>1235</v>
      </c>
      <c r="G71" s="15" t="s">
        <v>39</v>
      </c>
      <c r="H71" s="15" t="s">
        <v>42</v>
      </c>
      <c r="I71" s="16"/>
      <c r="J71" s="16"/>
      <c r="K71" s="14" t="str">
        <f>"210,0"</f>
        <v>210,0</v>
      </c>
      <c r="L71" s="15" t="str">
        <f>"161,1109"</f>
        <v>161,1109</v>
      </c>
      <c r="M71" s="14" t="s">
        <v>58</v>
      </c>
    </row>
    <row r="73" spans="1:13" ht="15">
      <c r="A73" s="77" t="s">
        <v>250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</row>
    <row r="74" spans="1:13">
      <c r="A74" s="8" t="s">
        <v>1237</v>
      </c>
      <c r="B74" s="8" t="s">
        <v>1238</v>
      </c>
      <c r="C74" s="8" t="s">
        <v>1239</v>
      </c>
      <c r="D74" s="8" t="str">
        <f>"0,5288"</f>
        <v>0,5288</v>
      </c>
      <c r="E74" s="8" t="s">
        <v>82</v>
      </c>
      <c r="F74" s="8" t="s">
        <v>51</v>
      </c>
      <c r="G74" s="10" t="s">
        <v>22</v>
      </c>
      <c r="H74" s="10" t="s">
        <v>39</v>
      </c>
      <c r="I74" s="9"/>
      <c r="J74" s="9"/>
      <c r="K74" s="8" t="str">
        <f>"200,0"</f>
        <v>200,0</v>
      </c>
      <c r="L74" s="10" t="str">
        <f>"105,7600"</f>
        <v>105,7600</v>
      </c>
      <c r="M74" s="8" t="s">
        <v>58</v>
      </c>
    </row>
    <row r="76" spans="1:13" ht="15">
      <c r="E76" s="20" t="s">
        <v>146</v>
      </c>
    </row>
    <row r="77" spans="1:13" ht="15">
      <c r="E77" s="20" t="s">
        <v>147</v>
      </c>
    </row>
    <row r="78" spans="1:13" ht="15">
      <c r="E78" s="20" t="s">
        <v>148</v>
      </c>
    </row>
    <row r="79" spans="1:13" ht="15">
      <c r="E79" s="20" t="s">
        <v>149</v>
      </c>
    </row>
    <row r="80" spans="1:13" ht="15">
      <c r="E80" s="20" t="s">
        <v>149</v>
      </c>
    </row>
    <row r="81" spans="1:5" ht="15">
      <c r="E81" s="20" t="s">
        <v>150</v>
      </c>
    </row>
    <row r="82" spans="1:5" ht="15">
      <c r="E82" s="20"/>
    </row>
    <row r="84" spans="1:5" ht="18">
      <c r="A84" s="21" t="s">
        <v>151</v>
      </c>
      <c r="B84" s="21"/>
    </row>
    <row r="85" spans="1:5" ht="15">
      <c r="A85" s="22" t="s">
        <v>261</v>
      </c>
      <c r="B85" s="22"/>
    </row>
    <row r="86" spans="1:5" ht="14.25">
      <c r="A86" s="24"/>
      <c r="B86" s="25" t="s">
        <v>650</v>
      </c>
    </row>
    <row r="87" spans="1:5" ht="15">
      <c r="A87" s="26" t="s">
        <v>154</v>
      </c>
      <c r="B87" s="26" t="s">
        <v>155</v>
      </c>
      <c r="C87" s="26" t="s">
        <v>156</v>
      </c>
      <c r="D87" s="26" t="s">
        <v>157</v>
      </c>
      <c r="E87" s="26" t="s">
        <v>158</v>
      </c>
    </row>
    <row r="88" spans="1:5">
      <c r="A88" s="23" t="s">
        <v>512</v>
      </c>
      <c r="B88" s="5" t="s">
        <v>306</v>
      </c>
      <c r="C88" s="5" t="s">
        <v>484</v>
      </c>
      <c r="D88" s="5" t="s">
        <v>488</v>
      </c>
      <c r="E88" s="27" t="s">
        <v>1240</v>
      </c>
    </row>
    <row r="90" spans="1:5" ht="14.25">
      <c r="A90" s="24"/>
      <c r="B90" s="25" t="s">
        <v>655</v>
      </c>
    </row>
    <row r="91" spans="1:5" ht="15">
      <c r="A91" s="26" t="s">
        <v>154</v>
      </c>
      <c r="B91" s="26" t="s">
        <v>155</v>
      </c>
      <c r="C91" s="26" t="s">
        <v>156</v>
      </c>
      <c r="D91" s="26" t="s">
        <v>157</v>
      </c>
      <c r="E91" s="26" t="s">
        <v>158</v>
      </c>
    </row>
    <row r="92" spans="1:5">
      <c r="A92" s="23" t="s">
        <v>1103</v>
      </c>
      <c r="B92" s="5" t="s">
        <v>164</v>
      </c>
      <c r="C92" s="5" t="s">
        <v>1047</v>
      </c>
      <c r="D92" s="5" t="s">
        <v>160</v>
      </c>
      <c r="E92" s="27" t="s">
        <v>1241</v>
      </c>
    </row>
    <row r="93" spans="1:5">
      <c r="A93" s="23" t="s">
        <v>1125</v>
      </c>
      <c r="B93" s="5" t="s">
        <v>164</v>
      </c>
      <c r="C93" s="5" t="s">
        <v>262</v>
      </c>
      <c r="D93" s="5" t="s">
        <v>160</v>
      </c>
      <c r="E93" s="27" t="s">
        <v>1242</v>
      </c>
    </row>
    <row r="95" spans="1:5" ht="14.25">
      <c r="A95" s="24"/>
      <c r="B95" s="25" t="s">
        <v>168</v>
      </c>
    </row>
    <row r="96" spans="1:5" ht="15">
      <c r="A96" s="26" t="s">
        <v>154</v>
      </c>
      <c r="B96" s="26" t="s">
        <v>155</v>
      </c>
      <c r="C96" s="26" t="s">
        <v>156</v>
      </c>
      <c r="D96" s="26" t="s">
        <v>157</v>
      </c>
      <c r="E96" s="26" t="s">
        <v>158</v>
      </c>
    </row>
    <row r="97" spans="1:5">
      <c r="A97" s="23" t="s">
        <v>723</v>
      </c>
      <c r="B97" s="5" t="s">
        <v>168</v>
      </c>
      <c r="C97" s="5" t="s">
        <v>262</v>
      </c>
      <c r="D97" s="5" t="s">
        <v>40</v>
      </c>
      <c r="E97" s="27" t="s">
        <v>1243</v>
      </c>
    </row>
    <row r="98" spans="1:5">
      <c r="A98" s="23" t="s">
        <v>505</v>
      </c>
      <c r="B98" s="5" t="s">
        <v>168</v>
      </c>
      <c r="C98" s="5" t="s">
        <v>652</v>
      </c>
      <c r="D98" s="5" t="s">
        <v>103</v>
      </c>
      <c r="E98" s="27" t="s">
        <v>1244</v>
      </c>
    </row>
    <row r="99" spans="1:5">
      <c r="A99" s="23" t="s">
        <v>498</v>
      </c>
      <c r="B99" s="5" t="s">
        <v>168</v>
      </c>
      <c r="C99" s="5" t="s">
        <v>652</v>
      </c>
      <c r="D99" s="5" t="s">
        <v>103</v>
      </c>
      <c r="E99" s="27" t="s">
        <v>1245</v>
      </c>
    </row>
    <row r="100" spans="1:5">
      <c r="A100" s="23" t="s">
        <v>1107</v>
      </c>
      <c r="B100" s="5" t="s">
        <v>168</v>
      </c>
      <c r="C100" s="5" t="s">
        <v>1047</v>
      </c>
      <c r="D100" s="5" t="s">
        <v>102</v>
      </c>
      <c r="E100" s="27" t="s">
        <v>1246</v>
      </c>
    </row>
    <row r="101" spans="1:5">
      <c r="A101" s="23" t="s">
        <v>1113</v>
      </c>
      <c r="B101" s="5" t="s">
        <v>168</v>
      </c>
      <c r="C101" s="5" t="s">
        <v>652</v>
      </c>
      <c r="D101" s="5" t="s">
        <v>826</v>
      </c>
      <c r="E101" s="27" t="s">
        <v>1247</v>
      </c>
    </row>
    <row r="102" spans="1:5">
      <c r="A102" s="23" t="s">
        <v>1129</v>
      </c>
      <c r="B102" s="5" t="s">
        <v>168</v>
      </c>
      <c r="C102" s="5" t="s">
        <v>307</v>
      </c>
      <c r="D102" s="5" t="s">
        <v>24</v>
      </c>
      <c r="E102" s="27" t="s">
        <v>1248</v>
      </c>
    </row>
    <row r="103" spans="1:5">
      <c r="A103" s="23" t="s">
        <v>1118</v>
      </c>
      <c r="B103" s="5" t="s">
        <v>168</v>
      </c>
      <c r="C103" s="5" t="s">
        <v>652</v>
      </c>
      <c r="D103" s="5" t="s">
        <v>203</v>
      </c>
      <c r="E103" s="27" t="s">
        <v>1249</v>
      </c>
    </row>
    <row r="104" spans="1:5">
      <c r="A104" s="23" t="s">
        <v>532</v>
      </c>
      <c r="B104" s="5" t="s">
        <v>168</v>
      </c>
      <c r="C104" s="5" t="s">
        <v>484</v>
      </c>
      <c r="D104" s="5" t="s">
        <v>160</v>
      </c>
      <c r="E104" s="27" t="s">
        <v>1250</v>
      </c>
    </row>
    <row r="106" spans="1:5" ht="14.25">
      <c r="A106" s="24"/>
      <c r="B106" s="25" t="s">
        <v>191</v>
      </c>
    </row>
    <row r="107" spans="1:5" ht="15">
      <c r="A107" s="26" t="s">
        <v>154</v>
      </c>
      <c r="B107" s="26" t="s">
        <v>155</v>
      </c>
      <c r="C107" s="26" t="s">
        <v>156</v>
      </c>
      <c r="D107" s="26" t="s">
        <v>157</v>
      </c>
      <c r="E107" s="26" t="s">
        <v>158</v>
      </c>
    </row>
    <row r="108" spans="1:5">
      <c r="A108" s="23" t="s">
        <v>1107</v>
      </c>
      <c r="B108" s="5" t="s">
        <v>192</v>
      </c>
      <c r="C108" s="5" t="s">
        <v>1047</v>
      </c>
      <c r="D108" s="5" t="s">
        <v>102</v>
      </c>
      <c r="E108" s="27" t="s">
        <v>1251</v>
      </c>
    </row>
    <row r="109" spans="1:5">
      <c r="A109" s="23" t="s">
        <v>1118</v>
      </c>
      <c r="B109" s="5" t="s">
        <v>312</v>
      </c>
      <c r="C109" s="5" t="s">
        <v>652</v>
      </c>
      <c r="D109" s="5" t="s">
        <v>203</v>
      </c>
      <c r="E109" s="27" t="s">
        <v>1252</v>
      </c>
    </row>
    <row r="112" spans="1:5" ht="15">
      <c r="A112" s="22" t="s">
        <v>152</v>
      </c>
      <c r="B112" s="22"/>
    </row>
    <row r="113" spans="1:5" ht="14.25">
      <c r="A113" s="24"/>
      <c r="B113" s="25" t="s">
        <v>153</v>
      </c>
    </row>
    <row r="114" spans="1:5" ht="15">
      <c r="A114" s="26" t="s">
        <v>154</v>
      </c>
      <c r="B114" s="26" t="s">
        <v>155</v>
      </c>
      <c r="C114" s="26" t="s">
        <v>156</v>
      </c>
      <c r="D114" s="26" t="s">
        <v>157</v>
      </c>
      <c r="E114" s="26" t="s">
        <v>158</v>
      </c>
    </row>
    <row r="115" spans="1:5">
      <c r="A115" s="23" t="s">
        <v>1141</v>
      </c>
      <c r="B115" s="5" t="s">
        <v>651</v>
      </c>
      <c r="C115" s="5" t="s">
        <v>169</v>
      </c>
      <c r="D115" s="5" t="s">
        <v>22</v>
      </c>
      <c r="E115" s="27" t="s">
        <v>1253</v>
      </c>
    </row>
    <row r="116" spans="1:5">
      <c r="A116" s="23" t="s">
        <v>1194</v>
      </c>
      <c r="B116" s="5" t="s">
        <v>159</v>
      </c>
      <c r="C116" s="5" t="s">
        <v>165</v>
      </c>
      <c r="D116" s="5" t="s">
        <v>42</v>
      </c>
      <c r="E116" s="27" t="s">
        <v>1254</v>
      </c>
    </row>
    <row r="117" spans="1:5">
      <c r="A117" s="23" t="s">
        <v>1161</v>
      </c>
      <c r="B117" s="5" t="s">
        <v>651</v>
      </c>
      <c r="C117" s="5" t="s">
        <v>174</v>
      </c>
      <c r="D117" s="5" t="s">
        <v>75</v>
      </c>
      <c r="E117" s="27" t="s">
        <v>1255</v>
      </c>
    </row>
    <row r="118" spans="1:5">
      <c r="A118" s="23" t="s">
        <v>1146</v>
      </c>
      <c r="B118" s="5" t="s">
        <v>651</v>
      </c>
      <c r="C118" s="5" t="s">
        <v>169</v>
      </c>
      <c r="D118" s="5" t="s">
        <v>127</v>
      </c>
      <c r="E118" s="27" t="s">
        <v>1256</v>
      </c>
    </row>
    <row r="120" spans="1:5" ht="14.25">
      <c r="A120" s="24"/>
      <c r="B120" s="25" t="s">
        <v>163</v>
      </c>
    </row>
    <row r="121" spans="1:5" ht="15">
      <c r="A121" s="26" t="s">
        <v>154</v>
      </c>
      <c r="B121" s="26" t="s">
        <v>155</v>
      </c>
      <c r="C121" s="26" t="s">
        <v>156</v>
      </c>
      <c r="D121" s="26" t="s">
        <v>157</v>
      </c>
      <c r="E121" s="26" t="s">
        <v>158</v>
      </c>
    </row>
    <row r="122" spans="1:5">
      <c r="A122" s="23" t="s">
        <v>1165</v>
      </c>
      <c r="B122" s="5" t="s">
        <v>164</v>
      </c>
      <c r="C122" s="5" t="s">
        <v>174</v>
      </c>
      <c r="D122" s="5" t="s">
        <v>67</v>
      </c>
      <c r="E122" s="27" t="s">
        <v>1257</v>
      </c>
    </row>
    <row r="123" spans="1:5">
      <c r="A123" s="23" t="s">
        <v>619</v>
      </c>
      <c r="B123" s="5" t="s">
        <v>164</v>
      </c>
      <c r="C123" s="5" t="s">
        <v>165</v>
      </c>
      <c r="D123" s="5" t="s">
        <v>42</v>
      </c>
      <c r="E123" s="27" t="s">
        <v>1258</v>
      </c>
    </row>
    <row r="124" spans="1:5">
      <c r="A124" s="23" t="s">
        <v>1199</v>
      </c>
      <c r="B124" s="5" t="s">
        <v>164</v>
      </c>
      <c r="C124" s="5" t="s">
        <v>165</v>
      </c>
      <c r="D124" s="5" t="s">
        <v>53</v>
      </c>
      <c r="E124" s="27" t="s">
        <v>1259</v>
      </c>
    </row>
    <row r="126" spans="1:5" ht="14.25">
      <c r="A126" s="24"/>
      <c r="B126" s="25" t="s">
        <v>168</v>
      </c>
    </row>
    <row r="127" spans="1:5" ht="15">
      <c r="A127" s="26" t="s">
        <v>154</v>
      </c>
      <c r="B127" s="26" t="s">
        <v>155</v>
      </c>
      <c r="C127" s="26" t="s">
        <v>156</v>
      </c>
      <c r="D127" s="26" t="s">
        <v>157</v>
      </c>
      <c r="E127" s="26" t="s">
        <v>158</v>
      </c>
    </row>
    <row r="128" spans="1:5">
      <c r="A128" s="23" t="s">
        <v>599</v>
      </c>
      <c r="B128" s="5" t="s">
        <v>168</v>
      </c>
      <c r="C128" s="5" t="s">
        <v>174</v>
      </c>
      <c r="D128" s="5" t="s">
        <v>116</v>
      </c>
      <c r="E128" s="27" t="s">
        <v>1260</v>
      </c>
    </row>
    <row r="129" spans="1:5">
      <c r="A129" s="23" t="s">
        <v>1169</v>
      </c>
      <c r="B129" s="5" t="s">
        <v>168</v>
      </c>
      <c r="C129" s="5" t="s">
        <v>174</v>
      </c>
      <c r="D129" s="5" t="s">
        <v>28</v>
      </c>
      <c r="E129" s="27" t="s">
        <v>1261</v>
      </c>
    </row>
    <row r="130" spans="1:5">
      <c r="A130" s="23" t="s">
        <v>1172</v>
      </c>
      <c r="B130" s="5" t="s">
        <v>168</v>
      </c>
      <c r="C130" s="5" t="s">
        <v>174</v>
      </c>
      <c r="D130" s="5" t="s">
        <v>27</v>
      </c>
      <c r="E130" s="27" t="s">
        <v>1262</v>
      </c>
    </row>
    <row r="131" spans="1:5">
      <c r="A131" s="23" t="s">
        <v>1204</v>
      </c>
      <c r="B131" s="5" t="s">
        <v>168</v>
      </c>
      <c r="C131" s="5" t="s">
        <v>165</v>
      </c>
      <c r="D131" s="5" t="s">
        <v>27</v>
      </c>
      <c r="E131" s="27" t="s">
        <v>1263</v>
      </c>
    </row>
    <row r="132" spans="1:5">
      <c r="A132" s="23" t="s">
        <v>585</v>
      </c>
      <c r="B132" s="5" t="s">
        <v>168</v>
      </c>
      <c r="C132" s="5" t="s">
        <v>169</v>
      </c>
      <c r="D132" s="5" t="s">
        <v>42</v>
      </c>
      <c r="E132" s="27" t="s">
        <v>1264</v>
      </c>
    </row>
    <row r="133" spans="1:5">
      <c r="A133" s="23" t="s">
        <v>1150</v>
      </c>
      <c r="B133" s="5" t="s">
        <v>168</v>
      </c>
      <c r="C133" s="5" t="s">
        <v>169</v>
      </c>
      <c r="D133" s="5" t="s">
        <v>53</v>
      </c>
      <c r="E133" s="27" t="s">
        <v>1265</v>
      </c>
    </row>
    <row r="134" spans="1:5">
      <c r="A134" s="23" t="s">
        <v>1208</v>
      </c>
      <c r="B134" s="5" t="s">
        <v>168</v>
      </c>
      <c r="C134" s="5" t="s">
        <v>165</v>
      </c>
      <c r="D134" s="5" t="s">
        <v>44</v>
      </c>
      <c r="E134" s="27" t="s">
        <v>1266</v>
      </c>
    </row>
    <row r="135" spans="1:5">
      <c r="A135" s="23" t="s">
        <v>988</v>
      </c>
      <c r="B135" s="5" t="s">
        <v>168</v>
      </c>
      <c r="C135" s="5" t="s">
        <v>160</v>
      </c>
      <c r="D135" s="5" t="s">
        <v>27</v>
      </c>
      <c r="E135" s="27" t="s">
        <v>1267</v>
      </c>
    </row>
    <row r="136" spans="1:5">
      <c r="A136" s="23" t="s">
        <v>1176</v>
      </c>
      <c r="B136" s="5" t="s">
        <v>168</v>
      </c>
      <c r="C136" s="5" t="s">
        <v>174</v>
      </c>
      <c r="D136" s="5" t="s">
        <v>42</v>
      </c>
      <c r="E136" s="27" t="s">
        <v>1268</v>
      </c>
    </row>
    <row r="137" spans="1:5">
      <c r="A137" s="23" t="s">
        <v>627</v>
      </c>
      <c r="B137" s="5" t="s">
        <v>168</v>
      </c>
      <c r="C137" s="5" t="s">
        <v>165</v>
      </c>
      <c r="D137" s="5" t="s">
        <v>109</v>
      </c>
      <c r="E137" s="27" t="s">
        <v>1269</v>
      </c>
    </row>
    <row r="138" spans="1:5">
      <c r="A138" s="23" t="s">
        <v>1137</v>
      </c>
      <c r="B138" s="5" t="s">
        <v>168</v>
      </c>
      <c r="C138" s="5" t="s">
        <v>307</v>
      </c>
      <c r="D138" s="5" t="s">
        <v>66</v>
      </c>
      <c r="E138" s="27" t="s">
        <v>1270</v>
      </c>
    </row>
    <row r="139" spans="1:5">
      <c r="A139" s="23" t="s">
        <v>1181</v>
      </c>
      <c r="B139" s="5" t="s">
        <v>168</v>
      </c>
      <c r="C139" s="5" t="s">
        <v>174</v>
      </c>
      <c r="D139" s="5" t="s">
        <v>52</v>
      </c>
      <c r="E139" s="27" t="s">
        <v>1271</v>
      </c>
    </row>
    <row r="140" spans="1:5">
      <c r="A140" s="23" t="s">
        <v>1214</v>
      </c>
      <c r="B140" s="5" t="s">
        <v>168</v>
      </c>
      <c r="C140" s="5" t="s">
        <v>160</v>
      </c>
      <c r="D140" s="5" t="s">
        <v>109</v>
      </c>
      <c r="E140" s="27" t="s">
        <v>1272</v>
      </c>
    </row>
    <row r="141" spans="1:5">
      <c r="A141" s="23" t="s">
        <v>1219</v>
      </c>
      <c r="B141" s="5" t="s">
        <v>168</v>
      </c>
      <c r="C141" s="5" t="s">
        <v>160</v>
      </c>
      <c r="D141" s="5" t="s">
        <v>42</v>
      </c>
      <c r="E141" s="27" t="s">
        <v>1273</v>
      </c>
    </row>
    <row r="142" spans="1:5">
      <c r="A142" s="23" t="s">
        <v>1223</v>
      </c>
      <c r="B142" s="5" t="s">
        <v>168</v>
      </c>
      <c r="C142" s="5" t="s">
        <v>160</v>
      </c>
      <c r="D142" s="5" t="s">
        <v>53</v>
      </c>
      <c r="E142" s="27" t="s">
        <v>1274</v>
      </c>
    </row>
    <row r="143" spans="1:5">
      <c r="A143" s="23" t="s">
        <v>1227</v>
      </c>
      <c r="B143" s="5" t="s">
        <v>168</v>
      </c>
      <c r="C143" s="5" t="s">
        <v>102</v>
      </c>
      <c r="D143" s="5" t="s">
        <v>42</v>
      </c>
      <c r="E143" s="27" t="s">
        <v>1275</v>
      </c>
    </row>
    <row r="144" spans="1:5">
      <c r="A144" s="23" t="s">
        <v>1236</v>
      </c>
      <c r="B144" s="5" t="s">
        <v>168</v>
      </c>
      <c r="C144" s="5" t="s">
        <v>127</v>
      </c>
      <c r="D144" s="5" t="s">
        <v>39</v>
      </c>
      <c r="E144" s="27" t="s">
        <v>1276</v>
      </c>
    </row>
    <row r="145" spans="1:5">
      <c r="A145" s="23" t="s">
        <v>1134</v>
      </c>
      <c r="B145" s="5" t="s">
        <v>168</v>
      </c>
      <c r="C145" s="5" t="s">
        <v>484</v>
      </c>
      <c r="D145" s="5" t="s">
        <v>24</v>
      </c>
      <c r="E145" s="27" t="s">
        <v>1277</v>
      </c>
    </row>
    <row r="147" spans="1:5" ht="14.25">
      <c r="A147" s="24"/>
      <c r="B147" s="25" t="s">
        <v>191</v>
      </c>
    </row>
    <row r="148" spans="1:5" ht="15">
      <c r="A148" s="26" t="s">
        <v>154</v>
      </c>
      <c r="B148" s="26" t="s">
        <v>155</v>
      </c>
      <c r="C148" s="26" t="s">
        <v>156</v>
      </c>
      <c r="D148" s="26" t="s">
        <v>157</v>
      </c>
      <c r="E148" s="26" t="s">
        <v>158</v>
      </c>
    </row>
    <row r="149" spans="1:5">
      <c r="A149" s="23" t="s">
        <v>1157</v>
      </c>
      <c r="B149" s="5" t="s">
        <v>694</v>
      </c>
      <c r="C149" s="5" t="s">
        <v>169</v>
      </c>
      <c r="D149" s="5" t="s">
        <v>39</v>
      </c>
      <c r="E149" s="27" t="s">
        <v>1278</v>
      </c>
    </row>
    <row r="150" spans="1:5">
      <c r="A150" s="23" t="s">
        <v>988</v>
      </c>
      <c r="B150" s="5" t="s">
        <v>1084</v>
      </c>
      <c r="C150" s="5" t="s">
        <v>160</v>
      </c>
      <c r="D150" s="5" t="s">
        <v>27</v>
      </c>
      <c r="E150" s="27" t="s">
        <v>1279</v>
      </c>
    </row>
    <row r="151" spans="1:5">
      <c r="A151" s="23" t="s">
        <v>1153</v>
      </c>
      <c r="B151" s="5" t="s">
        <v>1087</v>
      </c>
      <c r="C151" s="5" t="s">
        <v>169</v>
      </c>
      <c r="D151" s="5" t="s">
        <v>996</v>
      </c>
      <c r="E151" s="27" t="s">
        <v>1280</v>
      </c>
    </row>
    <row r="152" spans="1:5">
      <c r="A152" s="23" t="s">
        <v>1189</v>
      </c>
      <c r="B152" s="5" t="s">
        <v>1281</v>
      </c>
      <c r="C152" s="5" t="s">
        <v>174</v>
      </c>
      <c r="D152" s="5" t="s">
        <v>66</v>
      </c>
      <c r="E152" s="27" t="s">
        <v>1282</v>
      </c>
    </row>
    <row r="153" spans="1:5">
      <c r="A153" s="23" t="s">
        <v>1176</v>
      </c>
      <c r="B153" s="5" t="s">
        <v>1087</v>
      </c>
      <c r="C153" s="5" t="s">
        <v>174</v>
      </c>
      <c r="D153" s="5" t="s">
        <v>42</v>
      </c>
      <c r="E153" s="27" t="s">
        <v>1283</v>
      </c>
    </row>
    <row r="154" spans="1:5">
      <c r="A154" s="23" t="s">
        <v>1231</v>
      </c>
      <c r="B154" s="5" t="s">
        <v>1087</v>
      </c>
      <c r="C154" s="5" t="s">
        <v>102</v>
      </c>
      <c r="D154" s="5" t="s">
        <v>42</v>
      </c>
      <c r="E154" s="27" t="s">
        <v>1284</v>
      </c>
    </row>
    <row r="155" spans="1:5">
      <c r="A155" s="23" t="s">
        <v>1184</v>
      </c>
      <c r="B155" s="5" t="s">
        <v>192</v>
      </c>
      <c r="C155" s="5" t="s">
        <v>174</v>
      </c>
      <c r="D155" s="5" t="s">
        <v>22</v>
      </c>
      <c r="E155" s="27" t="s">
        <v>1285</v>
      </c>
    </row>
  </sheetData>
  <mergeCells count="24">
    <mergeCell ref="A69:L69"/>
    <mergeCell ref="A73:L73"/>
    <mergeCell ref="A21:L21"/>
    <mergeCell ref="A25:L25"/>
    <mergeCell ref="A28:L28"/>
    <mergeCell ref="A31:L31"/>
    <mergeCell ref="A34:L34"/>
    <mergeCell ref="A42:L42"/>
    <mergeCell ref="A5:L5"/>
    <mergeCell ref="A10:L10"/>
    <mergeCell ref="A17:L17"/>
    <mergeCell ref="A54:L54"/>
    <mergeCell ref="A62:L6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19"/>
  <sheetViews>
    <sheetView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28515625" style="5" bestFit="1" customWidth="1"/>
    <col min="7" max="10" width="5.5703125" style="4" bestFit="1" customWidth="1"/>
    <col min="11" max="11" width="7.85546875" style="5" bestFit="1" customWidth="1"/>
    <col min="12" max="12" width="8.5703125" style="4" bestFit="1" customWidth="1"/>
    <col min="13" max="13" width="25.7109375" style="5" bestFit="1" customWidth="1"/>
    <col min="14" max="16384" width="9.140625" style="4"/>
  </cols>
  <sheetData>
    <row r="1" spans="1:13" s="3" customFormat="1" ht="29.1" customHeight="1">
      <c r="A1" s="79" t="s">
        <v>703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2</v>
      </c>
      <c r="H3" s="60"/>
      <c r="I3" s="60"/>
      <c r="J3" s="60"/>
      <c r="K3" s="60" t="s">
        <v>279</v>
      </c>
      <c r="L3" s="60" t="s">
        <v>6</v>
      </c>
      <c r="M3" s="63" t="s">
        <v>5</v>
      </c>
    </row>
    <row r="4" spans="1:13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74"/>
      <c r="L4" s="74"/>
      <c r="M4" s="64"/>
    </row>
    <row r="5" spans="1:13" ht="15">
      <c r="A5" s="75" t="s">
        <v>477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>
      <c r="A6" s="11" t="s">
        <v>705</v>
      </c>
      <c r="B6" s="11" t="s">
        <v>706</v>
      </c>
      <c r="C6" s="11" t="s">
        <v>707</v>
      </c>
      <c r="D6" s="11" t="str">
        <f>"0,9693"</f>
        <v>0,9693</v>
      </c>
      <c r="E6" s="11" t="s">
        <v>82</v>
      </c>
      <c r="F6" s="11" t="s">
        <v>89</v>
      </c>
      <c r="G6" s="12" t="s">
        <v>483</v>
      </c>
      <c r="H6" s="12" t="s">
        <v>484</v>
      </c>
      <c r="I6" s="13" t="s">
        <v>517</v>
      </c>
      <c r="J6" s="13"/>
      <c r="K6" s="11" t="str">
        <f>"60,0"</f>
        <v>60,0</v>
      </c>
      <c r="L6" s="12" t="str">
        <f>"62,8139"</f>
        <v>62,8139</v>
      </c>
      <c r="M6" s="11" t="s">
        <v>598</v>
      </c>
    </row>
    <row r="7" spans="1:13">
      <c r="A7" s="17" t="s">
        <v>709</v>
      </c>
      <c r="B7" s="17" t="s">
        <v>710</v>
      </c>
      <c r="C7" s="17" t="s">
        <v>711</v>
      </c>
      <c r="D7" s="17" t="str">
        <f>"0,9770"</f>
        <v>0,9770</v>
      </c>
      <c r="E7" s="17" t="s">
        <v>82</v>
      </c>
      <c r="F7" s="17" t="s">
        <v>640</v>
      </c>
      <c r="G7" s="19" t="s">
        <v>503</v>
      </c>
      <c r="H7" s="19" t="s">
        <v>484</v>
      </c>
      <c r="I7" s="18" t="s">
        <v>517</v>
      </c>
      <c r="J7" s="18"/>
      <c r="K7" s="17" t="str">
        <f>"60,0"</f>
        <v>60,0</v>
      </c>
      <c r="L7" s="19" t="str">
        <f>"58,6200"</f>
        <v>58,6200</v>
      </c>
      <c r="M7" s="17" t="s">
        <v>58</v>
      </c>
    </row>
    <row r="8" spans="1:13">
      <c r="A8" s="17" t="s">
        <v>713</v>
      </c>
      <c r="B8" s="17" t="s">
        <v>714</v>
      </c>
      <c r="C8" s="17" t="s">
        <v>715</v>
      </c>
      <c r="D8" s="17" t="str">
        <f>"0,9739"</f>
        <v>0,9739</v>
      </c>
      <c r="E8" s="17" t="s">
        <v>336</v>
      </c>
      <c r="F8" s="17" t="s">
        <v>337</v>
      </c>
      <c r="G8" s="19" t="s">
        <v>530</v>
      </c>
      <c r="H8" s="18" t="s">
        <v>495</v>
      </c>
      <c r="I8" s="19" t="s">
        <v>495</v>
      </c>
      <c r="J8" s="18"/>
      <c r="K8" s="17" t="str">
        <f>"47,5"</f>
        <v>47,5</v>
      </c>
      <c r="L8" s="19" t="str">
        <f>"46,2603"</f>
        <v>46,2603</v>
      </c>
      <c r="M8" s="17" t="s">
        <v>338</v>
      </c>
    </row>
    <row r="9" spans="1:13">
      <c r="A9" s="17" t="s">
        <v>716</v>
      </c>
      <c r="B9" s="17" t="s">
        <v>717</v>
      </c>
      <c r="C9" s="17" t="s">
        <v>715</v>
      </c>
      <c r="D9" s="17" t="str">
        <f>"0,9739"</f>
        <v>0,9739</v>
      </c>
      <c r="E9" s="17" t="s">
        <v>336</v>
      </c>
      <c r="F9" s="17" t="s">
        <v>337</v>
      </c>
      <c r="G9" s="19" t="s">
        <v>530</v>
      </c>
      <c r="H9" s="18" t="s">
        <v>495</v>
      </c>
      <c r="I9" s="19" t="s">
        <v>495</v>
      </c>
      <c r="J9" s="18"/>
      <c r="K9" s="17" t="str">
        <f>"47,5"</f>
        <v>47,5</v>
      </c>
      <c r="L9" s="19" t="str">
        <f>"46,6766"</f>
        <v>46,6766</v>
      </c>
      <c r="M9" s="17" t="s">
        <v>338</v>
      </c>
    </row>
    <row r="10" spans="1:13">
      <c r="A10" s="14" t="s">
        <v>719</v>
      </c>
      <c r="B10" s="14" t="s">
        <v>720</v>
      </c>
      <c r="C10" s="14" t="s">
        <v>721</v>
      </c>
      <c r="D10" s="14" t="str">
        <f>"0,9856"</f>
        <v>0,9856</v>
      </c>
      <c r="E10" s="14" t="s">
        <v>82</v>
      </c>
      <c r="F10" s="14" t="s">
        <v>259</v>
      </c>
      <c r="G10" s="15" t="s">
        <v>483</v>
      </c>
      <c r="H10" s="15" t="s">
        <v>484</v>
      </c>
      <c r="I10" s="15" t="s">
        <v>527</v>
      </c>
      <c r="J10" s="16"/>
      <c r="K10" s="14" t="str">
        <f>"65,0"</f>
        <v>65,0</v>
      </c>
      <c r="L10" s="15" t="str">
        <f>"68,4844"</f>
        <v>68,4844</v>
      </c>
      <c r="M10" s="14" t="s">
        <v>722</v>
      </c>
    </row>
    <row r="12" spans="1:13" ht="15">
      <c r="A12" s="77" t="s">
        <v>198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13">
      <c r="A13" s="11" t="s">
        <v>724</v>
      </c>
      <c r="B13" s="11" t="s">
        <v>725</v>
      </c>
      <c r="C13" s="11" t="s">
        <v>726</v>
      </c>
      <c r="D13" s="11" t="str">
        <f>"0,9153"</f>
        <v>0,9153</v>
      </c>
      <c r="E13" s="11" t="s">
        <v>336</v>
      </c>
      <c r="F13" s="11" t="s">
        <v>337</v>
      </c>
      <c r="G13" s="12" t="s">
        <v>553</v>
      </c>
      <c r="H13" s="12" t="s">
        <v>727</v>
      </c>
      <c r="I13" s="13" t="s">
        <v>728</v>
      </c>
      <c r="J13" s="13"/>
      <c r="K13" s="11" t="str">
        <f>"92,5"</f>
        <v>92,5</v>
      </c>
      <c r="L13" s="12" t="str">
        <f>"84,6653"</f>
        <v>84,6653</v>
      </c>
      <c r="M13" s="11" t="s">
        <v>338</v>
      </c>
    </row>
    <row r="14" spans="1:13">
      <c r="A14" s="14" t="s">
        <v>730</v>
      </c>
      <c r="B14" s="14" t="s">
        <v>731</v>
      </c>
      <c r="C14" s="14" t="s">
        <v>732</v>
      </c>
      <c r="D14" s="14" t="str">
        <f>"0,9284"</f>
        <v>0,9284</v>
      </c>
      <c r="E14" s="14" t="s">
        <v>82</v>
      </c>
      <c r="F14" s="14" t="s">
        <v>51</v>
      </c>
      <c r="G14" s="15" t="s">
        <v>509</v>
      </c>
      <c r="H14" s="16" t="s">
        <v>503</v>
      </c>
      <c r="I14" s="15" t="s">
        <v>503</v>
      </c>
      <c r="J14" s="16"/>
      <c r="K14" s="14" t="str">
        <f>"57,5"</f>
        <v>57,5</v>
      </c>
      <c r="L14" s="15" t="str">
        <f>"53,3830"</f>
        <v>53,3830</v>
      </c>
      <c r="M14" s="14" t="s">
        <v>58</v>
      </c>
    </row>
    <row r="16" spans="1:13" ht="15">
      <c r="A16" s="77" t="s">
        <v>511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3">
      <c r="A17" s="11" t="s">
        <v>734</v>
      </c>
      <c r="B17" s="11" t="s">
        <v>735</v>
      </c>
      <c r="C17" s="11" t="s">
        <v>736</v>
      </c>
      <c r="D17" s="11" t="str">
        <f>"0,8750"</f>
        <v>0,8750</v>
      </c>
      <c r="E17" s="11" t="s">
        <v>20</v>
      </c>
      <c r="F17" s="11" t="s">
        <v>21</v>
      </c>
      <c r="G17" s="12" t="s">
        <v>102</v>
      </c>
      <c r="H17" s="12" t="s">
        <v>24</v>
      </c>
      <c r="I17" s="12" t="s">
        <v>25</v>
      </c>
      <c r="J17" s="12" t="s">
        <v>541</v>
      </c>
      <c r="K17" s="11" t="str">
        <f>"130,0"</f>
        <v>130,0</v>
      </c>
      <c r="L17" s="12" t="str">
        <f>"113,7500"</f>
        <v>113,7500</v>
      </c>
      <c r="M17" s="11" t="s">
        <v>737</v>
      </c>
    </row>
    <row r="18" spans="1:13">
      <c r="A18" s="17" t="s">
        <v>739</v>
      </c>
      <c r="B18" s="17" t="s">
        <v>740</v>
      </c>
      <c r="C18" s="17" t="s">
        <v>741</v>
      </c>
      <c r="D18" s="17" t="str">
        <f>"0,8634"</f>
        <v>0,8634</v>
      </c>
      <c r="E18" s="17" t="s">
        <v>50</v>
      </c>
      <c r="F18" s="17" t="s">
        <v>51</v>
      </c>
      <c r="G18" s="19" t="s">
        <v>527</v>
      </c>
      <c r="H18" s="19" t="s">
        <v>487</v>
      </c>
      <c r="I18" s="18" t="s">
        <v>169</v>
      </c>
      <c r="J18" s="18"/>
      <c r="K18" s="17" t="str">
        <f>"70,0"</f>
        <v>70,0</v>
      </c>
      <c r="L18" s="19" t="str">
        <f>"60,4380"</f>
        <v>60,4380</v>
      </c>
      <c r="M18" s="17" t="s">
        <v>742</v>
      </c>
    </row>
    <row r="19" spans="1:13">
      <c r="A19" s="14" t="s">
        <v>744</v>
      </c>
      <c r="B19" s="14" t="s">
        <v>745</v>
      </c>
      <c r="C19" s="14" t="s">
        <v>746</v>
      </c>
      <c r="D19" s="14" t="str">
        <f>"0,8694"</f>
        <v>0,8694</v>
      </c>
      <c r="E19" s="14" t="s">
        <v>526</v>
      </c>
      <c r="F19" s="14" t="s">
        <v>51</v>
      </c>
      <c r="G19" s="15" t="s">
        <v>528</v>
      </c>
      <c r="H19" s="15" t="s">
        <v>529</v>
      </c>
      <c r="I19" s="16" t="s">
        <v>486</v>
      </c>
      <c r="J19" s="16"/>
      <c r="K19" s="14" t="str">
        <f>"37,5"</f>
        <v>37,5</v>
      </c>
      <c r="L19" s="15" t="str">
        <f>"32,6044"</f>
        <v>32,6044</v>
      </c>
      <c r="M19" s="14" t="s">
        <v>747</v>
      </c>
    </row>
    <row r="21" spans="1:13" ht="15">
      <c r="A21" s="77" t="s">
        <v>281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3">
      <c r="A22" s="11" t="s">
        <v>749</v>
      </c>
      <c r="B22" s="11" t="s">
        <v>750</v>
      </c>
      <c r="C22" s="11" t="s">
        <v>540</v>
      </c>
      <c r="D22" s="11" t="str">
        <f>"0,7807"</f>
        <v>0,7807</v>
      </c>
      <c r="E22" s="11" t="s">
        <v>434</v>
      </c>
      <c r="F22" s="11" t="s">
        <v>435</v>
      </c>
      <c r="G22" s="12" t="s">
        <v>521</v>
      </c>
      <c r="H22" s="12" t="s">
        <v>542</v>
      </c>
      <c r="I22" s="12" t="s">
        <v>165</v>
      </c>
      <c r="J22" s="13"/>
      <c r="K22" s="11" t="str">
        <f>"90,0"</f>
        <v>90,0</v>
      </c>
      <c r="L22" s="12" t="str">
        <f>"70,2630"</f>
        <v>70,2630</v>
      </c>
      <c r="M22" s="11" t="s">
        <v>751</v>
      </c>
    </row>
    <row r="23" spans="1:13">
      <c r="A23" s="14" t="s">
        <v>753</v>
      </c>
      <c r="B23" s="14" t="s">
        <v>754</v>
      </c>
      <c r="C23" s="14" t="s">
        <v>755</v>
      </c>
      <c r="D23" s="14" t="str">
        <f>"0,7862"</f>
        <v>0,7862</v>
      </c>
      <c r="E23" s="14" t="s">
        <v>82</v>
      </c>
      <c r="F23" s="14" t="s">
        <v>51</v>
      </c>
      <c r="G23" s="16" t="s">
        <v>509</v>
      </c>
      <c r="H23" s="15" t="s">
        <v>483</v>
      </c>
      <c r="I23" s="16" t="s">
        <v>503</v>
      </c>
      <c r="J23" s="16"/>
      <c r="K23" s="14" t="str">
        <f>"55,0"</f>
        <v>55,0</v>
      </c>
      <c r="L23" s="15" t="str">
        <f>"43,2410"</f>
        <v>43,2410</v>
      </c>
      <c r="M23" s="14" t="s">
        <v>756</v>
      </c>
    </row>
    <row r="25" spans="1:13" ht="15">
      <c r="A25" s="77" t="s">
        <v>15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3">
      <c r="A26" s="8" t="s">
        <v>758</v>
      </c>
      <c r="B26" s="8" t="s">
        <v>759</v>
      </c>
      <c r="C26" s="8" t="s">
        <v>760</v>
      </c>
      <c r="D26" s="8" t="str">
        <f>"0,7682"</f>
        <v>0,7682</v>
      </c>
      <c r="E26" s="8" t="s">
        <v>526</v>
      </c>
      <c r="F26" s="8" t="s">
        <v>51</v>
      </c>
      <c r="G26" s="10" t="s">
        <v>485</v>
      </c>
      <c r="H26" s="9" t="s">
        <v>486</v>
      </c>
      <c r="I26" s="10" t="s">
        <v>486</v>
      </c>
      <c r="J26" s="9"/>
      <c r="K26" s="8" t="str">
        <f>"40,0"</f>
        <v>40,0</v>
      </c>
      <c r="L26" s="10" t="str">
        <f>"30,7280"</f>
        <v>30,7280</v>
      </c>
      <c r="M26" s="8" t="s">
        <v>531</v>
      </c>
    </row>
    <row r="28" spans="1:13" ht="15">
      <c r="A28" s="77" t="s">
        <v>31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3">
      <c r="A29" s="11" t="s">
        <v>762</v>
      </c>
      <c r="B29" s="11" t="s">
        <v>763</v>
      </c>
      <c r="C29" s="11" t="s">
        <v>764</v>
      </c>
      <c r="D29" s="11" t="str">
        <f>"0,6920"</f>
        <v>0,6920</v>
      </c>
      <c r="E29" s="11" t="s">
        <v>765</v>
      </c>
      <c r="F29" s="11" t="s">
        <v>640</v>
      </c>
      <c r="G29" s="13" t="s">
        <v>483</v>
      </c>
      <c r="H29" s="12" t="s">
        <v>483</v>
      </c>
      <c r="I29" s="13" t="s">
        <v>484</v>
      </c>
      <c r="J29" s="13"/>
      <c r="K29" s="11" t="str">
        <f>"55,0"</f>
        <v>55,0</v>
      </c>
      <c r="L29" s="12" t="str">
        <f>"41,1048"</f>
        <v>41,1048</v>
      </c>
      <c r="M29" s="11" t="s">
        <v>766</v>
      </c>
    </row>
    <row r="30" spans="1:13">
      <c r="A30" s="14" t="s">
        <v>768</v>
      </c>
      <c r="B30" s="14" t="s">
        <v>769</v>
      </c>
      <c r="C30" s="14" t="s">
        <v>35</v>
      </c>
      <c r="D30" s="14" t="str">
        <f>"0,6734"</f>
        <v>0,6734</v>
      </c>
      <c r="E30" s="14" t="s">
        <v>765</v>
      </c>
      <c r="F30" s="14" t="s">
        <v>640</v>
      </c>
      <c r="G30" s="15" t="s">
        <v>488</v>
      </c>
      <c r="H30" s="16" t="s">
        <v>165</v>
      </c>
      <c r="I30" s="16" t="s">
        <v>165</v>
      </c>
      <c r="J30" s="16"/>
      <c r="K30" s="14" t="str">
        <f>"80,0"</f>
        <v>80,0</v>
      </c>
      <c r="L30" s="15" t="str">
        <f>"53,8720"</f>
        <v>53,8720</v>
      </c>
      <c r="M30" s="14" t="s">
        <v>770</v>
      </c>
    </row>
    <row r="32" spans="1:13" ht="15">
      <c r="A32" s="77" t="s">
        <v>771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3">
      <c r="A33" s="11" t="s">
        <v>773</v>
      </c>
      <c r="B33" s="11" t="s">
        <v>774</v>
      </c>
      <c r="C33" s="11" t="s">
        <v>775</v>
      </c>
      <c r="D33" s="11" t="str">
        <f>"1,3133"</f>
        <v>1,3133</v>
      </c>
      <c r="E33" s="11" t="s">
        <v>82</v>
      </c>
      <c r="F33" s="11" t="s">
        <v>370</v>
      </c>
      <c r="G33" s="12" t="s">
        <v>518</v>
      </c>
      <c r="H33" s="12" t="s">
        <v>519</v>
      </c>
      <c r="I33" s="13" t="s">
        <v>528</v>
      </c>
      <c r="J33" s="13"/>
      <c r="K33" s="11" t="str">
        <f>"27,5"</f>
        <v>27,5</v>
      </c>
      <c r="L33" s="12" t="str">
        <f>"44,4224"</f>
        <v>44,4224</v>
      </c>
      <c r="M33" s="11" t="s">
        <v>776</v>
      </c>
    </row>
    <row r="34" spans="1:13">
      <c r="A34" s="14" t="s">
        <v>778</v>
      </c>
      <c r="B34" s="14" t="s">
        <v>779</v>
      </c>
      <c r="C34" s="14" t="s">
        <v>780</v>
      </c>
      <c r="D34" s="14" t="str">
        <f>"1,3133"</f>
        <v>1,3133</v>
      </c>
      <c r="E34" s="14" t="s">
        <v>82</v>
      </c>
      <c r="F34" s="14" t="s">
        <v>51</v>
      </c>
      <c r="G34" s="15" t="s">
        <v>781</v>
      </c>
      <c r="H34" s="16" t="s">
        <v>518</v>
      </c>
      <c r="I34" s="16" t="s">
        <v>518</v>
      </c>
      <c r="J34" s="16"/>
      <c r="K34" s="14" t="str">
        <f>"20,0"</f>
        <v>20,0</v>
      </c>
      <c r="L34" s="15" t="str">
        <f>"32,3072"</f>
        <v>32,3072</v>
      </c>
      <c r="M34" s="14" t="s">
        <v>782</v>
      </c>
    </row>
    <row r="36" spans="1:13" ht="15">
      <c r="A36" s="77" t="s">
        <v>783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7" spans="1:13">
      <c r="A37" s="11" t="s">
        <v>785</v>
      </c>
      <c r="B37" s="11" t="s">
        <v>786</v>
      </c>
      <c r="C37" s="11" t="s">
        <v>787</v>
      </c>
      <c r="D37" s="11" t="str">
        <f>"1,1242"</f>
        <v>1,1242</v>
      </c>
      <c r="E37" s="11" t="s">
        <v>82</v>
      </c>
      <c r="F37" s="11" t="s">
        <v>21</v>
      </c>
      <c r="G37" s="12" t="s">
        <v>494</v>
      </c>
      <c r="H37" s="12" t="s">
        <v>509</v>
      </c>
      <c r="I37" s="13" t="s">
        <v>502</v>
      </c>
      <c r="J37" s="13"/>
      <c r="K37" s="11" t="str">
        <f>"50,0"</f>
        <v>50,0</v>
      </c>
      <c r="L37" s="12" t="str">
        <f>"69,1383"</f>
        <v>69,1383</v>
      </c>
      <c r="M37" s="11" t="s">
        <v>788</v>
      </c>
    </row>
    <row r="38" spans="1:13">
      <c r="A38" s="14" t="s">
        <v>790</v>
      </c>
      <c r="B38" s="14" t="s">
        <v>791</v>
      </c>
      <c r="C38" s="14" t="s">
        <v>792</v>
      </c>
      <c r="D38" s="14" t="str">
        <f>"1,0577"</f>
        <v>1,0577</v>
      </c>
      <c r="E38" s="14" t="s">
        <v>82</v>
      </c>
      <c r="F38" s="14" t="s">
        <v>51</v>
      </c>
      <c r="G38" s="15" t="s">
        <v>520</v>
      </c>
      <c r="H38" s="15" t="s">
        <v>485</v>
      </c>
      <c r="I38" s="16" t="s">
        <v>486</v>
      </c>
      <c r="J38" s="16"/>
      <c r="K38" s="14" t="str">
        <f>"35,0"</f>
        <v>35,0</v>
      </c>
      <c r="L38" s="15" t="str">
        <f>"45,5340"</f>
        <v>45,5340</v>
      </c>
      <c r="M38" s="14" t="s">
        <v>782</v>
      </c>
    </row>
    <row r="40" spans="1:13" ht="15">
      <c r="A40" s="77" t="s">
        <v>511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3">
      <c r="A41" s="8" t="s">
        <v>794</v>
      </c>
      <c r="B41" s="8" t="s">
        <v>795</v>
      </c>
      <c r="C41" s="8" t="s">
        <v>796</v>
      </c>
      <c r="D41" s="8" t="str">
        <f>"0,8199"</f>
        <v>0,8199</v>
      </c>
      <c r="E41" s="8" t="s">
        <v>82</v>
      </c>
      <c r="F41" s="8" t="s">
        <v>640</v>
      </c>
      <c r="G41" s="10" t="s">
        <v>160</v>
      </c>
      <c r="H41" s="9" t="s">
        <v>548</v>
      </c>
      <c r="I41" s="9" t="s">
        <v>548</v>
      </c>
      <c r="J41" s="9"/>
      <c r="K41" s="8" t="str">
        <f>"100,0"</f>
        <v>100,0</v>
      </c>
      <c r="L41" s="10" t="str">
        <f>"92,6487"</f>
        <v>92,6487</v>
      </c>
      <c r="M41" s="8" t="s">
        <v>58</v>
      </c>
    </row>
    <row r="43" spans="1:13" ht="15">
      <c r="A43" s="77" t="s">
        <v>281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3">
      <c r="A44" s="11" t="s">
        <v>798</v>
      </c>
      <c r="B44" s="11" t="s">
        <v>799</v>
      </c>
      <c r="C44" s="11" t="s">
        <v>800</v>
      </c>
      <c r="D44" s="11" t="str">
        <f>"0,7636"</f>
        <v>0,7636</v>
      </c>
      <c r="E44" s="11" t="s">
        <v>801</v>
      </c>
      <c r="F44" s="11" t="s">
        <v>51</v>
      </c>
      <c r="G44" s="12" t="s">
        <v>509</v>
      </c>
      <c r="H44" s="13" t="s">
        <v>527</v>
      </c>
      <c r="I44" s="13" t="s">
        <v>527</v>
      </c>
      <c r="J44" s="13"/>
      <c r="K44" s="11" t="str">
        <f>"50,0"</f>
        <v>50,0</v>
      </c>
      <c r="L44" s="12" t="str">
        <f>"45,0524"</f>
        <v>45,0524</v>
      </c>
      <c r="M44" s="11" t="s">
        <v>802</v>
      </c>
    </row>
    <row r="45" spans="1:13">
      <c r="A45" s="17" t="s">
        <v>804</v>
      </c>
      <c r="B45" s="17" t="s">
        <v>805</v>
      </c>
      <c r="C45" s="17" t="s">
        <v>806</v>
      </c>
      <c r="D45" s="17" t="str">
        <f>"0,7602"</f>
        <v>0,7602</v>
      </c>
      <c r="E45" s="17" t="s">
        <v>82</v>
      </c>
      <c r="F45" s="17" t="s">
        <v>640</v>
      </c>
      <c r="G45" s="19" t="s">
        <v>203</v>
      </c>
      <c r="H45" s="18" t="s">
        <v>160</v>
      </c>
      <c r="I45" s="18" t="s">
        <v>160</v>
      </c>
      <c r="J45" s="18"/>
      <c r="K45" s="17" t="str">
        <f>"95,0"</f>
        <v>95,0</v>
      </c>
      <c r="L45" s="19" t="str">
        <f>"77,9965"</f>
        <v>77,9965</v>
      </c>
      <c r="M45" s="17" t="s">
        <v>807</v>
      </c>
    </row>
    <row r="46" spans="1:13">
      <c r="A46" s="17" t="s">
        <v>809</v>
      </c>
      <c r="B46" s="17" t="s">
        <v>810</v>
      </c>
      <c r="C46" s="17" t="s">
        <v>811</v>
      </c>
      <c r="D46" s="17" t="str">
        <f>"0,7530"</f>
        <v>0,7530</v>
      </c>
      <c r="E46" s="17" t="s">
        <v>801</v>
      </c>
      <c r="F46" s="17" t="s">
        <v>51</v>
      </c>
      <c r="G46" s="19" t="s">
        <v>487</v>
      </c>
      <c r="H46" s="18" t="s">
        <v>174</v>
      </c>
      <c r="I46" s="18" t="s">
        <v>174</v>
      </c>
      <c r="J46" s="18"/>
      <c r="K46" s="17" t="str">
        <f>"70,0"</f>
        <v>70,0</v>
      </c>
      <c r="L46" s="19" t="str">
        <f>"59,5583"</f>
        <v>59,5583</v>
      </c>
      <c r="M46" s="17" t="s">
        <v>802</v>
      </c>
    </row>
    <row r="47" spans="1:13">
      <c r="A47" s="17" t="s">
        <v>561</v>
      </c>
      <c r="B47" s="17" t="s">
        <v>562</v>
      </c>
      <c r="C47" s="17" t="s">
        <v>812</v>
      </c>
      <c r="D47" s="17" t="str">
        <f>"0,7357"</f>
        <v>0,7357</v>
      </c>
      <c r="E47" s="17" t="s">
        <v>336</v>
      </c>
      <c r="F47" s="17" t="s">
        <v>337</v>
      </c>
      <c r="G47" s="19" t="s">
        <v>26</v>
      </c>
      <c r="H47" s="19" t="s">
        <v>64</v>
      </c>
      <c r="I47" s="18"/>
      <c r="J47" s="18"/>
      <c r="K47" s="17" t="str">
        <f>"140,0"</f>
        <v>140,0</v>
      </c>
      <c r="L47" s="19" t="str">
        <f>"102,9980"</f>
        <v>102,9980</v>
      </c>
      <c r="M47" s="17" t="s">
        <v>338</v>
      </c>
    </row>
    <row r="48" spans="1:13">
      <c r="A48" s="17" t="s">
        <v>814</v>
      </c>
      <c r="B48" s="17" t="s">
        <v>815</v>
      </c>
      <c r="C48" s="17" t="s">
        <v>816</v>
      </c>
      <c r="D48" s="17" t="str">
        <f>"0,7408"</f>
        <v>0,7408</v>
      </c>
      <c r="E48" s="17" t="s">
        <v>82</v>
      </c>
      <c r="F48" s="17" t="s">
        <v>51</v>
      </c>
      <c r="G48" s="19" t="s">
        <v>102</v>
      </c>
      <c r="H48" s="19" t="s">
        <v>548</v>
      </c>
      <c r="I48" s="19" t="s">
        <v>103</v>
      </c>
      <c r="J48" s="18"/>
      <c r="K48" s="17" t="str">
        <f>"117,5"</f>
        <v>117,5</v>
      </c>
      <c r="L48" s="19" t="str">
        <f>"87,0440"</f>
        <v>87,0440</v>
      </c>
      <c r="M48" s="17" t="s">
        <v>58</v>
      </c>
    </row>
    <row r="49" spans="1:13">
      <c r="A49" s="17" t="s">
        <v>818</v>
      </c>
      <c r="B49" s="17" t="s">
        <v>819</v>
      </c>
      <c r="C49" s="17" t="s">
        <v>820</v>
      </c>
      <c r="D49" s="17" t="str">
        <f>"0,7688"</f>
        <v>0,7688</v>
      </c>
      <c r="E49" s="17" t="s">
        <v>82</v>
      </c>
      <c r="F49" s="17" t="s">
        <v>89</v>
      </c>
      <c r="G49" s="19" t="s">
        <v>102</v>
      </c>
      <c r="H49" s="19" t="s">
        <v>548</v>
      </c>
      <c r="I49" s="18" t="s">
        <v>24</v>
      </c>
      <c r="J49" s="18"/>
      <c r="K49" s="17" t="str">
        <f>"115,0"</f>
        <v>115,0</v>
      </c>
      <c r="L49" s="19" t="str">
        <f>"88,4120"</f>
        <v>88,4120</v>
      </c>
      <c r="M49" s="17" t="s">
        <v>821</v>
      </c>
    </row>
    <row r="50" spans="1:13">
      <c r="A50" s="17" t="s">
        <v>822</v>
      </c>
      <c r="B50" s="17" t="s">
        <v>819</v>
      </c>
      <c r="C50" s="17" t="s">
        <v>806</v>
      </c>
      <c r="D50" s="17" t="str">
        <f>"0,7602"</f>
        <v>0,7602</v>
      </c>
      <c r="E50" s="17" t="s">
        <v>82</v>
      </c>
      <c r="F50" s="17" t="s">
        <v>89</v>
      </c>
      <c r="G50" s="19" t="s">
        <v>102</v>
      </c>
      <c r="H50" s="18"/>
      <c r="I50" s="18"/>
      <c r="J50" s="18"/>
      <c r="K50" s="17" t="str">
        <f>"110,0"</f>
        <v>110,0</v>
      </c>
      <c r="L50" s="19" t="str">
        <f>"83,6220"</f>
        <v>83,6220</v>
      </c>
      <c r="M50" s="17" t="s">
        <v>58</v>
      </c>
    </row>
    <row r="51" spans="1:13">
      <c r="A51" s="14" t="s">
        <v>823</v>
      </c>
      <c r="B51" s="14" t="s">
        <v>824</v>
      </c>
      <c r="C51" s="14" t="s">
        <v>825</v>
      </c>
      <c r="D51" s="14" t="str">
        <f>"0,7460"</f>
        <v>0,7460</v>
      </c>
      <c r="E51" s="14" t="s">
        <v>82</v>
      </c>
      <c r="F51" s="14" t="s">
        <v>89</v>
      </c>
      <c r="G51" s="16" t="s">
        <v>160</v>
      </c>
      <c r="H51" s="16" t="s">
        <v>160</v>
      </c>
      <c r="I51" s="15" t="s">
        <v>826</v>
      </c>
      <c r="J51" s="16"/>
      <c r="K51" s="14" t="str">
        <f>"102,5"</f>
        <v>102,5</v>
      </c>
      <c r="L51" s="15" t="str">
        <f>"76,4650"</f>
        <v>76,4650</v>
      </c>
      <c r="M51" s="14" t="s">
        <v>58</v>
      </c>
    </row>
    <row r="53" spans="1:13" ht="15">
      <c r="A53" s="77" t="s">
        <v>15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</row>
    <row r="54" spans="1:13">
      <c r="A54" s="11" t="s">
        <v>828</v>
      </c>
      <c r="B54" s="11" t="s">
        <v>829</v>
      </c>
      <c r="C54" s="11" t="s">
        <v>830</v>
      </c>
      <c r="D54" s="11" t="str">
        <f>"0,6797"</f>
        <v>0,6797</v>
      </c>
      <c r="E54" s="11" t="s">
        <v>82</v>
      </c>
      <c r="F54" s="11" t="s">
        <v>640</v>
      </c>
      <c r="G54" s="12" t="s">
        <v>826</v>
      </c>
      <c r="H54" s="12" t="s">
        <v>496</v>
      </c>
      <c r="I54" s="12" t="s">
        <v>217</v>
      </c>
      <c r="J54" s="13"/>
      <c r="K54" s="11" t="str">
        <f>"107,5"</f>
        <v>107,5</v>
      </c>
      <c r="L54" s="12" t="str">
        <f>"78,9132"</f>
        <v>78,9132</v>
      </c>
      <c r="M54" s="11" t="s">
        <v>807</v>
      </c>
    </row>
    <row r="55" spans="1:13">
      <c r="A55" s="17" t="s">
        <v>832</v>
      </c>
      <c r="B55" s="17" t="s">
        <v>833</v>
      </c>
      <c r="C55" s="17" t="s">
        <v>834</v>
      </c>
      <c r="D55" s="17" t="str">
        <f>"0,7137"</f>
        <v>0,7137</v>
      </c>
      <c r="E55" s="17" t="s">
        <v>82</v>
      </c>
      <c r="F55" s="17" t="s">
        <v>640</v>
      </c>
      <c r="G55" s="19" t="s">
        <v>826</v>
      </c>
      <c r="H55" s="18" t="s">
        <v>496</v>
      </c>
      <c r="I55" s="18" t="s">
        <v>496</v>
      </c>
      <c r="J55" s="18"/>
      <c r="K55" s="17" t="str">
        <f>"102,5"</f>
        <v>102,5</v>
      </c>
      <c r="L55" s="19" t="str">
        <f>"79,0066"</f>
        <v>79,0066</v>
      </c>
      <c r="M55" s="17" t="s">
        <v>807</v>
      </c>
    </row>
    <row r="56" spans="1:13">
      <c r="A56" s="17" t="s">
        <v>836</v>
      </c>
      <c r="B56" s="17" t="s">
        <v>837</v>
      </c>
      <c r="C56" s="17" t="s">
        <v>838</v>
      </c>
      <c r="D56" s="17" t="str">
        <f>"0,6697"</f>
        <v>0,6697</v>
      </c>
      <c r="E56" s="17" t="s">
        <v>82</v>
      </c>
      <c r="F56" s="17" t="s">
        <v>640</v>
      </c>
      <c r="G56" s="19" t="s">
        <v>25</v>
      </c>
      <c r="H56" s="18" t="s">
        <v>26</v>
      </c>
      <c r="I56" s="18" t="s">
        <v>572</v>
      </c>
      <c r="J56" s="18"/>
      <c r="K56" s="17" t="str">
        <f>"130,0"</f>
        <v>130,0</v>
      </c>
      <c r="L56" s="19" t="str">
        <f>"87,0675"</f>
        <v>87,0675</v>
      </c>
      <c r="M56" s="17" t="s">
        <v>58</v>
      </c>
    </row>
    <row r="57" spans="1:13">
      <c r="A57" s="17" t="s">
        <v>840</v>
      </c>
      <c r="B57" s="17" t="s">
        <v>841</v>
      </c>
      <c r="C57" s="17" t="s">
        <v>842</v>
      </c>
      <c r="D57" s="17" t="str">
        <f>"0,6745"</f>
        <v>0,6745</v>
      </c>
      <c r="E57" s="17" t="s">
        <v>82</v>
      </c>
      <c r="F57" s="17" t="s">
        <v>376</v>
      </c>
      <c r="G57" s="18" t="s">
        <v>26</v>
      </c>
      <c r="H57" s="19" t="s">
        <v>64</v>
      </c>
      <c r="I57" s="19" t="s">
        <v>54</v>
      </c>
      <c r="J57" s="18"/>
      <c r="K57" s="17" t="str">
        <f>"145,0"</f>
        <v>145,0</v>
      </c>
      <c r="L57" s="19" t="str">
        <f>"97,8025"</f>
        <v>97,8025</v>
      </c>
      <c r="M57" s="17" t="s">
        <v>58</v>
      </c>
    </row>
    <row r="58" spans="1:13">
      <c r="A58" s="17" t="s">
        <v>844</v>
      </c>
      <c r="B58" s="17" t="s">
        <v>845</v>
      </c>
      <c r="C58" s="17" t="s">
        <v>846</v>
      </c>
      <c r="D58" s="17" t="str">
        <f>"0,6723"</f>
        <v>0,6723</v>
      </c>
      <c r="E58" s="17" t="s">
        <v>82</v>
      </c>
      <c r="F58" s="17" t="s">
        <v>640</v>
      </c>
      <c r="G58" s="19" t="s">
        <v>541</v>
      </c>
      <c r="H58" s="19" t="s">
        <v>847</v>
      </c>
      <c r="I58" s="19" t="s">
        <v>64</v>
      </c>
      <c r="J58" s="18"/>
      <c r="K58" s="17" t="str">
        <f>"140,0"</f>
        <v>140,0</v>
      </c>
      <c r="L58" s="19" t="str">
        <f>"94,1220"</f>
        <v>94,1220</v>
      </c>
      <c r="M58" s="17" t="s">
        <v>58</v>
      </c>
    </row>
    <row r="59" spans="1:13">
      <c r="A59" s="17" t="s">
        <v>849</v>
      </c>
      <c r="B59" s="17" t="s">
        <v>850</v>
      </c>
      <c r="C59" s="17" t="s">
        <v>851</v>
      </c>
      <c r="D59" s="17" t="str">
        <f>"0,6659"</f>
        <v>0,6659</v>
      </c>
      <c r="E59" s="17" t="s">
        <v>36</v>
      </c>
      <c r="F59" s="17" t="s">
        <v>370</v>
      </c>
      <c r="G59" s="18" t="s">
        <v>579</v>
      </c>
      <c r="H59" s="19" t="s">
        <v>579</v>
      </c>
      <c r="I59" s="19" t="s">
        <v>847</v>
      </c>
      <c r="J59" s="18"/>
      <c r="K59" s="17" t="str">
        <f>"137,5"</f>
        <v>137,5</v>
      </c>
      <c r="L59" s="19" t="str">
        <f>"91,5612"</f>
        <v>91,5612</v>
      </c>
      <c r="M59" s="17" t="s">
        <v>852</v>
      </c>
    </row>
    <row r="60" spans="1:13">
      <c r="A60" s="14" t="s">
        <v>854</v>
      </c>
      <c r="B60" s="14" t="s">
        <v>855</v>
      </c>
      <c r="C60" s="14" t="s">
        <v>856</v>
      </c>
      <c r="D60" s="14" t="str">
        <f>"0,6716"</f>
        <v>0,6716</v>
      </c>
      <c r="E60" s="14" t="s">
        <v>82</v>
      </c>
      <c r="F60" s="14" t="s">
        <v>51</v>
      </c>
      <c r="G60" s="16" t="s">
        <v>25</v>
      </c>
      <c r="H60" s="15" t="s">
        <v>541</v>
      </c>
      <c r="I60" s="16" t="s">
        <v>847</v>
      </c>
      <c r="J60" s="16"/>
      <c r="K60" s="14" t="str">
        <f>"132,5"</f>
        <v>132,5</v>
      </c>
      <c r="L60" s="15" t="str">
        <f>"88,9870"</f>
        <v>88,9870</v>
      </c>
      <c r="M60" s="14" t="s">
        <v>58</v>
      </c>
    </row>
    <row r="62" spans="1:13" ht="15">
      <c r="A62" s="77" t="s">
        <v>31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</row>
    <row r="63" spans="1:13">
      <c r="A63" s="11" t="s">
        <v>858</v>
      </c>
      <c r="B63" s="11" t="s">
        <v>859</v>
      </c>
      <c r="C63" s="11" t="s">
        <v>860</v>
      </c>
      <c r="D63" s="11" t="str">
        <f>"0,6251"</f>
        <v>0,6251</v>
      </c>
      <c r="E63" s="11" t="s">
        <v>82</v>
      </c>
      <c r="F63" s="11" t="s">
        <v>482</v>
      </c>
      <c r="G63" s="12" t="s">
        <v>160</v>
      </c>
      <c r="H63" s="12" t="s">
        <v>496</v>
      </c>
      <c r="I63" s="12" t="s">
        <v>102</v>
      </c>
      <c r="J63" s="13"/>
      <c r="K63" s="11" t="str">
        <f>"110,0"</f>
        <v>110,0</v>
      </c>
      <c r="L63" s="12" t="str">
        <f>"72,8867"</f>
        <v>72,8867</v>
      </c>
      <c r="M63" s="11" t="s">
        <v>489</v>
      </c>
    </row>
    <row r="64" spans="1:13">
      <c r="A64" s="17" t="s">
        <v>862</v>
      </c>
      <c r="B64" s="17" t="s">
        <v>863</v>
      </c>
      <c r="C64" s="17" t="s">
        <v>864</v>
      </c>
      <c r="D64" s="17" t="str">
        <f>"0,6262"</f>
        <v>0,6262</v>
      </c>
      <c r="E64" s="17" t="s">
        <v>526</v>
      </c>
      <c r="F64" s="17" t="s">
        <v>51</v>
      </c>
      <c r="G64" s="19" t="s">
        <v>127</v>
      </c>
      <c r="H64" s="19" t="s">
        <v>847</v>
      </c>
      <c r="I64" s="18" t="s">
        <v>865</v>
      </c>
      <c r="J64" s="18"/>
      <c r="K64" s="17" t="str">
        <f>"137,5"</f>
        <v>137,5</v>
      </c>
      <c r="L64" s="19" t="str">
        <f>"87,8246"</f>
        <v>87,8246</v>
      </c>
      <c r="M64" s="17" t="s">
        <v>531</v>
      </c>
    </row>
    <row r="65" spans="1:13">
      <c r="A65" s="17" t="s">
        <v>867</v>
      </c>
      <c r="B65" s="17" t="s">
        <v>868</v>
      </c>
      <c r="C65" s="17" t="s">
        <v>35</v>
      </c>
      <c r="D65" s="17" t="str">
        <f>"0,6193"</f>
        <v>0,6193</v>
      </c>
      <c r="E65" s="17" t="s">
        <v>82</v>
      </c>
      <c r="F65" s="17" t="s">
        <v>640</v>
      </c>
      <c r="G65" s="19" t="s">
        <v>65</v>
      </c>
      <c r="H65" s="19" t="s">
        <v>90</v>
      </c>
      <c r="I65" s="19" t="s">
        <v>66</v>
      </c>
      <c r="J65" s="18"/>
      <c r="K65" s="17" t="str">
        <f>"160,0"</f>
        <v>160,0</v>
      </c>
      <c r="L65" s="19" t="str">
        <f>"99,0880"</f>
        <v>99,0880</v>
      </c>
      <c r="M65" s="17" t="s">
        <v>58</v>
      </c>
    </row>
    <row r="66" spans="1:13">
      <c r="A66" s="17" t="s">
        <v>870</v>
      </c>
      <c r="B66" s="17" t="s">
        <v>871</v>
      </c>
      <c r="C66" s="17" t="s">
        <v>872</v>
      </c>
      <c r="D66" s="17" t="str">
        <f>"0,6324"</f>
        <v>0,6324</v>
      </c>
      <c r="E66" s="17" t="s">
        <v>82</v>
      </c>
      <c r="F66" s="17" t="s">
        <v>51</v>
      </c>
      <c r="G66" s="19" t="s">
        <v>64</v>
      </c>
      <c r="H66" s="19" t="s">
        <v>865</v>
      </c>
      <c r="I66" s="18" t="s">
        <v>139</v>
      </c>
      <c r="J66" s="18"/>
      <c r="K66" s="17" t="str">
        <f>"147,5"</f>
        <v>147,5</v>
      </c>
      <c r="L66" s="19" t="str">
        <f>"93,2790"</f>
        <v>93,2790</v>
      </c>
      <c r="M66" s="17" t="s">
        <v>58</v>
      </c>
    </row>
    <row r="67" spans="1:13">
      <c r="A67" s="17" t="s">
        <v>874</v>
      </c>
      <c r="B67" s="17" t="s">
        <v>875</v>
      </c>
      <c r="C67" s="17" t="s">
        <v>876</v>
      </c>
      <c r="D67" s="17" t="str">
        <f>"0,6301"</f>
        <v>0,6301</v>
      </c>
      <c r="E67" s="17" t="s">
        <v>82</v>
      </c>
      <c r="F67" s="17" t="s">
        <v>51</v>
      </c>
      <c r="G67" s="19" t="s">
        <v>91</v>
      </c>
      <c r="H67" s="19" t="s">
        <v>54</v>
      </c>
      <c r="I67" s="18" t="s">
        <v>865</v>
      </c>
      <c r="J67" s="18"/>
      <c r="K67" s="17" t="str">
        <f>"145,0"</f>
        <v>145,0</v>
      </c>
      <c r="L67" s="19" t="str">
        <f>"91,3645"</f>
        <v>91,3645</v>
      </c>
      <c r="M67" s="17" t="s">
        <v>877</v>
      </c>
    </row>
    <row r="68" spans="1:13">
      <c r="A68" s="17" t="s">
        <v>879</v>
      </c>
      <c r="B68" s="17" t="s">
        <v>880</v>
      </c>
      <c r="C68" s="17" t="s">
        <v>881</v>
      </c>
      <c r="D68" s="17" t="str">
        <f>"0,6246"</f>
        <v>0,6246</v>
      </c>
      <c r="E68" s="17" t="s">
        <v>605</v>
      </c>
      <c r="F68" s="17" t="s">
        <v>435</v>
      </c>
      <c r="G68" s="19" t="s">
        <v>579</v>
      </c>
      <c r="H68" s="19" t="s">
        <v>572</v>
      </c>
      <c r="I68" s="18" t="s">
        <v>91</v>
      </c>
      <c r="J68" s="18"/>
      <c r="K68" s="17" t="str">
        <f>"137,0"</f>
        <v>137,0</v>
      </c>
      <c r="L68" s="19" t="str">
        <f>"85,5702"</f>
        <v>85,5702</v>
      </c>
      <c r="M68" s="17" t="s">
        <v>882</v>
      </c>
    </row>
    <row r="69" spans="1:13">
      <c r="A69" s="17" t="s">
        <v>883</v>
      </c>
      <c r="B69" s="17" t="s">
        <v>625</v>
      </c>
      <c r="C69" s="17" t="s">
        <v>881</v>
      </c>
      <c r="D69" s="17" t="str">
        <f>"0,6246"</f>
        <v>0,6246</v>
      </c>
      <c r="E69" s="17" t="s">
        <v>82</v>
      </c>
      <c r="F69" s="17" t="s">
        <v>640</v>
      </c>
      <c r="G69" s="18" t="s">
        <v>91</v>
      </c>
      <c r="H69" s="18" t="s">
        <v>865</v>
      </c>
      <c r="I69" s="18" t="s">
        <v>865</v>
      </c>
      <c r="J69" s="18"/>
      <c r="K69" s="17" t="str">
        <f>"0,0"</f>
        <v>0,0</v>
      </c>
      <c r="L69" s="19" t="str">
        <f>"0,0000"</f>
        <v>0,0000</v>
      </c>
      <c r="M69" s="17" t="s">
        <v>58</v>
      </c>
    </row>
    <row r="70" spans="1:13">
      <c r="A70" s="17" t="s">
        <v>885</v>
      </c>
      <c r="B70" s="17" t="s">
        <v>886</v>
      </c>
      <c r="C70" s="17" t="s">
        <v>887</v>
      </c>
      <c r="D70" s="17" t="str">
        <f>"0,6270"</f>
        <v>0,6270</v>
      </c>
      <c r="E70" s="17" t="s">
        <v>82</v>
      </c>
      <c r="F70" s="17" t="s">
        <v>435</v>
      </c>
      <c r="G70" s="19" t="s">
        <v>102</v>
      </c>
      <c r="H70" s="19" t="s">
        <v>548</v>
      </c>
      <c r="I70" s="18" t="s">
        <v>24</v>
      </c>
      <c r="J70" s="18"/>
      <c r="K70" s="17" t="str">
        <f>"115,0"</f>
        <v>115,0</v>
      </c>
      <c r="L70" s="19" t="str">
        <f>"72,7597"</f>
        <v>72,7597</v>
      </c>
      <c r="M70" s="17" t="s">
        <v>543</v>
      </c>
    </row>
    <row r="71" spans="1:13">
      <c r="A71" s="17" t="s">
        <v>889</v>
      </c>
      <c r="B71" s="17" t="s">
        <v>890</v>
      </c>
      <c r="C71" s="17" t="s">
        <v>891</v>
      </c>
      <c r="D71" s="17" t="str">
        <f>"0,6203"</f>
        <v>0,6203</v>
      </c>
      <c r="E71" s="17" t="s">
        <v>82</v>
      </c>
      <c r="F71" s="17" t="s">
        <v>376</v>
      </c>
      <c r="G71" s="19" t="s">
        <v>548</v>
      </c>
      <c r="H71" s="19" t="s">
        <v>104</v>
      </c>
      <c r="I71" s="19" t="s">
        <v>610</v>
      </c>
      <c r="J71" s="18"/>
      <c r="K71" s="17" t="str">
        <f>"127,5"</f>
        <v>127,5</v>
      </c>
      <c r="L71" s="19" t="str">
        <f>"105,1874"</f>
        <v>105,1874</v>
      </c>
      <c r="M71" s="17" t="s">
        <v>58</v>
      </c>
    </row>
    <row r="72" spans="1:13">
      <c r="A72" s="14" t="s">
        <v>893</v>
      </c>
      <c r="B72" s="14" t="s">
        <v>894</v>
      </c>
      <c r="C72" s="14" t="s">
        <v>212</v>
      </c>
      <c r="D72" s="14" t="str">
        <f>"0,6341"</f>
        <v>0,6341</v>
      </c>
      <c r="E72" s="14" t="s">
        <v>765</v>
      </c>
      <c r="F72" s="14" t="s">
        <v>640</v>
      </c>
      <c r="G72" s="15" t="s">
        <v>548</v>
      </c>
      <c r="H72" s="16" t="s">
        <v>24</v>
      </c>
      <c r="I72" s="15" t="s">
        <v>24</v>
      </c>
      <c r="J72" s="16"/>
      <c r="K72" s="14" t="str">
        <f>"120,0"</f>
        <v>120,0</v>
      </c>
      <c r="L72" s="15" t="str">
        <f>"112,6162"</f>
        <v>112,6162</v>
      </c>
      <c r="M72" s="14" t="s">
        <v>766</v>
      </c>
    </row>
    <row r="74" spans="1:13" ht="15">
      <c r="A74" s="77" t="s">
        <v>59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</row>
    <row r="75" spans="1:13">
      <c r="A75" s="11" t="s">
        <v>896</v>
      </c>
      <c r="B75" s="11" t="s">
        <v>897</v>
      </c>
      <c r="C75" s="11" t="s">
        <v>898</v>
      </c>
      <c r="D75" s="11" t="str">
        <f>"0,6013"</f>
        <v>0,6013</v>
      </c>
      <c r="E75" s="11" t="s">
        <v>82</v>
      </c>
      <c r="F75" s="11" t="s">
        <v>51</v>
      </c>
      <c r="G75" s="13" t="s">
        <v>24</v>
      </c>
      <c r="H75" s="12" t="s">
        <v>26</v>
      </c>
      <c r="I75" s="12" t="s">
        <v>65</v>
      </c>
      <c r="J75" s="13"/>
      <c r="K75" s="11" t="str">
        <f>"150,0"</f>
        <v>150,0</v>
      </c>
      <c r="L75" s="12" t="str">
        <f>"92,9009"</f>
        <v>92,9009</v>
      </c>
      <c r="M75" s="11" t="s">
        <v>756</v>
      </c>
    </row>
    <row r="76" spans="1:13">
      <c r="A76" s="17" t="s">
        <v>900</v>
      </c>
      <c r="B76" s="17" t="s">
        <v>901</v>
      </c>
      <c r="C76" s="17" t="s">
        <v>902</v>
      </c>
      <c r="D76" s="17" t="str">
        <f>"0,6078"</f>
        <v>0,6078</v>
      </c>
      <c r="E76" s="17" t="s">
        <v>82</v>
      </c>
      <c r="F76" s="17" t="s">
        <v>903</v>
      </c>
      <c r="G76" s="19" t="s">
        <v>541</v>
      </c>
      <c r="H76" s="19" t="s">
        <v>26</v>
      </c>
      <c r="I76" s="19" t="s">
        <v>64</v>
      </c>
      <c r="J76" s="18"/>
      <c r="K76" s="17" t="str">
        <f>"140,0"</f>
        <v>140,0</v>
      </c>
      <c r="L76" s="19" t="str">
        <f>"85,9429"</f>
        <v>85,9429</v>
      </c>
      <c r="M76" s="17" t="s">
        <v>58</v>
      </c>
    </row>
    <row r="77" spans="1:13">
      <c r="A77" s="17" t="s">
        <v>905</v>
      </c>
      <c r="B77" s="17" t="s">
        <v>906</v>
      </c>
      <c r="C77" s="17" t="s">
        <v>344</v>
      </c>
      <c r="D77" s="17" t="str">
        <f>"0,5853"</f>
        <v>0,5853</v>
      </c>
      <c r="E77" s="17" t="s">
        <v>82</v>
      </c>
      <c r="F77" s="17" t="s">
        <v>482</v>
      </c>
      <c r="G77" s="19" t="s">
        <v>92</v>
      </c>
      <c r="H77" s="19" t="s">
        <v>907</v>
      </c>
      <c r="I77" s="19" t="s">
        <v>908</v>
      </c>
      <c r="J77" s="18"/>
      <c r="K77" s="17" t="str">
        <f>"197,0"</f>
        <v>197,0</v>
      </c>
      <c r="L77" s="19" t="str">
        <f>"115,3041"</f>
        <v>115,3041</v>
      </c>
      <c r="M77" s="17" t="s">
        <v>58</v>
      </c>
    </row>
    <row r="78" spans="1:13">
      <c r="A78" s="17" t="s">
        <v>910</v>
      </c>
      <c r="B78" s="17" t="s">
        <v>911</v>
      </c>
      <c r="C78" s="17" t="s">
        <v>912</v>
      </c>
      <c r="D78" s="17" t="str">
        <f>"0,5861"</f>
        <v>0,5861</v>
      </c>
      <c r="E78" s="17" t="s">
        <v>82</v>
      </c>
      <c r="F78" s="17" t="s">
        <v>376</v>
      </c>
      <c r="G78" s="19" t="s">
        <v>66</v>
      </c>
      <c r="H78" s="19" t="s">
        <v>101</v>
      </c>
      <c r="I78" s="18" t="s">
        <v>74</v>
      </c>
      <c r="J78" s="18"/>
      <c r="K78" s="17" t="str">
        <f>"165,0"</f>
        <v>165,0</v>
      </c>
      <c r="L78" s="19" t="str">
        <f>"96,7065"</f>
        <v>96,7065</v>
      </c>
      <c r="M78" s="17" t="s">
        <v>913</v>
      </c>
    </row>
    <row r="79" spans="1:13">
      <c r="A79" s="17" t="s">
        <v>915</v>
      </c>
      <c r="B79" s="17" t="s">
        <v>916</v>
      </c>
      <c r="C79" s="17" t="s">
        <v>917</v>
      </c>
      <c r="D79" s="17" t="str">
        <f>"0,6098"</f>
        <v>0,6098</v>
      </c>
      <c r="E79" s="17" t="s">
        <v>82</v>
      </c>
      <c r="F79" s="17" t="s">
        <v>918</v>
      </c>
      <c r="G79" s="19" t="s">
        <v>91</v>
      </c>
      <c r="H79" s="19" t="s">
        <v>865</v>
      </c>
      <c r="I79" s="19" t="s">
        <v>90</v>
      </c>
      <c r="J79" s="18"/>
      <c r="K79" s="17" t="str">
        <f>"155,0"</f>
        <v>155,0</v>
      </c>
      <c r="L79" s="19" t="str">
        <f>"94,5190"</f>
        <v>94,5190</v>
      </c>
      <c r="M79" s="17" t="s">
        <v>58</v>
      </c>
    </row>
    <row r="80" spans="1:13">
      <c r="A80" s="17" t="s">
        <v>920</v>
      </c>
      <c r="B80" s="17" t="s">
        <v>921</v>
      </c>
      <c r="C80" s="17" t="s">
        <v>922</v>
      </c>
      <c r="D80" s="17" t="str">
        <f>"0,5905"</f>
        <v>0,5905</v>
      </c>
      <c r="E80" s="17" t="s">
        <v>36</v>
      </c>
      <c r="F80" s="17" t="s">
        <v>370</v>
      </c>
      <c r="G80" s="19" t="s">
        <v>26</v>
      </c>
      <c r="H80" s="19" t="s">
        <v>54</v>
      </c>
      <c r="I80" s="18" t="s">
        <v>65</v>
      </c>
      <c r="J80" s="18"/>
      <c r="K80" s="17" t="str">
        <f>"145,0"</f>
        <v>145,0</v>
      </c>
      <c r="L80" s="19" t="str">
        <f>"85,6225"</f>
        <v>85,6225</v>
      </c>
      <c r="M80" s="17" t="s">
        <v>923</v>
      </c>
    </row>
    <row r="81" spans="1:13">
      <c r="A81" s="17" t="s">
        <v>925</v>
      </c>
      <c r="B81" s="17" t="s">
        <v>926</v>
      </c>
      <c r="C81" s="17" t="s">
        <v>927</v>
      </c>
      <c r="D81" s="17" t="str">
        <f>"0,5956"</f>
        <v>0,5956</v>
      </c>
      <c r="E81" s="17" t="s">
        <v>82</v>
      </c>
      <c r="F81" s="17" t="s">
        <v>370</v>
      </c>
      <c r="G81" s="19" t="s">
        <v>26</v>
      </c>
      <c r="H81" s="19" t="s">
        <v>64</v>
      </c>
      <c r="I81" s="18" t="s">
        <v>91</v>
      </c>
      <c r="J81" s="18"/>
      <c r="K81" s="17" t="str">
        <f>"140,0"</f>
        <v>140,0</v>
      </c>
      <c r="L81" s="19" t="str">
        <f>"83,3840"</f>
        <v>83,3840</v>
      </c>
      <c r="M81" s="17" t="s">
        <v>58</v>
      </c>
    </row>
    <row r="82" spans="1:13">
      <c r="A82" s="17" t="s">
        <v>929</v>
      </c>
      <c r="B82" s="17" t="s">
        <v>930</v>
      </c>
      <c r="C82" s="17" t="s">
        <v>931</v>
      </c>
      <c r="D82" s="17" t="str">
        <f>"0,5881"</f>
        <v>0,5881</v>
      </c>
      <c r="E82" s="17" t="s">
        <v>82</v>
      </c>
      <c r="F82" s="17" t="s">
        <v>51</v>
      </c>
      <c r="G82" s="19" t="s">
        <v>26</v>
      </c>
      <c r="H82" s="19" t="s">
        <v>64</v>
      </c>
      <c r="I82" s="18" t="s">
        <v>54</v>
      </c>
      <c r="J82" s="18"/>
      <c r="K82" s="17" t="str">
        <f>"140,0"</f>
        <v>140,0</v>
      </c>
      <c r="L82" s="19" t="str">
        <f>"82,3340"</f>
        <v>82,3340</v>
      </c>
      <c r="M82" s="17" t="s">
        <v>58</v>
      </c>
    </row>
    <row r="83" spans="1:13">
      <c r="A83" s="17" t="s">
        <v>932</v>
      </c>
      <c r="B83" s="17" t="s">
        <v>933</v>
      </c>
      <c r="C83" s="17" t="s">
        <v>934</v>
      </c>
      <c r="D83" s="17" t="str">
        <f>"0,5893"</f>
        <v>0,5893</v>
      </c>
      <c r="E83" s="17" t="s">
        <v>50</v>
      </c>
      <c r="F83" s="17" t="s">
        <v>51</v>
      </c>
      <c r="G83" s="18" t="s">
        <v>25</v>
      </c>
      <c r="H83" s="18"/>
      <c r="I83" s="18"/>
      <c r="J83" s="18"/>
      <c r="K83" s="17" t="str">
        <f>"0,0"</f>
        <v>0,0</v>
      </c>
      <c r="L83" s="19" t="str">
        <f>"0,0000"</f>
        <v>0,0000</v>
      </c>
      <c r="M83" s="17" t="s">
        <v>742</v>
      </c>
    </row>
    <row r="84" spans="1:13">
      <c r="A84" s="17" t="s">
        <v>936</v>
      </c>
      <c r="B84" s="17" t="s">
        <v>937</v>
      </c>
      <c r="C84" s="17" t="s">
        <v>938</v>
      </c>
      <c r="D84" s="17" t="str">
        <f>"0,5986"</f>
        <v>0,5986</v>
      </c>
      <c r="E84" s="17" t="s">
        <v>82</v>
      </c>
      <c r="F84" s="17" t="s">
        <v>939</v>
      </c>
      <c r="G84" s="19" t="s">
        <v>101</v>
      </c>
      <c r="H84" s="19" t="s">
        <v>74</v>
      </c>
      <c r="I84" s="19" t="s">
        <v>75</v>
      </c>
      <c r="J84" s="18"/>
      <c r="K84" s="17" t="str">
        <f>"175,0"</f>
        <v>175,0</v>
      </c>
      <c r="L84" s="19" t="str">
        <f>"105,6978"</f>
        <v>105,6978</v>
      </c>
      <c r="M84" s="17" t="s">
        <v>58</v>
      </c>
    </row>
    <row r="85" spans="1:13">
      <c r="A85" s="17" t="s">
        <v>941</v>
      </c>
      <c r="B85" s="17" t="s">
        <v>942</v>
      </c>
      <c r="C85" s="17" t="s">
        <v>943</v>
      </c>
      <c r="D85" s="17" t="str">
        <f>"0,5947"</f>
        <v>0,5947</v>
      </c>
      <c r="E85" s="17" t="s">
        <v>82</v>
      </c>
      <c r="F85" s="17" t="s">
        <v>51</v>
      </c>
      <c r="G85" s="18" t="s">
        <v>65</v>
      </c>
      <c r="H85" s="19" t="s">
        <v>65</v>
      </c>
      <c r="I85" s="18" t="s">
        <v>90</v>
      </c>
      <c r="J85" s="18"/>
      <c r="K85" s="17" t="str">
        <f>"150,0"</f>
        <v>150,0</v>
      </c>
      <c r="L85" s="19" t="str">
        <f>"90,8107"</f>
        <v>90,8107</v>
      </c>
      <c r="M85" s="17" t="s">
        <v>58</v>
      </c>
    </row>
    <row r="86" spans="1:13">
      <c r="A86" s="17" t="s">
        <v>945</v>
      </c>
      <c r="B86" s="17" t="s">
        <v>946</v>
      </c>
      <c r="C86" s="17" t="s">
        <v>294</v>
      </c>
      <c r="D86" s="17" t="str">
        <f>"0,5885"</f>
        <v>0,5885</v>
      </c>
      <c r="E86" s="17" t="s">
        <v>36</v>
      </c>
      <c r="F86" s="17" t="s">
        <v>37</v>
      </c>
      <c r="G86" s="19" t="s">
        <v>65</v>
      </c>
      <c r="H86" s="18" t="s">
        <v>66</v>
      </c>
      <c r="I86" s="18" t="s">
        <v>66</v>
      </c>
      <c r="J86" s="18"/>
      <c r="K86" s="17" t="str">
        <f>"150,0"</f>
        <v>150,0</v>
      </c>
      <c r="L86" s="19" t="str">
        <f>"88,5398"</f>
        <v>88,5398</v>
      </c>
      <c r="M86" s="17" t="s">
        <v>45</v>
      </c>
    </row>
    <row r="87" spans="1:13">
      <c r="A87" s="17" t="s">
        <v>948</v>
      </c>
      <c r="B87" s="17" t="s">
        <v>949</v>
      </c>
      <c r="C87" s="17" t="s">
        <v>950</v>
      </c>
      <c r="D87" s="17" t="str">
        <f>"0,5877"</f>
        <v>0,5877</v>
      </c>
      <c r="E87" s="17" t="s">
        <v>82</v>
      </c>
      <c r="F87" s="17" t="s">
        <v>640</v>
      </c>
      <c r="G87" s="19" t="s">
        <v>610</v>
      </c>
      <c r="H87" s="19" t="s">
        <v>26</v>
      </c>
      <c r="I87" s="18" t="s">
        <v>91</v>
      </c>
      <c r="J87" s="18"/>
      <c r="K87" s="17" t="str">
        <f>"135,0"</f>
        <v>135,0</v>
      </c>
      <c r="L87" s="19" t="str">
        <f>"90,7644"</f>
        <v>90,7644</v>
      </c>
      <c r="M87" s="17" t="s">
        <v>58</v>
      </c>
    </row>
    <row r="88" spans="1:13">
      <c r="A88" s="17" t="s">
        <v>952</v>
      </c>
      <c r="B88" s="17" t="s">
        <v>953</v>
      </c>
      <c r="C88" s="17" t="s">
        <v>344</v>
      </c>
      <c r="D88" s="17" t="str">
        <f>"0,5853"</f>
        <v>0,5853</v>
      </c>
      <c r="E88" s="17" t="s">
        <v>82</v>
      </c>
      <c r="F88" s="17" t="s">
        <v>259</v>
      </c>
      <c r="G88" s="19" t="s">
        <v>217</v>
      </c>
      <c r="H88" s="19" t="s">
        <v>548</v>
      </c>
      <c r="I88" s="19" t="s">
        <v>24</v>
      </c>
      <c r="J88" s="18"/>
      <c r="K88" s="17" t="str">
        <f>"120,0"</f>
        <v>120,0</v>
      </c>
      <c r="L88" s="19" t="str">
        <f>"138,3649"</f>
        <v>138,3649</v>
      </c>
      <c r="M88" s="17" t="s">
        <v>722</v>
      </c>
    </row>
    <row r="89" spans="1:13">
      <c r="A89" s="14" t="s">
        <v>955</v>
      </c>
      <c r="B89" s="14" t="s">
        <v>956</v>
      </c>
      <c r="C89" s="14" t="s">
        <v>344</v>
      </c>
      <c r="D89" s="14" t="str">
        <f>"0,5853"</f>
        <v>0,5853</v>
      </c>
      <c r="E89" s="14" t="s">
        <v>765</v>
      </c>
      <c r="F89" s="14" t="s">
        <v>640</v>
      </c>
      <c r="G89" s="15" t="s">
        <v>165</v>
      </c>
      <c r="H89" s="16" t="s">
        <v>203</v>
      </c>
      <c r="I89" s="16" t="s">
        <v>496</v>
      </c>
      <c r="J89" s="16"/>
      <c r="K89" s="14" t="str">
        <f>"90,0"</f>
        <v>90,0</v>
      </c>
      <c r="L89" s="15" t="str">
        <f>"107,8825"</f>
        <v>107,8825</v>
      </c>
      <c r="M89" s="14" t="s">
        <v>58</v>
      </c>
    </row>
    <row r="91" spans="1:13" ht="15">
      <c r="A91" s="77" t="s">
        <v>94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</row>
    <row r="92" spans="1:13">
      <c r="A92" s="11" t="s">
        <v>958</v>
      </c>
      <c r="B92" s="11" t="s">
        <v>959</v>
      </c>
      <c r="C92" s="11" t="s">
        <v>960</v>
      </c>
      <c r="D92" s="11" t="str">
        <f>"0,5616"</f>
        <v>0,5616</v>
      </c>
      <c r="E92" s="11" t="s">
        <v>82</v>
      </c>
      <c r="F92" s="11" t="s">
        <v>259</v>
      </c>
      <c r="G92" s="13" t="s">
        <v>101</v>
      </c>
      <c r="H92" s="12" t="s">
        <v>101</v>
      </c>
      <c r="I92" s="12" t="s">
        <v>75</v>
      </c>
      <c r="J92" s="13"/>
      <c r="K92" s="11" t="str">
        <f>"175,0"</f>
        <v>175,0</v>
      </c>
      <c r="L92" s="12" t="str">
        <f>"98,2800"</f>
        <v>98,2800</v>
      </c>
      <c r="M92" s="11" t="s">
        <v>58</v>
      </c>
    </row>
    <row r="93" spans="1:13">
      <c r="A93" s="17" t="s">
        <v>962</v>
      </c>
      <c r="B93" s="17" t="s">
        <v>963</v>
      </c>
      <c r="C93" s="17" t="s">
        <v>964</v>
      </c>
      <c r="D93" s="17" t="str">
        <f>"0,5678"</f>
        <v>0,5678</v>
      </c>
      <c r="E93" s="17" t="s">
        <v>82</v>
      </c>
      <c r="F93" s="17" t="s">
        <v>51</v>
      </c>
      <c r="G93" s="19" t="s">
        <v>40</v>
      </c>
      <c r="H93" s="19" t="s">
        <v>563</v>
      </c>
      <c r="I93" s="18" t="s">
        <v>74</v>
      </c>
      <c r="J93" s="18"/>
      <c r="K93" s="17" t="str">
        <f>"167,5"</f>
        <v>167,5</v>
      </c>
      <c r="L93" s="19" t="str">
        <f>"95,1065"</f>
        <v>95,1065</v>
      </c>
      <c r="M93" s="17" t="s">
        <v>58</v>
      </c>
    </row>
    <row r="94" spans="1:13">
      <c r="A94" s="17" t="s">
        <v>966</v>
      </c>
      <c r="B94" s="17" t="s">
        <v>967</v>
      </c>
      <c r="C94" s="17" t="s">
        <v>968</v>
      </c>
      <c r="D94" s="17" t="str">
        <f>"0,5701"</f>
        <v>0,5701</v>
      </c>
      <c r="E94" s="17" t="s">
        <v>605</v>
      </c>
      <c r="F94" s="17" t="s">
        <v>435</v>
      </c>
      <c r="G94" s="19" t="s">
        <v>65</v>
      </c>
      <c r="H94" s="18" t="s">
        <v>90</v>
      </c>
      <c r="I94" s="18" t="s">
        <v>90</v>
      </c>
      <c r="J94" s="18"/>
      <c r="K94" s="17" t="str">
        <f>"150,0"</f>
        <v>150,0</v>
      </c>
      <c r="L94" s="19" t="str">
        <f>"85,5150"</f>
        <v>85,5150</v>
      </c>
      <c r="M94" s="17" t="s">
        <v>606</v>
      </c>
    </row>
    <row r="95" spans="1:13">
      <c r="A95" s="17" t="s">
        <v>969</v>
      </c>
      <c r="B95" s="17" t="s">
        <v>970</v>
      </c>
      <c r="C95" s="17" t="s">
        <v>971</v>
      </c>
      <c r="D95" s="17" t="str">
        <f>"0,5642"</f>
        <v>0,5642</v>
      </c>
      <c r="E95" s="17" t="s">
        <v>526</v>
      </c>
      <c r="F95" s="17" t="s">
        <v>51</v>
      </c>
      <c r="G95" s="19" t="s">
        <v>25</v>
      </c>
      <c r="H95" s="19" t="s">
        <v>91</v>
      </c>
      <c r="I95" s="18" t="s">
        <v>90</v>
      </c>
      <c r="J95" s="18"/>
      <c r="K95" s="17" t="str">
        <f>"142,5"</f>
        <v>142,5</v>
      </c>
      <c r="L95" s="19" t="str">
        <f>"80,3985"</f>
        <v>80,3985</v>
      </c>
      <c r="M95" s="17" t="s">
        <v>531</v>
      </c>
    </row>
    <row r="96" spans="1:13">
      <c r="A96" s="17" t="s">
        <v>972</v>
      </c>
      <c r="B96" s="17" t="s">
        <v>48</v>
      </c>
      <c r="C96" s="17" t="s">
        <v>973</v>
      </c>
      <c r="D96" s="17" t="str">
        <f>"0,5587"</f>
        <v>0,5587</v>
      </c>
      <c r="E96" s="17" t="s">
        <v>82</v>
      </c>
      <c r="F96" s="17" t="s">
        <v>51</v>
      </c>
      <c r="G96" s="19" t="s">
        <v>91</v>
      </c>
      <c r="H96" s="18"/>
      <c r="I96" s="18"/>
      <c r="J96" s="18"/>
      <c r="K96" s="17" t="str">
        <f>"142,5"</f>
        <v>142,5</v>
      </c>
      <c r="L96" s="19" t="str">
        <f>"79,6219"</f>
        <v>79,6219</v>
      </c>
      <c r="M96" s="17" t="s">
        <v>58</v>
      </c>
    </row>
    <row r="97" spans="1:13">
      <c r="A97" s="17" t="s">
        <v>974</v>
      </c>
      <c r="B97" s="17" t="s">
        <v>975</v>
      </c>
      <c r="C97" s="17" t="s">
        <v>976</v>
      </c>
      <c r="D97" s="17" t="str">
        <f>"0,5565"</f>
        <v>0,5565</v>
      </c>
      <c r="E97" s="17" t="s">
        <v>526</v>
      </c>
      <c r="F97" s="17" t="s">
        <v>21</v>
      </c>
      <c r="G97" s="19" t="s">
        <v>26</v>
      </c>
      <c r="H97" s="19" t="s">
        <v>91</v>
      </c>
      <c r="I97" s="18" t="s">
        <v>65</v>
      </c>
      <c r="J97" s="18"/>
      <c r="K97" s="17" t="str">
        <f>"142,5"</f>
        <v>142,5</v>
      </c>
      <c r="L97" s="19" t="str">
        <f>"79,3013"</f>
        <v>79,3013</v>
      </c>
      <c r="M97" s="17" t="s">
        <v>531</v>
      </c>
    </row>
    <row r="98" spans="1:13">
      <c r="A98" s="17" t="s">
        <v>978</v>
      </c>
      <c r="B98" s="17" t="s">
        <v>979</v>
      </c>
      <c r="C98" s="17" t="s">
        <v>233</v>
      </c>
      <c r="D98" s="17" t="str">
        <f>"0,5591"</f>
        <v>0,5591</v>
      </c>
      <c r="E98" s="17" t="s">
        <v>50</v>
      </c>
      <c r="F98" s="17" t="s">
        <v>51</v>
      </c>
      <c r="G98" s="19" t="s">
        <v>74</v>
      </c>
      <c r="H98" s="18" t="s">
        <v>22</v>
      </c>
      <c r="I98" s="18" t="s">
        <v>22</v>
      </c>
      <c r="J98" s="18"/>
      <c r="K98" s="17" t="str">
        <f>"170,0"</f>
        <v>170,0</v>
      </c>
      <c r="L98" s="19" t="str">
        <f>"96,7578"</f>
        <v>96,7578</v>
      </c>
      <c r="M98" s="17" t="s">
        <v>58</v>
      </c>
    </row>
    <row r="99" spans="1:13">
      <c r="A99" s="17" t="s">
        <v>981</v>
      </c>
      <c r="B99" s="17" t="s">
        <v>982</v>
      </c>
      <c r="C99" s="17" t="s">
        <v>233</v>
      </c>
      <c r="D99" s="17" t="str">
        <f>"0,5591"</f>
        <v>0,5591</v>
      </c>
      <c r="E99" s="17" t="s">
        <v>82</v>
      </c>
      <c r="F99" s="17" t="s">
        <v>640</v>
      </c>
      <c r="G99" s="19" t="s">
        <v>91</v>
      </c>
      <c r="H99" s="19" t="s">
        <v>865</v>
      </c>
      <c r="I99" s="18" t="s">
        <v>139</v>
      </c>
      <c r="J99" s="18"/>
      <c r="K99" s="17" t="str">
        <f>"147,5"</f>
        <v>147,5</v>
      </c>
      <c r="L99" s="19" t="str">
        <f>"94,3425"</f>
        <v>94,3425</v>
      </c>
      <c r="M99" s="17" t="s">
        <v>58</v>
      </c>
    </row>
    <row r="100" spans="1:13">
      <c r="A100" s="17" t="s">
        <v>984</v>
      </c>
      <c r="B100" s="17" t="s">
        <v>985</v>
      </c>
      <c r="C100" s="17" t="s">
        <v>986</v>
      </c>
      <c r="D100" s="17" t="str">
        <f>"0,5540"</f>
        <v>0,5540</v>
      </c>
      <c r="E100" s="17" t="s">
        <v>82</v>
      </c>
      <c r="F100" s="17" t="s">
        <v>376</v>
      </c>
      <c r="G100" s="19" t="s">
        <v>91</v>
      </c>
      <c r="H100" s="18" t="s">
        <v>865</v>
      </c>
      <c r="I100" s="18" t="s">
        <v>865</v>
      </c>
      <c r="J100" s="18"/>
      <c r="K100" s="17" t="str">
        <f>"142,5"</f>
        <v>142,5</v>
      </c>
      <c r="L100" s="19" t="str">
        <f>"116,8386"</f>
        <v>116,8386</v>
      </c>
      <c r="M100" s="17" t="s">
        <v>987</v>
      </c>
    </row>
    <row r="101" spans="1:13">
      <c r="A101" s="14" t="s">
        <v>989</v>
      </c>
      <c r="B101" s="14" t="s">
        <v>990</v>
      </c>
      <c r="C101" s="14" t="s">
        <v>991</v>
      </c>
      <c r="D101" s="14" t="str">
        <f>"0,5639"</f>
        <v>0,5639</v>
      </c>
      <c r="E101" s="14" t="s">
        <v>336</v>
      </c>
      <c r="F101" s="14" t="s">
        <v>337</v>
      </c>
      <c r="G101" s="15" t="s">
        <v>54</v>
      </c>
      <c r="H101" s="16" t="s">
        <v>90</v>
      </c>
      <c r="I101" s="16" t="s">
        <v>90</v>
      </c>
      <c r="J101" s="16"/>
      <c r="K101" s="14" t="str">
        <f>"145,0"</f>
        <v>145,0</v>
      </c>
      <c r="L101" s="15" t="str">
        <f>"139,0013"</f>
        <v>139,0013</v>
      </c>
      <c r="M101" s="14" t="s">
        <v>338</v>
      </c>
    </row>
    <row r="103" spans="1:13" ht="15">
      <c r="A103" s="77" t="s">
        <v>129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</row>
    <row r="104" spans="1:13">
      <c r="A104" s="11" t="s">
        <v>993</v>
      </c>
      <c r="B104" s="11" t="s">
        <v>994</v>
      </c>
      <c r="C104" s="11" t="s">
        <v>995</v>
      </c>
      <c r="D104" s="11" t="str">
        <f>"0,5441"</f>
        <v>0,5441</v>
      </c>
      <c r="E104" s="11" t="s">
        <v>82</v>
      </c>
      <c r="F104" s="11" t="s">
        <v>376</v>
      </c>
      <c r="G104" s="12" t="s">
        <v>996</v>
      </c>
      <c r="H104" s="12" t="s">
        <v>42</v>
      </c>
      <c r="I104" s="13" t="s">
        <v>997</v>
      </c>
      <c r="J104" s="13"/>
      <c r="K104" s="11" t="str">
        <f>"210,0"</f>
        <v>210,0</v>
      </c>
      <c r="L104" s="12" t="str">
        <f>"114,2610"</f>
        <v>114,2610</v>
      </c>
      <c r="M104" s="11" t="s">
        <v>998</v>
      </c>
    </row>
    <row r="105" spans="1:13">
      <c r="A105" s="17" t="s">
        <v>1000</v>
      </c>
      <c r="B105" s="17" t="s">
        <v>1001</v>
      </c>
      <c r="C105" s="17" t="s">
        <v>1002</v>
      </c>
      <c r="D105" s="17" t="str">
        <f>"0,5405"</f>
        <v>0,5405</v>
      </c>
      <c r="E105" s="17" t="s">
        <v>50</v>
      </c>
      <c r="F105" s="17" t="s">
        <v>51</v>
      </c>
      <c r="G105" s="19" t="s">
        <v>38</v>
      </c>
      <c r="H105" s="19" t="s">
        <v>351</v>
      </c>
      <c r="I105" s="18" t="s">
        <v>260</v>
      </c>
      <c r="J105" s="18"/>
      <c r="K105" s="17" t="str">
        <f>"202,5"</f>
        <v>202,5</v>
      </c>
      <c r="L105" s="19" t="str">
        <f>"109,4512"</f>
        <v>109,4512</v>
      </c>
      <c r="M105" s="17" t="s">
        <v>77</v>
      </c>
    </row>
    <row r="106" spans="1:13">
      <c r="A106" s="14" t="s">
        <v>1004</v>
      </c>
      <c r="B106" s="14" t="s">
        <v>1005</v>
      </c>
      <c r="C106" s="14" t="s">
        <v>1006</v>
      </c>
      <c r="D106" s="14" t="str">
        <f>"0,5370"</f>
        <v>0,5370</v>
      </c>
      <c r="E106" s="14" t="s">
        <v>36</v>
      </c>
      <c r="F106" s="14" t="s">
        <v>370</v>
      </c>
      <c r="G106" s="15" t="s">
        <v>65</v>
      </c>
      <c r="H106" s="16" t="s">
        <v>90</v>
      </c>
      <c r="I106" s="15" t="s">
        <v>90</v>
      </c>
      <c r="J106" s="16"/>
      <c r="K106" s="14" t="str">
        <f>"155,0"</f>
        <v>155,0</v>
      </c>
      <c r="L106" s="15" t="str">
        <f>"110,7026"</f>
        <v>110,7026</v>
      </c>
      <c r="M106" s="14" t="s">
        <v>1007</v>
      </c>
    </row>
    <row r="108" spans="1:13" ht="15">
      <c r="A108" s="77" t="s">
        <v>250</v>
      </c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</row>
    <row r="109" spans="1:13">
      <c r="A109" s="11" t="s">
        <v>1009</v>
      </c>
      <c r="B109" s="11" t="s">
        <v>1010</v>
      </c>
      <c r="C109" s="11" t="s">
        <v>1011</v>
      </c>
      <c r="D109" s="11" t="str">
        <f>"0,5285"</f>
        <v>0,5285</v>
      </c>
      <c r="E109" s="11" t="s">
        <v>82</v>
      </c>
      <c r="F109" s="11" t="s">
        <v>376</v>
      </c>
      <c r="G109" s="13" t="s">
        <v>496</v>
      </c>
      <c r="H109" s="12" t="s">
        <v>496</v>
      </c>
      <c r="I109" s="13" t="s">
        <v>286</v>
      </c>
      <c r="J109" s="13"/>
      <c r="K109" s="11" t="str">
        <f>"105,0"</f>
        <v>105,0</v>
      </c>
      <c r="L109" s="12" t="str">
        <f>"65,4812"</f>
        <v>65,4812</v>
      </c>
      <c r="M109" s="11" t="s">
        <v>1012</v>
      </c>
    </row>
    <row r="110" spans="1:13">
      <c r="A110" s="17" t="s">
        <v>1014</v>
      </c>
      <c r="B110" s="17" t="s">
        <v>1015</v>
      </c>
      <c r="C110" s="17" t="s">
        <v>1016</v>
      </c>
      <c r="D110" s="17" t="str">
        <f>"0,5296"</f>
        <v>0,5296</v>
      </c>
      <c r="E110" s="17" t="s">
        <v>50</v>
      </c>
      <c r="F110" s="17" t="s">
        <v>51</v>
      </c>
      <c r="G110" s="19" t="s">
        <v>66</v>
      </c>
      <c r="H110" s="18" t="s">
        <v>563</v>
      </c>
      <c r="I110" s="18" t="s">
        <v>563</v>
      </c>
      <c r="J110" s="18"/>
      <c r="K110" s="17" t="str">
        <f>"160,0"</f>
        <v>160,0</v>
      </c>
      <c r="L110" s="19" t="str">
        <f>"84,7360"</f>
        <v>84,7360</v>
      </c>
      <c r="M110" s="17" t="s">
        <v>742</v>
      </c>
    </row>
    <row r="111" spans="1:13">
      <c r="A111" s="17" t="s">
        <v>1018</v>
      </c>
      <c r="B111" s="17" t="s">
        <v>1019</v>
      </c>
      <c r="C111" s="17" t="s">
        <v>455</v>
      </c>
      <c r="D111" s="17" t="str">
        <f>"0,5318"</f>
        <v>0,5318</v>
      </c>
      <c r="E111" s="17" t="s">
        <v>82</v>
      </c>
      <c r="F111" s="17" t="s">
        <v>51</v>
      </c>
      <c r="G111" s="19" t="s">
        <v>92</v>
      </c>
      <c r="H111" s="19" t="s">
        <v>23</v>
      </c>
      <c r="I111" s="18" t="s">
        <v>1020</v>
      </c>
      <c r="J111" s="18"/>
      <c r="K111" s="17" t="str">
        <f>"190,0"</f>
        <v>190,0</v>
      </c>
      <c r="L111" s="19" t="str">
        <f>"101,3451"</f>
        <v>101,3451</v>
      </c>
      <c r="M111" s="17" t="s">
        <v>1021</v>
      </c>
    </row>
    <row r="112" spans="1:13">
      <c r="A112" s="14" t="s">
        <v>1023</v>
      </c>
      <c r="B112" s="14" t="s">
        <v>1024</v>
      </c>
      <c r="C112" s="14" t="s">
        <v>1025</v>
      </c>
      <c r="D112" s="14" t="str">
        <f>"0,5260"</f>
        <v>0,5260</v>
      </c>
      <c r="E112" s="14" t="s">
        <v>82</v>
      </c>
      <c r="F112" s="14" t="s">
        <v>89</v>
      </c>
      <c r="G112" s="16" t="s">
        <v>54</v>
      </c>
      <c r="H112" s="15" t="s">
        <v>90</v>
      </c>
      <c r="I112" s="16" t="s">
        <v>1026</v>
      </c>
      <c r="J112" s="16"/>
      <c r="K112" s="14" t="str">
        <f>"155,0"</f>
        <v>155,0</v>
      </c>
      <c r="L112" s="15" t="str">
        <f>"82,2638"</f>
        <v>82,2638</v>
      </c>
      <c r="M112" s="14" t="s">
        <v>598</v>
      </c>
    </row>
    <row r="114" spans="1:5" ht="15">
      <c r="E114" s="20" t="s">
        <v>146</v>
      </c>
    </row>
    <row r="115" spans="1:5" ht="15">
      <c r="E115" s="20" t="s">
        <v>147</v>
      </c>
    </row>
    <row r="116" spans="1:5" ht="15">
      <c r="E116" s="20" t="s">
        <v>148</v>
      </c>
    </row>
    <row r="117" spans="1:5" ht="15">
      <c r="E117" s="20" t="s">
        <v>149</v>
      </c>
    </row>
    <row r="118" spans="1:5" ht="15">
      <c r="E118" s="20" t="s">
        <v>149</v>
      </c>
    </row>
    <row r="119" spans="1:5" ht="15">
      <c r="E119" s="20" t="s">
        <v>150</v>
      </c>
    </row>
    <row r="120" spans="1:5" ht="15">
      <c r="E120" s="20"/>
    </row>
    <row r="122" spans="1:5" ht="18">
      <c r="A122" s="21" t="s">
        <v>151</v>
      </c>
      <c r="B122" s="21"/>
    </row>
    <row r="123" spans="1:5" ht="15">
      <c r="A123" s="22" t="s">
        <v>261</v>
      </c>
      <c r="B123" s="22"/>
    </row>
    <row r="124" spans="1:5" ht="14.25">
      <c r="A124" s="24"/>
      <c r="B124" s="25" t="s">
        <v>650</v>
      </c>
    </row>
    <row r="125" spans="1:5" ht="15">
      <c r="A125" s="26" t="s">
        <v>154</v>
      </c>
      <c r="B125" s="26" t="s">
        <v>155</v>
      </c>
      <c r="C125" s="26" t="s">
        <v>156</v>
      </c>
      <c r="D125" s="26" t="s">
        <v>157</v>
      </c>
      <c r="E125" s="26" t="s">
        <v>158</v>
      </c>
    </row>
    <row r="126" spans="1:5">
      <c r="A126" s="23" t="s">
        <v>704</v>
      </c>
      <c r="B126" s="5" t="s">
        <v>651</v>
      </c>
      <c r="C126" s="5" t="s">
        <v>652</v>
      </c>
      <c r="D126" s="5" t="s">
        <v>484</v>
      </c>
      <c r="E126" s="27" t="s">
        <v>1027</v>
      </c>
    </row>
    <row r="127" spans="1:5">
      <c r="A127" s="23" t="s">
        <v>761</v>
      </c>
      <c r="B127" s="5" t="s">
        <v>651</v>
      </c>
      <c r="C127" s="5" t="s">
        <v>174</v>
      </c>
      <c r="D127" s="5" t="s">
        <v>483</v>
      </c>
      <c r="E127" s="27" t="s">
        <v>1028</v>
      </c>
    </row>
    <row r="129" spans="1:5" ht="14.25">
      <c r="A129" s="24"/>
      <c r="B129" s="25" t="s">
        <v>655</v>
      </c>
    </row>
    <row r="130" spans="1:5" ht="15">
      <c r="A130" s="26" t="s">
        <v>154</v>
      </c>
      <c r="B130" s="26" t="s">
        <v>155</v>
      </c>
      <c r="C130" s="26" t="s">
        <v>156</v>
      </c>
      <c r="D130" s="26" t="s">
        <v>157</v>
      </c>
      <c r="E130" s="26" t="s">
        <v>158</v>
      </c>
    </row>
    <row r="131" spans="1:5">
      <c r="A131" s="23" t="s">
        <v>767</v>
      </c>
      <c r="B131" s="5" t="s">
        <v>164</v>
      </c>
      <c r="C131" s="5" t="s">
        <v>174</v>
      </c>
      <c r="D131" s="5" t="s">
        <v>488</v>
      </c>
      <c r="E131" s="27" t="s">
        <v>1029</v>
      </c>
    </row>
    <row r="133" spans="1:5" ht="14.25">
      <c r="A133" s="24"/>
      <c r="B133" s="25" t="s">
        <v>168</v>
      </c>
    </row>
    <row r="134" spans="1:5" ht="15">
      <c r="A134" s="26" t="s">
        <v>154</v>
      </c>
      <c r="B134" s="26" t="s">
        <v>155</v>
      </c>
      <c r="C134" s="26" t="s">
        <v>156</v>
      </c>
      <c r="D134" s="26" t="s">
        <v>157</v>
      </c>
      <c r="E134" s="26" t="s">
        <v>158</v>
      </c>
    </row>
    <row r="135" spans="1:5">
      <c r="A135" s="23" t="s">
        <v>733</v>
      </c>
      <c r="B135" s="5" t="s">
        <v>168</v>
      </c>
      <c r="C135" s="5" t="s">
        <v>484</v>
      </c>
      <c r="D135" s="5" t="s">
        <v>25</v>
      </c>
      <c r="E135" s="27" t="s">
        <v>1030</v>
      </c>
    </row>
    <row r="136" spans="1:5">
      <c r="A136" s="23" t="s">
        <v>723</v>
      </c>
      <c r="B136" s="5" t="s">
        <v>168</v>
      </c>
      <c r="C136" s="5" t="s">
        <v>262</v>
      </c>
      <c r="D136" s="5" t="s">
        <v>727</v>
      </c>
      <c r="E136" s="27" t="s">
        <v>1031</v>
      </c>
    </row>
    <row r="137" spans="1:5">
      <c r="A137" s="23" t="s">
        <v>748</v>
      </c>
      <c r="B137" s="5" t="s">
        <v>168</v>
      </c>
      <c r="C137" s="5" t="s">
        <v>307</v>
      </c>
      <c r="D137" s="5" t="s">
        <v>165</v>
      </c>
      <c r="E137" s="27" t="s">
        <v>1032</v>
      </c>
    </row>
    <row r="138" spans="1:5">
      <c r="A138" s="23" t="s">
        <v>738</v>
      </c>
      <c r="B138" s="5" t="s">
        <v>168</v>
      </c>
      <c r="C138" s="5" t="s">
        <v>484</v>
      </c>
      <c r="D138" s="5" t="s">
        <v>487</v>
      </c>
      <c r="E138" s="27" t="s">
        <v>1033</v>
      </c>
    </row>
    <row r="139" spans="1:5">
      <c r="A139" s="23" t="s">
        <v>708</v>
      </c>
      <c r="B139" s="5" t="s">
        <v>168</v>
      </c>
      <c r="C139" s="5" t="s">
        <v>652</v>
      </c>
      <c r="D139" s="5" t="s">
        <v>484</v>
      </c>
      <c r="E139" s="27" t="s">
        <v>1034</v>
      </c>
    </row>
    <row r="140" spans="1:5">
      <c r="A140" s="23" t="s">
        <v>729</v>
      </c>
      <c r="B140" s="5" t="s">
        <v>168</v>
      </c>
      <c r="C140" s="5" t="s">
        <v>262</v>
      </c>
      <c r="D140" s="5" t="s">
        <v>503</v>
      </c>
      <c r="E140" s="27" t="s">
        <v>1035</v>
      </c>
    </row>
    <row r="141" spans="1:5">
      <c r="A141" s="23" t="s">
        <v>712</v>
      </c>
      <c r="B141" s="5" t="s">
        <v>168</v>
      </c>
      <c r="C141" s="5" t="s">
        <v>652</v>
      </c>
      <c r="D141" s="5" t="s">
        <v>495</v>
      </c>
      <c r="E141" s="27" t="s">
        <v>1036</v>
      </c>
    </row>
    <row r="142" spans="1:5">
      <c r="A142" s="23" t="s">
        <v>752</v>
      </c>
      <c r="B142" s="5" t="s">
        <v>168</v>
      </c>
      <c r="C142" s="5" t="s">
        <v>307</v>
      </c>
      <c r="D142" s="5" t="s">
        <v>483</v>
      </c>
      <c r="E142" s="27" t="s">
        <v>1037</v>
      </c>
    </row>
    <row r="143" spans="1:5">
      <c r="A143" s="23" t="s">
        <v>743</v>
      </c>
      <c r="B143" s="5" t="s">
        <v>168</v>
      </c>
      <c r="C143" s="5" t="s">
        <v>484</v>
      </c>
      <c r="D143" s="5" t="s">
        <v>529</v>
      </c>
      <c r="E143" s="27" t="s">
        <v>1038</v>
      </c>
    </row>
    <row r="144" spans="1:5">
      <c r="A144" s="23" t="s">
        <v>757</v>
      </c>
      <c r="B144" s="5" t="s">
        <v>168</v>
      </c>
      <c r="C144" s="5" t="s">
        <v>169</v>
      </c>
      <c r="D144" s="5" t="s">
        <v>486</v>
      </c>
      <c r="E144" s="27" t="s">
        <v>1039</v>
      </c>
    </row>
    <row r="146" spans="1:5" ht="14.25">
      <c r="A146" s="24"/>
      <c r="B146" s="25" t="s">
        <v>191</v>
      </c>
    </row>
    <row r="147" spans="1:5" ht="15">
      <c r="A147" s="26" t="s">
        <v>154</v>
      </c>
      <c r="B147" s="26" t="s">
        <v>155</v>
      </c>
      <c r="C147" s="26" t="s">
        <v>156</v>
      </c>
      <c r="D147" s="26" t="s">
        <v>157</v>
      </c>
      <c r="E147" s="26" t="s">
        <v>158</v>
      </c>
    </row>
    <row r="148" spans="1:5">
      <c r="A148" s="23" t="s">
        <v>718</v>
      </c>
      <c r="B148" s="5" t="s">
        <v>192</v>
      </c>
      <c r="C148" s="5" t="s">
        <v>652</v>
      </c>
      <c r="D148" s="5" t="s">
        <v>527</v>
      </c>
      <c r="E148" s="27" t="s">
        <v>1040</v>
      </c>
    </row>
    <row r="149" spans="1:5">
      <c r="A149" s="23" t="s">
        <v>712</v>
      </c>
      <c r="B149" s="5" t="s">
        <v>312</v>
      </c>
      <c r="C149" s="5" t="s">
        <v>652</v>
      </c>
      <c r="D149" s="5" t="s">
        <v>495</v>
      </c>
      <c r="E149" s="27" t="s">
        <v>1041</v>
      </c>
    </row>
    <row r="152" spans="1:5" ht="15">
      <c r="A152" s="22" t="s">
        <v>152</v>
      </c>
      <c r="B152" s="22"/>
    </row>
    <row r="153" spans="1:5" ht="14.25">
      <c r="A153" s="24"/>
      <c r="B153" s="25" t="s">
        <v>153</v>
      </c>
    </row>
    <row r="154" spans="1:5" ht="15">
      <c r="A154" s="26" t="s">
        <v>154</v>
      </c>
      <c r="B154" s="26" t="s">
        <v>155</v>
      </c>
      <c r="C154" s="26" t="s">
        <v>156</v>
      </c>
      <c r="D154" s="26" t="s">
        <v>157</v>
      </c>
      <c r="E154" s="26" t="s">
        <v>158</v>
      </c>
    </row>
    <row r="155" spans="1:5">
      <c r="A155" s="23" t="s">
        <v>793</v>
      </c>
      <c r="B155" s="5" t="s">
        <v>651</v>
      </c>
      <c r="C155" s="5" t="s">
        <v>484</v>
      </c>
      <c r="D155" s="5" t="s">
        <v>160</v>
      </c>
      <c r="E155" s="27" t="s">
        <v>1042</v>
      </c>
    </row>
    <row r="156" spans="1:5">
      <c r="A156" s="23" t="s">
        <v>831</v>
      </c>
      <c r="B156" s="5" t="s">
        <v>651</v>
      </c>
      <c r="C156" s="5" t="s">
        <v>169</v>
      </c>
      <c r="D156" s="5" t="s">
        <v>826</v>
      </c>
      <c r="E156" s="27" t="s">
        <v>1043</v>
      </c>
    </row>
    <row r="157" spans="1:5">
      <c r="A157" s="23" t="s">
        <v>827</v>
      </c>
      <c r="B157" s="5" t="s">
        <v>651</v>
      </c>
      <c r="C157" s="5" t="s">
        <v>169</v>
      </c>
      <c r="D157" s="5" t="s">
        <v>217</v>
      </c>
      <c r="E157" s="27" t="s">
        <v>1044</v>
      </c>
    </row>
    <row r="158" spans="1:5">
      <c r="A158" s="23" t="s">
        <v>803</v>
      </c>
      <c r="B158" s="5" t="s">
        <v>651</v>
      </c>
      <c r="C158" s="5" t="s">
        <v>307</v>
      </c>
      <c r="D158" s="5" t="s">
        <v>203</v>
      </c>
      <c r="E158" s="27" t="s">
        <v>1045</v>
      </c>
    </row>
    <row r="159" spans="1:5">
      <c r="A159" s="23" t="s">
        <v>857</v>
      </c>
      <c r="B159" s="5" t="s">
        <v>159</v>
      </c>
      <c r="C159" s="5" t="s">
        <v>174</v>
      </c>
      <c r="D159" s="5" t="s">
        <v>102</v>
      </c>
      <c r="E159" s="27" t="s">
        <v>1046</v>
      </c>
    </row>
    <row r="160" spans="1:5">
      <c r="A160" s="23" t="s">
        <v>784</v>
      </c>
      <c r="B160" s="5" t="s">
        <v>306</v>
      </c>
      <c r="C160" s="5" t="s">
        <v>1047</v>
      </c>
      <c r="D160" s="5" t="s">
        <v>509</v>
      </c>
      <c r="E160" s="27" t="s">
        <v>1048</v>
      </c>
    </row>
    <row r="161" spans="1:5">
      <c r="A161" s="23" t="s">
        <v>1008</v>
      </c>
      <c r="B161" s="5" t="s">
        <v>306</v>
      </c>
      <c r="C161" s="5" t="s">
        <v>127</v>
      </c>
      <c r="D161" s="5" t="s">
        <v>496</v>
      </c>
      <c r="E161" s="27" t="s">
        <v>1049</v>
      </c>
    </row>
    <row r="162" spans="1:5">
      <c r="A162" s="23" t="s">
        <v>808</v>
      </c>
      <c r="B162" s="5" t="s">
        <v>651</v>
      </c>
      <c r="C162" s="5" t="s">
        <v>307</v>
      </c>
      <c r="D162" s="5" t="s">
        <v>487</v>
      </c>
      <c r="E162" s="27" t="s">
        <v>1050</v>
      </c>
    </row>
    <row r="163" spans="1:5">
      <c r="A163" s="23" t="s">
        <v>789</v>
      </c>
      <c r="B163" s="5" t="s">
        <v>306</v>
      </c>
      <c r="C163" s="5" t="s">
        <v>1047</v>
      </c>
      <c r="D163" s="5" t="s">
        <v>485</v>
      </c>
      <c r="E163" s="27" t="s">
        <v>1051</v>
      </c>
    </row>
    <row r="164" spans="1:5">
      <c r="A164" s="23" t="s">
        <v>797</v>
      </c>
      <c r="B164" s="5" t="s">
        <v>306</v>
      </c>
      <c r="C164" s="5" t="s">
        <v>307</v>
      </c>
      <c r="D164" s="5" t="s">
        <v>509</v>
      </c>
      <c r="E164" s="27" t="s">
        <v>1052</v>
      </c>
    </row>
    <row r="165" spans="1:5">
      <c r="A165" s="23" t="s">
        <v>772</v>
      </c>
      <c r="B165" s="5" t="s">
        <v>306</v>
      </c>
      <c r="C165" s="5" t="s">
        <v>1053</v>
      </c>
      <c r="D165" s="5" t="s">
        <v>519</v>
      </c>
      <c r="E165" s="27" t="s">
        <v>1054</v>
      </c>
    </row>
    <row r="166" spans="1:5">
      <c r="A166" s="23" t="s">
        <v>777</v>
      </c>
      <c r="B166" s="5" t="s">
        <v>306</v>
      </c>
      <c r="C166" s="5" t="s">
        <v>1053</v>
      </c>
      <c r="D166" s="5" t="s">
        <v>781</v>
      </c>
      <c r="E166" s="27" t="s">
        <v>1055</v>
      </c>
    </row>
    <row r="168" spans="1:5" ht="14.25">
      <c r="A168" s="24"/>
      <c r="B168" s="25" t="s">
        <v>163</v>
      </c>
    </row>
    <row r="169" spans="1:5" ht="15">
      <c r="A169" s="26" t="s">
        <v>154</v>
      </c>
      <c r="B169" s="26" t="s">
        <v>155</v>
      </c>
      <c r="C169" s="26" t="s">
        <v>156</v>
      </c>
      <c r="D169" s="26" t="s">
        <v>157</v>
      </c>
      <c r="E169" s="26" t="s">
        <v>158</v>
      </c>
    </row>
    <row r="170" spans="1:5">
      <c r="A170" s="23" t="s">
        <v>895</v>
      </c>
      <c r="B170" s="5" t="s">
        <v>164</v>
      </c>
      <c r="C170" s="5" t="s">
        <v>165</v>
      </c>
      <c r="D170" s="5" t="s">
        <v>65</v>
      </c>
      <c r="E170" s="27" t="s">
        <v>1056</v>
      </c>
    </row>
    <row r="171" spans="1:5">
      <c r="A171" s="23" t="s">
        <v>861</v>
      </c>
      <c r="B171" s="5" t="s">
        <v>164</v>
      </c>
      <c r="C171" s="5" t="s">
        <v>174</v>
      </c>
      <c r="D171" s="5" t="s">
        <v>847</v>
      </c>
      <c r="E171" s="27" t="s">
        <v>1057</v>
      </c>
    </row>
    <row r="172" spans="1:5">
      <c r="A172" s="23" t="s">
        <v>835</v>
      </c>
      <c r="B172" s="5" t="s">
        <v>164</v>
      </c>
      <c r="C172" s="5" t="s">
        <v>169</v>
      </c>
      <c r="D172" s="5" t="s">
        <v>25</v>
      </c>
      <c r="E172" s="27" t="s">
        <v>1058</v>
      </c>
    </row>
    <row r="173" spans="1:5">
      <c r="A173" s="23" t="s">
        <v>899</v>
      </c>
      <c r="B173" s="5" t="s">
        <v>164</v>
      </c>
      <c r="C173" s="5" t="s">
        <v>165</v>
      </c>
      <c r="D173" s="5" t="s">
        <v>64</v>
      </c>
      <c r="E173" s="27" t="s">
        <v>1059</v>
      </c>
    </row>
    <row r="175" spans="1:5" ht="14.25">
      <c r="A175" s="24"/>
      <c r="B175" s="25" t="s">
        <v>168</v>
      </c>
    </row>
    <row r="176" spans="1:5" ht="15">
      <c r="A176" s="26" t="s">
        <v>154</v>
      </c>
      <c r="B176" s="26" t="s">
        <v>155</v>
      </c>
      <c r="C176" s="26" t="s">
        <v>156</v>
      </c>
      <c r="D176" s="26" t="s">
        <v>157</v>
      </c>
      <c r="E176" s="26" t="s">
        <v>158</v>
      </c>
    </row>
    <row r="177" spans="1:5">
      <c r="A177" s="23" t="s">
        <v>904</v>
      </c>
      <c r="B177" s="5" t="s">
        <v>168</v>
      </c>
      <c r="C177" s="5" t="s">
        <v>165</v>
      </c>
      <c r="D177" s="5" t="s">
        <v>908</v>
      </c>
      <c r="E177" s="27" t="s">
        <v>1060</v>
      </c>
    </row>
    <row r="178" spans="1:5">
      <c r="A178" s="23" t="s">
        <v>992</v>
      </c>
      <c r="B178" s="5" t="s">
        <v>168</v>
      </c>
      <c r="C178" s="5" t="s">
        <v>102</v>
      </c>
      <c r="D178" s="5" t="s">
        <v>42</v>
      </c>
      <c r="E178" s="27" t="s">
        <v>1061</v>
      </c>
    </row>
    <row r="179" spans="1:5">
      <c r="A179" s="23" t="s">
        <v>999</v>
      </c>
      <c r="B179" s="5" t="s">
        <v>168</v>
      </c>
      <c r="C179" s="5" t="s">
        <v>102</v>
      </c>
      <c r="D179" s="5" t="s">
        <v>351</v>
      </c>
      <c r="E179" s="27" t="s">
        <v>1062</v>
      </c>
    </row>
    <row r="180" spans="1:5">
      <c r="A180" s="23" t="s">
        <v>560</v>
      </c>
      <c r="B180" s="5" t="s">
        <v>168</v>
      </c>
      <c r="C180" s="5" t="s">
        <v>307</v>
      </c>
      <c r="D180" s="5" t="s">
        <v>64</v>
      </c>
      <c r="E180" s="27" t="s">
        <v>1063</v>
      </c>
    </row>
    <row r="181" spans="1:5">
      <c r="A181" s="23" t="s">
        <v>866</v>
      </c>
      <c r="B181" s="5" t="s">
        <v>168</v>
      </c>
      <c r="C181" s="5" t="s">
        <v>174</v>
      </c>
      <c r="D181" s="5" t="s">
        <v>66</v>
      </c>
      <c r="E181" s="27" t="s">
        <v>1064</v>
      </c>
    </row>
    <row r="182" spans="1:5">
      <c r="A182" s="23" t="s">
        <v>957</v>
      </c>
      <c r="B182" s="5" t="s">
        <v>168</v>
      </c>
      <c r="C182" s="5" t="s">
        <v>160</v>
      </c>
      <c r="D182" s="5" t="s">
        <v>75</v>
      </c>
      <c r="E182" s="27" t="s">
        <v>1065</v>
      </c>
    </row>
    <row r="183" spans="1:5">
      <c r="A183" s="23" t="s">
        <v>839</v>
      </c>
      <c r="B183" s="5" t="s">
        <v>168</v>
      </c>
      <c r="C183" s="5" t="s">
        <v>169</v>
      </c>
      <c r="D183" s="5" t="s">
        <v>54</v>
      </c>
      <c r="E183" s="27" t="s">
        <v>1066</v>
      </c>
    </row>
    <row r="184" spans="1:5">
      <c r="A184" s="23" t="s">
        <v>909</v>
      </c>
      <c r="B184" s="5" t="s">
        <v>168</v>
      </c>
      <c r="C184" s="5" t="s">
        <v>165</v>
      </c>
      <c r="D184" s="5" t="s">
        <v>101</v>
      </c>
      <c r="E184" s="27" t="s">
        <v>1067</v>
      </c>
    </row>
    <row r="185" spans="1:5">
      <c r="A185" s="23" t="s">
        <v>961</v>
      </c>
      <c r="B185" s="5" t="s">
        <v>168</v>
      </c>
      <c r="C185" s="5" t="s">
        <v>160</v>
      </c>
      <c r="D185" s="5" t="s">
        <v>563</v>
      </c>
      <c r="E185" s="27" t="s">
        <v>1068</v>
      </c>
    </row>
    <row r="186" spans="1:5">
      <c r="A186" s="23" t="s">
        <v>914</v>
      </c>
      <c r="B186" s="5" t="s">
        <v>168</v>
      </c>
      <c r="C186" s="5" t="s">
        <v>165</v>
      </c>
      <c r="D186" s="5" t="s">
        <v>90</v>
      </c>
      <c r="E186" s="27" t="s">
        <v>1069</v>
      </c>
    </row>
    <row r="187" spans="1:5">
      <c r="A187" s="23" t="s">
        <v>843</v>
      </c>
      <c r="B187" s="5" t="s">
        <v>168</v>
      </c>
      <c r="C187" s="5" t="s">
        <v>169</v>
      </c>
      <c r="D187" s="5" t="s">
        <v>64</v>
      </c>
      <c r="E187" s="27" t="s">
        <v>1070</v>
      </c>
    </row>
    <row r="188" spans="1:5">
      <c r="A188" s="23" t="s">
        <v>869</v>
      </c>
      <c r="B188" s="5" t="s">
        <v>168</v>
      </c>
      <c r="C188" s="5" t="s">
        <v>174</v>
      </c>
      <c r="D188" s="5" t="s">
        <v>865</v>
      </c>
      <c r="E188" s="27" t="s">
        <v>1071</v>
      </c>
    </row>
    <row r="189" spans="1:5">
      <c r="A189" s="23" t="s">
        <v>848</v>
      </c>
      <c r="B189" s="5" t="s">
        <v>168</v>
      </c>
      <c r="C189" s="5" t="s">
        <v>169</v>
      </c>
      <c r="D189" s="5" t="s">
        <v>847</v>
      </c>
      <c r="E189" s="27" t="s">
        <v>1072</v>
      </c>
    </row>
    <row r="190" spans="1:5">
      <c r="A190" s="23" t="s">
        <v>873</v>
      </c>
      <c r="B190" s="5" t="s">
        <v>168</v>
      </c>
      <c r="C190" s="5" t="s">
        <v>174</v>
      </c>
      <c r="D190" s="5" t="s">
        <v>54</v>
      </c>
      <c r="E190" s="27" t="s">
        <v>1073</v>
      </c>
    </row>
    <row r="191" spans="1:5">
      <c r="A191" s="23" t="s">
        <v>853</v>
      </c>
      <c r="B191" s="5" t="s">
        <v>168</v>
      </c>
      <c r="C191" s="5" t="s">
        <v>169</v>
      </c>
      <c r="D191" s="5" t="s">
        <v>541</v>
      </c>
      <c r="E191" s="27" t="s">
        <v>1074</v>
      </c>
    </row>
    <row r="192" spans="1:5">
      <c r="A192" s="23" t="s">
        <v>817</v>
      </c>
      <c r="B192" s="5" t="s">
        <v>168</v>
      </c>
      <c r="C192" s="5" t="s">
        <v>307</v>
      </c>
      <c r="D192" s="5" t="s">
        <v>548</v>
      </c>
      <c r="E192" s="27" t="s">
        <v>1075</v>
      </c>
    </row>
    <row r="193" spans="1:5">
      <c r="A193" s="23" t="s">
        <v>813</v>
      </c>
      <c r="B193" s="5" t="s">
        <v>168</v>
      </c>
      <c r="C193" s="5" t="s">
        <v>307</v>
      </c>
      <c r="D193" s="5" t="s">
        <v>103</v>
      </c>
      <c r="E193" s="27" t="s">
        <v>1076</v>
      </c>
    </row>
    <row r="194" spans="1:5">
      <c r="A194" s="23" t="s">
        <v>919</v>
      </c>
      <c r="B194" s="5" t="s">
        <v>168</v>
      </c>
      <c r="C194" s="5" t="s">
        <v>165</v>
      </c>
      <c r="D194" s="5" t="s">
        <v>54</v>
      </c>
      <c r="E194" s="27" t="s">
        <v>1077</v>
      </c>
    </row>
    <row r="195" spans="1:5">
      <c r="A195" s="23" t="s">
        <v>878</v>
      </c>
      <c r="B195" s="5" t="s">
        <v>168</v>
      </c>
      <c r="C195" s="5" t="s">
        <v>174</v>
      </c>
      <c r="D195" s="5" t="s">
        <v>572</v>
      </c>
      <c r="E195" s="27" t="s">
        <v>1078</v>
      </c>
    </row>
    <row r="196" spans="1:5">
      <c r="A196" s="23" t="s">
        <v>965</v>
      </c>
      <c r="B196" s="5" t="s">
        <v>168</v>
      </c>
      <c r="C196" s="5" t="s">
        <v>160</v>
      </c>
      <c r="D196" s="5" t="s">
        <v>65</v>
      </c>
      <c r="E196" s="27" t="s">
        <v>1079</v>
      </c>
    </row>
    <row r="197" spans="1:5">
      <c r="A197" s="23" t="s">
        <v>1013</v>
      </c>
      <c r="B197" s="5" t="s">
        <v>168</v>
      </c>
      <c r="C197" s="5" t="s">
        <v>127</v>
      </c>
      <c r="D197" s="5" t="s">
        <v>66</v>
      </c>
      <c r="E197" s="27" t="s">
        <v>1080</v>
      </c>
    </row>
    <row r="198" spans="1:5">
      <c r="A198" s="23" t="s">
        <v>817</v>
      </c>
      <c r="B198" s="5" t="s">
        <v>168</v>
      </c>
      <c r="C198" s="5" t="s">
        <v>307</v>
      </c>
      <c r="D198" s="5" t="s">
        <v>102</v>
      </c>
      <c r="E198" s="27" t="s">
        <v>1081</v>
      </c>
    </row>
    <row r="199" spans="1:5">
      <c r="A199" s="23" t="s">
        <v>924</v>
      </c>
      <c r="B199" s="5" t="s">
        <v>168</v>
      </c>
      <c r="C199" s="5" t="s">
        <v>165</v>
      </c>
      <c r="D199" s="5" t="s">
        <v>64</v>
      </c>
      <c r="E199" s="27" t="s">
        <v>1082</v>
      </c>
    </row>
    <row r="200" spans="1:5">
      <c r="A200" s="23" t="s">
        <v>928</v>
      </c>
      <c r="B200" s="5" t="s">
        <v>168</v>
      </c>
      <c r="C200" s="5" t="s">
        <v>165</v>
      </c>
      <c r="D200" s="5" t="s">
        <v>64</v>
      </c>
      <c r="E200" s="27" t="s">
        <v>1083</v>
      </c>
    </row>
    <row r="202" spans="1:5" ht="14.25">
      <c r="A202" s="24"/>
      <c r="B202" s="25" t="s">
        <v>191</v>
      </c>
    </row>
    <row r="203" spans="1:5" ht="15">
      <c r="A203" s="26" t="s">
        <v>154</v>
      </c>
      <c r="B203" s="26" t="s">
        <v>155</v>
      </c>
      <c r="C203" s="26" t="s">
        <v>156</v>
      </c>
      <c r="D203" s="26" t="s">
        <v>157</v>
      </c>
      <c r="E203" s="26" t="s">
        <v>158</v>
      </c>
    </row>
    <row r="204" spans="1:5">
      <c r="A204" s="23" t="s">
        <v>988</v>
      </c>
      <c r="B204" s="5" t="s">
        <v>1084</v>
      </c>
      <c r="C204" s="5" t="s">
        <v>160</v>
      </c>
      <c r="D204" s="5" t="s">
        <v>54</v>
      </c>
      <c r="E204" s="27" t="s">
        <v>1085</v>
      </c>
    </row>
    <row r="205" spans="1:5">
      <c r="A205" s="23" t="s">
        <v>951</v>
      </c>
      <c r="B205" s="5" t="s">
        <v>694</v>
      </c>
      <c r="C205" s="5" t="s">
        <v>165</v>
      </c>
      <c r="D205" s="5" t="s">
        <v>24</v>
      </c>
      <c r="E205" s="27" t="s">
        <v>1086</v>
      </c>
    </row>
    <row r="206" spans="1:5">
      <c r="A206" s="23" t="s">
        <v>983</v>
      </c>
      <c r="B206" s="5" t="s">
        <v>1087</v>
      </c>
      <c r="C206" s="5" t="s">
        <v>160</v>
      </c>
      <c r="D206" s="5" t="s">
        <v>91</v>
      </c>
      <c r="E206" s="27" t="s">
        <v>1088</v>
      </c>
    </row>
    <row r="207" spans="1:5">
      <c r="A207" s="23" t="s">
        <v>892</v>
      </c>
      <c r="B207" s="5" t="s">
        <v>1087</v>
      </c>
      <c r="C207" s="5" t="s">
        <v>174</v>
      </c>
      <c r="D207" s="5" t="s">
        <v>24</v>
      </c>
      <c r="E207" s="27" t="s">
        <v>1089</v>
      </c>
    </row>
    <row r="208" spans="1:5">
      <c r="A208" s="23" t="s">
        <v>1003</v>
      </c>
      <c r="B208" s="5" t="s">
        <v>697</v>
      </c>
      <c r="C208" s="5" t="s">
        <v>102</v>
      </c>
      <c r="D208" s="5" t="s">
        <v>90</v>
      </c>
      <c r="E208" s="27" t="s">
        <v>1090</v>
      </c>
    </row>
    <row r="209" spans="1:5">
      <c r="A209" s="23" t="s">
        <v>954</v>
      </c>
      <c r="B209" s="5" t="s">
        <v>694</v>
      </c>
      <c r="C209" s="5" t="s">
        <v>165</v>
      </c>
      <c r="D209" s="5" t="s">
        <v>165</v>
      </c>
      <c r="E209" s="27" t="s">
        <v>1091</v>
      </c>
    </row>
    <row r="210" spans="1:5">
      <c r="A210" s="23" t="s">
        <v>935</v>
      </c>
      <c r="B210" s="5" t="s">
        <v>312</v>
      </c>
      <c r="C210" s="5" t="s">
        <v>165</v>
      </c>
      <c r="D210" s="5" t="s">
        <v>75</v>
      </c>
      <c r="E210" s="27" t="s">
        <v>1092</v>
      </c>
    </row>
    <row r="211" spans="1:5">
      <c r="A211" s="23" t="s">
        <v>888</v>
      </c>
      <c r="B211" s="5" t="s">
        <v>697</v>
      </c>
      <c r="C211" s="5" t="s">
        <v>174</v>
      </c>
      <c r="D211" s="5" t="s">
        <v>610</v>
      </c>
      <c r="E211" s="27" t="s">
        <v>1093</v>
      </c>
    </row>
    <row r="212" spans="1:5">
      <c r="A212" s="23" t="s">
        <v>1017</v>
      </c>
      <c r="B212" s="5" t="s">
        <v>312</v>
      </c>
      <c r="C212" s="5" t="s">
        <v>127</v>
      </c>
      <c r="D212" s="5" t="s">
        <v>23</v>
      </c>
      <c r="E212" s="27" t="s">
        <v>1094</v>
      </c>
    </row>
    <row r="213" spans="1:5">
      <c r="A213" s="23" t="s">
        <v>977</v>
      </c>
      <c r="B213" s="5" t="s">
        <v>312</v>
      </c>
      <c r="C213" s="5" t="s">
        <v>160</v>
      </c>
      <c r="D213" s="5" t="s">
        <v>74</v>
      </c>
      <c r="E213" s="27" t="s">
        <v>1095</v>
      </c>
    </row>
    <row r="214" spans="1:5">
      <c r="A214" s="23" t="s">
        <v>980</v>
      </c>
      <c r="B214" s="5" t="s">
        <v>192</v>
      </c>
      <c r="C214" s="5" t="s">
        <v>160</v>
      </c>
      <c r="D214" s="5" t="s">
        <v>865</v>
      </c>
      <c r="E214" s="27" t="s">
        <v>1096</v>
      </c>
    </row>
    <row r="215" spans="1:5">
      <c r="A215" s="23" t="s">
        <v>940</v>
      </c>
      <c r="B215" s="5" t="s">
        <v>312</v>
      </c>
      <c r="C215" s="5" t="s">
        <v>165</v>
      </c>
      <c r="D215" s="5" t="s">
        <v>65</v>
      </c>
      <c r="E215" s="27" t="s">
        <v>1097</v>
      </c>
    </row>
    <row r="216" spans="1:5">
      <c r="A216" s="23" t="s">
        <v>947</v>
      </c>
      <c r="B216" s="5" t="s">
        <v>192</v>
      </c>
      <c r="C216" s="5" t="s">
        <v>165</v>
      </c>
      <c r="D216" s="5" t="s">
        <v>26</v>
      </c>
      <c r="E216" s="27" t="s">
        <v>1098</v>
      </c>
    </row>
    <row r="217" spans="1:5">
      <c r="A217" s="23" t="s">
        <v>944</v>
      </c>
      <c r="B217" s="5" t="s">
        <v>312</v>
      </c>
      <c r="C217" s="5" t="s">
        <v>165</v>
      </c>
      <c r="D217" s="5" t="s">
        <v>65</v>
      </c>
      <c r="E217" s="27" t="s">
        <v>1099</v>
      </c>
    </row>
    <row r="218" spans="1:5">
      <c r="A218" s="23" t="s">
        <v>1022</v>
      </c>
      <c r="B218" s="5" t="s">
        <v>312</v>
      </c>
      <c r="C218" s="5" t="s">
        <v>127</v>
      </c>
      <c r="D218" s="5" t="s">
        <v>90</v>
      </c>
      <c r="E218" s="27" t="s">
        <v>1100</v>
      </c>
    </row>
    <row r="219" spans="1:5">
      <c r="A219" s="23" t="s">
        <v>884</v>
      </c>
      <c r="B219" s="5" t="s">
        <v>312</v>
      </c>
      <c r="C219" s="5" t="s">
        <v>174</v>
      </c>
      <c r="D219" s="5" t="s">
        <v>548</v>
      </c>
      <c r="E219" s="27" t="s">
        <v>1101</v>
      </c>
    </row>
  </sheetData>
  <mergeCells count="27">
    <mergeCell ref="A28:L28"/>
    <mergeCell ref="A32:L32"/>
    <mergeCell ref="A36:L36"/>
    <mergeCell ref="A40:L40"/>
    <mergeCell ref="A108:L108"/>
    <mergeCell ref="A43:L43"/>
    <mergeCell ref="A53:L53"/>
    <mergeCell ref="A62:L62"/>
    <mergeCell ref="A74:L74"/>
    <mergeCell ref="A91:L91"/>
    <mergeCell ref="A103:L103"/>
    <mergeCell ref="A5:L5"/>
    <mergeCell ref="A12:L12"/>
    <mergeCell ref="A16:L16"/>
    <mergeCell ref="A21:L21"/>
    <mergeCell ref="A25:L2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15"/>
  <sheetViews>
    <sheetView topLeftCell="A34" workbookViewId="0">
      <selection sqref="A1:U2"/>
    </sheetView>
  </sheetViews>
  <sheetFormatPr defaultRowHeight="12.75"/>
  <cols>
    <col min="1" max="1" width="26" style="5" bestFit="1" customWidth="1"/>
    <col min="2" max="2" width="29" style="5" bestFit="1" customWidth="1"/>
    <col min="3" max="3" width="10.5703125" style="5" bestFit="1" customWidth="1"/>
    <col min="4" max="4" width="9.28515625" style="5" bestFit="1" customWidth="1"/>
    <col min="5" max="5" width="22.7109375" style="5" bestFit="1" customWidth="1"/>
    <col min="6" max="6" width="38.2851562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9.85546875" style="5" bestFit="1" customWidth="1"/>
    <col min="22" max="16384" width="9.140625" style="4"/>
  </cols>
  <sheetData>
    <row r="1" spans="1:21" s="3" customFormat="1" ht="29.1" customHeight="1">
      <c r="A1" s="79" t="s">
        <v>476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3" customFormat="1" ht="62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>
      <c r="A3" s="71" t="s">
        <v>0</v>
      </c>
      <c r="B3" s="73" t="s">
        <v>9</v>
      </c>
      <c r="C3" s="73" t="s">
        <v>12</v>
      </c>
      <c r="D3" s="60" t="s">
        <v>14</v>
      </c>
      <c r="E3" s="60" t="s">
        <v>7</v>
      </c>
      <c r="F3" s="60" t="s">
        <v>11</v>
      </c>
      <c r="G3" s="60" t="s">
        <v>1</v>
      </c>
      <c r="H3" s="60"/>
      <c r="I3" s="60"/>
      <c r="J3" s="60"/>
      <c r="K3" s="60" t="s">
        <v>2</v>
      </c>
      <c r="L3" s="60"/>
      <c r="M3" s="60"/>
      <c r="N3" s="60"/>
      <c r="O3" s="60" t="s">
        <v>3</v>
      </c>
      <c r="P3" s="60"/>
      <c r="Q3" s="60"/>
      <c r="R3" s="60"/>
      <c r="S3" s="60" t="s">
        <v>4</v>
      </c>
      <c r="T3" s="60" t="s">
        <v>6</v>
      </c>
      <c r="U3" s="63" t="s">
        <v>5</v>
      </c>
    </row>
    <row r="4" spans="1:21" s="1" customFormat="1" ht="21" customHeight="1" thickBot="1">
      <c r="A4" s="72"/>
      <c r="B4" s="74"/>
      <c r="C4" s="74"/>
      <c r="D4" s="74"/>
      <c r="E4" s="74"/>
      <c r="F4" s="74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74"/>
      <c r="T4" s="74"/>
      <c r="U4" s="64"/>
    </row>
    <row r="5" spans="1:21" ht="15">
      <c r="A5" s="75" t="s">
        <v>477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1">
      <c r="A6" s="11" t="s">
        <v>479</v>
      </c>
      <c r="B6" s="11" t="s">
        <v>480</v>
      </c>
      <c r="C6" s="11" t="s">
        <v>481</v>
      </c>
      <c r="D6" s="11" t="str">
        <f>"1,0057"</f>
        <v>1,0057</v>
      </c>
      <c r="E6" s="11" t="s">
        <v>82</v>
      </c>
      <c r="F6" s="11" t="s">
        <v>482</v>
      </c>
      <c r="G6" s="13" t="s">
        <v>483</v>
      </c>
      <c r="H6" s="12" t="s">
        <v>483</v>
      </c>
      <c r="I6" s="13" t="s">
        <v>484</v>
      </c>
      <c r="J6" s="13"/>
      <c r="K6" s="12" t="s">
        <v>485</v>
      </c>
      <c r="L6" s="13" t="s">
        <v>486</v>
      </c>
      <c r="M6" s="13" t="s">
        <v>486</v>
      </c>
      <c r="N6" s="13"/>
      <c r="O6" s="12" t="s">
        <v>484</v>
      </c>
      <c r="P6" s="12" t="s">
        <v>487</v>
      </c>
      <c r="Q6" s="12" t="s">
        <v>488</v>
      </c>
      <c r="R6" s="13"/>
      <c r="S6" s="11" t="str">
        <f>"170,0"</f>
        <v>170,0</v>
      </c>
      <c r="T6" s="12" t="str">
        <f>"184,6465"</f>
        <v>184,6465</v>
      </c>
      <c r="U6" s="11" t="s">
        <v>489</v>
      </c>
    </row>
    <row r="7" spans="1:21">
      <c r="A7" s="17" t="s">
        <v>491</v>
      </c>
      <c r="B7" s="17" t="s">
        <v>492</v>
      </c>
      <c r="C7" s="17" t="s">
        <v>493</v>
      </c>
      <c r="D7" s="17" t="str">
        <f>"0,9762"</f>
        <v>0,9762</v>
      </c>
      <c r="E7" s="17" t="s">
        <v>82</v>
      </c>
      <c r="F7" s="17" t="s">
        <v>435</v>
      </c>
      <c r="G7" s="19" t="s">
        <v>488</v>
      </c>
      <c r="H7" s="19" t="s">
        <v>165</v>
      </c>
      <c r="I7" s="18" t="s">
        <v>203</v>
      </c>
      <c r="J7" s="18"/>
      <c r="K7" s="19" t="s">
        <v>486</v>
      </c>
      <c r="L7" s="19" t="s">
        <v>494</v>
      </c>
      <c r="M7" s="19" t="s">
        <v>495</v>
      </c>
      <c r="N7" s="18"/>
      <c r="O7" s="19" t="s">
        <v>160</v>
      </c>
      <c r="P7" s="19" t="s">
        <v>496</v>
      </c>
      <c r="Q7" s="19" t="s">
        <v>217</v>
      </c>
      <c r="R7" s="18"/>
      <c r="S7" s="17" t="str">
        <f>"245,0"</f>
        <v>245,0</v>
      </c>
      <c r="T7" s="19" t="str">
        <f>"239,1690"</f>
        <v>239,1690</v>
      </c>
      <c r="U7" s="17" t="s">
        <v>497</v>
      </c>
    </row>
    <row r="8" spans="1:21">
      <c r="A8" s="17" t="s">
        <v>499</v>
      </c>
      <c r="B8" s="17" t="s">
        <v>500</v>
      </c>
      <c r="C8" s="17" t="s">
        <v>501</v>
      </c>
      <c r="D8" s="17" t="str">
        <f>"0,9747"</f>
        <v>0,9747</v>
      </c>
      <c r="E8" s="17" t="s">
        <v>434</v>
      </c>
      <c r="F8" s="17" t="s">
        <v>435</v>
      </c>
      <c r="G8" s="19" t="s">
        <v>487</v>
      </c>
      <c r="H8" s="18" t="s">
        <v>169</v>
      </c>
      <c r="I8" s="18" t="s">
        <v>169</v>
      </c>
      <c r="J8" s="18"/>
      <c r="K8" s="19" t="s">
        <v>502</v>
      </c>
      <c r="L8" s="19" t="s">
        <v>483</v>
      </c>
      <c r="M8" s="19" t="s">
        <v>503</v>
      </c>
      <c r="N8" s="18"/>
      <c r="O8" s="19" t="s">
        <v>102</v>
      </c>
      <c r="P8" s="19" t="s">
        <v>103</v>
      </c>
      <c r="Q8" s="18"/>
      <c r="R8" s="18"/>
      <c r="S8" s="17" t="str">
        <f>"245,0"</f>
        <v>245,0</v>
      </c>
      <c r="T8" s="19" t="str">
        <f>"238,8015"</f>
        <v>238,8015</v>
      </c>
      <c r="U8" s="17" t="s">
        <v>504</v>
      </c>
    </row>
    <row r="9" spans="1:21">
      <c r="A9" s="14" t="s">
        <v>506</v>
      </c>
      <c r="B9" s="14" t="s">
        <v>507</v>
      </c>
      <c r="C9" s="14" t="s">
        <v>508</v>
      </c>
      <c r="D9" s="14" t="str">
        <f>"0,9840"</f>
        <v>0,9840</v>
      </c>
      <c r="E9" s="14" t="s">
        <v>82</v>
      </c>
      <c r="F9" s="14" t="s">
        <v>213</v>
      </c>
      <c r="G9" s="16" t="s">
        <v>496</v>
      </c>
      <c r="H9" s="16" t="s">
        <v>496</v>
      </c>
      <c r="I9" s="16" t="s">
        <v>496</v>
      </c>
      <c r="J9" s="16"/>
      <c r="K9" s="16" t="s">
        <v>509</v>
      </c>
      <c r="L9" s="16"/>
      <c r="M9" s="16"/>
      <c r="N9" s="16"/>
      <c r="O9" s="16" t="s">
        <v>110</v>
      </c>
      <c r="P9" s="16"/>
      <c r="Q9" s="16"/>
      <c r="R9" s="16"/>
      <c r="S9" s="14" t="str">
        <f>"0,0"</f>
        <v>0,0</v>
      </c>
      <c r="T9" s="15" t="str">
        <f>"0,0000"</f>
        <v>0,0000</v>
      </c>
      <c r="U9" s="14" t="s">
        <v>510</v>
      </c>
    </row>
    <row r="11" spans="1:21" ht="15">
      <c r="A11" s="77" t="s">
        <v>511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</row>
    <row r="12" spans="1:21">
      <c r="A12" s="11" t="s">
        <v>513</v>
      </c>
      <c r="B12" s="11" t="s">
        <v>514</v>
      </c>
      <c r="C12" s="11" t="s">
        <v>515</v>
      </c>
      <c r="D12" s="11" t="str">
        <f>"0,8609"</f>
        <v>0,8609</v>
      </c>
      <c r="E12" s="11" t="s">
        <v>50</v>
      </c>
      <c r="F12" s="11" t="s">
        <v>516</v>
      </c>
      <c r="G12" s="12" t="s">
        <v>503</v>
      </c>
      <c r="H12" s="13" t="s">
        <v>517</v>
      </c>
      <c r="I12" s="12" t="s">
        <v>517</v>
      </c>
      <c r="J12" s="13"/>
      <c r="K12" s="12" t="s">
        <v>518</v>
      </c>
      <c r="L12" s="12" t="s">
        <v>519</v>
      </c>
      <c r="M12" s="13" t="s">
        <v>520</v>
      </c>
      <c r="N12" s="13"/>
      <c r="O12" s="12" t="s">
        <v>521</v>
      </c>
      <c r="P12" s="13" t="s">
        <v>488</v>
      </c>
      <c r="Q12" s="12" t="s">
        <v>488</v>
      </c>
      <c r="R12" s="13"/>
      <c r="S12" s="11" t="str">
        <f>"170,0"</f>
        <v>170,0</v>
      </c>
      <c r="T12" s="12" t="str">
        <f>"172,6965"</f>
        <v>172,6965</v>
      </c>
      <c r="U12" s="11" t="s">
        <v>58</v>
      </c>
    </row>
    <row r="13" spans="1:21">
      <c r="A13" s="17" t="s">
        <v>523</v>
      </c>
      <c r="B13" s="17" t="s">
        <v>524</v>
      </c>
      <c r="C13" s="17" t="s">
        <v>525</v>
      </c>
      <c r="D13" s="17" t="str">
        <f>"0,8857"</f>
        <v>0,8857</v>
      </c>
      <c r="E13" s="17" t="s">
        <v>526</v>
      </c>
      <c r="F13" s="17" t="s">
        <v>51</v>
      </c>
      <c r="G13" s="19" t="s">
        <v>483</v>
      </c>
      <c r="H13" s="18" t="s">
        <v>527</v>
      </c>
      <c r="I13" s="18" t="s">
        <v>487</v>
      </c>
      <c r="J13" s="18"/>
      <c r="K13" s="19" t="s">
        <v>528</v>
      </c>
      <c r="L13" s="19" t="s">
        <v>529</v>
      </c>
      <c r="M13" s="18" t="s">
        <v>530</v>
      </c>
      <c r="N13" s="18"/>
      <c r="O13" s="19" t="s">
        <v>487</v>
      </c>
      <c r="P13" s="19" t="s">
        <v>165</v>
      </c>
      <c r="Q13" s="19" t="s">
        <v>203</v>
      </c>
      <c r="R13" s="18"/>
      <c r="S13" s="17" t="str">
        <f>"187,5"</f>
        <v>187,5</v>
      </c>
      <c r="T13" s="19" t="str">
        <f>"169,3901"</f>
        <v>169,3901</v>
      </c>
      <c r="U13" s="17" t="s">
        <v>531</v>
      </c>
    </row>
    <row r="14" spans="1:21">
      <c r="A14" s="14" t="s">
        <v>533</v>
      </c>
      <c r="B14" s="14" t="s">
        <v>534</v>
      </c>
      <c r="C14" s="14" t="s">
        <v>535</v>
      </c>
      <c r="D14" s="14" t="str">
        <f>"0,8928"</f>
        <v>0,8928</v>
      </c>
      <c r="E14" s="14" t="s">
        <v>82</v>
      </c>
      <c r="F14" s="14" t="s">
        <v>435</v>
      </c>
      <c r="G14" s="15" t="s">
        <v>484</v>
      </c>
      <c r="H14" s="15" t="s">
        <v>527</v>
      </c>
      <c r="I14" s="15" t="s">
        <v>487</v>
      </c>
      <c r="J14" s="16"/>
      <c r="K14" s="15" t="s">
        <v>486</v>
      </c>
      <c r="L14" s="16" t="s">
        <v>494</v>
      </c>
      <c r="M14" s="15" t="s">
        <v>494</v>
      </c>
      <c r="N14" s="16"/>
      <c r="O14" s="15" t="s">
        <v>165</v>
      </c>
      <c r="P14" s="15" t="s">
        <v>203</v>
      </c>
      <c r="Q14" s="15" t="s">
        <v>160</v>
      </c>
      <c r="R14" s="16"/>
      <c r="S14" s="14" t="str">
        <f>"215,0"</f>
        <v>215,0</v>
      </c>
      <c r="T14" s="15" t="str">
        <f>"191,9520"</f>
        <v>191,9520</v>
      </c>
      <c r="U14" s="14" t="s">
        <v>536</v>
      </c>
    </row>
    <row r="16" spans="1:21" ht="15">
      <c r="A16" s="77" t="s">
        <v>281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</row>
    <row r="17" spans="1:21">
      <c r="A17" s="11" t="s">
        <v>538</v>
      </c>
      <c r="B17" s="11" t="s">
        <v>539</v>
      </c>
      <c r="C17" s="11" t="s">
        <v>540</v>
      </c>
      <c r="D17" s="11" t="str">
        <f>"0,7807"</f>
        <v>0,7807</v>
      </c>
      <c r="E17" s="11" t="s">
        <v>82</v>
      </c>
      <c r="F17" s="11" t="s">
        <v>435</v>
      </c>
      <c r="G17" s="12" t="s">
        <v>127</v>
      </c>
      <c r="H17" s="12" t="s">
        <v>541</v>
      </c>
      <c r="I17" s="12" t="s">
        <v>64</v>
      </c>
      <c r="J17" s="13"/>
      <c r="K17" s="12" t="s">
        <v>169</v>
      </c>
      <c r="L17" s="12" t="s">
        <v>488</v>
      </c>
      <c r="M17" s="12" t="s">
        <v>542</v>
      </c>
      <c r="N17" s="13"/>
      <c r="O17" s="12" t="s">
        <v>26</v>
      </c>
      <c r="P17" s="12" t="s">
        <v>54</v>
      </c>
      <c r="Q17" s="12" t="s">
        <v>139</v>
      </c>
      <c r="R17" s="13"/>
      <c r="S17" s="11" t="str">
        <f>"377,5"</f>
        <v>377,5</v>
      </c>
      <c r="T17" s="12" t="str">
        <f>"294,7143"</f>
        <v>294,7143</v>
      </c>
      <c r="U17" s="11" t="s">
        <v>543</v>
      </c>
    </row>
    <row r="18" spans="1:21">
      <c r="A18" s="17" t="s">
        <v>545</v>
      </c>
      <c r="B18" s="17" t="s">
        <v>546</v>
      </c>
      <c r="C18" s="17" t="s">
        <v>547</v>
      </c>
      <c r="D18" s="17" t="str">
        <f>"0,8127"</f>
        <v>0,8127</v>
      </c>
      <c r="E18" s="17" t="s">
        <v>82</v>
      </c>
      <c r="F18" s="17" t="s">
        <v>435</v>
      </c>
      <c r="G18" s="19" t="s">
        <v>496</v>
      </c>
      <c r="H18" s="19" t="s">
        <v>102</v>
      </c>
      <c r="I18" s="19" t="s">
        <v>548</v>
      </c>
      <c r="J18" s="18"/>
      <c r="K18" s="19" t="s">
        <v>484</v>
      </c>
      <c r="L18" s="19" t="s">
        <v>527</v>
      </c>
      <c r="M18" s="19" t="s">
        <v>487</v>
      </c>
      <c r="N18" s="18"/>
      <c r="O18" s="19" t="s">
        <v>102</v>
      </c>
      <c r="P18" s="19" t="s">
        <v>24</v>
      </c>
      <c r="Q18" s="19" t="s">
        <v>127</v>
      </c>
      <c r="R18" s="18"/>
      <c r="S18" s="17" t="str">
        <f>"310,0"</f>
        <v>310,0</v>
      </c>
      <c r="T18" s="19" t="str">
        <f>"251,9370"</f>
        <v>251,9370</v>
      </c>
      <c r="U18" s="17" t="s">
        <v>543</v>
      </c>
    </row>
    <row r="19" spans="1:21">
      <c r="A19" s="14" t="s">
        <v>550</v>
      </c>
      <c r="B19" s="14" t="s">
        <v>551</v>
      </c>
      <c r="C19" s="14" t="s">
        <v>552</v>
      </c>
      <c r="D19" s="14" t="str">
        <f>"0,7903"</f>
        <v>0,7903</v>
      </c>
      <c r="E19" s="14" t="s">
        <v>82</v>
      </c>
      <c r="F19" s="14" t="s">
        <v>51</v>
      </c>
      <c r="G19" s="15" t="s">
        <v>521</v>
      </c>
      <c r="H19" s="15" t="s">
        <v>174</v>
      </c>
      <c r="I19" s="15" t="s">
        <v>553</v>
      </c>
      <c r="J19" s="16"/>
      <c r="K19" s="15" t="s">
        <v>509</v>
      </c>
      <c r="L19" s="16" t="s">
        <v>502</v>
      </c>
      <c r="M19" s="16" t="s">
        <v>502</v>
      </c>
      <c r="N19" s="16"/>
      <c r="O19" s="15" t="s">
        <v>496</v>
      </c>
      <c r="P19" s="15" t="s">
        <v>548</v>
      </c>
      <c r="Q19" s="15" t="s">
        <v>127</v>
      </c>
      <c r="R19" s="16"/>
      <c r="S19" s="14" t="str">
        <f>"262,5"</f>
        <v>262,5</v>
      </c>
      <c r="T19" s="15" t="str">
        <f>"207,4538"</f>
        <v>207,4538</v>
      </c>
      <c r="U19" s="14" t="s">
        <v>554</v>
      </c>
    </row>
    <row r="21" spans="1:21" ht="15">
      <c r="A21" s="77" t="s">
        <v>281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</row>
    <row r="22" spans="1:21">
      <c r="A22" s="11" t="s">
        <v>556</v>
      </c>
      <c r="B22" s="11" t="s">
        <v>557</v>
      </c>
      <c r="C22" s="11" t="s">
        <v>558</v>
      </c>
      <c r="D22" s="11" t="str">
        <f>"0,7671"</f>
        <v>0,7671</v>
      </c>
      <c r="E22" s="11" t="s">
        <v>82</v>
      </c>
      <c r="F22" s="11" t="s">
        <v>482</v>
      </c>
      <c r="G22" s="12" t="s">
        <v>203</v>
      </c>
      <c r="H22" s="12" t="s">
        <v>160</v>
      </c>
      <c r="I22" s="12" t="s">
        <v>102</v>
      </c>
      <c r="J22" s="13"/>
      <c r="K22" s="12" t="s">
        <v>484</v>
      </c>
      <c r="L22" s="12" t="s">
        <v>307</v>
      </c>
      <c r="M22" s="13" t="s">
        <v>559</v>
      </c>
      <c r="N22" s="13"/>
      <c r="O22" s="12" t="s">
        <v>24</v>
      </c>
      <c r="P22" s="12" t="s">
        <v>127</v>
      </c>
      <c r="Q22" s="12" t="s">
        <v>26</v>
      </c>
      <c r="R22" s="13"/>
      <c r="S22" s="11" t="str">
        <f>"312,5"</f>
        <v>312,5</v>
      </c>
      <c r="T22" s="12" t="str">
        <f>"270,8822"</f>
        <v>270,8822</v>
      </c>
      <c r="U22" s="11" t="s">
        <v>489</v>
      </c>
    </row>
    <row r="23" spans="1:21">
      <c r="A23" s="17" t="s">
        <v>561</v>
      </c>
      <c r="B23" s="17" t="s">
        <v>562</v>
      </c>
      <c r="C23" s="17" t="s">
        <v>552</v>
      </c>
      <c r="D23" s="17" t="str">
        <f>"0,7367"</f>
        <v>0,7367</v>
      </c>
      <c r="E23" s="17" t="s">
        <v>336</v>
      </c>
      <c r="F23" s="17" t="s">
        <v>337</v>
      </c>
      <c r="G23" s="19" t="s">
        <v>66</v>
      </c>
      <c r="H23" s="19" t="s">
        <v>563</v>
      </c>
      <c r="I23" s="19" t="s">
        <v>41</v>
      </c>
      <c r="J23" s="18"/>
      <c r="K23" s="19" t="s">
        <v>26</v>
      </c>
      <c r="L23" s="19" t="s">
        <v>64</v>
      </c>
      <c r="M23" s="18" t="s">
        <v>91</v>
      </c>
      <c r="N23" s="18"/>
      <c r="O23" s="19" t="s">
        <v>92</v>
      </c>
      <c r="P23" s="19" t="s">
        <v>52</v>
      </c>
      <c r="Q23" s="18" t="s">
        <v>53</v>
      </c>
      <c r="R23" s="18"/>
      <c r="S23" s="17" t="str">
        <f>"507,5"</f>
        <v>507,5</v>
      </c>
      <c r="T23" s="19" t="str">
        <f>"373,8752"</f>
        <v>373,8752</v>
      </c>
      <c r="U23" s="17" t="s">
        <v>338</v>
      </c>
    </row>
    <row r="24" spans="1:21">
      <c r="A24" s="17" t="s">
        <v>565</v>
      </c>
      <c r="B24" s="17" t="s">
        <v>566</v>
      </c>
      <c r="C24" s="17" t="s">
        <v>567</v>
      </c>
      <c r="D24" s="17" t="str">
        <f>"0,7258"</f>
        <v>0,7258</v>
      </c>
      <c r="E24" s="17" t="s">
        <v>336</v>
      </c>
      <c r="F24" s="17" t="s">
        <v>337</v>
      </c>
      <c r="G24" s="19" t="s">
        <v>90</v>
      </c>
      <c r="H24" s="19" t="s">
        <v>40</v>
      </c>
      <c r="I24" s="18" t="s">
        <v>563</v>
      </c>
      <c r="J24" s="18"/>
      <c r="K24" s="19" t="s">
        <v>496</v>
      </c>
      <c r="L24" s="19" t="s">
        <v>102</v>
      </c>
      <c r="M24" s="18" t="s">
        <v>548</v>
      </c>
      <c r="N24" s="18"/>
      <c r="O24" s="19" t="s">
        <v>22</v>
      </c>
      <c r="P24" s="18" t="s">
        <v>52</v>
      </c>
      <c r="Q24" s="18" t="s">
        <v>52</v>
      </c>
      <c r="R24" s="18"/>
      <c r="S24" s="17" t="str">
        <f>"452,5"</f>
        <v>452,5</v>
      </c>
      <c r="T24" s="19" t="str">
        <f>"328,4245"</f>
        <v>328,4245</v>
      </c>
      <c r="U24" s="17" t="s">
        <v>338</v>
      </c>
    </row>
    <row r="25" spans="1:21">
      <c r="A25" s="17" t="s">
        <v>569</v>
      </c>
      <c r="B25" s="17" t="s">
        <v>570</v>
      </c>
      <c r="C25" s="17" t="s">
        <v>571</v>
      </c>
      <c r="D25" s="17" t="str">
        <f>"0,7393"</f>
        <v>0,7393</v>
      </c>
      <c r="E25" s="17" t="s">
        <v>36</v>
      </c>
      <c r="F25" s="17" t="s">
        <v>370</v>
      </c>
      <c r="G25" s="19" t="s">
        <v>24</v>
      </c>
      <c r="H25" s="19" t="s">
        <v>25</v>
      </c>
      <c r="I25" s="18" t="s">
        <v>572</v>
      </c>
      <c r="J25" s="18"/>
      <c r="K25" s="19" t="s">
        <v>542</v>
      </c>
      <c r="L25" s="19" t="s">
        <v>165</v>
      </c>
      <c r="M25" s="18"/>
      <c r="N25" s="18"/>
      <c r="O25" s="19" t="s">
        <v>66</v>
      </c>
      <c r="P25" s="19" t="s">
        <v>74</v>
      </c>
      <c r="Q25" s="18" t="s">
        <v>75</v>
      </c>
      <c r="R25" s="18"/>
      <c r="S25" s="17" t="str">
        <f>"390,0"</f>
        <v>390,0</v>
      </c>
      <c r="T25" s="19" t="str">
        <f>"383,4490"</f>
        <v>383,4490</v>
      </c>
      <c r="U25" s="17" t="s">
        <v>371</v>
      </c>
    </row>
    <row r="26" spans="1:21">
      <c r="A26" s="14" t="s">
        <v>574</v>
      </c>
      <c r="B26" s="14" t="s">
        <v>575</v>
      </c>
      <c r="C26" s="14" t="s">
        <v>576</v>
      </c>
      <c r="D26" s="14" t="str">
        <f>"0,7503"</f>
        <v>0,7503</v>
      </c>
      <c r="E26" s="14" t="s">
        <v>82</v>
      </c>
      <c r="F26" s="14" t="s">
        <v>577</v>
      </c>
      <c r="G26" s="16" t="s">
        <v>102</v>
      </c>
      <c r="H26" s="15" t="s">
        <v>102</v>
      </c>
      <c r="I26" s="15" t="s">
        <v>548</v>
      </c>
      <c r="J26" s="16"/>
      <c r="K26" s="16" t="s">
        <v>488</v>
      </c>
      <c r="L26" s="15" t="s">
        <v>542</v>
      </c>
      <c r="M26" s="15" t="s">
        <v>165</v>
      </c>
      <c r="N26" s="16"/>
      <c r="O26" s="15" t="s">
        <v>24</v>
      </c>
      <c r="P26" s="15" t="s">
        <v>578</v>
      </c>
      <c r="Q26" s="15" t="s">
        <v>579</v>
      </c>
      <c r="R26" s="16"/>
      <c r="S26" s="14" t="str">
        <f>"337,0"</f>
        <v>337,0</v>
      </c>
      <c r="T26" s="15" t="str">
        <f>"498,1167"</f>
        <v>498,1167</v>
      </c>
      <c r="U26" s="14" t="s">
        <v>58</v>
      </c>
    </row>
    <row r="28" spans="1:21" ht="15">
      <c r="A28" s="77" t="s">
        <v>15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</row>
    <row r="29" spans="1:21">
      <c r="A29" s="11" t="s">
        <v>581</v>
      </c>
      <c r="B29" s="11" t="s">
        <v>582</v>
      </c>
      <c r="C29" s="11" t="s">
        <v>583</v>
      </c>
      <c r="D29" s="11" t="str">
        <f>"0,6980"</f>
        <v>0,6980</v>
      </c>
      <c r="E29" s="11" t="s">
        <v>82</v>
      </c>
      <c r="F29" s="11" t="s">
        <v>482</v>
      </c>
      <c r="G29" s="13" t="s">
        <v>102</v>
      </c>
      <c r="H29" s="12" t="s">
        <v>102</v>
      </c>
      <c r="I29" s="12" t="s">
        <v>24</v>
      </c>
      <c r="J29" s="13"/>
      <c r="K29" s="12" t="s">
        <v>542</v>
      </c>
      <c r="L29" s="12" t="s">
        <v>165</v>
      </c>
      <c r="M29" s="12" t="s">
        <v>203</v>
      </c>
      <c r="N29" s="13"/>
      <c r="O29" s="12" t="s">
        <v>64</v>
      </c>
      <c r="P29" s="12" t="s">
        <v>65</v>
      </c>
      <c r="Q29" s="12" t="s">
        <v>584</v>
      </c>
      <c r="R29" s="13"/>
      <c r="S29" s="11" t="str">
        <f>"377,0"</f>
        <v>377,0</v>
      </c>
      <c r="T29" s="12" t="str">
        <f>"297,3550"</f>
        <v>297,3550</v>
      </c>
      <c r="U29" s="11" t="s">
        <v>489</v>
      </c>
    </row>
    <row r="30" spans="1:21">
      <c r="A30" s="17" t="s">
        <v>586</v>
      </c>
      <c r="B30" s="17" t="s">
        <v>587</v>
      </c>
      <c r="C30" s="17" t="s">
        <v>588</v>
      </c>
      <c r="D30" s="17" t="str">
        <f>"0,6801"</f>
        <v>0,6801</v>
      </c>
      <c r="E30" s="17" t="s">
        <v>336</v>
      </c>
      <c r="F30" s="17" t="s">
        <v>337</v>
      </c>
      <c r="G30" s="19" t="s">
        <v>26</v>
      </c>
      <c r="H30" s="19" t="s">
        <v>54</v>
      </c>
      <c r="I30" s="19" t="s">
        <v>90</v>
      </c>
      <c r="J30" s="18"/>
      <c r="K30" s="19" t="s">
        <v>102</v>
      </c>
      <c r="L30" s="19" t="s">
        <v>24</v>
      </c>
      <c r="M30" s="18" t="s">
        <v>127</v>
      </c>
      <c r="N30" s="18"/>
      <c r="O30" s="19" t="s">
        <v>92</v>
      </c>
      <c r="P30" s="19" t="s">
        <v>53</v>
      </c>
      <c r="Q30" s="19" t="s">
        <v>42</v>
      </c>
      <c r="R30" s="18"/>
      <c r="S30" s="17" t="str">
        <f>"485,0"</f>
        <v>485,0</v>
      </c>
      <c r="T30" s="19" t="str">
        <f>"329,8485"</f>
        <v>329,8485</v>
      </c>
      <c r="U30" s="17" t="s">
        <v>338</v>
      </c>
    </row>
    <row r="31" spans="1:21">
      <c r="A31" s="14" t="s">
        <v>590</v>
      </c>
      <c r="B31" s="14" t="s">
        <v>591</v>
      </c>
      <c r="C31" s="14" t="s">
        <v>592</v>
      </c>
      <c r="D31" s="14" t="str">
        <f>"0,6760"</f>
        <v>0,6760</v>
      </c>
      <c r="E31" s="14" t="s">
        <v>82</v>
      </c>
      <c r="F31" s="14" t="s">
        <v>376</v>
      </c>
      <c r="G31" s="16" t="s">
        <v>24</v>
      </c>
      <c r="H31" s="15" t="s">
        <v>24</v>
      </c>
      <c r="I31" s="15" t="s">
        <v>127</v>
      </c>
      <c r="J31" s="16"/>
      <c r="K31" s="15" t="s">
        <v>203</v>
      </c>
      <c r="L31" s="15" t="s">
        <v>160</v>
      </c>
      <c r="M31" s="15" t="s">
        <v>593</v>
      </c>
      <c r="N31" s="16"/>
      <c r="O31" s="15" t="s">
        <v>54</v>
      </c>
      <c r="P31" s="15" t="s">
        <v>65</v>
      </c>
      <c r="Q31" s="15" t="s">
        <v>594</v>
      </c>
      <c r="R31" s="16"/>
      <c r="S31" s="14" t="str">
        <f>"379,0"</f>
        <v>379,0</v>
      </c>
      <c r="T31" s="15" t="str">
        <f>"256,2040"</f>
        <v>256,2040</v>
      </c>
      <c r="U31" s="14" t="s">
        <v>58</v>
      </c>
    </row>
    <row r="33" spans="1:21" ht="15">
      <c r="A33" s="77" t="s">
        <v>31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</row>
    <row r="34" spans="1:21">
      <c r="A34" s="11" t="s">
        <v>595</v>
      </c>
      <c r="B34" s="11" t="s">
        <v>596</v>
      </c>
      <c r="C34" s="11" t="s">
        <v>597</v>
      </c>
      <c r="D34" s="11" t="str">
        <f>"0,6290"</f>
        <v>0,6290</v>
      </c>
      <c r="E34" s="11" t="s">
        <v>82</v>
      </c>
      <c r="F34" s="11" t="s">
        <v>89</v>
      </c>
      <c r="G34" s="13" t="s">
        <v>103</v>
      </c>
      <c r="H34" s="13" t="s">
        <v>103</v>
      </c>
      <c r="I34" s="13" t="s">
        <v>103</v>
      </c>
      <c r="J34" s="13"/>
      <c r="K34" s="13" t="s">
        <v>110</v>
      </c>
      <c r="L34" s="13"/>
      <c r="M34" s="13"/>
      <c r="N34" s="13"/>
      <c r="O34" s="13" t="s">
        <v>110</v>
      </c>
      <c r="P34" s="13"/>
      <c r="Q34" s="13"/>
      <c r="R34" s="13"/>
      <c r="S34" s="11" t="str">
        <f>"0,0"</f>
        <v>0,0</v>
      </c>
      <c r="T34" s="12" t="str">
        <f>"0,0000"</f>
        <v>0,0000</v>
      </c>
      <c r="U34" s="11" t="s">
        <v>598</v>
      </c>
    </row>
    <row r="35" spans="1:21">
      <c r="A35" s="17" t="s">
        <v>600</v>
      </c>
      <c r="B35" s="17" t="s">
        <v>601</v>
      </c>
      <c r="C35" s="17" t="s">
        <v>420</v>
      </c>
      <c r="D35" s="17" t="str">
        <f>"0,6219"</f>
        <v>0,6219</v>
      </c>
      <c r="E35" s="17" t="s">
        <v>20</v>
      </c>
      <c r="F35" s="17" t="s">
        <v>21</v>
      </c>
      <c r="G35" s="18" t="s">
        <v>39</v>
      </c>
      <c r="H35" s="19" t="s">
        <v>39</v>
      </c>
      <c r="I35" s="18" t="s">
        <v>42</v>
      </c>
      <c r="J35" s="18"/>
      <c r="K35" s="19" t="s">
        <v>548</v>
      </c>
      <c r="L35" s="19" t="s">
        <v>24</v>
      </c>
      <c r="M35" s="18" t="s">
        <v>127</v>
      </c>
      <c r="N35" s="18"/>
      <c r="O35" s="19" t="s">
        <v>295</v>
      </c>
      <c r="P35" s="19" t="s">
        <v>121</v>
      </c>
      <c r="Q35" s="19" t="s">
        <v>116</v>
      </c>
      <c r="R35" s="18"/>
      <c r="S35" s="17" t="str">
        <f>"585,0"</f>
        <v>585,0</v>
      </c>
      <c r="T35" s="19" t="str">
        <f>"363,8115"</f>
        <v>363,8115</v>
      </c>
      <c r="U35" s="17" t="s">
        <v>128</v>
      </c>
    </row>
    <row r="36" spans="1:21">
      <c r="A36" s="17" t="s">
        <v>603</v>
      </c>
      <c r="B36" s="17" t="s">
        <v>604</v>
      </c>
      <c r="C36" s="17" t="s">
        <v>335</v>
      </c>
      <c r="D36" s="17" t="str">
        <f>"0,6295"</f>
        <v>0,6295</v>
      </c>
      <c r="E36" s="17" t="s">
        <v>605</v>
      </c>
      <c r="F36" s="17" t="s">
        <v>435</v>
      </c>
      <c r="G36" s="19" t="s">
        <v>64</v>
      </c>
      <c r="H36" s="19" t="s">
        <v>65</v>
      </c>
      <c r="I36" s="19" t="s">
        <v>66</v>
      </c>
      <c r="J36" s="18"/>
      <c r="K36" s="19" t="s">
        <v>24</v>
      </c>
      <c r="L36" s="18" t="s">
        <v>578</v>
      </c>
      <c r="M36" s="19" t="s">
        <v>578</v>
      </c>
      <c r="N36" s="18"/>
      <c r="O36" s="19" t="s">
        <v>65</v>
      </c>
      <c r="P36" s="19" t="s">
        <v>74</v>
      </c>
      <c r="Q36" s="19" t="s">
        <v>22</v>
      </c>
      <c r="R36" s="18"/>
      <c r="S36" s="17" t="str">
        <f>"467,0"</f>
        <v>467,0</v>
      </c>
      <c r="T36" s="19" t="str">
        <f>"293,9765"</f>
        <v>293,9765</v>
      </c>
      <c r="U36" s="17" t="s">
        <v>606</v>
      </c>
    </row>
    <row r="37" spans="1:21">
      <c r="A37" s="17" t="s">
        <v>607</v>
      </c>
      <c r="B37" s="17" t="s">
        <v>608</v>
      </c>
      <c r="C37" s="17" t="s">
        <v>609</v>
      </c>
      <c r="D37" s="17" t="str">
        <f>"0,6327"</f>
        <v>0,6327</v>
      </c>
      <c r="E37" s="17" t="s">
        <v>82</v>
      </c>
      <c r="F37" s="17" t="s">
        <v>89</v>
      </c>
      <c r="G37" s="18" t="s">
        <v>74</v>
      </c>
      <c r="H37" s="18" t="s">
        <v>74</v>
      </c>
      <c r="I37" s="18" t="s">
        <v>74</v>
      </c>
      <c r="J37" s="18"/>
      <c r="K37" s="19" t="s">
        <v>102</v>
      </c>
      <c r="L37" s="19" t="s">
        <v>24</v>
      </c>
      <c r="M37" s="18" t="s">
        <v>610</v>
      </c>
      <c r="N37" s="18"/>
      <c r="O37" s="18" t="s">
        <v>110</v>
      </c>
      <c r="P37" s="18"/>
      <c r="Q37" s="18"/>
      <c r="R37" s="18"/>
      <c r="S37" s="17" t="str">
        <f>"0,0"</f>
        <v>0,0</v>
      </c>
      <c r="T37" s="19" t="str">
        <f>"0,0000"</f>
        <v>0,0000</v>
      </c>
      <c r="U37" s="17" t="s">
        <v>58</v>
      </c>
    </row>
    <row r="38" spans="1:21">
      <c r="A38" s="14" t="s">
        <v>612</v>
      </c>
      <c r="B38" s="14" t="s">
        <v>613</v>
      </c>
      <c r="C38" s="14" t="s">
        <v>35</v>
      </c>
      <c r="D38" s="14" t="str">
        <f>"0,6193"</f>
        <v>0,6193</v>
      </c>
      <c r="E38" s="14" t="s">
        <v>82</v>
      </c>
      <c r="F38" s="14" t="s">
        <v>89</v>
      </c>
      <c r="G38" s="16" t="s">
        <v>614</v>
      </c>
      <c r="H38" s="15" t="s">
        <v>614</v>
      </c>
      <c r="I38" s="15" t="s">
        <v>54</v>
      </c>
      <c r="J38" s="16"/>
      <c r="K38" s="16" t="s">
        <v>548</v>
      </c>
      <c r="L38" s="15" t="s">
        <v>548</v>
      </c>
      <c r="M38" s="16" t="s">
        <v>24</v>
      </c>
      <c r="N38" s="16"/>
      <c r="O38" s="15" t="s">
        <v>65</v>
      </c>
      <c r="P38" s="15" t="s">
        <v>66</v>
      </c>
      <c r="Q38" s="16" t="s">
        <v>110</v>
      </c>
      <c r="R38" s="16"/>
      <c r="S38" s="14" t="str">
        <f>"420,0"</f>
        <v>420,0</v>
      </c>
      <c r="T38" s="15" t="str">
        <f>"314,4682"</f>
        <v>314,4682</v>
      </c>
      <c r="U38" s="14" t="s">
        <v>598</v>
      </c>
    </row>
    <row r="40" spans="1:21" ht="15">
      <c r="A40" s="77" t="s">
        <v>59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</row>
    <row r="41" spans="1:21">
      <c r="A41" s="11" t="s">
        <v>616</v>
      </c>
      <c r="B41" s="11" t="s">
        <v>617</v>
      </c>
      <c r="C41" s="11" t="s">
        <v>221</v>
      </c>
      <c r="D41" s="11" t="str">
        <f>"0,5939"</f>
        <v>0,5939</v>
      </c>
      <c r="E41" s="11" t="s">
        <v>82</v>
      </c>
      <c r="F41" s="11" t="s">
        <v>51</v>
      </c>
      <c r="G41" s="12" t="s">
        <v>23</v>
      </c>
      <c r="H41" s="13" t="s">
        <v>53</v>
      </c>
      <c r="I41" s="13" t="s">
        <v>618</v>
      </c>
      <c r="J41" s="13"/>
      <c r="K41" s="12" t="s">
        <v>64</v>
      </c>
      <c r="L41" s="12" t="s">
        <v>139</v>
      </c>
      <c r="M41" s="13" t="s">
        <v>66</v>
      </c>
      <c r="N41" s="13"/>
      <c r="O41" s="12" t="s">
        <v>27</v>
      </c>
      <c r="P41" s="12" t="s">
        <v>295</v>
      </c>
      <c r="Q41" s="12" t="s">
        <v>121</v>
      </c>
      <c r="R41" s="13"/>
      <c r="S41" s="11" t="str">
        <f>"602,5"</f>
        <v>602,5</v>
      </c>
      <c r="T41" s="12" t="str">
        <f>"364,9813"</f>
        <v>364,9813</v>
      </c>
      <c r="U41" s="11" t="s">
        <v>58</v>
      </c>
    </row>
    <row r="42" spans="1:21">
      <c r="A42" s="17" t="s">
        <v>620</v>
      </c>
      <c r="B42" s="17" t="s">
        <v>621</v>
      </c>
      <c r="C42" s="17" t="s">
        <v>622</v>
      </c>
      <c r="D42" s="17" t="str">
        <f>"0,5914"</f>
        <v>0,5914</v>
      </c>
      <c r="E42" s="17" t="s">
        <v>82</v>
      </c>
      <c r="F42" s="17" t="s">
        <v>83</v>
      </c>
      <c r="G42" s="19" t="s">
        <v>66</v>
      </c>
      <c r="H42" s="19" t="s">
        <v>74</v>
      </c>
      <c r="I42" s="18" t="s">
        <v>22</v>
      </c>
      <c r="J42" s="18"/>
      <c r="K42" s="19" t="s">
        <v>548</v>
      </c>
      <c r="L42" s="19" t="s">
        <v>24</v>
      </c>
      <c r="M42" s="18" t="s">
        <v>127</v>
      </c>
      <c r="N42" s="18"/>
      <c r="O42" s="19" t="s">
        <v>39</v>
      </c>
      <c r="P42" s="19" t="s">
        <v>42</v>
      </c>
      <c r="Q42" s="18"/>
      <c r="R42" s="18"/>
      <c r="S42" s="17" t="str">
        <f>"500,0"</f>
        <v>500,0</v>
      </c>
      <c r="T42" s="19" t="str">
        <f>"301,6140"</f>
        <v>301,6140</v>
      </c>
      <c r="U42" s="17" t="s">
        <v>58</v>
      </c>
    </row>
    <row r="43" spans="1:21">
      <c r="A43" s="17" t="s">
        <v>624</v>
      </c>
      <c r="B43" s="17" t="s">
        <v>625</v>
      </c>
      <c r="C43" s="17" t="s">
        <v>344</v>
      </c>
      <c r="D43" s="17" t="str">
        <f>"0,5853"</f>
        <v>0,5853</v>
      </c>
      <c r="E43" s="17" t="s">
        <v>605</v>
      </c>
      <c r="F43" s="17" t="s">
        <v>435</v>
      </c>
      <c r="G43" s="19" t="s">
        <v>74</v>
      </c>
      <c r="H43" s="19" t="s">
        <v>22</v>
      </c>
      <c r="I43" s="18" t="s">
        <v>23</v>
      </c>
      <c r="J43" s="18"/>
      <c r="K43" s="19" t="s">
        <v>24</v>
      </c>
      <c r="L43" s="19" t="s">
        <v>127</v>
      </c>
      <c r="M43" s="18" t="s">
        <v>578</v>
      </c>
      <c r="N43" s="18"/>
      <c r="O43" s="19" t="s">
        <v>22</v>
      </c>
      <c r="P43" s="19" t="s">
        <v>23</v>
      </c>
      <c r="Q43" s="19" t="s">
        <v>53</v>
      </c>
      <c r="R43" s="18"/>
      <c r="S43" s="17" t="str">
        <f>"510,0"</f>
        <v>510,0</v>
      </c>
      <c r="T43" s="19" t="str">
        <f>"298,5030"</f>
        <v>298,5030</v>
      </c>
      <c r="U43" s="17" t="s">
        <v>626</v>
      </c>
    </row>
    <row r="44" spans="1:21">
      <c r="A44" s="14" t="s">
        <v>628</v>
      </c>
      <c r="B44" s="14" t="s">
        <v>629</v>
      </c>
      <c r="C44" s="14" t="s">
        <v>630</v>
      </c>
      <c r="D44" s="14" t="str">
        <f>"0,5930"</f>
        <v>0,5930</v>
      </c>
      <c r="E44" s="14" t="s">
        <v>526</v>
      </c>
      <c r="F44" s="14" t="s">
        <v>51</v>
      </c>
      <c r="G44" s="15" t="s">
        <v>65</v>
      </c>
      <c r="H44" s="16" t="s">
        <v>66</v>
      </c>
      <c r="I44" s="15" t="s">
        <v>66</v>
      </c>
      <c r="J44" s="16"/>
      <c r="K44" s="15" t="s">
        <v>496</v>
      </c>
      <c r="L44" s="15" t="s">
        <v>548</v>
      </c>
      <c r="M44" s="15" t="s">
        <v>631</v>
      </c>
      <c r="N44" s="16"/>
      <c r="O44" s="15" t="s">
        <v>39</v>
      </c>
      <c r="P44" s="16" t="s">
        <v>42</v>
      </c>
      <c r="Q44" s="15" t="s">
        <v>109</v>
      </c>
      <c r="R44" s="16"/>
      <c r="S44" s="14" t="str">
        <f>"497,0"</f>
        <v>497,0</v>
      </c>
      <c r="T44" s="15" t="str">
        <f>"294,7210"</f>
        <v>294,7210</v>
      </c>
      <c r="U44" s="14" t="s">
        <v>58</v>
      </c>
    </row>
    <row r="46" spans="1:21" ht="15">
      <c r="A46" s="77" t="s">
        <v>94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</row>
    <row r="47" spans="1:21">
      <c r="A47" s="11" t="s">
        <v>633</v>
      </c>
      <c r="B47" s="11" t="s">
        <v>634</v>
      </c>
      <c r="C47" s="11" t="s">
        <v>635</v>
      </c>
      <c r="D47" s="11" t="str">
        <f>"0,5666"</f>
        <v>0,5666</v>
      </c>
      <c r="E47" s="11" t="s">
        <v>605</v>
      </c>
      <c r="F47" s="11" t="s">
        <v>435</v>
      </c>
      <c r="G47" s="12" t="s">
        <v>24</v>
      </c>
      <c r="H47" s="12" t="s">
        <v>25</v>
      </c>
      <c r="I47" s="13" t="s">
        <v>64</v>
      </c>
      <c r="J47" s="13"/>
      <c r="K47" s="12" t="s">
        <v>527</v>
      </c>
      <c r="L47" s="12" t="s">
        <v>487</v>
      </c>
      <c r="M47" s="12" t="s">
        <v>169</v>
      </c>
      <c r="N47" s="13"/>
      <c r="O47" s="12" t="s">
        <v>24</v>
      </c>
      <c r="P47" s="12" t="s">
        <v>64</v>
      </c>
      <c r="Q47" s="12" t="s">
        <v>65</v>
      </c>
      <c r="R47" s="13"/>
      <c r="S47" s="11" t="str">
        <f>"355,0"</f>
        <v>355,0</v>
      </c>
      <c r="T47" s="12" t="str">
        <f>"237,3488"</f>
        <v>237,3488</v>
      </c>
      <c r="U47" s="11" t="s">
        <v>606</v>
      </c>
    </row>
    <row r="48" spans="1:21">
      <c r="A48" s="17" t="s">
        <v>637</v>
      </c>
      <c r="B48" s="17" t="s">
        <v>638</v>
      </c>
      <c r="C48" s="17" t="s">
        <v>639</v>
      </c>
      <c r="D48" s="17" t="str">
        <f>"0,5810"</f>
        <v>0,5810</v>
      </c>
      <c r="E48" s="17" t="s">
        <v>82</v>
      </c>
      <c r="F48" s="17" t="s">
        <v>640</v>
      </c>
      <c r="G48" s="19" t="s">
        <v>39</v>
      </c>
      <c r="H48" s="19" t="s">
        <v>42</v>
      </c>
      <c r="I48" s="18" t="s">
        <v>67</v>
      </c>
      <c r="J48" s="18"/>
      <c r="K48" s="19" t="s">
        <v>548</v>
      </c>
      <c r="L48" s="19" t="s">
        <v>127</v>
      </c>
      <c r="M48" s="18" t="s">
        <v>25</v>
      </c>
      <c r="N48" s="18"/>
      <c r="O48" s="19" t="s">
        <v>145</v>
      </c>
      <c r="P48" s="18" t="s">
        <v>27</v>
      </c>
      <c r="Q48" s="19" t="s">
        <v>28</v>
      </c>
      <c r="R48" s="18"/>
      <c r="S48" s="17" t="str">
        <f>"590,0"</f>
        <v>590,0</v>
      </c>
      <c r="T48" s="19" t="str">
        <f>"342,7900"</f>
        <v>342,7900</v>
      </c>
      <c r="U48" s="17" t="s">
        <v>641</v>
      </c>
    </row>
    <row r="49" spans="1:21">
      <c r="A49" s="17" t="s">
        <v>643</v>
      </c>
      <c r="B49" s="17" t="s">
        <v>644</v>
      </c>
      <c r="C49" s="17" t="s">
        <v>126</v>
      </c>
      <c r="D49" s="17" t="str">
        <f>"0,5548"</f>
        <v>0,5548</v>
      </c>
      <c r="E49" s="17" t="s">
        <v>82</v>
      </c>
      <c r="F49" s="17" t="s">
        <v>259</v>
      </c>
      <c r="G49" s="19" t="s">
        <v>39</v>
      </c>
      <c r="H49" s="19" t="s">
        <v>42</v>
      </c>
      <c r="I49" s="19" t="s">
        <v>67</v>
      </c>
      <c r="J49" s="18"/>
      <c r="K49" s="19" t="s">
        <v>127</v>
      </c>
      <c r="L49" s="19" t="s">
        <v>26</v>
      </c>
      <c r="M49" s="19" t="s">
        <v>64</v>
      </c>
      <c r="N49" s="18"/>
      <c r="O49" s="19" t="s">
        <v>67</v>
      </c>
      <c r="P49" s="19" t="s">
        <v>145</v>
      </c>
      <c r="Q49" s="18" t="s">
        <v>44</v>
      </c>
      <c r="R49" s="18"/>
      <c r="S49" s="17" t="str">
        <f>"590,0"</f>
        <v>590,0</v>
      </c>
      <c r="T49" s="19" t="str">
        <f>"327,3320"</f>
        <v>327,3320</v>
      </c>
      <c r="U49" s="17" t="s">
        <v>58</v>
      </c>
    </row>
    <row r="50" spans="1:21">
      <c r="A50" s="14" t="s">
        <v>637</v>
      </c>
      <c r="B50" s="14" t="s">
        <v>645</v>
      </c>
      <c r="C50" s="14" t="s">
        <v>639</v>
      </c>
      <c r="D50" s="14" t="str">
        <f>"0,5810"</f>
        <v>0,5810</v>
      </c>
      <c r="E50" s="14" t="s">
        <v>82</v>
      </c>
      <c r="F50" s="14" t="s">
        <v>640</v>
      </c>
      <c r="G50" s="15" t="s">
        <v>39</v>
      </c>
      <c r="H50" s="15" t="s">
        <v>42</v>
      </c>
      <c r="I50" s="16" t="s">
        <v>67</v>
      </c>
      <c r="J50" s="16"/>
      <c r="K50" s="15" t="s">
        <v>548</v>
      </c>
      <c r="L50" s="15" t="s">
        <v>127</v>
      </c>
      <c r="M50" s="16" t="s">
        <v>25</v>
      </c>
      <c r="N50" s="16"/>
      <c r="O50" s="15" t="s">
        <v>145</v>
      </c>
      <c r="P50" s="16" t="s">
        <v>27</v>
      </c>
      <c r="Q50" s="15" t="s">
        <v>28</v>
      </c>
      <c r="R50" s="16"/>
      <c r="S50" s="14" t="str">
        <f>"590,0"</f>
        <v>590,0</v>
      </c>
      <c r="T50" s="15" t="str">
        <f>"382,8964"</f>
        <v>382,8964</v>
      </c>
      <c r="U50" s="14" t="s">
        <v>641</v>
      </c>
    </row>
    <row r="52" spans="1:21" ht="15">
      <c r="A52" s="77" t="s">
        <v>140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</row>
    <row r="53" spans="1:21">
      <c r="A53" s="8" t="s">
        <v>647</v>
      </c>
      <c r="B53" s="8" t="s">
        <v>648</v>
      </c>
      <c r="C53" s="8" t="s">
        <v>649</v>
      </c>
      <c r="D53" s="8" t="str">
        <f>"0,5128"</f>
        <v>0,5128</v>
      </c>
      <c r="E53" s="8" t="s">
        <v>82</v>
      </c>
      <c r="F53" s="8" t="s">
        <v>435</v>
      </c>
      <c r="G53" s="10" t="s">
        <v>27</v>
      </c>
      <c r="H53" s="10" t="s">
        <v>295</v>
      </c>
      <c r="I53" s="10" t="s">
        <v>121</v>
      </c>
      <c r="J53" s="9"/>
      <c r="K53" s="10" t="s">
        <v>22</v>
      </c>
      <c r="L53" s="10" t="s">
        <v>23</v>
      </c>
      <c r="M53" s="9" t="s">
        <v>52</v>
      </c>
      <c r="N53" s="9"/>
      <c r="O53" s="10" t="s">
        <v>122</v>
      </c>
      <c r="P53" s="10" t="s">
        <v>299</v>
      </c>
      <c r="Q53" s="10" t="s">
        <v>300</v>
      </c>
      <c r="R53" s="9"/>
      <c r="S53" s="8" t="str">
        <f>"750,0"</f>
        <v>750,0</v>
      </c>
      <c r="T53" s="10" t="str">
        <f>"384,6300"</f>
        <v>384,6300</v>
      </c>
      <c r="U53" s="8" t="s">
        <v>58</v>
      </c>
    </row>
    <row r="55" spans="1:21" ht="15">
      <c r="E55" s="20" t="s">
        <v>146</v>
      </c>
    </row>
    <row r="56" spans="1:21" ht="15">
      <c r="E56" s="20" t="s">
        <v>147</v>
      </c>
    </row>
    <row r="57" spans="1:21" ht="15">
      <c r="E57" s="20" t="s">
        <v>148</v>
      </c>
    </row>
    <row r="58" spans="1:21" ht="15">
      <c r="E58" s="20" t="s">
        <v>149</v>
      </c>
    </row>
    <row r="59" spans="1:21" ht="15">
      <c r="E59" s="20" t="s">
        <v>149</v>
      </c>
    </row>
    <row r="60" spans="1:21" ht="15">
      <c r="E60" s="20" t="s">
        <v>150</v>
      </c>
    </row>
    <row r="61" spans="1:21" ht="15">
      <c r="E61" s="20"/>
    </row>
    <row r="63" spans="1:21" ht="18">
      <c r="A63" s="21" t="s">
        <v>151</v>
      </c>
      <c r="B63" s="21"/>
    </row>
    <row r="64" spans="1:21" ht="15">
      <c r="A64" s="22" t="s">
        <v>261</v>
      </c>
      <c r="B64" s="22"/>
    </row>
    <row r="65" spans="1:5" ht="14.25">
      <c r="A65" s="24"/>
      <c r="B65" s="25" t="s">
        <v>650</v>
      </c>
    </row>
    <row r="66" spans="1:5" ht="15">
      <c r="A66" s="26" t="s">
        <v>154</v>
      </c>
      <c r="B66" s="26" t="s">
        <v>155</v>
      </c>
      <c r="C66" s="26" t="s">
        <v>156</v>
      </c>
      <c r="D66" s="26" t="s">
        <v>157</v>
      </c>
      <c r="E66" s="26" t="s">
        <v>158</v>
      </c>
    </row>
    <row r="67" spans="1:5">
      <c r="A67" s="23" t="s">
        <v>478</v>
      </c>
      <c r="B67" s="5" t="s">
        <v>651</v>
      </c>
      <c r="C67" s="5" t="s">
        <v>652</v>
      </c>
      <c r="D67" s="5" t="s">
        <v>74</v>
      </c>
      <c r="E67" s="27" t="s">
        <v>653</v>
      </c>
    </row>
    <row r="68" spans="1:5">
      <c r="A68" s="23" t="s">
        <v>512</v>
      </c>
      <c r="B68" s="5" t="s">
        <v>306</v>
      </c>
      <c r="C68" s="5" t="s">
        <v>484</v>
      </c>
      <c r="D68" s="5" t="s">
        <v>74</v>
      </c>
      <c r="E68" s="27" t="s">
        <v>654</v>
      </c>
    </row>
    <row r="70" spans="1:5" ht="14.25">
      <c r="A70" s="24"/>
      <c r="B70" s="25" t="s">
        <v>655</v>
      </c>
    </row>
    <row r="71" spans="1:5" ht="15">
      <c r="A71" s="26" t="s">
        <v>154</v>
      </c>
      <c r="B71" s="26" t="s">
        <v>155</v>
      </c>
      <c r="C71" s="26" t="s">
        <v>156</v>
      </c>
      <c r="D71" s="26" t="s">
        <v>157</v>
      </c>
      <c r="E71" s="26" t="s">
        <v>158</v>
      </c>
    </row>
    <row r="72" spans="1:5">
      <c r="A72" s="23" t="s">
        <v>522</v>
      </c>
      <c r="B72" s="5" t="s">
        <v>164</v>
      </c>
      <c r="C72" s="5" t="s">
        <v>484</v>
      </c>
      <c r="D72" s="5" t="s">
        <v>134</v>
      </c>
      <c r="E72" s="27" t="s">
        <v>656</v>
      </c>
    </row>
    <row r="74" spans="1:5" ht="14.25">
      <c r="A74" s="24"/>
      <c r="B74" s="25" t="s">
        <v>168</v>
      </c>
    </row>
    <row r="75" spans="1:5" ht="15">
      <c r="A75" s="26" t="s">
        <v>154</v>
      </c>
      <c r="B75" s="26" t="s">
        <v>155</v>
      </c>
      <c r="C75" s="26" t="s">
        <v>156</v>
      </c>
      <c r="D75" s="26" t="s">
        <v>157</v>
      </c>
      <c r="E75" s="26" t="s">
        <v>158</v>
      </c>
    </row>
    <row r="76" spans="1:5">
      <c r="A76" s="23" t="s">
        <v>537</v>
      </c>
      <c r="B76" s="5" t="s">
        <v>168</v>
      </c>
      <c r="C76" s="5" t="s">
        <v>307</v>
      </c>
      <c r="D76" s="5" t="s">
        <v>657</v>
      </c>
      <c r="E76" s="27" t="s">
        <v>658</v>
      </c>
    </row>
    <row r="77" spans="1:5">
      <c r="A77" s="23" t="s">
        <v>544</v>
      </c>
      <c r="B77" s="5" t="s">
        <v>168</v>
      </c>
      <c r="C77" s="5" t="s">
        <v>307</v>
      </c>
      <c r="D77" s="5" t="s">
        <v>425</v>
      </c>
      <c r="E77" s="27" t="s">
        <v>659</v>
      </c>
    </row>
    <row r="78" spans="1:5">
      <c r="A78" s="23" t="s">
        <v>490</v>
      </c>
      <c r="B78" s="5" t="s">
        <v>168</v>
      </c>
      <c r="C78" s="5" t="s">
        <v>652</v>
      </c>
      <c r="D78" s="5" t="s">
        <v>115</v>
      </c>
      <c r="E78" s="27" t="s">
        <v>660</v>
      </c>
    </row>
    <row r="79" spans="1:5">
      <c r="A79" s="23" t="s">
        <v>498</v>
      </c>
      <c r="B79" s="5" t="s">
        <v>168</v>
      </c>
      <c r="C79" s="5" t="s">
        <v>652</v>
      </c>
      <c r="D79" s="5" t="s">
        <v>115</v>
      </c>
      <c r="E79" s="27" t="s">
        <v>661</v>
      </c>
    </row>
    <row r="80" spans="1:5">
      <c r="A80" s="23" t="s">
        <v>549</v>
      </c>
      <c r="B80" s="5" t="s">
        <v>168</v>
      </c>
      <c r="C80" s="5" t="s">
        <v>307</v>
      </c>
      <c r="D80" s="5" t="s">
        <v>29</v>
      </c>
      <c r="E80" s="27" t="s">
        <v>662</v>
      </c>
    </row>
    <row r="81" spans="1:5">
      <c r="A81" s="23" t="s">
        <v>532</v>
      </c>
      <c r="B81" s="5" t="s">
        <v>168</v>
      </c>
      <c r="C81" s="5" t="s">
        <v>484</v>
      </c>
      <c r="D81" s="5" t="s">
        <v>109</v>
      </c>
      <c r="E81" s="27" t="s">
        <v>663</v>
      </c>
    </row>
    <row r="84" spans="1:5" ht="15">
      <c r="A84" s="22" t="s">
        <v>152</v>
      </c>
      <c r="B84" s="22"/>
    </row>
    <row r="85" spans="1:5" ht="14.25">
      <c r="A85" s="24"/>
      <c r="B85" s="25" t="s">
        <v>153</v>
      </c>
    </row>
    <row r="86" spans="1:5" ht="15">
      <c r="A86" s="26" t="s">
        <v>154</v>
      </c>
      <c r="B86" s="26" t="s">
        <v>155</v>
      </c>
      <c r="C86" s="26" t="s">
        <v>156</v>
      </c>
      <c r="D86" s="26" t="s">
        <v>157</v>
      </c>
      <c r="E86" s="26" t="s">
        <v>158</v>
      </c>
    </row>
    <row r="87" spans="1:5">
      <c r="A87" s="23" t="s">
        <v>580</v>
      </c>
      <c r="B87" s="5" t="s">
        <v>651</v>
      </c>
      <c r="C87" s="5" t="s">
        <v>169</v>
      </c>
      <c r="D87" s="5" t="s">
        <v>664</v>
      </c>
      <c r="E87" s="27" t="s">
        <v>665</v>
      </c>
    </row>
    <row r="88" spans="1:5">
      <c r="A88" s="23" t="s">
        <v>555</v>
      </c>
      <c r="B88" s="5" t="s">
        <v>651</v>
      </c>
      <c r="C88" s="5" t="s">
        <v>307</v>
      </c>
      <c r="D88" s="5" t="s">
        <v>666</v>
      </c>
      <c r="E88" s="27" t="s">
        <v>667</v>
      </c>
    </row>
    <row r="89" spans="1:5">
      <c r="A89" s="23" t="s">
        <v>632</v>
      </c>
      <c r="B89" s="5" t="s">
        <v>306</v>
      </c>
      <c r="C89" s="5" t="s">
        <v>160</v>
      </c>
      <c r="D89" s="5" t="s">
        <v>668</v>
      </c>
      <c r="E89" s="27" t="s">
        <v>669</v>
      </c>
    </row>
    <row r="91" spans="1:5" ht="14.25">
      <c r="A91" s="24"/>
      <c r="B91" s="25" t="s">
        <v>163</v>
      </c>
    </row>
    <row r="92" spans="1:5" ht="15">
      <c r="A92" s="26" t="s">
        <v>154</v>
      </c>
      <c r="B92" s="26" t="s">
        <v>155</v>
      </c>
      <c r="C92" s="26" t="s">
        <v>156</v>
      </c>
      <c r="D92" s="26" t="s">
        <v>157</v>
      </c>
      <c r="E92" s="26" t="s">
        <v>158</v>
      </c>
    </row>
    <row r="93" spans="1:5">
      <c r="A93" s="23" t="s">
        <v>615</v>
      </c>
      <c r="B93" s="5" t="s">
        <v>164</v>
      </c>
      <c r="C93" s="5" t="s">
        <v>165</v>
      </c>
      <c r="D93" s="5" t="s">
        <v>670</v>
      </c>
      <c r="E93" s="27" t="s">
        <v>671</v>
      </c>
    </row>
    <row r="94" spans="1:5">
      <c r="A94" s="23" t="s">
        <v>619</v>
      </c>
      <c r="B94" s="5" t="s">
        <v>164</v>
      </c>
      <c r="C94" s="5" t="s">
        <v>165</v>
      </c>
      <c r="D94" s="5" t="s">
        <v>672</v>
      </c>
      <c r="E94" s="27" t="s">
        <v>673</v>
      </c>
    </row>
    <row r="96" spans="1:5" ht="14.25">
      <c r="A96" s="24"/>
      <c r="B96" s="25" t="s">
        <v>168</v>
      </c>
    </row>
    <row r="97" spans="1:5" ht="15">
      <c r="A97" s="26" t="s">
        <v>154</v>
      </c>
      <c r="B97" s="26" t="s">
        <v>155</v>
      </c>
      <c r="C97" s="26" t="s">
        <v>156</v>
      </c>
      <c r="D97" s="26" t="s">
        <v>157</v>
      </c>
      <c r="E97" s="26" t="s">
        <v>158</v>
      </c>
    </row>
    <row r="98" spans="1:5">
      <c r="A98" s="23" t="s">
        <v>646</v>
      </c>
      <c r="B98" s="5" t="s">
        <v>168</v>
      </c>
      <c r="C98" s="5" t="s">
        <v>64</v>
      </c>
      <c r="D98" s="5" t="s">
        <v>674</v>
      </c>
      <c r="E98" s="27" t="s">
        <v>675</v>
      </c>
    </row>
    <row r="99" spans="1:5">
      <c r="A99" s="23" t="s">
        <v>560</v>
      </c>
      <c r="B99" s="5" t="s">
        <v>168</v>
      </c>
      <c r="C99" s="5" t="s">
        <v>307</v>
      </c>
      <c r="D99" s="5" t="s">
        <v>676</v>
      </c>
      <c r="E99" s="27" t="s">
        <v>677</v>
      </c>
    </row>
    <row r="100" spans="1:5">
      <c r="A100" s="23" t="s">
        <v>599</v>
      </c>
      <c r="B100" s="5" t="s">
        <v>168</v>
      </c>
      <c r="C100" s="5" t="s">
        <v>174</v>
      </c>
      <c r="D100" s="5" t="s">
        <v>678</v>
      </c>
      <c r="E100" s="27" t="s">
        <v>679</v>
      </c>
    </row>
    <row r="101" spans="1:5">
      <c r="A101" s="23" t="s">
        <v>636</v>
      </c>
      <c r="B101" s="5" t="s">
        <v>168</v>
      </c>
      <c r="C101" s="5" t="s">
        <v>160</v>
      </c>
      <c r="D101" s="5" t="s">
        <v>183</v>
      </c>
      <c r="E101" s="27" t="s">
        <v>680</v>
      </c>
    </row>
    <row r="102" spans="1:5">
      <c r="A102" s="23" t="s">
        <v>585</v>
      </c>
      <c r="B102" s="5" t="s">
        <v>168</v>
      </c>
      <c r="C102" s="5" t="s">
        <v>169</v>
      </c>
      <c r="D102" s="5" t="s">
        <v>681</v>
      </c>
      <c r="E102" s="27" t="s">
        <v>682</v>
      </c>
    </row>
    <row r="103" spans="1:5">
      <c r="A103" s="23" t="s">
        <v>564</v>
      </c>
      <c r="B103" s="5" t="s">
        <v>168</v>
      </c>
      <c r="C103" s="5" t="s">
        <v>307</v>
      </c>
      <c r="D103" s="5" t="s">
        <v>683</v>
      </c>
      <c r="E103" s="27" t="s">
        <v>684</v>
      </c>
    </row>
    <row r="104" spans="1:5">
      <c r="A104" s="23" t="s">
        <v>642</v>
      </c>
      <c r="B104" s="5" t="s">
        <v>168</v>
      </c>
      <c r="C104" s="5" t="s">
        <v>160</v>
      </c>
      <c r="D104" s="5" t="s">
        <v>183</v>
      </c>
      <c r="E104" s="27" t="s">
        <v>685</v>
      </c>
    </row>
    <row r="105" spans="1:5">
      <c r="A105" s="23" t="s">
        <v>623</v>
      </c>
      <c r="B105" s="5" t="s">
        <v>168</v>
      </c>
      <c r="C105" s="5" t="s">
        <v>165</v>
      </c>
      <c r="D105" s="5" t="s">
        <v>686</v>
      </c>
      <c r="E105" s="27" t="s">
        <v>687</v>
      </c>
    </row>
    <row r="106" spans="1:5">
      <c r="A106" s="23" t="s">
        <v>627</v>
      </c>
      <c r="B106" s="5" t="s">
        <v>168</v>
      </c>
      <c r="C106" s="5" t="s">
        <v>165</v>
      </c>
      <c r="D106" s="5" t="s">
        <v>688</v>
      </c>
      <c r="E106" s="27" t="s">
        <v>689</v>
      </c>
    </row>
    <row r="107" spans="1:5">
      <c r="A107" s="23" t="s">
        <v>602</v>
      </c>
      <c r="B107" s="5" t="s">
        <v>168</v>
      </c>
      <c r="C107" s="5" t="s">
        <v>174</v>
      </c>
      <c r="D107" s="5" t="s">
        <v>690</v>
      </c>
      <c r="E107" s="27" t="s">
        <v>691</v>
      </c>
    </row>
    <row r="108" spans="1:5">
      <c r="A108" s="23" t="s">
        <v>589</v>
      </c>
      <c r="B108" s="5" t="s">
        <v>168</v>
      </c>
      <c r="C108" s="5" t="s">
        <v>169</v>
      </c>
      <c r="D108" s="5" t="s">
        <v>692</v>
      </c>
      <c r="E108" s="27" t="s">
        <v>693</v>
      </c>
    </row>
    <row r="110" spans="1:5" ht="14.25">
      <c r="A110" s="24"/>
      <c r="B110" s="25" t="s">
        <v>191</v>
      </c>
    </row>
    <row r="111" spans="1:5" ht="15">
      <c r="A111" s="26" t="s">
        <v>154</v>
      </c>
      <c r="B111" s="26" t="s">
        <v>155</v>
      </c>
      <c r="C111" s="26" t="s">
        <v>156</v>
      </c>
      <c r="D111" s="26" t="s">
        <v>157</v>
      </c>
      <c r="E111" s="26" t="s">
        <v>158</v>
      </c>
    </row>
    <row r="112" spans="1:5">
      <c r="A112" s="23" t="s">
        <v>573</v>
      </c>
      <c r="B112" s="5" t="s">
        <v>694</v>
      </c>
      <c r="C112" s="5" t="s">
        <v>307</v>
      </c>
      <c r="D112" s="5" t="s">
        <v>695</v>
      </c>
      <c r="E112" s="27" t="s">
        <v>696</v>
      </c>
    </row>
    <row r="113" spans="1:5">
      <c r="A113" s="23" t="s">
        <v>568</v>
      </c>
      <c r="B113" s="5" t="s">
        <v>697</v>
      </c>
      <c r="C113" s="5" t="s">
        <v>307</v>
      </c>
      <c r="D113" s="5" t="s">
        <v>698</v>
      </c>
      <c r="E113" s="27" t="s">
        <v>699</v>
      </c>
    </row>
    <row r="114" spans="1:5">
      <c r="A114" s="23" t="s">
        <v>636</v>
      </c>
      <c r="B114" s="5" t="s">
        <v>192</v>
      </c>
      <c r="C114" s="5" t="s">
        <v>160</v>
      </c>
      <c r="D114" s="5" t="s">
        <v>183</v>
      </c>
      <c r="E114" s="27" t="s">
        <v>700</v>
      </c>
    </row>
    <row r="115" spans="1:5">
      <c r="A115" s="23" t="s">
        <v>611</v>
      </c>
      <c r="B115" s="5" t="s">
        <v>697</v>
      </c>
      <c r="C115" s="5" t="s">
        <v>174</v>
      </c>
      <c r="D115" s="5" t="s">
        <v>701</v>
      </c>
      <c r="E115" s="27" t="s">
        <v>702</v>
      </c>
    </row>
  </sheetData>
  <mergeCells count="22">
    <mergeCell ref="A33:T33"/>
    <mergeCell ref="A40:T40"/>
    <mergeCell ref="A46:T46"/>
    <mergeCell ref="A52:T52"/>
    <mergeCell ref="A5:T5"/>
    <mergeCell ref="A11:T11"/>
    <mergeCell ref="A16:T16"/>
    <mergeCell ref="A21:T21"/>
    <mergeCell ref="A28:T2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Лист34</vt:lpstr>
      <vt:lpstr>Люб. присед софт экип.</vt:lpstr>
      <vt:lpstr>Люб. жим софт экип.</vt:lpstr>
      <vt:lpstr>Люб. ПЛ. софт экип.</vt:lpstr>
      <vt:lpstr>Люб. тяга 1.слой</vt:lpstr>
      <vt:lpstr>Люб. присед б.э.</vt:lpstr>
      <vt:lpstr>Люб. тяга б.э.</vt:lpstr>
      <vt:lpstr>Люб. жим б.э.</vt:lpstr>
      <vt:lpstr>Люб. ПЛ. б.э.</vt:lpstr>
      <vt:lpstr>ПРО жим софт экип. 3сл.</vt:lpstr>
      <vt:lpstr>ПРО жим софт экип.</vt:lpstr>
      <vt:lpstr>ПРО ПЛ. софт экип.</vt:lpstr>
      <vt:lpstr>ПРО тяга 1.слой</vt:lpstr>
      <vt:lpstr>ПРО ПЛ. мн.слой</vt:lpstr>
      <vt:lpstr>ПРО ПЛ. 1.слой</vt:lpstr>
      <vt:lpstr>ПРО тяга б.э.</vt:lpstr>
      <vt:lpstr>ПРО жим б.э.</vt:lpstr>
      <vt:lpstr>ПРО ПЛ. б.э.</vt:lpstr>
      <vt:lpstr>Люб.пауэрспорт</vt:lpstr>
      <vt:lpstr>ПРО пауэрспорт</vt:lpstr>
      <vt:lpstr>Люб. Нж</vt:lpstr>
      <vt:lpstr>ПРО Нж</vt:lpstr>
      <vt:lpstr>Люб. Рж 55кг</vt:lpstr>
      <vt:lpstr>Люб. Рж 75 кг</vt:lpstr>
      <vt:lpstr>ПРО Рж 100 кг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Андрей</cp:lastModifiedBy>
  <cp:lastPrinted>2015-07-16T19:10:53Z</cp:lastPrinted>
  <dcterms:created xsi:type="dcterms:W3CDTF">2002-06-16T13:36:44Z</dcterms:created>
  <dcterms:modified xsi:type="dcterms:W3CDTF">2018-05-15T09:00:59Z</dcterms:modified>
</cp:coreProperties>
</file>