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37" activeTab="40"/>
  </bookViews>
  <sheets>
    <sheet name="Лист35" sheetId="40" r:id="rId1"/>
    <sheet name="Люб. присед софт экип." sheetId="39" r:id="rId2"/>
    <sheet name="Люб. тяга софт экип." sheetId="38" r:id="rId3"/>
    <sheet name="Люб. присед мн.слой" sheetId="37" r:id="rId4"/>
    <sheet name="Люб. жим софт экип." sheetId="36" r:id="rId5"/>
    <sheet name="Люб. ПЛ. софт экип." sheetId="35" r:id="rId6"/>
    <sheet name="Люб. присед 1.слой" sheetId="34" r:id="rId7"/>
    <sheet name="Люб. тяга мн.слой" sheetId="33" r:id="rId8"/>
    <sheet name="Люб. тяга 1.слой" sheetId="32" r:id="rId9"/>
    <sheet name="Люб. присед б.э." sheetId="31" r:id="rId10"/>
    <sheet name="Люб. жим мн.слой" sheetId="30" r:id="rId11"/>
    <sheet name="Люб. ПЛ. мн.слой" sheetId="29" r:id="rId12"/>
    <sheet name="Люб. Военный жим" sheetId="28" r:id="rId13"/>
    <sheet name="Люб. жим 1.слой" sheetId="27" r:id="rId14"/>
    <sheet name="Люб. ПЛ. 1.слой" sheetId="26" r:id="rId15"/>
    <sheet name="Люб. тяга б.э." sheetId="25" r:id="rId16"/>
    <sheet name="Люб. жим б.э." sheetId="24" r:id="rId17"/>
    <sheet name="Люб. ПЛ. б.э." sheetId="23" r:id="rId18"/>
    <sheet name="Проф. Военный жим" sheetId="22" r:id="rId19"/>
    <sheet name="ПРО жим софт экип. 3сл." sheetId="21" r:id="rId20"/>
    <sheet name="ПРО присед софт экип." sheetId="20" r:id="rId21"/>
    <sheet name="ПРО тяга софт экип." sheetId="19" r:id="rId22"/>
    <sheet name="ПРО присед мн.слой" sheetId="18" r:id="rId23"/>
    <sheet name="ПРО жим софт экип." sheetId="17" r:id="rId24"/>
    <sheet name="ПРО ПЛ. софт экип." sheetId="16" r:id="rId25"/>
    <sheet name="ПРО присед 1.слой" sheetId="15" r:id="rId26"/>
    <sheet name="ПРО тяга мн.слой" sheetId="14" r:id="rId27"/>
    <sheet name="ПРО тяга 1.слой" sheetId="13" r:id="rId28"/>
    <sheet name="ПРО присед б.э." sheetId="12" r:id="rId29"/>
    <sheet name="ПРО жим мн.слой" sheetId="11" r:id="rId30"/>
    <sheet name="ПРО ПЛ. мн.слой" sheetId="10" r:id="rId31"/>
    <sheet name="ПРО жим 1.слой" sheetId="9" r:id="rId32"/>
    <sheet name="ПРО ПЛ. 1.слой" sheetId="8" r:id="rId33"/>
    <sheet name="ПРО тяга б.э." sheetId="7" r:id="rId34"/>
    <sheet name="ПРО жим б.э." sheetId="6" r:id="rId35"/>
    <sheet name="ПРО ПЛ. б.э." sheetId="5" r:id="rId36"/>
    <sheet name="Проф. народный жим 1_2 вес" sheetId="41" r:id="rId37"/>
    <sheet name="Проф. народный жим 1 вес" sheetId="42" r:id="rId38"/>
    <sheet name="Люб. народный жим 1_2 вес" sheetId="43" r:id="rId39"/>
    <sheet name="Люб. народный жим 1 вес" sheetId="44" r:id="rId40"/>
    <sheet name="Про. 150 кг." sheetId="45" r:id="rId41"/>
    <sheet name="Про. 125 кг." sheetId="46" r:id="rId42"/>
    <sheet name="Про. 100 кг." sheetId="47" r:id="rId43"/>
    <sheet name="Про. 75 кг." sheetId="48" r:id="rId44"/>
    <sheet name="0-00-19Про. 55 кг." sheetId="49" r:id="rId45"/>
    <sheet name="Про. 55 кг." sheetId="50" r:id="rId46"/>
    <sheet name="Люб. 125 кг." sheetId="51" r:id="rId47"/>
    <sheet name="Люб. 150 кг." sheetId="52" r:id="rId48"/>
    <sheet name="Люб. 100 кг." sheetId="53" r:id="rId49"/>
    <sheet name="Люб. 75 кг." sheetId="54" r:id="rId50"/>
    <sheet name="Люб. 55 кг." sheetId="55" r:id="rId51"/>
    <sheet name="Люб. 35 кг." sheetId="56" r:id="rId52"/>
  </sheets>
  <definedNames>
    <definedName name="_xlnm._FilterDatabase" localSheetId="51" hidden="1">'Люб. 35 кг.'!$A$1:$I$3</definedName>
    <definedName name="_xlnm._FilterDatabase" localSheetId="39" hidden="1">'Люб. народный жим 1 вес'!$A$1:$I$3</definedName>
    <definedName name="_xlnm._FilterDatabase" localSheetId="35" hidden="1">'ПРО ПЛ. б.э.'!$A$1:$S$3</definedName>
  </definedNames>
  <calcPr calcId="124519" refMode="R1C1"/>
</workbook>
</file>

<file path=xl/calcChain.xml><?xml version="1.0" encoding="utf-8"?>
<calcChain xmlns="http://schemas.openxmlformats.org/spreadsheetml/2006/main">
  <c r="I6" i="55"/>
  <c r="J6"/>
  <c r="I7"/>
  <c r="J7"/>
  <c r="I6" i="54"/>
  <c r="J6"/>
  <c r="I6" i="49"/>
  <c r="J6"/>
  <c r="I6" i="47"/>
  <c r="J6"/>
  <c r="I6" i="44"/>
  <c r="J6"/>
  <c r="I9"/>
  <c r="J9"/>
  <c r="I10"/>
  <c r="J10"/>
  <c r="I13"/>
  <c r="J13"/>
  <c r="I16"/>
  <c r="J16"/>
  <c r="I6" i="43"/>
  <c r="J6"/>
  <c r="I6" i="42"/>
  <c r="J6"/>
  <c r="I9"/>
  <c r="J9"/>
  <c r="I12"/>
  <c r="J12"/>
  <c r="I6" i="41"/>
  <c r="J6"/>
  <c r="L10" i="39"/>
  <c r="K10"/>
  <c r="L7"/>
  <c r="K7"/>
  <c r="L6"/>
  <c r="K6"/>
  <c r="L25" i="36"/>
  <c r="K25"/>
  <c r="L22"/>
  <c r="K22"/>
  <c r="L21"/>
  <c r="K21"/>
  <c r="L18"/>
  <c r="K18"/>
  <c r="L17"/>
  <c r="K17"/>
  <c r="L16"/>
  <c r="K16"/>
  <c r="L13"/>
  <c r="K13"/>
  <c r="L10"/>
  <c r="K10"/>
  <c r="L7"/>
  <c r="K7"/>
  <c r="L6"/>
  <c r="K6"/>
  <c r="T6" i="26"/>
  <c r="S6"/>
  <c r="L61" i="25"/>
  <c r="K61"/>
  <c r="L60"/>
  <c r="K60"/>
  <c r="L57"/>
  <c r="K57"/>
  <c r="L54"/>
  <c r="K54"/>
  <c r="L53"/>
  <c r="K53"/>
  <c r="L50"/>
  <c r="K50"/>
  <c r="L49"/>
  <c r="K49"/>
  <c r="L48"/>
  <c r="K48"/>
  <c r="L45"/>
  <c r="K45"/>
  <c r="L44"/>
  <c r="K44"/>
  <c r="L43"/>
  <c r="K43"/>
  <c r="L42"/>
  <c r="K42"/>
  <c r="L41"/>
  <c r="K41"/>
  <c r="L40"/>
  <c r="K40"/>
  <c r="L37"/>
  <c r="K37"/>
  <c r="L36"/>
  <c r="K36"/>
  <c r="L35"/>
  <c r="K35"/>
  <c r="L34"/>
  <c r="K34"/>
  <c r="L33"/>
  <c r="K33"/>
  <c r="L30"/>
  <c r="K30"/>
  <c r="L29"/>
  <c r="K29"/>
  <c r="L28"/>
  <c r="K28"/>
  <c r="L25"/>
  <c r="K25"/>
  <c r="L22"/>
  <c r="K22"/>
  <c r="L19"/>
  <c r="K19"/>
  <c r="L16"/>
  <c r="K16"/>
  <c r="L15"/>
  <c r="K15"/>
  <c r="L14"/>
  <c r="K14"/>
  <c r="L11"/>
  <c r="K11"/>
  <c r="L10"/>
  <c r="K10"/>
  <c r="L9"/>
  <c r="K9"/>
  <c r="L6"/>
  <c r="K6"/>
  <c r="L60" i="24"/>
  <c r="K60"/>
  <c r="L57"/>
  <c r="K57"/>
  <c r="L56"/>
  <c r="K56"/>
  <c r="L55"/>
  <c r="K55"/>
  <c r="L52"/>
  <c r="K52"/>
  <c r="L51"/>
  <c r="K51"/>
  <c r="L50"/>
  <c r="K50"/>
  <c r="L47"/>
  <c r="K47"/>
  <c r="L46"/>
  <c r="K46"/>
  <c r="L45"/>
  <c r="K45"/>
  <c r="L42"/>
  <c r="K42"/>
  <c r="L41"/>
  <c r="K41"/>
  <c r="L40"/>
  <c r="K40"/>
  <c r="L39"/>
  <c r="K39"/>
  <c r="L36"/>
  <c r="K36"/>
  <c r="L35"/>
  <c r="K35"/>
  <c r="L32"/>
  <c r="K32"/>
  <c r="L31"/>
  <c r="K31"/>
  <c r="L28"/>
  <c r="K28"/>
  <c r="L27"/>
  <c r="K27"/>
  <c r="L26"/>
  <c r="K26"/>
  <c r="L23"/>
  <c r="K23"/>
  <c r="L20"/>
  <c r="K20"/>
  <c r="L17"/>
  <c r="K17"/>
  <c r="L16"/>
  <c r="K16"/>
  <c r="L13"/>
  <c r="K13"/>
  <c r="L12"/>
  <c r="K12"/>
  <c r="L9"/>
  <c r="K9"/>
  <c r="L6"/>
  <c r="K6"/>
  <c r="T45" i="23"/>
  <c r="S45"/>
  <c r="T42"/>
  <c r="S42"/>
  <c r="T39"/>
  <c r="S39"/>
  <c r="T36"/>
  <c r="S36"/>
  <c r="T35"/>
  <c r="S35"/>
  <c r="T34"/>
  <c r="S34"/>
  <c r="T33"/>
  <c r="S33"/>
  <c r="T30"/>
  <c r="S30"/>
  <c r="T29"/>
  <c r="S29"/>
  <c r="T28"/>
  <c r="S28"/>
  <c r="T27"/>
  <c r="S27"/>
  <c r="T26"/>
  <c r="S26"/>
  <c r="T23"/>
  <c r="S23"/>
  <c r="T22"/>
  <c r="S22"/>
  <c r="T19"/>
  <c r="S19"/>
  <c r="T16"/>
  <c r="S16"/>
  <c r="T13"/>
  <c r="S13"/>
  <c r="T12"/>
  <c r="S12"/>
  <c r="T9"/>
  <c r="S9"/>
  <c r="T6"/>
  <c r="S6"/>
  <c r="L9" i="21"/>
  <c r="K9"/>
  <c r="L6"/>
  <c r="K6"/>
  <c r="L12" i="17"/>
  <c r="K12"/>
  <c r="L9"/>
  <c r="K9"/>
  <c r="L6"/>
  <c r="K6"/>
  <c r="T16" i="16"/>
  <c r="S16"/>
  <c r="T15"/>
  <c r="S15"/>
  <c r="T12"/>
  <c r="S12"/>
  <c r="T9"/>
  <c r="S9"/>
  <c r="T6"/>
  <c r="S6"/>
  <c r="L6" i="13"/>
  <c r="K6"/>
  <c r="T10" i="10"/>
  <c r="S10"/>
  <c r="T9"/>
  <c r="S9"/>
  <c r="T6"/>
  <c r="S6"/>
  <c r="L6" i="9"/>
  <c r="K6"/>
  <c r="L12" i="7"/>
  <c r="K12"/>
  <c r="L9"/>
  <c r="K9"/>
  <c r="L6"/>
  <c r="K6"/>
  <c r="L28" i="6"/>
  <c r="K28"/>
  <c r="L27"/>
  <c r="K27"/>
  <c r="L26"/>
  <c r="K26"/>
  <c r="L25"/>
  <c r="K25"/>
  <c r="L24"/>
  <c r="K24"/>
  <c r="L21"/>
  <c r="K21"/>
  <c r="L20"/>
  <c r="K20"/>
  <c r="L17"/>
  <c r="K17"/>
  <c r="L16"/>
  <c r="K16"/>
  <c r="L13"/>
  <c r="K13"/>
  <c r="L10"/>
  <c r="K10"/>
  <c r="L9"/>
  <c r="K9"/>
  <c r="L6"/>
  <c r="K6"/>
  <c r="T12" i="5"/>
  <c r="S12"/>
  <c r="T9"/>
  <c r="S9"/>
  <c r="T6"/>
  <c r="S6"/>
</calcChain>
</file>

<file path=xl/sharedStrings.xml><?xml version="1.0" encoding="utf-8"?>
<sst xmlns="http://schemas.openxmlformats.org/spreadsheetml/2006/main" count="3599" uniqueCount="1057">
  <si>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</si>
  <si>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</si>
  <si>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</si>
  <si>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</si>
  <si>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</si>
  <si>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</si>
  <si>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</si>
  <si>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</si>
  <si>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</si>
  <si>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</si>
  <si>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Коэф</t>
  </si>
  <si>
    <t>Город/область</t>
  </si>
  <si>
    <t>Соб.
Вес</t>
  </si>
  <si>
    <t>ОТКРЫТЫЙ ЧЕМПИОНАТ РОССИИ ПО ПАУЭРЛИФТИНГУ
ПРО пауэрлифтинг без экипировки
Краснодар/Краснодарский край 14 - 15 апреля 2018 г.</t>
  </si>
  <si>
    <t>Shv/Mel</t>
  </si>
  <si>
    <t>ВЕСОВАЯ КАТЕГОРИЯ   56</t>
  </si>
  <si>
    <t>Царёва Наталья</t>
  </si>
  <si>
    <t>1. Царёва Наталья</t>
  </si>
  <si>
    <t>Открытая (16.05.1979)/38</t>
  </si>
  <si>
    <t>55,60</t>
  </si>
  <si>
    <t xml:space="preserve">Olympia </t>
  </si>
  <si>
    <t xml:space="preserve">Туапсе/Краснодарский край </t>
  </si>
  <si>
    <t>95,0</t>
  </si>
  <si>
    <t>100,0</t>
  </si>
  <si>
    <t>105,0</t>
  </si>
  <si>
    <t>60,0</t>
  </si>
  <si>
    <t>65,0</t>
  </si>
  <si>
    <t>125,0</t>
  </si>
  <si>
    <t>130,0</t>
  </si>
  <si>
    <t>135,0</t>
  </si>
  <si>
    <t xml:space="preserve">Погосян </t>
  </si>
  <si>
    <t>ВЕСОВАЯ КАТЕГОРИЯ   90</t>
  </si>
  <si>
    <t>Дуйсембай Данияр</t>
  </si>
  <si>
    <t>-. Дуйсембай Данияр</t>
  </si>
  <si>
    <t>Открытая (31.01.1993)/25</t>
  </si>
  <si>
    <t>88,60</t>
  </si>
  <si>
    <t xml:space="preserve">Лично </t>
  </si>
  <si>
    <t xml:space="preserve">Краснодар/Краснодарский край </t>
  </si>
  <si>
    <t>180,0n</t>
  </si>
  <si>
    <t>195,0</t>
  </si>
  <si>
    <t>210,0</t>
  </si>
  <si>
    <t>130,0n</t>
  </si>
  <si>
    <t>140,0n</t>
  </si>
  <si>
    <t>145,0</t>
  </si>
  <si>
    <t>200,0n</t>
  </si>
  <si>
    <t>215,0n</t>
  </si>
  <si>
    <t>230,0</t>
  </si>
  <si>
    <t xml:space="preserve"> </t>
  </si>
  <si>
    <t>ВЕСОВАЯ КАТЕГОРИЯ   125</t>
  </si>
  <si>
    <t>Шавоев Яшар</t>
  </si>
  <si>
    <t>1. Шавоев Яшар</t>
  </si>
  <si>
    <t>Открытая (02.10.1986)/31</t>
  </si>
  <si>
    <t>120,70</t>
  </si>
  <si>
    <t xml:space="preserve">Фитнес стар </t>
  </si>
  <si>
    <t xml:space="preserve">Майкоп </t>
  </si>
  <si>
    <t>290,0</t>
  </si>
  <si>
    <t>310,0</t>
  </si>
  <si>
    <t>320,0</t>
  </si>
  <si>
    <t>170,0</t>
  </si>
  <si>
    <t>180,0</t>
  </si>
  <si>
    <t>185,0</t>
  </si>
  <si>
    <t>300,0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</si>
  <si>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</si>
  <si>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</si>
  <si>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</si>
  <si>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</si>
  <si>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</si>
  <si>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</si>
  <si>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</si>
  <si>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</si>
  <si>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</si>
  <si>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</si>
  <si>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</si>
  <si>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</si>
  <si>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</si>
  <si>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56,0</t>
  </si>
  <si>
    <t>275,2050</t>
  </si>
  <si>
    <t xml:space="preserve">Мужчины </t>
  </si>
  <si>
    <t>785,0</t>
  </si>
  <si>
    <t>413,1455</t>
  </si>
  <si>
    <t>90,0</t>
  </si>
  <si>
    <t>550,0</t>
  </si>
  <si>
    <t>325,0500</t>
  </si>
  <si>
    <t>ОТКРЫТЫЙ ЧЕМПИОНАТ РОССИИ ПО ПАУЭРЛИФТИНГУ
ПРО жим лежа без экипировки
Краснодар/Краснодарский край 14 - 15 апреля 2018 г.</t>
  </si>
  <si>
    <t>ВЕСОВАЯ КАТЕГОРИЯ   75</t>
  </si>
  <si>
    <t>Алампиев Сергей</t>
  </si>
  <si>
    <t>1. Алампиев Сергей</t>
  </si>
  <si>
    <t>Мастера 60 - 64 (07.04.1957)/61</t>
  </si>
  <si>
    <t>69,40</t>
  </si>
  <si>
    <t xml:space="preserve">Russia </t>
  </si>
  <si>
    <t xml:space="preserve">Шахты </t>
  </si>
  <si>
    <t>80,0</t>
  </si>
  <si>
    <t>85,0n</t>
  </si>
  <si>
    <t>90,0n</t>
  </si>
  <si>
    <t xml:space="preserve">Самостоятельно </t>
  </si>
  <si>
    <t>ВЕСОВАЯ КАТЕГОРИЯ   82.5</t>
  </si>
  <si>
    <t>Рукавишников Руслан</t>
  </si>
  <si>
    <t>1. Рукавишников Руслан</t>
  </si>
  <si>
    <t>Юниоры 20 - 23 (29.07.1994)/23</t>
  </si>
  <si>
    <t>81,00</t>
  </si>
  <si>
    <t xml:space="preserve">Тихорецк/Краснодарский край </t>
  </si>
  <si>
    <t>155,0</t>
  </si>
  <si>
    <t>155,0n</t>
  </si>
  <si>
    <t>165,0n</t>
  </si>
  <si>
    <t>Осауленко Аркадий</t>
  </si>
  <si>
    <t>1. Осауленко Аркадий</t>
  </si>
  <si>
    <t>Открытая (30.04.1987)/30</t>
  </si>
  <si>
    <t>81,30</t>
  </si>
  <si>
    <t xml:space="preserve">Ростов-на-Дону/Ростовская область </t>
  </si>
  <si>
    <t>150,0n</t>
  </si>
  <si>
    <t>160,0</t>
  </si>
  <si>
    <t>Исханян Сарибек</t>
  </si>
  <si>
    <t>1. Исханян Сарибек</t>
  </si>
  <si>
    <t>Открытая (31.12.1985)/32</t>
  </si>
  <si>
    <t>86,40</t>
  </si>
  <si>
    <t>160,0n</t>
  </si>
  <si>
    <t>ВЕСОВАЯ КАТЕГОРИЯ   100</t>
  </si>
  <si>
    <t>Коротченко Евгений</t>
  </si>
  <si>
    <t>1. Коротченко Евгений</t>
  </si>
  <si>
    <t>Юниоры 20 - 23 (03.04.1996)/22</t>
  </si>
  <si>
    <t>97,00</t>
  </si>
  <si>
    <t xml:space="preserve">Сочи/Краснодарский край </t>
  </si>
  <si>
    <t>170,0n</t>
  </si>
  <si>
    <t>175,0</t>
  </si>
  <si>
    <t>Изофатов Михаил</t>
  </si>
  <si>
    <t>1. Изофатов Михаил</t>
  </si>
  <si>
    <t>Мастера 40 - 44 (03.09.1977)/40</t>
  </si>
  <si>
    <t>95,60</t>
  </si>
  <si>
    <t xml:space="preserve">Горячий Ключ/Краснодарский край </t>
  </si>
  <si>
    <t>ВЕСОВАЯ КАТЕГОРИЯ   110</t>
  </si>
  <si>
    <t>Тараненко Иван</t>
  </si>
  <si>
    <t>1. Тараненко Иван</t>
  </si>
  <si>
    <t>Открытая (24.05.1986)/31</t>
  </si>
  <si>
    <t>108,10</t>
  </si>
  <si>
    <t>202,5</t>
  </si>
  <si>
    <t>Бондаренко Иван</t>
  </si>
  <si>
    <t>2. Бондаренко Иван</t>
  </si>
  <si>
    <t>Открытая (06.06.1986)/31</t>
  </si>
  <si>
    <t>108,30</t>
  </si>
  <si>
    <t xml:space="preserve">Славянск-на-Кубани/Краснодарский край </t>
  </si>
  <si>
    <t>Тозлиян Артур</t>
  </si>
  <si>
    <t>1. Тозлиян Артур</t>
  </si>
  <si>
    <t>Юниоры 20 - 23 (22.11.1996)/21</t>
  </si>
  <si>
    <t>121,00</t>
  </si>
  <si>
    <t xml:space="preserve">Чемпион </t>
  </si>
  <si>
    <t xml:space="preserve">Горячий ключ </t>
  </si>
  <si>
    <t>200,0</t>
  </si>
  <si>
    <t xml:space="preserve">Сизов андрей васильевич </t>
  </si>
  <si>
    <t>Кошкин Виктор</t>
  </si>
  <si>
    <t>1. Кошкин Виктор</t>
  </si>
  <si>
    <t>Открытая (26.02.1979)/39</t>
  </si>
  <si>
    <t>119,10</t>
  </si>
  <si>
    <t xml:space="preserve">форма </t>
  </si>
  <si>
    <t>190,0</t>
  </si>
  <si>
    <t>Сериков Илья</t>
  </si>
  <si>
    <t>2. Сериков Илья</t>
  </si>
  <si>
    <t>Открытая (16.07.1983)/34</t>
  </si>
  <si>
    <t>114,50</t>
  </si>
  <si>
    <t>175,0n</t>
  </si>
  <si>
    <t>190,0n</t>
  </si>
  <si>
    <t>Морозов Алексей</t>
  </si>
  <si>
    <t>3. Морозов Алексей</t>
  </si>
  <si>
    <t>Открытая (11.04.1979)/39</t>
  </si>
  <si>
    <t>119,20</t>
  </si>
  <si>
    <t>185,0n</t>
  </si>
  <si>
    <t>-. Ремнёв Василий</t>
  </si>
  <si>
    <t>Открытая (19.09.1978)/39</t>
  </si>
  <si>
    <t>120,00</t>
  </si>
  <si>
    <t xml:space="preserve">Light Fit </t>
  </si>
  <si>
    <t xml:space="preserve">Юниоры </t>
  </si>
  <si>
    <t xml:space="preserve">Юниоры 20 - 23 </t>
  </si>
  <si>
    <t>82,5</t>
  </si>
  <si>
    <t>165,0</t>
  </si>
  <si>
    <t>103,5045</t>
  </si>
  <si>
    <t>99,2562</t>
  </si>
  <si>
    <t>96,4782</t>
  </si>
  <si>
    <t>110,0</t>
  </si>
  <si>
    <t>107,7800</t>
  </si>
  <si>
    <t>105,5600</t>
  </si>
  <si>
    <t>101,0420</t>
  </si>
  <si>
    <t>97,6245</t>
  </si>
  <si>
    <t>96,0640</t>
  </si>
  <si>
    <t>150,0</t>
  </si>
  <si>
    <t>93,8550</t>
  </si>
  <si>
    <t>91,5620</t>
  </si>
  <si>
    <t xml:space="preserve">Мастера </t>
  </si>
  <si>
    <t xml:space="preserve">Мастера 60 - 64 </t>
  </si>
  <si>
    <t>75,0</t>
  </si>
  <si>
    <t>108,3699</t>
  </si>
  <si>
    <t xml:space="preserve">Мастера 40 - 44 </t>
  </si>
  <si>
    <t>96,2200</t>
  </si>
  <si>
    <t>Результат</t>
  </si>
  <si>
    <t>ОТКРЫТЫЙ ЧЕМПИОНАТ РОССИИ ПО ПАУЭРЛИФТИНГУ
ПРО становая тяга без экипировки
Краснодар/Краснодарский край 14 - 15 апреля 2018 г.</t>
  </si>
  <si>
    <t>Крят Игорь</t>
  </si>
  <si>
    <t>1. Крят Игорь</t>
  </si>
  <si>
    <t>Открытая (31.05.1988)/29</t>
  </si>
  <si>
    <t>87,70</t>
  </si>
  <si>
    <t xml:space="preserve">Тимашёвск/Краснодарский край </t>
  </si>
  <si>
    <t>260,0n</t>
  </si>
  <si>
    <t>267,5n</t>
  </si>
  <si>
    <t>270,0</t>
  </si>
  <si>
    <t>Ухоботов Владимир</t>
  </si>
  <si>
    <t>1. Ухоботов Владимир</t>
  </si>
  <si>
    <t>Открытая (18.06.1978)/39</t>
  </si>
  <si>
    <t>98,60</t>
  </si>
  <si>
    <t>195,0n</t>
  </si>
  <si>
    <t>210,0n</t>
  </si>
  <si>
    <t>Таловасов Анатолий</t>
  </si>
  <si>
    <t>1. Таловасов Анатолий</t>
  </si>
  <si>
    <t>Мастера 55 - 59 (01.12.1960)/57</t>
  </si>
  <si>
    <t>113,00</t>
  </si>
  <si>
    <t xml:space="preserve">П. тульский </t>
  </si>
  <si>
    <t>240,0</t>
  </si>
  <si>
    <t>245,0</t>
  </si>
  <si>
    <t>267,5</t>
  </si>
  <si>
    <t>159,0822</t>
  </si>
  <si>
    <t>117,0750</t>
  </si>
  <si>
    <t xml:space="preserve">Мастера 55 - 59 </t>
  </si>
  <si>
    <t>193,3383</t>
  </si>
  <si>
    <t>ОТКРЫТЫЙ ЧЕМПИОНАТ РОССИИ ПО ПАУЭРЛИФТИНГУ
ПРО пауэрлифтинг в однослойной экипировке
Краснодар/Краснодарский край 14 - 15 апреля 2018 г.</t>
  </si>
  <si>
    <t>ОТКРЫТЫЙ ЧЕМПИОНАТ РОССИИ ПО ПАУЭРЛИФТИНГУ
ПРО жим лежа в однослойной экипировке
Краснодар/Краснодарский край 14 - 15 апреля 2018 г.</t>
  </si>
  <si>
    <t>Оглы Александр</t>
  </si>
  <si>
    <t>1. Оглы Александр</t>
  </si>
  <si>
    <t>Открытая (31.03.1986)/32</t>
  </si>
  <si>
    <t>75,00</t>
  </si>
  <si>
    <t xml:space="preserve">SPORT LIFE </t>
  </si>
  <si>
    <t xml:space="preserve">Кропоткин/Краснодарский край </t>
  </si>
  <si>
    <t>182,5</t>
  </si>
  <si>
    <t xml:space="preserve">Космынин В. П. </t>
  </si>
  <si>
    <t>121,2712</t>
  </si>
  <si>
    <t>ОТКРЫТЫЙ ЧЕМПИОНАТ РОССИИ ПО ПАУЭРЛИФТИНГУ
ПРО пауэрлифтинг в многослойной экипировке
Краснодар/Краснодарский край 14 - 15 апреля 2018 г.</t>
  </si>
  <si>
    <t>Митрофанов Павел</t>
  </si>
  <si>
    <t>1. Митрофанов Павел</t>
  </si>
  <si>
    <t>Открытая (12.08.1983)/34</t>
  </si>
  <si>
    <t>100,00</t>
  </si>
  <si>
    <t>340,0</t>
  </si>
  <si>
    <t>370,0</t>
  </si>
  <si>
    <t>390,0</t>
  </si>
  <si>
    <t xml:space="preserve">Сизов андрей </t>
  </si>
  <si>
    <t>Винников Владимир</t>
  </si>
  <si>
    <t>1. Винников Владимир</t>
  </si>
  <si>
    <t>Открытая (28.08.1986)/31</t>
  </si>
  <si>
    <t>101,20</t>
  </si>
  <si>
    <t>250,0</t>
  </si>
  <si>
    <t>275,0</t>
  </si>
  <si>
    <t>255,0</t>
  </si>
  <si>
    <t>285,0</t>
  </si>
  <si>
    <t xml:space="preserve">Сизов А. В. </t>
  </si>
  <si>
    <t>Игошин Сергей</t>
  </si>
  <si>
    <t>2. Игошин Сергей</t>
  </si>
  <si>
    <t>Открытая (04.11.1986)/31</t>
  </si>
  <si>
    <t>102,90</t>
  </si>
  <si>
    <t>280,0</t>
  </si>
  <si>
    <t>930,0</t>
  </si>
  <si>
    <t>515,2200</t>
  </si>
  <si>
    <t>760,0</t>
  </si>
  <si>
    <t>418,9880</t>
  </si>
  <si>
    <t>755,0</t>
  </si>
  <si>
    <t>413,5135</t>
  </si>
  <si>
    <t>ОТКРЫТЫЙ ЧЕМПИОНАТ РОССИИ ПО ПАУЭРЛИФТИНГУ
ПРО жим лежа в многослойной экипировке
Краснодар/Краснодарский край 14 - 15 апреля 2018 г.</t>
  </si>
  <si>
    <t>ОТКРЫТЫЙ ЧЕМПИОНАТ РОССИИ ПО ПАУЭРЛИФТИНГУ
ПРО присед без экипировки
Краснодар/Краснодарский край 14 - 15 апреля 2018 г.</t>
  </si>
  <si>
    <t>ОТКРЫТЫЙ ЧЕМПИОНАТ РОССИИ ПО ПАУЭРЛИФТИНГУ
ПРО становая тяга в однослойной экипировке
Краснодар/Краснодарский край 14 - 15 апреля 2018 г.</t>
  </si>
  <si>
    <t>Сизов Андрей</t>
  </si>
  <si>
    <t>1. Сизов Андрей</t>
  </si>
  <si>
    <t>Мастера 50 - 54 (29.01.1968)/50</t>
  </si>
  <si>
    <t>98,30</t>
  </si>
  <si>
    <t>300,0n</t>
  </si>
  <si>
    <t>310,0n</t>
  </si>
  <si>
    <t xml:space="preserve">Мастера 50 - 54 </t>
  </si>
  <si>
    <t>203,0146</t>
  </si>
  <si>
    <t>ОТКРЫТЫЙ ЧЕМПИОНАТ РОССИИ ПО ПАУЭРЛИФТИНГУ
ПРО становая тяга в многослойной экипировке
Краснодар/Краснодарский край 14 - 15 апреля 2018 г.</t>
  </si>
  <si>
    <t>ОТКРЫТЫЙ ЧЕМПИОНАТ РОССИИ ПО ПАУЭРЛИФТИНГУ
ПРО присед в однослойной экипировке
Краснодар/Краснодарский край 14 - 15 апреля 2018 г.</t>
  </si>
  <si>
    <t>ОТКРЫТЫЙ ЧЕМПИОНАТ РОССИИ ПО ПАУЭРЛИФТИНГУ
ПРО пауэрлифтинг в софт экипировке
Краснодар/Краснодарский край 14 - 15 апреля 2018 г.</t>
  </si>
  <si>
    <t>ВЕСОВАЯ КАТЕГОРИЯ   67.5</t>
  </si>
  <si>
    <t>-. Злыденная Татьяна</t>
  </si>
  <si>
    <t>Открытая (28.01.1987)/31</t>
  </si>
  <si>
    <t>67,00</t>
  </si>
  <si>
    <t xml:space="preserve">Швецов </t>
  </si>
  <si>
    <t>Шкаликов Максим</t>
  </si>
  <si>
    <t>1. Шкаликов Максим</t>
  </si>
  <si>
    <t>Открытая (10.11.1992)/25</t>
  </si>
  <si>
    <t>82,50</t>
  </si>
  <si>
    <t>220,0</t>
  </si>
  <si>
    <t>225,0</t>
  </si>
  <si>
    <t>235,0</t>
  </si>
  <si>
    <t>215,0</t>
  </si>
  <si>
    <t>Грибов Анатолий</t>
  </si>
  <si>
    <t>-. Грибов Анатолий</t>
  </si>
  <si>
    <t>Открытая (07.02.1992)/26</t>
  </si>
  <si>
    <t>105,00</t>
  </si>
  <si>
    <t>350,0n</t>
  </si>
  <si>
    <t>360,0n</t>
  </si>
  <si>
    <t>280,0n</t>
  </si>
  <si>
    <t>320,0n</t>
  </si>
  <si>
    <t>330,0</t>
  </si>
  <si>
    <t>Водовсков Виктор</t>
  </si>
  <si>
    <t>-. Водовсков Виктор</t>
  </si>
  <si>
    <t>Открытая (22.10.1982)/35</t>
  </si>
  <si>
    <t>118,50</t>
  </si>
  <si>
    <t xml:space="preserve">Москва </t>
  </si>
  <si>
    <t>380,0</t>
  </si>
  <si>
    <t>100,0n</t>
  </si>
  <si>
    <t>Перегняк Андрей</t>
  </si>
  <si>
    <t>-. Перегняк Андрей</t>
  </si>
  <si>
    <t>Открытая (12.06.1991)/26</t>
  </si>
  <si>
    <t>122,80</t>
  </si>
  <si>
    <t>1000,0</t>
  </si>
  <si>
    <t>543,7000</t>
  </si>
  <si>
    <t>635,0</t>
  </si>
  <si>
    <t>393,2555</t>
  </si>
  <si>
    <t>740,0</t>
  </si>
  <si>
    <t>390,9420</t>
  </si>
  <si>
    <t>ОТКРЫТЫЙ ЧЕМПИОНАТ РОССИИ ПО ПАУЭРЛИФТИНГУ
ПРО жим лежа в софт экипировке
Краснодар/Краснодарский край 14 - 15 апреля 2018 г.</t>
  </si>
  <si>
    <t>Погосян Степан</t>
  </si>
  <si>
    <t>1. Погосян Степан</t>
  </si>
  <si>
    <t>Открытая (18.04.1985)/32</t>
  </si>
  <si>
    <t>89,20</t>
  </si>
  <si>
    <t xml:space="preserve">Туапсе </t>
  </si>
  <si>
    <t xml:space="preserve">Хачатурян Армен Робертович </t>
  </si>
  <si>
    <t>Труднев Эдуард</t>
  </si>
  <si>
    <t>1. Труднев Эдуард</t>
  </si>
  <si>
    <t>Открытая (11.11.1979)/38</t>
  </si>
  <si>
    <t>94,70</t>
  </si>
  <si>
    <t xml:space="preserve">центр тяжести </t>
  </si>
  <si>
    <t>260,0</t>
  </si>
  <si>
    <t>Сорокотягин Виталий</t>
  </si>
  <si>
    <t>1. Сорокотягин Виталий</t>
  </si>
  <si>
    <t>Открытая (28.05.1981)/36</t>
  </si>
  <si>
    <t>116,00</t>
  </si>
  <si>
    <t>169,7600</t>
  </si>
  <si>
    <t>136,5120</t>
  </si>
  <si>
    <t>135,3550</t>
  </si>
  <si>
    <t>ОТКРЫТЫЙ ЧЕМПИОНАТ РОССИИ ПО ПАУЭРЛИФТИНГУ
ПРО присед в многослойной экипировке
Краснодар/Краснодарский край 14 - 15 апреля 2018 г.</t>
  </si>
  <si>
    <t>ОТКРЫТЫЙ ЧЕМПИОНАТ РОССИИ ПО ПАУЭРЛИФТИНГУ
ПРО становая тяга в софт экипировке
Краснодар/Краснодарский край 14 - 15 апреля 2018 г.</t>
  </si>
  <si>
    <t>ОТКРЫТЫЙ ЧЕМПИОНАТ РОССИИ ПО ПАУЭРЛИФТИНГУ
ПРО присед в софт экипировке
Краснодар/Краснодарский край 14 - 15 апреля 2018 г.</t>
  </si>
  <si>
    <t>ОТКРЫТЫЙ ЧЕМПИОНАТ РОССИИ ПО ПАУЭРЛИФТИНГУ
ПРО жим лежа в софт экипировке3сл.
Краснодар/Краснодарский край 14 - 15 апреля 2018 г.</t>
  </si>
  <si>
    <t>1. Перегняк Андрей</t>
  </si>
  <si>
    <t>ВЕСОВАЯ КАТЕГОРИЯ   140+</t>
  </si>
  <si>
    <t>Баллод Александр</t>
  </si>
  <si>
    <t>1. Баллод Александр</t>
  </si>
  <si>
    <t>Открытая (17.08.1979)/38</t>
  </si>
  <si>
    <t>145,00</t>
  </si>
  <si>
    <t>325,0</t>
  </si>
  <si>
    <t>342,5</t>
  </si>
  <si>
    <t xml:space="preserve">Чугунов Е.Г. Микао </t>
  </si>
  <si>
    <t>0,0</t>
  </si>
  <si>
    <t>161,8500</t>
  </si>
  <si>
    <t>104,8000</t>
  </si>
  <si>
    <t>ОТКРЫТЫЙ ЧЕМПИОНАТ РОССИИ ПО ПАУЭРЛИФТИНГУ
Профессионалы военный жим
Краснодар/Краснодарский край 14 - 15 апреля 2018 г.</t>
  </si>
  <si>
    <t>Мешкова Юлия</t>
  </si>
  <si>
    <t>Открытая (24.02.1981)/37</t>
  </si>
  <si>
    <t>52,70</t>
  </si>
  <si>
    <t>55,0</t>
  </si>
  <si>
    <t>Космынин Владимир</t>
  </si>
  <si>
    <t>Мастера 55 - 59 (12.06.1960)/57</t>
  </si>
  <si>
    <t>74,00</t>
  </si>
  <si>
    <t xml:space="preserve">Кропоткин </t>
  </si>
  <si>
    <t>120,0</t>
  </si>
  <si>
    <t>ОТКРЫТЫЙ ЧЕМПИОНАТ РОССИИ ПО ПАУЭРЛИФТИНГУ
Любители пауэрлифтинг без экипировки
Краснодар/Краснодарский край 14 - 15 апреля 2018 г.</t>
  </si>
  <si>
    <t>ВЕСОВАЯ КАТЕГОРИЯ   48</t>
  </si>
  <si>
    <t>Шабукаева Лаура</t>
  </si>
  <si>
    <t>-. Шабукаева Лаура</t>
  </si>
  <si>
    <t>Юниорки 20 - 23 (05.08.1995)/22</t>
  </si>
  <si>
    <t>48,00</t>
  </si>
  <si>
    <t>70,0n</t>
  </si>
  <si>
    <t>75,0n</t>
  </si>
  <si>
    <t>80,0n</t>
  </si>
  <si>
    <t>35,0n</t>
  </si>
  <si>
    <t>37,5n</t>
  </si>
  <si>
    <t>40,0</t>
  </si>
  <si>
    <t>ВЕСОВАЯ КАТЕГОРИЯ   52</t>
  </si>
  <si>
    <t>Борискина Инга</t>
  </si>
  <si>
    <t>1. Борискина Инга</t>
  </si>
  <si>
    <t>Мастера 40 - 44 (18.04.1976)/41</t>
  </si>
  <si>
    <t>51,00</t>
  </si>
  <si>
    <t xml:space="preserve">авангард </t>
  </si>
  <si>
    <t>67,5</t>
  </si>
  <si>
    <t>72,5</t>
  </si>
  <si>
    <t>77,5</t>
  </si>
  <si>
    <t>37,5</t>
  </si>
  <si>
    <t>45,0</t>
  </si>
  <si>
    <t>97,5</t>
  </si>
  <si>
    <t>ВЕСОВАЯ КАТЕГОРИЯ   60</t>
  </si>
  <si>
    <t>Елисеева Мария</t>
  </si>
  <si>
    <t>-. Елисеева Мария</t>
  </si>
  <si>
    <t>Юниорки 20 - 23 (05.06.1994)/23</t>
  </si>
  <si>
    <t>59,60</t>
  </si>
  <si>
    <t xml:space="preserve">станица Крыловская/Краснодарский край </t>
  </si>
  <si>
    <t>95,0n</t>
  </si>
  <si>
    <t>102,5</t>
  </si>
  <si>
    <t>40,0n</t>
  </si>
  <si>
    <t>45,0n</t>
  </si>
  <si>
    <t>47,5n</t>
  </si>
  <si>
    <t>105,0n</t>
  </si>
  <si>
    <t>Слобожанинова Светлана</t>
  </si>
  <si>
    <t>-. Слобожанинова Светлана</t>
  </si>
  <si>
    <t>Открытая (27.04.1978)/39</t>
  </si>
  <si>
    <t>59,20</t>
  </si>
  <si>
    <t xml:space="preserve">Геленджик/Краснодарский край </t>
  </si>
  <si>
    <t>42,5n</t>
  </si>
  <si>
    <t>47,5</t>
  </si>
  <si>
    <t>87,5n</t>
  </si>
  <si>
    <t>Акимова Анна</t>
  </si>
  <si>
    <t>1. Акимова Анна</t>
  </si>
  <si>
    <t>Открытая (07.09.1992)/25</t>
  </si>
  <si>
    <t>62,30</t>
  </si>
  <si>
    <t xml:space="preserve">Ск «медведь» </t>
  </si>
  <si>
    <t>Руденко Елена</t>
  </si>
  <si>
    <t>1. Руденко Елена</t>
  </si>
  <si>
    <t>Мастера 45 - 49 (19.05.1970)/47</t>
  </si>
  <si>
    <t>76,20</t>
  </si>
  <si>
    <t xml:space="preserve">спорт лайф гулькевичи </t>
  </si>
  <si>
    <t xml:space="preserve">Гулькевичи/Краснодарский край </t>
  </si>
  <si>
    <t>107,5</t>
  </si>
  <si>
    <t>62,5</t>
  </si>
  <si>
    <t>137,5</t>
  </si>
  <si>
    <t>142,5</t>
  </si>
  <si>
    <t>Григорьев Владимир</t>
  </si>
  <si>
    <t>-. Григорьев Владимир</t>
  </si>
  <si>
    <t>Открытая (14.05.1993)/24</t>
  </si>
  <si>
    <t>162,5n</t>
  </si>
  <si>
    <t>115,0n</t>
  </si>
  <si>
    <t>Черняев Игорь</t>
  </si>
  <si>
    <t>-. Черняев Игорь</t>
  </si>
  <si>
    <t>Открытая (05.04.1984)/34</t>
  </si>
  <si>
    <t>74,20</t>
  </si>
  <si>
    <t xml:space="preserve">Скорпион </t>
  </si>
  <si>
    <t xml:space="preserve">Нет </t>
  </si>
  <si>
    <t>Хекало Алексей</t>
  </si>
  <si>
    <t>1. Хекало Алексей</t>
  </si>
  <si>
    <t>Юноши 16 - 17 (28.08.2000)/17</t>
  </si>
  <si>
    <t>80,90</t>
  </si>
  <si>
    <t xml:space="preserve">Анапа/Краснодарский край </t>
  </si>
  <si>
    <t>232,5</t>
  </si>
  <si>
    <t>Лянгузов Дмитрий</t>
  </si>
  <si>
    <t>1. Лянгузов Дмитрий</t>
  </si>
  <si>
    <t>Открытая (15.11.1988)/29</t>
  </si>
  <si>
    <t>81,20</t>
  </si>
  <si>
    <t xml:space="preserve">GELENDGYM </t>
  </si>
  <si>
    <t xml:space="preserve">Геленджик </t>
  </si>
  <si>
    <t>212,5</t>
  </si>
  <si>
    <t>2. Хекало Алексей</t>
  </si>
  <si>
    <t>Открытая (28.08.2000)/17</t>
  </si>
  <si>
    <t>Козлов Александр</t>
  </si>
  <si>
    <t>3. Козлов Александр</t>
  </si>
  <si>
    <t>Открытая (01.07.1983)/34</t>
  </si>
  <si>
    <t>80,50</t>
  </si>
  <si>
    <t>172,5</t>
  </si>
  <si>
    <t>122,5</t>
  </si>
  <si>
    <t>127,5</t>
  </si>
  <si>
    <t>Новак Денис</t>
  </si>
  <si>
    <t>-. Новак Денис</t>
  </si>
  <si>
    <t>Открытая (25.05.1990)/27</t>
  </si>
  <si>
    <t>80,70</t>
  </si>
  <si>
    <t>Бойцевский Дмитрий</t>
  </si>
  <si>
    <t>-. Бойцевский Дмитрий</t>
  </si>
  <si>
    <t>Юноши 14 - 15 (16.06.2003)/14</t>
  </si>
  <si>
    <t>88,10</t>
  </si>
  <si>
    <t>Шурдумов Альбек</t>
  </si>
  <si>
    <t>1. Шурдумов Альбек</t>
  </si>
  <si>
    <t>Юноши 16 - 17 (17.12.2000)/17</t>
  </si>
  <si>
    <t xml:space="preserve">Нальчик/Кабардино-Балкария </t>
  </si>
  <si>
    <t>132,5n</t>
  </si>
  <si>
    <t>220,0n</t>
  </si>
  <si>
    <t>Астанин Максим</t>
  </si>
  <si>
    <t>-. Астанин Максим</t>
  </si>
  <si>
    <t>Открытая (01.03.1994)/24</t>
  </si>
  <si>
    <t>85,30</t>
  </si>
  <si>
    <t xml:space="preserve">Майкоп/Адыгея </t>
  </si>
  <si>
    <t>120,0n</t>
  </si>
  <si>
    <t>132,5</t>
  </si>
  <si>
    <t>Буздин Сергей</t>
  </si>
  <si>
    <t>2. Буздин Сергей</t>
  </si>
  <si>
    <t>Открытая (04.04.1994)/24</t>
  </si>
  <si>
    <t>137,5n</t>
  </si>
  <si>
    <t>Колодин Владислав</t>
  </si>
  <si>
    <t>-. Колодин Владислав</t>
  </si>
  <si>
    <t>Юниоры 20 - 23 (12.12.1996)/21</t>
  </si>
  <si>
    <t>227,5</t>
  </si>
  <si>
    <t>145,0n</t>
  </si>
  <si>
    <t>225,0n</t>
  </si>
  <si>
    <t>240,0n</t>
  </si>
  <si>
    <t>Филипенко Александр</t>
  </si>
  <si>
    <t>-. Филипенко Александр</t>
  </si>
  <si>
    <t>Открытая (07.08.1982)/35</t>
  </si>
  <si>
    <t>109,00</t>
  </si>
  <si>
    <t>205,0n</t>
  </si>
  <si>
    <t>167,5</t>
  </si>
  <si>
    <t>232,5n</t>
  </si>
  <si>
    <t>Фатыхов Артем</t>
  </si>
  <si>
    <t>1. Фатыхов Артем</t>
  </si>
  <si>
    <t>Юноши 16 - 17 (07.04.2001)/17</t>
  </si>
  <si>
    <t>123,10</t>
  </si>
  <si>
    <t xml:space="preserve">ск медведь крд </t>
  </si>
  <si>
    <t>115,0</t>
  </si>
  <si>
    <t>85,0</t>
  </si>
  <si>
    <t xml:space="preserve">Юниорки </t>
  </si>
  <si>
    <t>247,5</t>
  </si>
  <si>
    <t>214,2979</t>
  </si>
  <si>
    <t>48,0</t>
  </si>
  <si>
    <t>192,5</t>
  </si>
  <si>
    <t>201,1230</t>
  </si>
  <si>
    <t>305,0</t>
  </si>
  <si>
    <t>254,4158</t>
  </si>
  <si>
    <t>204,6145</t>
  </si>
  <si>
    <t xml:space="preserve">Мастера 45 - 49 </t>
  </si>
  <si>
    <t>312,5</t>
  </si>
  <si>
    <t>243,5672</t>
  </si>
  <si>
    <t>52,0</t>
  </si>
  <si>
    <t>217,3060</t>
  </si>
  <si>
    <t xml:space="preserve">Юноши </t>
  </si>
  <si>
    <t xml:space="preserve">Юноши 16 - 17 </t>
  </si>
  <si>
    <t>542,5</t>
  </si>
  <si>
    <t>367,8866</t>
  </si>
  <si>
    <t>552,5</t>
  </si>
  <si>
    <t>352,6497</t>
  </si>
  <si>
    <t xml:space="preserve">Юноши 14 - 15 </t>
  </si>
  <si>
    <t>425,0</t>
  </si>
  <si>
    <t>309,9907</t>
  </si>
  <si>
    <t>405,0</t>
  </si>
  <si>
    <t>229,0226</t>
  </si>
  <si>
    <t>620,0</t>
  </si>
  <si>
    <t>350,3496</t>
  </si>
  <si>
    <t>572,5</t>
  </si>
  <si>
    <t>358,4995</t>
  </si>
  <si>
    <t>340,6358</t>
  </si>
  <si>
    <t>540,0</t>
  </si>
  <si>
    <t>340,2540</t>
  </si>
  <si>
    <t>490,0</t>
  </si>
  <si>
    <t>329,0840</t>
  </si>
  <si>
    <t>532,5</t>
  </si>
  <si>
    <t>322,4287</t>
  </si>
  <si>
    <t>597,5</t>
  </si>
  <si>
    <t>321,2757</t>
  </si>
  <si>
    <t>517,5</t>
  </si>
  <si>
    <t>307,7572</t>
  </si>
  <si>
    <t>460,0</t>
  </si>
  <si>
    <t>289,3400</t>
  </si>
  <si>
    <t>ОТКРЫТЫЙ ЧЕМПИОНАТ РОССИИ ПО ПАУЭРЛИФТИНГУ
Любители жим лежа без экипировки
Краснодар/Краснодарский край 14 - 15 апреля 2018 г.</t>
  </si>
  <si>
    <t>Харитиди Анастасия</t>
  </si>
  <si>
    <t>1. Харитиди Анастасия</t>
  </si>
  <si>
    <t>Открытая (23.08.1985)/32</t>
  </si>
  <si>
    <t>50,70</t>
  </si>
  <si>
    <t>35,0</t>
  </si>
  <si>
    <t>42,5</t>
  </si>
  <si>
    <t>Симдянкина Кристина</t>
  </si>
  <si>
    <t>1. Симдянкина Кристина</t>
  </si>
  <si>
    <t>Открытая (01.08.1990)/27</t>
  </si>
  <si>
    <t>52,80</t>
  </si>
  <si>
    <t>Пшиченко Татьяна</t>
  </si>
  <si>
    <t>1. Пшиченко Татьяна</t>
  </si>
  <si>
    <t>Открытая (20.10.1985)/32</t>
  </si>
  <si>
    <t>58,80</t>
  </si>
  <si>
    <t>50,0</t>
  </si>
  <si>
    <t>Лукьянова Екатерина</t>
  </si>
  <si>
    <t>2. Лукьянова Екатерина</t>
  </si>
  <si>
    <t>Открытая (13.03.1987)/31</t>
  </si>
  <si>
    <t>59,00</t>
  </si>
  <si>
    <t>Орлова Эмилия</t>
  </si>
  <si>
    <t>1. Орлова Эмилия</t>
  </si>
  <si>
    <t>Открытая (12.12.1991)/26</t>
  </si>
  <si>
    <t>66,00</t>
  </si>
  <si>
    <t>55,0n</t>
  </si>
  <si>
    <t>60,0n</t>
  </si>
  <si>
    <t>Анисимова Людмила</t>
  </si>
  <si>
    <t>2. Анисимова Людмила</t>
  </si>
  <si>
    <t>Открытая (23.01.1986)/32</t>
  </si>
  <si>
    <t>64,50</t>
  </si>
  <si>
    <t>50,0n</t>
  </si>
  <si>
    <t>57,5n</t>
  </si>
  <si>
    <t>Шибаева Ольга</t>
  </si>
  <si>
    <t>1. Шибаева Ольга</t>
  </si>
  <si>
    <t>Открытая (06.06.1976)/41</t>
  </si>
  <si>
    <t>78,60</t>
  </si>
  <si>
    <t>Панченко Ростислав</t>
  </si>
  <si>
    <t>1. Панченко Ростислав</t>
  </si>
  <si>
    <t>Юноши 14 - 15 (15.04.2004)/13</t>
  </si>
  <si>
    <t>57,30</t>
  </si>
  <si>
    <t xml:space="preserve">пгт Тульский[4]/Адыгея </t>
  </si>
  <si>
    <t>52,5n</t>
  </si>
  <si>
    <t>Кривцев Роман</t>
  </si>
  <si>
    <t>1. Кривцев Роман</t>
  </si>
  <si>
    <t>Открытая (10.04.1978)/40</t>
  </si>
  <si>
    <t>66,60</t>
  </si>
  <si>
    <t xml:space="preserve">Ессентуки </t>
  </si>
  <si>
    <t xml:space="preserve">Пряженцев </t>
  </si>
  <si>
    <t>Петров Алексей</t>
  </si>
  <si>
    <t>2. Петров Алексей</t>
  </si>
  <si>
    <t>Открытая (18.07.1985)/32</t>
  </si>
  <si>
    <t>66,70</t>
  </si>
  <si>
    <t xml:space="preserve">Новороссийск/Краснодарский край </t>
  </si>
  <si>
    <t>127,5n</t>
  </si>
  <si>
    <t>Мастера 40 - 44 (10.04.1978)/40</t>
  </si>
  <si>
    <t>Абрамов Алексей</t>
  </si>
  <si>
    <t>1. Абрамов Алексей</t>
  </si>
  <si>
    <t>Открытая (25.03.1984)/34</t>
  </si>
  <si>
    <t>74,70</t>
  </si>
  <si>
    <t xml:space="preserve">ск МЕДВЕДЬ став </t>
  </si>
  <si>
    <t xml:space="preserve">Краснодар </t>
  </si>
  <si>
    <t>140,0</t>
  </si>
  <si>
    <t>Нагорный Андрей</t>
  </si>
  <si>
    <t>2. Нагорный Андрей</t>
  </si>
  <si>
    <t>Открытая (01.09.1990)/27</t>
  </si>
  <si>
    <t>73,40</t>
  </si>
  <si>
    <t xml:space="preserve">Ейск/Краснодарский край </t>
  </si>
  <si>
    <t>Апазаов Шамиль</t>
  </si>
  <si>
    <t>1. Апазаов Шамиль</t>
  </si>
  <si>
    <t>Юниоры 20 - 23 (23.05.1994)/23</t>
  </si>
  <si>
    <t>81,70</t>
  </si>
  <si>
    <t>147,5n</t>
  </si>
  <si>
    <t>152,5n</t>
  </si>
  <si>
    <t xml:space="preserve">Иванцов Евгений Александрович </t>
  </si>
  <si>
    <t>Бургелов Александр</t>
  </si>
  <si>
    <t>1. Бургелов Александр</t>
  </si>
  <si>
    <t>Открытая (12.03.1975)/43</t>
  </si>
  <si>
    <t>81,10</t>
  </si>
  <si>
    <t xml:space="preserve">Новочеркасск/Ростовская область </t>
  </si>
  <si>
    <t>Серкин Илья</t>
  </si>
  <si>
    <t>1. Серкин Илья</t>
  </si>
  <si>
    <t>Юниоры 20 - 23 (14.05.1995)/22</t>
  </si>
  <si>
    <t>87,90</t>
  </si>
  <si>
    <t xml:space="preserve">тз железяка </t>
  </si>
  <si>
    <t xml:space="preserve">Армавир/Краснодарский край </t>
  </si>
  <si>
    <t>Клименко Сергей</t>
  </si>
  <si>
    <t>1. Клименко Сергей</t>
  </si>
  <si>
    <t>Открытая (01.09.1989)/28</t>
  </si>
  <si>
    <t>87,40</t>
  </si>
  <si>
    <t xml:space="preserve">дом физкультурника </t>
  </si>
  <si>
    <t>177,5</t>
  </si>
  <si>
    <t>Садовников Георгий</t>
  </si>
  <si>
    <t>2. Садовников Георгий</t>
  </si>
  <si>
    <t>Открытая (18.09.1990)/27</t>
  </si>
  <si>
    <t>89,40</t>
  </si>
  <si>
    <t>157,5</t>
  </si>
  <si>
    <t>Баканов Артем</t>
  </si>
  <si>
    <t>3. Баканов Артем</t>
  </si>
  <si>
    <t>Открытая (26.10.1984)/33</t>
  </si>
  <si>
    <t>89,00</t>
  </si>
  <si>
    <t xml:space="preserve">ДГТУ </t>
  </si>
  <si>
    <t>147,5</t>
  </si>
  <si>
    <t>Задорожний Дмитрий</t>
  </si>
  <si>
    <t>1. Задорожний Дмитрий</t>
  </si>
  <si>
    <t>Открытая (18.12.1979)/38</t>
  </si>
  <si>
    <t>96,70</t>
  </si>
  <si>
    <t>-. Давыдов Денис</t>
  </si>
  <si>
    <t>Открытая (27.07.1983)/34</t>
  </si>
  <si>
    <t>99,60</t>
  </si>
  <si>
    <t>Безвербный Алексей</t>
  </si>
  <si>
    <t>1. Безвербный Алексей</t>
  </si>
  <si>
    <t>Мастера 45 - 49 (18.03.1973)/45</t>
  </si>
  <si>
    <t>95,00</t>
  </si>
  <si>
    <t>1. Филипенко Александр</t>
  </si>
  <si>
    <t>Ерошкин Игорь</t>
  </si>
  <si>
    <t>1. Ерошкин Игорь</t>
  </si>
  <si>
    <t>Мастера 50 - 54 (14.12.1965)/52</t>
  </si>
  <si>
    <t>109,30</t>
  </si>
  <si>
    <t>Захаров Владимир</t>
  </si>
  <si>
    <t>1. Захаров Владимир</t>
  </si>
  <si>
    <t>Мастера 60 - 64 (07.07.1955)/62</t>
  </si>
  <si>
    <t>Гулян Артур</t>
  </si>
  <si>
    <t>1. Гулян Артур</t>
  </si>
  <si>
    <t>Открытая (23.01.1982)/36</t>
  </si>
  <si>
    <t>123,80</t>
  </si>
  <si>
    <t xml:space="preserve">ПЕЛИКАН </t>
  </si>
  <si>
    <t>242,5</t>
  </si>
  <si>
    <t xml:space="preserve">Чугунов Евгений </t>
  </si>
  <si>
    <t>Белоусов Владимир</t>
  </si>
  <si>
    <t>2. Белоусов Владимир</t>
  </si>
  <si>
    <t>Открытая (11.06.1986)/31</t>
  </si>
  <si>
    <t>118,70</t>
  </si>
  <si>
    <t>Вагнер Игорь</t>
  </si>
  <si>
    <t>1. Вагнер Игорь</t>
  </si>
  <si>
    <t>Мастера 40 - 44 (14.10.1977)/40</t>
  </si>
  <si>
    <t>115,20</t>
  </si>
  <si>
    <t xml:space="preserve">Графит </t>
  </si>
  <si>
    <t>Зверев Денис</t>
  </si>
  <si>
    <t>1. Зверев Денис</t>
  </si>
  <si>
    <t>Открытая (26.09.1987)/30</t>
  </si>
  <si>
    <t>183,00</t>
  </si>
  <si>
    <t xml:space="preserve">King Fit </t>
  </si>
  <si>
    <t>47,6580</t>
  </si>
  <si>
    <t>57,5</t>
  </si>
  <si>
    <t>46,5750</t>
  </si>
  <si>
    <t>42,0580</t>
  </si>
  <si>
    <t>41,8680</t>
  </si>
  <si>
    <t>40,6831</t>
  </si>
  <si>
    <t>39,4042</t>
  </si>
  <si>
    <t>34,9260</t>
  </si>
  <si>
    <t>62,9662</t>
  </si>
  <si>
    <t>98,9734</t>
  </si>
  <si>
    <t>152,5</t>
  </si>
  <si>
    <t>95,0837</t>
  </si>
  <si>
    <t>126,7548</t>
  </si>
  <si>
    <t>105,7900</t>
  </si>
  <si>
    <t>102,8580</t>
  </si>
  <si>
    <t>99,9900</t>
  </si>
  <si>
    <t>97,2152</t>
  </si>
  <si>
    <t>92,9500</t>
  </si>
  <si>
    <t>91,0935</t>
  </si>
  <si>
    <t>86,9217</t>
  </si>
  <si>
    <t>86,0320</t>
  </si>
  <si>
    <t>83,3040</t>
  </si>
  <si>
    <t>81,8710</t>
  </si>
  <si>
    <t>81,4840</t>
  </si>
  <si>
    <t>80,1847</t>
  </si>
  <si>
    <t>186,0677</t>
  </si>
  <si>
    <t>97,4394</t>
  </si>
  <si>
    <t>95,6160</t>
  </si>
  <si>
    <t>89,2582</t>
  </si>
  <si>
    <t>ОТКРЫТЫЙ ЧЕМПИОНАТ РОССИИ ПО ПАУЭРЛИФТИНГУ
Любители становая тяга без экипировки
Краснодар/Краснодарский край 14 - 15 апреля 2018 г.</t>
  </si>
  <si>
    <t>ВЕСОВАЯ КАТЕГОРИЯ   44</t>
  </si>
  <si>
    <t>Коновалова Софья</t>
  </si>
  <si>
    <t>1. Коновалова Софья</t>
  </si>
  <si>
    <t>Девушки 14 - 15 (07.07.2003)/14</t>
  </si>
  <si>
    <t>42,10</t>
  </si>
  <si>
    <t xml:space="preserve">Усть-Лабинск/Краснодарский край </t>
  </si>
  <si>
    <t>87,5</t>
  </si>
  <si>
    <t>Деркачева Надежда</t>
  </si>
  <si>
    <t>1. Деркачева Надежда</t>
  </si>
  <si>
    <t>Юниорки 20 - 23 (22.03.1995)/23</t>
  </si>
  <si>
    <t>52,00</t>
  </si>
  <si>
    <t>117,5n</t>
  </si>
  <si>
    <t>122,5n</t>
  </si>
  <si>
    <t>125,0n</t>
  </si>
  <si>
    <t xml:space="preserve">Вахтин Аким </t>
  </si>
  <si>
    <t>Семенякина Юлия</t>
  </si>
  <si>
    <t>2. Семенякина Юлия</t>
  </si>
  <si>
    <t>Юниорки 20 - 23 (29.08.1995)/22</t>
  </si>
  <si>
    <t>49,90</t>
  </si>
  <si>
    <t>92,5</t>
  </si>
  <si>
    <t>Олейникова Анастасия</t>
  </si>
  <si>
    <t>1. Олейникова Анастасия</t>
  </si>
  <si>
    <t>Девушки 14 - 15 (05.01.2003)/15</t>
  </si>
  <si>
    <t>56,00</t>
  </si>
  <si>
    <t>112,5</t>
  </si>
  <si>
    <t>Воронова Лидия</t>
  </si>
  <si>
    <t>1. Воронова Лидия</t>
  </si>
  <si>
    <t>Открытая (23.10.1989)/28</t>
  </si>
  <si>
    <t>Александрова Светлана</t>
  </si>
  <si>
    <t>2. Александрова Светлана</t>
  </si>
  <si>
    <t>Открытая (16.01.1981)/37</t>
  </si>
  <si>
    <t>55,80</t>
  </si>
  <si>
    <t xml:space="preserve">Рино Дон </t>
  </si>
  <si>
    <t>Игнатенко Юлия</t>
  </si>
  <si>
    <t>1. Игнатенко Юлия</t>
  </si>
  <si>
    <t>Открытая (17.09.1985)/32</t>
  </si>
  <si>
    <t>58,50</t>
  </si>
  <si>
    <t>Касьянова Кристина</t>
  </si>
  <si>
    <t>1. Касьянова Кристина</t>
  </si>
  <si>
    <t>Девушки 18 - 19 (17.04.1999)/18</t>
  </si>
  <si>
    <t>61,70</t>
  </si>
  <si>
    <t>ВЕСОВАЯ КАТЕГОРИЯ   90+</t>
  </si>
  <si>
    <t>Свидерская Елена</t>
  </si>
  <si>
    <t>1. Свидерская Елена</t>
  </si>
  <si>
    <t>Открытая (29.06.1984)/33</t>
  </si>
  <si>
    <t>95,10</t>
  </si>
  <si>
    <t>97,5n</t>
  </si>
  <si>
    <t>110,0n</t>
  </si>
  <si>
    <t>Ващекин Владислав</t>
  </si>
  <si>
    <t>1. Ващекин Владислав</t>
  </si>
  <si>
    <t>Юноши 16 - 17 (10.08.2000)/17</t>
  </si>
  <si>
    <t>Шаврин Борис</t>
  </si>
  <si>
    <t>1. Шаврин Борис</t>
  </si>
  <si>
    <t>Открытая (12.03.1951)/67</t>
  </si>
  <si>
    <t>67,20</t>
  </si>
  <si>
    <t xml:space="preserve">антал </t>
  </si>
  <si>
    <t>162,5</t>
  </si>
  <si>
    <t>Мастера 65 - 69 (12.03.1951)/67</t>
  </si>
  <si>
    <t>1. Григорьев Владимир</t>
  </si>
  <si>
    <t>2. Черняев Игорь</t>
  </si>
  <si>
    <t>Попов Константин</t>
  </si>
  <si>
    <t>3. Попов Константин</t>
  </si>
  <si>
    <t>Открытая (11.01.1991)/27</t>
  </si>
  <si>
    <t>205,0</t>
  </si>
  <si>
    <t>Король Ярослав</t>
  </si>
  <si>
    <t>4. Король Ярослав</t>
  </si>
  <si>
    <t>Открытая (15.05.1990)/27</t>
  </si>
  <si>
    <t>Стоянов Валерий</t>
  </si>
  <si>
    <t>1. Стоянов Валерий</t>
  </si>
  <si>
    <t>Мастера 60 - 64 (25.11.1957)/60</t>
  </si>
  <si>
    <t>73,60</t>
  </si>
  <si>
    <t xml:space="preserve">А. Н. Семко </t>
  </si>
  <si>
    <t>Невзоров Алексей</t>
  </si>
  <si>
    <t>1. Невзоров Алексей</t>
  </si>
  <si>
    <t>Юноши 16 - 17 (10.11.2000)/17</t>
  </si>
  <si>
    <t>77,30</t>
  </si>
  <si>
    <t>2. Козлов Александр</t>
  </si>
  <si>
    <t>Баканов Денис</t>
  </si>
  <si>
    <t>3. Баканов Денис</t>
  </si>
  <si>
    <t>Открытая (12.01.1979)/39</t>
  </si>
  <si>
    <t>79,80</t>
  </si>
  <si>
    <t>Гасымов Рамин</t>
  </si>
  <si>
    <t>4. Гасымов Рамин</t>
  </si>
  <si>
    <t>Открытая (31.08.1984)/33</t>
  </si>
  <si>
    <t>80,30</t>
  </si>
  <si>
    <t>Хачатрян Роман</t>
  </si>
  <si>
    <t>5. Хачатрян Роман</t>
  </si>
  <si>
    <t>Открытая (26.10.1988)/29</t>
  </si>
  <si>
    <t>167,5n</t>
  </si>
  <si>
    <t>187,5</t>
  </si>
  <si>
    <t>1. Астанин Максим</t>
  </si>
  <si>
    <t>Щербак Алексей</t>
  </si>
  <si>
    <t>2. Щербак Алексей</t>
  </si>
  <si>
    <t>90,00</t>
  </si>
  <si>
    <t>197,5</t>
  </si>
  <si>
    <t>Шеховцов Артем</t>
  </si>
  <si>
    <t>1. Шеховцов Артем</t>
  </si>
  <si>
    <t>Открытая (25.01.1985)/33</t>
  </si>
  <si>
    <t>98,90</t>
  </si>
  <si>
    <t>Мельник Анатолий</t>
  </si>
  <si>
    <t>2. Мельник Анатолий</t>
  </si>
  <si>
    <t>Открытая (09.12.1992)/25</t>
  </si>
  <si>
    <t>95,90</t>
  </si>
  <si>
    <t>Щербаченко Олег</t>
  </si>
  <si>
    <t>1. Щербаченко Олег</t>
  </si>
  <si>
    <t>Открытая (25.02.1990)/28</t>
  </si>
  <si>
    <t>108,00</t>
  </si>
  <si>
    <t>242,5n</t>
  </si>
  <si>
    <t>250,0n</t>
  </si>
  <si>
    <t>Новосельцев Олег</t>
  </si>
  <si>
    <t>1. Новосельцев Олег</t>
  </si>
  <si>
    <t>Открытая (10.05.1985)/32</t>
  </si>
  <si>
    <t>Борилко Алексей</t>
  </si>
  <si>
    <t>2. Борилко Алексей</t>
  </si>
  <si>
    <t>Открытая (06.09.1979)/38</t>
  </si>
  <si>
    <t>117,50</t>
  </si>
  <si>
    <t>235,0n</t>
  </si>
  <si>
    <t xml:space="preserve">Девушки </t>
  </si>
  <si>
    <t>44,0</t>
  </si>
  <si>
    <t>123,5696</t>
  </si>
  <si>
    <t>121,1211</t>
  </si>
  <si>
    <t xml:space="preserve">Юноши 18 - 19 </t>
  </si>
  <si>
    <t>84,6837</t>
  </si>
  <si>
    <t>121,1687</t>
  </si>
  <si>
    <t>93,6539</t>
  </si>
  <si>
    <t>116,5205</t>
  </si>
  <si>
    <t>114,0500</t>
  </si>
  <si>
    <t>98,3249</t>
  </si>
  <si>
    <t>67,5675</t>
  </si>
  <si>
    <t>96,3061</t>
  </si>
  <si>
    <t>147,2386</t>
  </si>
  <si>
    <t>143,6130</t>
  </si>
  <si>
    <t>120,8404</t>
  </si>
  <si>
    <t>157,2000</t>
  </si>
  <si>
    <t>153,1200</t>
  </si>
  <si>
    <t>147,7520</t>
  </si>
  <si>
    <t>147,4220</t>
  </si>
  <si>
    <t>145,5915</t>
  </si>
  <si>
    <t>144,9230</t>
  </si>
  <si>
    <t>140,1660</t>
  </si>
  <si>
    <t>137,6780</t>
  </si>
  <si>
    <t>131,1660</t>
  </si>
  <si>
    <t>127,1550</t>
  </si>
  <si>
    <t>124,3620</t>
  </si>
  <si>
    <t>120,4790</t>
  </si>
  <si>
    <t>119,9280</t>
  </si>
  <si>
    <t>118,6710</t>
  </si>
  <si>
    <t>117,6188</t>
  </si>
  <si>
    <t>117,0600</t>
  </si>
  <si>
    <t>114,1720</t>
  </si>
  <si>
    <t xml:space="preserve">Мастера 65 - 69 </t>
  </si>
  <si>
    <t>263,6437</t>
  </si>
  <si>
    <t>199,7194</t>
  </si>
  <si>
    <t>ОТКРЫТЫЙ ЧЕМПИОНАТ РОССИИ ПО ПАУЭРЛИФТИНГУ
Любители пауэрлифтинг в однослойной экипировке
Краснодар/Краснодарский край 14 - 15 апреля 2018 г.</t>
  </si>
  <si>
    <t>Полфунтиков Александр</t>
  </si>
  <si>
    <t>1. Полфунтиков Александр</t>
  </si>
  <si>
    <t>Открытая (06.12.1982)/35</t>
  </si>
  <si>
    <t>98,10</t>
  </si>
  <si>
    <t xml:space="preserve">Самсон </t>
  </si>
  <si>
    <t>413,5860</t>
  </si>
  <si>
    <t>ОТКРЫТЫЙ ЧЕМПИОНАТ РОССИИ ПО ПАУЭРЛИФТИНГУ
Любители жим лежа в однослойной экипировке
Краснодар/Краснодарский край 14 - 15 апреля 2018 г.</t>
  </si>
  <si>
    <t>ОТКРЫТЫЙ ЧЕМПИОНАТ РОССИИ ПО ПАУЭРЛИФТИНГУ
Любители военный жим
Краснодар/Краснодарский край 14 - 15 апреля 2018 г.</t>
  </si>
  <si>
    <t>ОТКРЫТЫЙ ЧЕМПИОНАТ РОССИИ ПО ПАУЭРЛИФТИНГУ
Любители пауэрлифтинг в многослойной экипировке
Краснодар/Краснодарский край 14 - 15 апреля 2018 г.</t>
  </si>
  <si>
    <t>ОТКРЫТЫЙ ЧЕМПИОНАТ РОССИИ ПО ПАУЭРЛИФТИНГУ
Любители жим лежа в многослойной экипировке
Краснодар/Краснодарский край 14 - 15 апреля 2018 г.</t>
  </si>
  <si>
    <t>ОТКРЫТЫЙ ЧЕМПИОНАТ РОССИИ ПО ПАУЭРЛИФТИНГУ
Любители присед без экипировки
Краснодар/Краснодарский край 14 - 15 апреля 2018 г.</t>
  </si>
  <si>
    <t>ОТКРЫТЫЙ ЧЕМПИОНАТ РОССИИ ПО ПАУЭРЛИФТИНГУ
Любители становая тяга в однослойной экипировке
Краснодар/Краснодарский край 14 - 15 апреля 2018 г.</t>
  </si>
  <si>
    <t>ОТКРЫТЫЙ ЧЕМПИОНАТ РОССИИ ПО ПАУЭРЛИФТИНГУ
Любители становая тяга в многослойной экипировке
Краснодар/Краснодарский край 14 - 15 апреля 2018 г.</t>
  </si>
  <si>
    <t>ОТКРЫТЫЙ ЧЕМПИОНАТ РОССИИ ПО ПАУЭРЛИФТИНГУ
Любители присед в однослойной экипировке
Краснодар/Краснодарский край 14 - 15 апреля 2018 г.</t>
  </si>
  <si>
    <t>ОТКРЫТЫЙ ЧЕМПИОНАТ РОССИИ ПО ПАУЭРЛИФТИНГУ
Любители пауэрлифтинг в софт экипировке
Краснодар/Краснодарский край 14 - 15 апреля 2018 г.</t>
  </si>
  <si>
    <t>ОТКРЫТЫЙ ЧЕМПИОНАТ РОССИИ ПО ПАУЭРЛИФТИНГУ
Любители жим лежа в софт экипировке
Краснодар/Краснодарский край 14 - 15 апреля 2018 г.</t>
  </si>
  <si>
    <t>Ильяшенко Екатерина</t>
  </si>
  <si>
    <t>1. Ильяшенко Екатерина</t>
  </si>
  <si>
    <t>Открытая (26.03.1989)/29</t>
  </si>
  <si>
    <t>Родичкина Валентина</t>
  </si>
  <si>
    <t>2. Родичкина Валентина</t>
  </si>
  <si>
    <t>Открытая (23.08.1986)/31</t>
  </si>
  <si>
    <t>67,50</t>
  </si>
  <si>
    <t>Носков Андрей</t>
  </si>
  <si>
    <t>1. Носков Андрей</t>
  </si>
  <si>
    <t>Открытая (26.07.1993)/24</t>
  </si>
  <si>
    <t>82,10</t>
  </si>
  <si>
    <t xml:space="preserve">Тихорецк </t>
  </si>
  <si>
    <t>230,0n</t>
  </si>
  <si>
    <t>237,5n</t>
  </si>
  <si>
    <t xml:space="preserve">Вебер М.Ю./ Карпенко А. С. </t>
  </si>
  <si>
    <t>1. Бойцевский Дмитрий</t>
  </si>
  <si>
    <t>Щеколкин Антон</t>
  </si>
  <si>
    <t>1. Щеколкин Антон</t>
  </si>
  <si>
    <t>Юниоры 20 - 23 (26.05.1995)/22</t>
  </si>
  <si>
    <t>99,40</t>
  </si>
  <si>
    <t>Петров Виталий</t>
  </si>
  <si>
    <t>1. Петров Виталий</t>
  </si>
  <si>
    <t>Открытая (17.04.1989)/28</t>
  </si>
  <si>
    <t>95,30</t>
  </si>
  <si>
    <t>Наджа Дмитрий</t>
  </si>
  <si>
    <t>1. Наджа Дмитрий</t>
  </si>
  <si>
    <t>Мастера 40 - 44 (10.10.1975)/42</t>
  </si>
  <si>
    <t>99,30</t>
  </si>
  <si>
    <t>255,0n</t>
  </si>
  <si>
    <t>265,0n</t>
  </si>
  <si>
    <t>Осипов Карлен</t>
  </si>
  <si>
    <t>1. Осипов Карлен</t>
  </si>
  <si>
    <t>Открытая (26.08.1972)/45</t>
  </si>
  <si>
    <t>107,70</t>
  </si>
  <si>
    <t xml:space="preserve">Ростов-на-дону </t>
  </si>
  <si>
    <t>265,0</t>
  </si>
  <si>
    <t xml:space="preserve">Осипов карлен петрович </t>
  </si>
  <si>
    <t>Мастера 45 - 49 (26.08.1972)/45</t>
  </si>
  <si>
    <t>Дрожко Павел</t>
  </si>
  <si>
    <t>1. Дрожко Павел</t>
  </si>
  <si>
    <t>Открытая (02.07.1982)/35</t>
  </si>
  <si>
    <t>77,1589</t>
  </si>
  <si>
    <t>70,0875</t>
  </si>
  <si>
    <t>123,9963</t>
  </si>
  <si>
    <t>130,4453</t>
  </si>
  <si>
    <t>237,5</t>
  </si>
  <si>
    <t>147,5825</t>
  </si>
  <si>
    <t>142,9675</t>
  </si>
  <si>
    <t>110,5455</t>
  </si>
  <si>
    <t>109,9560</t>
  </si>
  <si>
    <t>149,8299</t>
  </si>
  <si>
    <t>148,6126</t>
  </si>
  <si>
    <t>ОТКРЫТЫЙ ЧЕМПИОНАТ РОССИИ ПО ПАУЭРЛИФТИНГУ
Любители присед в многослойной экипировке
Краснодар/Краснодарский край 14 - 15 апреля 2018 г.</t>
  </si>
  <si>
    <t>ОТКРЫТЫЙ ЧЕМПИОНАТ РОССИИ ПО ПАУЭРЛИФТИНГУ
Любители становая тяга в софт экипировке
Краснодар/Краснодарский край 14 - 15 апреля 2018 г.</t>
  </si>
  <si>
    <t>ОТКРЫТЫЙ ЧЕМПИОНАТ РОССИИ ПО ПАУЭРЛИФТИНГУ
Любители присед в софт экипировке
Краснодар/Краснодарский край 14 - 15 апреля 2018 г.</t>
  </si>
  <si>
    <t>Галаганенко Кристина</t>
  </si>
  <si>
    <t>1. Галаганенко Кристина</t>
  </si>
  <si>
    <t>Девушки 18 - 19 (29.07.1999)/18</t>
  </si>
  <si>
    <t>66,40</t>
  </si>
  <si>
    <t xml:space="preserve">РиноДон </t>
  </si>
  <si>
    <t>Муковнина Алена</t>
  </si>
  <si>
    <t>1. Муковнина Алена</t>
  </si>
  <si>
    <t>Юниорки 20 - 23 (18.02.1998)/20</t>
  </si>
  <si>
    <t>87,9604</t>
  </si>
  <si>
    <t>83,8582</t>
  </si>
  <si>
    <t>123,9930</t>
  </si>
  <si>
    <t>40</t>
  </si>
  <si>
    <t>120</t>
  </si>
  <si>
    <t>130</t>
  </si>
  <si>
    <t>0</t>
  </si>
  <si>
    <t>175</t>
  </si>
  <si>
    <t>160</t>
  </si>
  <si>
    <t>91.4008</t>
  </si>
  <si>
    <t>129.2158</t>
  </si>
  <si>
    <t>98.7173</t>
  </si>
  <si>
    <t>1501,5650</t>
  </si>
  <si>
    <t>1690,0</t>
  </si>
  <si>
    <t>Ковалева Анна</t>
  </si>
  <si>
    <t xml:space="preserve">НАП Н.Ж. </t>
  </si>
  <si>
    <t>32,5n</t>
  </si>
  <si>
    <t>65,00</t>
  </si>
  <si>
    <t>Открытая (19.03.1985)/33</t>
  </si>
  <si>
    <t>1. Ковалева Анна</t>
  </si>
  <si>
    <t>Повторы</t>
  </si>
  <si>
    <t>Вес</t>
  </si>
  <si>
    <t>Тоннаж</t>
  </si>
  <si>
    <t>Жим мн. повт.</t>
  </si>
  <si>
    <t>НАП Н.Ж.</t>
  </si>
  <si>
    <t>ОТКРЫТЫЙ ЧЕМПИОНАТ РОССИИ ПО НЖ
Профессионалы народный жим (1/2 вес)
Краснодар/Краснодарский край 14 - 15 апреля 2018 г.</t>
  </si>
  <si>
    <t>773,9550</t>
  </si>
  <si>
    <t>910,0</t>
  </si>
  <si>
    <t>1479,4133</t>
  </si>
  <si>
    <t>2152,5</t>
  </si>
  <si>
    <t>Примаченко Станислав</t>
  </si>
  <si>
    <t>2121,5999</t>
  </si>
  <si>
    <t>2720,0</t>
  </si>
  <si>
    <t>Макаров Сергей</t>
  </si>
  <si>
    <t>21,0</t>
  </si>
  <si>
    <t>102,5n</t>
  </si>
  <si>
    <t>102,50</t>
  </si>
  <si>
    <t>Открытая (08.05.1985)/32</t>
  </si>
  <si>
    <t>1. Примаченко Станислав</t>
  </si>
  <si>
    <t>34,0</t>
  </si>
  <si>
    <t>80,00</t>
  </si>
  <si>
    <t>Открытая (11.05.1988)/29</t>
  </si>
  <si>
    <t>1. Макаров Сергей</t>
  </si>
  <si>
    <t>13,0</t>
  </si>
  <si>
    <t>Открытая (07.04.1957)/61</t>
  </si>
  <si>
    <t>ОТКРЫТЫЙ ЧЕМПИОНАТ РОССИИ ПО НЖ
Профессионалы народный жим (1 вес)
Краснодар/Краснодарский край 14 - 15 апреля 2018 г.</t>
  </si>
  <si>
    <t>1242,0000</t>
  </si>
  <si>
    <t>1350,0</t>
  </si>
  <si>
    <t>30,0</t>
  </si>
  <si>
    <t>1. Александрова Светлана</t>
  </si>
  <si>
    <t>ОТКРЫТЫЙ ЧЕМПИОНАТ РОССИИ ПО НЖ
Любители народный жим (1/2 вес)
Краснодар/Краснодарский край 14 - 15 апреля 2018 г.</t>
  </si>
  <si>
    <t>556,9148</t>
  </si>
  <si>
    <t>822,5</t>
  </si>
  <si>
    <t>1143,8408</t>
  </si>
  <si>
    <t>1657,5</t>
  </si>
  <si>
    <t>1633,8438</t>
  </si>
  <si>
    <t>2187,5</t>
  </si>
  <si>
    <t>Дорохов Евгений</t>
  </si>
  <si>
    <t>2015,0100</t>
  </si>
  <si>
    <t>2550,0</t>
  </si>
  <si>
    <t>2250,9375</t>
  </si>
  <si>
    <t>3062,5</t>
  </si>
  <si>
    <t>7,0</t>
  </si>
  <si>
    <t>117,5</t>
  </si>
  <si>
    <t>17,0</t>
  </si>
  <si>
    <t>1. Мельник Анатолий</t>
  </si>
  <si>
    <t xml:space="preserve">Варданян Дмитрий </t>
  </si>
  <si>
    <t>25,0</t>
  </si>
  <si>
    <t>86,00</t>
  </si>
  <si>
    <t>2. Дорохов Евгений</t>
  </si>
  <si>
    <t>ОТКРЫТЫЙ ЧЕМПИОНАТ РОССИИ ПО НЖ
Любители народный жим (1 вес)
Краснодар/Краснодарский край 14 - 15 апреля 2018 г.</t>
  </si>
  <si>
    <t>ОТКРЫТЫЙ ЧЕМПИОНАТ РОССИИ ПО РЖ
Профессионалы 150 кг.
Краснодар/Краснодарский край 14 - 15 апреля 2018 г.</t>
  </si>
  <si>
    <t>ОТКРЫТЫЙ ЧЕМПИОНАТ РОССИИ ПО РЖ
Профессионалы 125 кг.
Краснодар/Краснодарский край 14 - 15 апреля 2018 г.</t>
  </si>
  <si>
    <t>1075,2001</t>
  </si>
  <si>
    <t>2100,0</t>
  </si>
  <si>
    <t>Доронин Анатолий</t>
  </si>
  <si>
    <t xml:space="preserve">Крылов </t>
  </si>
  <si>
    <t>132,50</t>
  </si>
  <si>
    <t>Открытая (12.06.1982)/35</t>
  </si>
  <si>
    <t>1. Доронин Анатолий</t>
  </si>
  <si>
    <t>ВЕСОВАЯ КАТЕГОРИЯ   All</t>
  </si>
  <si>
    <t>ОТКРЫТЫЙ ЧЕМПИОНАТ РОССИИ ПО РЖ
Профессионалы 100 кг.
Краснодар/Краснодарский край 14 - 15 апреля 2018 г.</t>
  </si>
  <si>
    <t>ОТКРЫТЫЙ ЧЕМПИОНАТ РОССИИ ПО РЖ
Профессионалы 75 кг.
Краснодар/Краснодарский край 14 - 15 апреля 2018 г.</t>
  </si>
  <si>
    <t>406,1706</t>
  </si>
  <si>
    <t xml:space="preserve">Юноши 13 - 19 </t>
  </si>
  <si>
    <t>Мельников Александр</t>
  </si>
  <si>
    <t>10,0</t>
  </si>
  <si>
    <t>Юноши 13 - 19 (30.08.2003)/14</t>
  </si>
  <si>
    <t>1. Мельников Александр</t>
  </si>
  <si>
    <t>ОТКРЫТЫЙ ЧЕМПИОНАТ РОССИИ ПО РЖ
Профессионалы 55 кг.
Краснодар/Краснодарский край 14 - 15 апреля 2018 г.</t>
  </si>
  <si>
    <t>ОТКРЫТЫЙ ЧЕМПИОНАТ РОССИИ ПО РЖ
Профессионалы 35 кг.
Краснодар/Краснодарский край 14 - 15 апреля 2018 г.</t>
  </si>
  <si>
    <t>ОТКРЫТЫЙ ЧЕМПИОНАТ РОССИИ ПО РЖ
Любители 125 кг.
Краснодар/Краснодарский край 14 - 15 апреля 2018 г.</t>
  </si>
  <si>
    <t>ОТКРЫТЫЙ ЧЕМПИОНАТ РОССИИ ПО РЖ
Любители 150 кг.
Краснодар/Краснодарский край 14 - 15 апреля 2018 г.</t>
  </si>
  <si>
    <t>ОТКРЫТЫЙ ЧЕМПИОНАТ РОССИИ ПО РЖ
Любители 100 кг.
Краснодар/Краснодарский край 14 - 15 апреля 2018 г.</t>
  </si>
  <si>
    <t>1786,6501</t>
  </si>
  <si>
    <t>3225,0</t>
  </si>
  <si>
    <t>Кобилинский Демьян</t>
  </si>
  <si>
    <t>43,0</t>
  </si>
  <si>
    <t xml:space="preserve">Rino don </t>
  </si>
  <si>
    <t>Открытая (12.03.1991)/27</t>
  </si>
  <si>
    <t>1. Кобилинский Демьян</t>
  </si>
  <si>
    <t>ОТКРЫТЫЙ ЧЕМПИОНАТ РОССИИ ПО РЖ
Любители 75 кг.
Краснодар/Краснодарский край 14 - 15 апреля 2018 г.</t>
  </si>
  <si>
    <t>1368,6867</t>
  </si>
  <si>
    <t>2145,0</t>
  </si>
  <si>
    <t xml:space="preserve">Мастера 40 - 49 </t>
  </si>
  <si>
    <t>1673,6841</t>
  </si>
  <si>
    <t>2585,0</t>
  </si>
  <si>
    <t>39,0</t>
  </si>
  <si>
    <t>Мастера 40 - 49 (12.03.1975)/43</t>
  </si>
  <si>
    <t>47,0</t>
  </si>
  <si>
    <t>86,60</t>
  </si>
  <si>
    <t>Юноши 13 - 19 (17.12.2000)/17</t>
  </si>
  <si>
    <t>ОТКРЫТЫЙ ЧЕМПИОНАТ РОССИИ ПО РЖ
Любители 55 кг.
Краснодар/Краснодарский край 14 - 15 апреля 2018 г.</t>
  </si>
  <si>
    <t>ОТКРЫТЫЙ ЧЕМПИОНАТ РОССИИ ПО РЖ
Любители 35 кг.
Краснодар/Краснодарский край 14 - 15 апреля 2018 г.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</si>
</sst>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7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72" fontId="1" fillId="0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1" fontId="0" fillId="0" borderId="1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"/>
  <sheetViews>
    <sheetView workbookViewId="0">
      <selection sqref="A1:IV65536"/>
    </sheetView>
  </sheetViews>
  <sheetFormatPr defaultRowHeight="12.75"/>
  <cols>
    <col min="1" max="1" width="25.85546875" style="5" bestFit="1" customWidth="1"/>
    <col min="2" max="2" width="25.28515625" style="5" bestFit="1" customWidth="1"/>
    <col min="3" max="3" width="6.85546875" style="5" bestFit="1" customWidth="1"/>
    <col min="4" max="4" width="6.5703125" style="6" bestFit="1" customWidth="1"/>
    <col min="5" max="5" width="23.7109375" style="5" bestFit="1" customWidth="1"/>
    <col min="6" max="6" width="21.140625" style="5" bestFit="1" customWidth="1"/>
    <col min="7" max="7" width="5.5703125" style="4" bestFit="1" customWidth="1"/>
    <col min="8" max="8" width="7" style="4" customWidth="1"/>
    <col min="9" max="9" width="6.28515625" style="4" bestFit="1" customWidth="1"/>
    <col min="10" max="10" width="5.5703125" style="4" bestFit="1" customWidth="1"/>
    <col min="11" max="13" width="7" style="4" bestFit="1" customWidth="1"/>
    <col min="14" max="14" width="5.5703125" style="4" bestFit="1" customWidth="1"/>
    <col min="15" max="16" width="7" style="4" bestFit="1" customWidth="1"/>
    <col min="17" max="17" width="6.28515625" style="4" bestFit="1" customWidth="1"/>
    <col min="18" max="18" width="5.5703125" style="4" bestFit="1" customWidth="1"/>
    <col min="19" max="19" width="7.85546875" style="6" bestFit="1" customWidth="1"/>
    <col min="20" max="20" width="8.5703125" style="7" bestFit="1" customWidth="1"/>
    <col min="21" max="21" width="23" style="5" bestFit="1" customWidth="1"/>
    <col min="22" max="16384" width="9.140625" style="4"/>
  </cols>
  <sheetData>
    <row r="1" spans="1:21" s="3" customFormat="1" ht="15" customHeigh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6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36" t="s">
        <v>10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36" t="s">
        <v>4</v>
      </c>
      <c r="T3" s="36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37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7"/>
      <c r="T4" s="37"/>
      <c r="U4" s="39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872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6" spans="1:21" ht="15">
      <c r="E6" s="11" t="s">
        <v>62</v>
      </c>
    </row>
    <row r="7" spans="1:21" ht="15">
      <c r="E7" s="11" t="s">
        <v>63</v>
      </c>
    </row>
    <row r="8" spans="1:21" ht="15">
      <c r="E8" s="11" t="s">
        <v>64</v>
      </c>
    </row>
    <row r="9" spans="1:21" ht="15">
      <c r="E9" s="11" t="s">
        <v>65</v>
      </c>
    </row>
    <row r="10" spans="1:21" ht="15">
      <c r="E10" s="11" t="s">
        <v>65</v>
      </c>
    </row>
    <row r="11" spans="1:21" ht="15">
      <c r="E11" s="11" t="s">
        <v>66</v>
      </c>
    </row>
    <row r="12" spans="1:21" ht="15">
      <c r="E12" s="11"/>
    </row>
    <row r="14" spans="1:21" ht="18">
      <c r="A14" s="12" t="s">
        <v>67</v>
      </c>
      <c r="B14" s="12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L13" sqref="L13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24.42578125" style="5" bestFit="1" customWidth="1"/>
    <col min="7" max="7" width="5.5703125" style="4" bestFit="1" customWidth="1"/>
    <col min="8" max="8" width="4" style="29" bestFit="1" customWidth="1"/>
    <col min="9" max="9" width="7.85546875" style="5" bestFit="1" customWidth="1"/>
    <col min="10" max="10" width="6.5703125" style="4" bestFit="1" customWidth="1"/>
    <col min="11" max="11" width="8.85546875" style="5" bestFit="1" customWidth="1"/>
    <col min="12" max="16384" width="9.140625" style="4"/>
  </cols>
  <sheetData>
    <row r="1" spans="1:13" s="3" customFormat="1" ht="29.1" customHeight="1">
      <c r="A1" s="55" t="s">
        <v>871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48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ht="15.75">
      <c r="A6" s="30" t="s">
        <v>670</v>
      </c>
      <c r="B6" s="8" t="s">
        <v>672</v>
      </c>
      <c r="C6" s="8" t="s">
        <v>673</v>
      </c>
      <c r="D6" s="8"/>
      <c r="E6" s="8" t="s">
        <v>674</v>
      </c>
      <c r="F6" s="8" t="s">
        <v>121</v>
      </c>
      <c r="G6" s="32" t="s">
        <v>951</v>
      </c>
      <c r="H6" s="33">
        <v>165</v>
      </c>
      <c r="I6" s="30" t="s">
        <v>447</v>
      </c>
      <c r="J6" s="9"/>
      <c r="K6" s="30" t="s">
        <v>447</v>
      </c>
      <c r="L6" s="35" t="s">
        <v>952</v>
      </c>
    </row>
    <row r="8" spans="1:13" ht="15">
      <c r="E8" s="11" t="s">
        <v>62</v>
      </c>
    </row>
    <row r="9" spans="1:13" ht="15">
      <c r="E9" s="11" t="s">
        <v>63</v>
      </c>
    </row>
    <row r="10" spans="1:13" ht="15">
      <c r="E10" s="11" t="s">
        <v>64</v>
      </c>
    </row>
    <row r="11" spans="1:13" ht="15">
      <c r="E11" s="11" t="s">
        <v>65</v>
      </c>
    </row>
    <row r="12" spans="1:13" ht="15">
      <c r="E12" s="11" t="s">
        <v>65</v>
      </c>
    </row>
    <row r="13" spans="1:13" ht="15">
      <c r="E13" s="11" t="s">
        <v>66</v>
      </c>
    </row>
    <row r="14" spans="1:13" ht="15">
      <c r="E14" s="11"/>
    </row>
    <row r="16" spans="1:13" ht="18">
      <c r="A16" s="12" t="s">
        <v>67</v>
      </c>
      <c r="B16" s="12"/>
    </row>
  </sheetData>
  <mergeCells count="12">
    <mergeCell ref="F3:F4"/>
    <mergeCell ref="G3:J3"/>
    <mergeCell ref="L3:L4"/>
    <mergeCell ref="M3:M4"/>
    <mergeCell ref="K3:K4"/>
    <mergeCell ref="A5:J5"/>
    <mergeCell ref="A1:K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F3" sqref="F3:M4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8" width="5.5703125" style="4" bestFit="1" customWidth="1"/>
    <col min="9" max="9" width="2.1406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863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5" spans="1:21" ht="15">
      <c r="A5" s="53" t="s">
        <v>116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865</v>
      </c>
      <c r="B6" s="8" t="s">
        <v>866</v>
      </c>
      <c r="C6" s="8" t="s">
        <v>867</v>
      </c>
      <c r="D6" s="8"/>
      <c r="E6" s="8" t="s">
        <v>868</v>
      </c>
      <c r="F6" s="8" t="s">
        <v>128</v>
      </c>
      <c r="G6" s="9" t="s">
        <v>57</v>
      </c>
      <c r="H6" s="9" t="s">
        <v>235</v>
      </c>
      <c r="I6" s="10"/>
      <c r="J6" s="10"/>
      <c r="K6" s="9" t="s">
        <v>599</v>
      </c>
      <c r="L6" s="10" t="s">
        <v>153</v>
      </c>
      <c r="M6" s="10" t="s">
        <v>39</v>
      </c>
      <c r="N6" s="10"/>
      <c r="O6" s="10" t="s">
        <v>324</v>
      </c>
      <c r="P6" s="9" t="s">
        <v>324</v>
      </c>
      <c r="Q6" s="10" t="s">
        <v>252</v>
      </c>
      <c r="R6" s="10"/>
      <c r="S6" s="8" t="str">
        <f>"740,0"</f>
        <v>740,0</v>
      </c>
      <c r="T6" s="9" t="str">
        <f>"413,5860"</f>
        <v>413,5860</v>
      </c>
      <c r="U6" s="8" t="s">
        <v>47</v>
      </c>
    </row>
    <row r="8" spans="1:21" ht="15">
      <c r="E8" s="11" t="s">
        <v>62</v>
      </c>
    </row>
    <row r="9" spans="1:21" ht="15">
      <c r="E9" s="11" t="s">
        <v>63</v>
      </c>
    </row>
    <row r="10" spans="1:21" ht="15">
      <c r="E10" s="11" t="s">
        <v>64</v>
      </c>
    </row>
    <row r="11" spans="1:21" ht="15">
      <c r="E11" s="11" t="s">
        <v>65</v>
      </c>
    </row>
    <row r="12" spans="1:21" ht="15">
      <c r="E12" s="11" t="s">
        <v>65</v>
      </c>
    </row>
    <row r="13" spans="1:21" ht="15">
      <c r="E13" s="11" t="s">
        <v>66</v>
      </c>
    </row>
    <row r="14" spans="1:21" ht="15">
      <c r="E14" s="11"/>
    </row>
    <row r="16" spans="1:21" ht="18">
      <c r="A16" s="12" t="s">
        <v>67</v>
      </c>
      <c r="B16" s="12"/>
    </row>
    <row r="17" spans="1:5" ht="15">
      <c r="A17" s="13" t="s">
        <v>77</v>
      </c>
      <c r="B17" s="13"/>
    </row>
    <row r="18" spans="1:5" ht="14.25">
      <c r="A18" s="15"/>
      <c r="B18" s="16" t="s">
        <v>69</v>
      </c>
    </row>
    <row r="19" spans="1:5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>
      <c r="A20" s="14" t="s">
        <v>864</v>
      </c>
      <c r="B20" s="5" t="s">
        <v>69</v>
      </c>
      <c r="C20" s="5" t="s">
        <v>23</v>
      </c>
      <c r="D20" s="5" t="s">
        <v>310</v>
      </c>
      <c r="E20" s="18" t="s">
        <v>869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2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2.5703125" style="5" bestFit="1" customWidth="1"/>
    <col min="14" max="16384" width="9.140625" style="4"/>
  </cols>
  <sheetData>
    <row r="1" spans="1:13" s="3" customFormat="1" ht="29.1" customHeight="1">
      <c r="A1" s="55" t="s">
        <v>709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710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712</v>
      </c>
      <c r="B6" s="8" t="s">
        <v>713</v>
      </c>
      <c r="C6" s="8" t="s">
        <v>714</v>
      </c>
      <c r="D6" s="8"/>
      <c r="E6" s="8" t="s">
        <v>323</v>
      </c>
      <c r="F6" s="8" t="s">
        <v>715</v>
      </c>
      <c r="G6" s="9" t="s">
        <v>91</v>
      </c>
      <c r="H6" s="10" t="s">
        <v>716</v>
      </c>
      <c r="I6" s="9" t="s">
        <v>716</v>
      </c>
      <c r="J6" s="10"/>
      <c r="K6" s="8" t="str">
        <f>"87,5"</f>
        <v>87,5</v>
      </c>
      <c r="L6" s="9" t="str">
        <f>"123,5696"</f>
        <v>123,5696</v>
      </c>
      <c r="M6" s="8" t="s">
        <v>47</v>
      </c>
    </row>
    <row r="8" spans="1:13" ht="15">
      <c r="A8" s="51" t="s">
        <v>370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19" t="s">
        <v>718</v>
      </c>
      <c r="B9" s="19" t="s">
        <v>719</v>
      </c>
      <c r="C9" s="19" t="s">
        <v>720</v>
      </c>
      <c r="D9" s="19"/>
      <c r="E9" s="19" t="s">
        <v>36</v>
      </c>
      <c r="F9" s="19" t="s">
        <v>108</v>
      </c>
      <c r="G9" s="21" t="s">
        <v>721</v>
      </c>
      <c r="H9" s="21" t="s">
        <v>722</v>
      </c>
      <c r="I9" s="21" t="s">
        <v>723</v>
      </c>
      <c r="J9" s="20"/>
      <c r="K9" s="19" t="str">
        <f>"125,0"</f>
        <v>125,0</v>
      </c>
      <c r="L9" s="21" t="str">
        <f>"121,1687"</f>
        <v>121,1687</v>
      </c>
      <c r="M9" s="19" t="s">
        <v>724</v>
      </c>
    </row>
    <row r="10" spans="1:13">
      <c r="A10" s="25" t="s">
        <v>726</v>
      </c>
      <c r="B10" s="25" t="s">
        <v>727</v>
      </c>
      <c r="C10" s="25" t="s">
        <v>728</v>
      </c>
      <c r="D10" s="25"/>
      <c r="E10" s="25" t="s">
        <v>168</v>
      </c>
      <c r="F10" s="25" t="s">
        <v>37</v>
      </c>
      <c r="G10" s="27" t="s">
        <v>91</v>
      </c>
      <c r="H10" s="27" t="s">
        <v>716</v>
      </c>
      <c r="I10" s="27" t="s">
        <v>729</v>
      </c>
      <c r="J10" s="26"/>
      <c r="K10" s="25" t="str">
        <f>"92,5"</f>
        <v>92,5</v>
      </c>
      <c r="L10" s="27" t="str">
        <f>"93,6539"</f>
        <v>93,6539</v>
      </c>
      <c r="M10" s="25" t="s">
        <v>47</v>
      </c>
    </row>
    <row r="11" spans="1:13">
      <c r="A11" s="22" t="s">
        <v>372</v>
      </c>
      <c r="B11" s="22" t="s">
        <v>373</v>
      </c>
      <c r="C11" s="22" t="s">
        <v>374</v>
      </c>
      <c r="D11" s="22"/>
      <c r="E11" s="22" t="s">
        <v>375</v>
      </c>
      <c r="F11" s="22" t="s">
        <v>139</v>
      </c>
      <c r="G11" s="24" t="s">
        <v>80</v>
      </c>
      <c r="H11" s="24" t="s">
        <v>381</v>
      </c>
      <c r="I11" s="23" t="s">
        <v>23</v>
      </c>
      <c r="J11" s="23"/>
      <c r="K11" s="22" t="str">
        <f>"97,5"</f>
        <v>97,5</v>
      </c>
      <c r="L11" s="24" t="str">
        <f>"96,3061"</f>
        <v>96,3061</v>
      </c>
      <c r="M11" s="22" t="s">
        <v>47</v>
      </c>
    </row>
    <row r="13" spans="1:13" ht="15">
      <c r="A13" s="51" t="s">
        <v>15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3">
      <c r="A14" s="19" t="s">
        <v>731</v>
      </c>
      <c r="B14" s="19" t="s">
        <v>732</v>
      </c>
      <c r="C14" s="19" t="s">
        <v>733</v>
      </c>
      <c r="D14" s="19"/>
      <c r="E14" s="19" t="s">
        <v>323</v>
      </c>
      <c r="F14" s="19" t="s">
        <v>715</v>
      </c>
      <c r="G14" s="21" t="s">
        <v>23</v>
      </c>
      <c r="H14" s="21" t="s">
        <v>413</v>
      </c>
      <c r="I14" s="21" t="s">
        <v>734</v>
      </c>
      <c r="J14" s="20"/>
      <c r="K14" s="19" t="str">
        <f>"112,5"</f>
        <v>112,5</v>
      </c>
      <c r="L14" s="21" t="str">
        <f>"121,1211"</f>
        <v>121,1211</v>
      </c>
      <c r="M14" s="19" t="s">
        <v>47</v>
      </c>
    </row>
    <row r="15" spans="1:13">
      <c r="A15" s="25" t="s">
        <v>736</v>
      </c>
      <c r="B15" s="25" t="s">
        <v>737</v>
      </c>
      <c r="C15" s="25" t="s">
        <v>733</v>
      </c>
      <c r="D15" s="25"/>
      <c r="E15" s="25" t="s">
        <v>36</v>
      </c>
      <c r="F15" s="25" t="s">
        <v>37</v>
      </c>
      <c r="G15" s="27" t="s">
        <v>721</v>
      </c>
      <c r="H15" s="27" t="s">
        <v>722</v>
      </c>
      <c r="I15" s="27" t="s">
        <v>723</v>
      </c>
      <c r="J15" s="26"/>
      <c r="K15" s="25" t="str">
        <f>"125,0"</f>
        <v>125,0</v>
      </c>
      <c r="L15" s="27" t="str">
        <f>"114,0500"</f>
        <v>114,0500</v>
      </c>
      <c r="M15" s="25" t="s">
        <v>247</v>
      </c>
    </row>
    <row r="16" spans="1:13">
      <c r="A16" s="22" t="s">
        <v>739</v>
      </c>
      <c r="B16" s="22" t="s">
        <v>740</v>
      </c>
      <c r="C16" s="22" t="s">
        <v>741</v>
      </c>
      <c r="D16" s="22"/>
      <c r="E16" s="22" t="s">
        <v>742</v>
      </c>
      <c r="F16" s="22" t="s">
        <v>108</v>
      </c>
      <c r="G16" s="24" t="s">
        <v>23</v>
      </c>
      <c r="H16" s="24" t="s">
        <v>24</v>
      </c>
      <c r="I16" s="24" t="s">
        <v>413</v>
      </c>
      <c r="J16" s="23"/>
      <c r="K16" s="22" t="str">
        <f>"107,5"</f>
        <v>107,5</v>
      </c>
      <c r="L16" s="24" t="str">
        <f>"98,3249"</f>
        <v>98,3249</v>
      </c>
      <c r="M16" s="22" t="s">
        <v>47</v>
      </c>
    </row>
    <row r="18" spans="1:13" ht="15">
      <c r="A18" s="51" t="s">
        <v>382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3">
      <c r="A19" s="8" t="s">
        <v>744</v>
      </c>
      <c r="B19" s="8" t="s">
        <v>745</v>
      </c>
      <c r="C19" s="8" t="s">
        <v>746</v>
      </c>
      <c r="D19" s="8"/>
      <c r="E19" s="8" t="s">
        <v>375</v>
      </c>
      <c r="F19" s="8" t="s">
        <v>139</v>
      </c>
      <c r="G19" s="9" t="s">
        <v>448</v>
      </c>
      <c r="H19" s="9" t="s">
        <v>28</v>
      </c>
      <c r="I19" s="9" t="s">
        <v>470</v>
      </c>
      <c r="J19" s="10"/>
      <c r="K19" s="8" t="str">
        <f>"132,5"</f>
        <v>132,5</v>
      </c>
      <c r="L19" s="9" t="str">
        <f>"116,5205"</f>
        <v>116,5205</v>
      </c>
      <c r="M19" s="8" t="s">
        <v>47</v>
      </c>
    </row>
    <row r="21" spans="1:13" ht="15">
      <c r="A21" s="51" t="s">
        <v>273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3">
      <c r="A22" s="8" t="s">
        <v>748</v>
      </c>
      <c r="B22" s="8" t="s">
        <v>749</v>
      </c>
      <c r="C22" s="8" t="s">
        <v>750</v>
      </c>
      <c r="D22" s="8"/>
      <c r="E22" s="8" t="s">
        <v>36</v>
      </c>
      <c r="F22" s="8" t="s">
        <v>139</v>
      </c>
      <c r="G22" s="9" t="s">
        <v>92</v>
      </c>
      <c r="H22" s="9" t="s">
        <v>388</v>
      </c>
      <c r="I22" s="10" t="s">
        <v>23</v>
      </c>
      <c r="J22" s="10"/>
      <c r="K22" s="8" t="str">
        <f>"95,0"</f>
        <v>95,0</v>
      </c>
      <c r="L22" s="9" t="str">
        <f>"84,6837"</f>
        <v>84,6837</v>
      </c>
      <c r="M22" s="8" t="s">
        <v>47</v>
      </c>
    </row>
    <row r="24" spans="1:13" ht="15">
      <c r="A24" s="51" t="s">
        <v>751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3">
      <c r="A25" s="8" t="s">
        <v>753</v>
      </c>
      <c r="B25" s="8" t="s">
        <v>754</v>
      </c>
      <c r="C25" s="8" t="s">
        <v>755</v>
      </c>
      <c r="D25" s="8"/>
      <c r="E25" s="8" t="s">
        <v>36</v>
      </c>
      <c r="F25" s="8" t="s">
        <v>139</v>
      </c>
      <c r="G25" s="9" t="s">
        <v>756</v>
      </c>
      <c r="H25" s="9" t="s">
        <v>757</v>
      </c>
      <c r="I25" s="10" t="s">
        <v>27</v>
      </c>
      <c r="J25" s="10"/>
      <c r="K25" s="8" t="str">
        <f>"110,0"</f>
        <v>110,0</v>
      </c>
      <c r="L25" s="9" t="str">
        <f>"67,5675"</f>
        <v>67,5675</v>
      </c>
      <c r="M25" s="8" t="s">
        <v>47</v>
      </c>
    </row>
    <row r="27" spans="1:13" ht="15">
      <c r="A27" s="51" t="s">
        <v>273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3">
      <c r="A28" s="19" t="s">
        <v>759</v>
      </c>
      <c r="B28" s="19" t="s">
        <v>760</v>
      </c>
      <c r="C28" s="19" t="s">
        <v>589</v>
      </c>
      <c r="D28" s="19"/>
      <c r="E28" s="19" t="s">
        <v>36</v>
      </c>
      <c r="F28" s="19" t="s">
        <v>578</v>
      </c>
      <c r="G28" s="21" t="s">
        <v>610</v>
      </c>
      <c r="H28" s="20" t="s">
        <v>487</v>
      </c>
      <c r="I28" s="20" t="s">
        <v>487</v>
      </c>
      <c r="J28" s="20"/>
      <c r="K28" s="19" t="str">
        <f>"152,5"</f>
        <v>152,5</v>
      </c>
      <c r="L28" s="21" t="str">
        <f>"120,8404"</f>
        <v>120,8404</v>
      </c>
      <c r="M28" s="19" t="s">
        <v>47</v>
      </c>
    </row>
    <row r="29" spans="1:13">
      <c r="A29" s="25" t="s">
        <v>762</v>
      </c>
      <c r="B29" s="25" t="s">
        <v>763</v>
      </c>
      <c r="C29" s="25" t="s">
        <v>764</v>
      </c>
      <c r="D29" s="25"/>
      <c r="E29" s="25" t="s">
        <v>765</v>
      </c>
      <c r="F29" s="25" t="s">
        <v>578</v>
      </c>
      <c r="G29" s="27" t="s">
        <v>766</v>
      </c>
      <c r="H29" s="27" t="s">
        <v>123</v>
      </c>
      <c r="I29" s="27" t="s">
        <v>59</v>
      </c>
      <c r="J29" s="26"/>
      <c r="K29" s="25" t="str">
        <f>"180,0"</f>
        <v>180,0</v>
      </c>
      <c r="L29" s="27" t="str">
        <f>"131,1660"</f>
        <v>131,1660</v>
      </c>
      <c r="M29" s="25" t="s">
        <v>47</v>
      </c>
    </row>
    <row r="30" spans="1:13">
      <c r="A30" s="22" t="s">
        <v>762</v>
      </c>
      <c r="B30" s="22" t="s">
        <v>767</v>
      </c>
      <c r="C30" s="22" t="s">
        <v>764</v>
      </c>
      <c r="D30" s="22"/>
      <c r="E30" s="22" t="s">
        <v>765</v>
      </c>
      <c r="F30" s="22" t="s">
        <v>578</v>
      </c>
      <c r="G30" s="24" t="s">
        <v>766</v>
      </c>
      <c r="H30" s="24" t="s">
        <v>123</v>
      </c>
      <c r="I30" s="24" t="s">
        <v>59</v>
      </c>
      <c r="J30" s="23"/>
      <c r="K30" s="22" t="str">
        <f>"180,0"</f>
        <v>180,0</v>
      </c>
      <c r="L30" s="24" t="str">
        <f>"263,6437"</f>
        <v>263,6437</v>
      </c>
      <c r="M30" s="22" t="s">
        <v>47</v>
      </c>
    </row>
    <row r="32" spans="1:13" ht="15">
      <c r="A32" s="51" t="s">
        <v>84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3">
      <c r="A33" s="19" t="s">
        <v>768</v>
      </c>
      <c r="B33" s="19" t="s">
        <v>419</v>
      </c>
      <c r="C33" s="19" t="s">
        <v>355</v>
      </c>
      <c r="D33" s="19"/>
      <c r="E33" s="19" t="s">
        <v>36</v>
      </c>
      <c r="F33" s="19" t="s">
        <v>121</v>
      </c>
      <c r="G33" s="21" t="s">
        <v>153</v>
      </c>
      <c r="H33" s="21" t="s">
        <v>40</v>
      </c>
      <c r="I33" s="21" t="s">
        <v>282</v>
      </c>
      <c r="J33" s="20"/>
      <c r="K33" s="19" t="str">
        <f>"220,0"</f>
        <v>220,0</v>
      </c>
      <c r="L33" s="21" t="str">
        <f>"147,7520"</f>
        <v>147,7520</v>
      </c>
      <c r="M33" s="19" t="s">
        <v>47</v>
      </c>
    </row>
    <row r="34" spans="1:13">
      <c r="A34" s="25" t="s">
        <v>769</v>
      </c>
      <c r="B34" s="25" t="s">
        <v>424</v>
      </c>
      <c r="C34" s="25" t="s">
        <v>425</v>
      </c>
      <c r="D34" s="25"/>
      <c r="E34" s="25" t="s">
        <v>426</v>
      </c>
      <c r="F34" s="25" t="s">
        <v>54</v>
      </c>
      <c r="G34" s="26" t="s">
        <v>40</v>
      </c>
      <c r="H34" s="27" t="s">
        <v>40</v>
      </c>
      <c r="I34" s="27" t="s">
        <v>282</v>
      </c>
      <c r="J34" s="26"/>
      <c r="K34" s="25" t="str">
        <f>"220,0"</f>
        <v>220,0</v>
      </c>
      <c r="L34" s="27" t="str">
        <f>"147,4220"</f>
        <v>147,4220</v>
      </c>
      <c r="M34" s="25" t="s">
        <v>427</v>
      </c>
    </row>
    <row r="35" spans="1:13">
      <c r="A35" s="25" t="s">
        <v>771</v>
      </c>
      <c r="B35" s="25" t="s">
        <v>772</v>
      </c>
      <c r="C35" s="25" t="s">
        <v>355</v>
      </c>
      <c r="D35" s="25"/>
      <c r="E35" s="25" t="s">
        <v>438</v>
      </c>
      <c r="F35" s="25" t="s">
        <v>398</v>
      </c>
      <c r="G35" s="27" t="s">
        <v>59</v>
      </c>
      <c r="H35" s="27" t="s">
        <v>39</v>
      </c>
      <c r="I35" s="27" t="s">
        <v>773</v>
      </c>
      <c r="J35" s="26"/>
      <c r="K35" s="25" t="str">
        <f>"205,0"</f>
        <v>205,0</v>
      </c>
      <c r="L35" s="27" t="str">
        <f>"137,6780"</f>
        <v>137,6780</v>
      </c>
      <c r="M35" s="25" t="s">
        <v>47</v>
      </c>
    </row>
    <row r="36" spans="1:13">
      <c r="A36" s="25" t="s">
        <v>775</v>
      </c>
      <c r="B36" s="25" t="s">
        <v>776</v>
      </c>
      <c r="C36" s="25" t="s">
        <v>355</v>
      </c>
      <c r="D36" s="25"/>
      <c r="E36" s="25" t="s">
        <v>438</v>
      </c>
      <c r="F36" s="25" t="s">
        <v>398</v>
      </c>
      <c r="G36" s="27" t="s">
        <v>182</v>
      </c>
      <c r="H36" s="27" t="s">
        <v>110</v>
      </c>
      <c r="I36" s="27" t="s">
        <v>58</v>
      </c>
      <c r="J36" s="26"/>
      <c r="K36" s="25" t="str">
        <f>"170,0"</f>
        <v>170,0</v>
      </c>
      <c r="L36" s="27" t="str">
        <f>"114,1720"</f>
        <v>114,1720</v>
      </c>
      <c r="M36" s="25" t="s">
        <v>47</v>
      </c>
    </row>
    <row r="37" spans="1:13">
      <c r="A37" s="22" t="s">
        <v>778</v>
      </c>
      <c r="B37" s="22" t="s">
        <v>779</v>
      </c>
      <c r="C37" s="22" t="s">
        <v>780</v>
      </c>
      <c r="D37" s="22"/>
      <c r="E37" s="22" t="s">
        <v>36</v>
      </c>
      <c r="F37" s="22" t="s">
        <v>616</v>
      </c>
      <c r="G37" s="23" t="s">
        <v>172</v>
      </c>
      <c r="H37" s="24" t="s">
        <v>103</v>
      </c>
      <c r="I37" s="24" t="s">
        <v>38</v>
      </c>
      <c r="J37" s="23"/>
      <c r="K37" s="22" t="str">
        <f>"180,0"</f>
        <v>180,0</v>
      </c>
      <c r="L37" s="24" t="str">
        <f>"199,7194"</f>
        <v>199,7194</v>
      </c>
      <c r="M37" s="22" t="s">
        <v>781</v>
      </c>
    </row>
    <row r="39" spans="1:13" ht="15">
      <c r="A39" s="51" t="s">
        <v>95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3">
      <c r="A40" s="19" t="s">
        <v>783</v>
      </c>
      <c r="B40" s="19" t="s">
        <v>784</v>
      </c>
      <c r="C40" s="19" t="s">
        <v>785</v>
      </c>
      <c r="D40" s="19"/>
      <c r="E40" s="19" t="s">
        <v>36</v>
      </c>
      <c r="F40" s="19" t="s">
        <v>715</v>
      </c>
      <c r="G40" s="21" t="s">
        <v>159</v>
      </c>
      <c r="H40" s="21" t="s">
        <v>44</v>
      </c>
      <c r="I40" s="21" t="s">
        <v>206</v>
      </c>
      <c r="J40" s="20"/>
      <c r="K40" s="19" t="str">
        <f>"210,0"</f>
        <v>210,0</v>
      </c>
      <c r="L40" s="21" t="str">
        <f>"147,2386"</f>
        <v>147,2386</v>
      </c>
      <c r="M40" s="19" t="s">
        <v>47</v>
      </c>
    </row>
    <row r="41" spans="1:13">
      <c r="A41" s="25" t="s">
        <v>435</v>
      </c>
      <c r="B41" s="25" t="s">
        <v>436</v>
      </c>
      <c r="C41" s="25" t="s">
        <v>437</v>
      </c>
      <c r="D41" s="25"/>
      <c r="E41" s="25" t="s">
        <v>438</v>
      </c>
      <c r="F41" s="25" t="s">
        <v>439</v>
      </c>
      <c r="G41" s="26" t="s">
        <v>440</v>
      </c>
      <c r="H41" s="27" t="s">
        <v>433</v>
      </c>
      <c r="I41" s="26" t="s">
        <v>212</v>
      </c>
      <c r="J41" s="26"/>
      <c r="K41" s="25" t="str">
        <f>"232,5"</f>
        <v>232,5</v>
      </c>
      <c r="L41" s="27" t="str">
        <f>"145,5915"</f>
        <v>145,5915</v>
      </c>
      <c r="M41" s="25" t="s">
        <v>47</v>
      </c>
    </row>
    <row r="42" spans="1:13">
      <c r="A42" s="25" t="s">
        <v>786</v>
      </c>
      <c r="B42" s="25" t="s">
        <v>445</v>
      </c>
      <c r="C42" s="25" t="s">
        <v>446</v>
      </c>
      <c r="D42" s="25"/>
      <c r="E42" s="25" t="s">
        <v>375</v>
      </c>
      <c r="F42" s="25" t="s">
        <v>139</v>
      </c>
      <c r="G42" s="27" t="s">
        <v>282</v>
      </c>
      <c r="H42" s="27" t="s">
        <v>46</v>
      </c>
      <c r="I42" s="26" t="s">
        <v>212</v>
      </c>
      <c r="J42" s="26"/>
      <c r="K42" s="25" t="str">
        <f>"230,0"</f>
        <v>230,0</v>
      </c>
      <c r="L42" s="27" t="str">
        <f>"144,9230"</f>
        <v>144,9230</v>
      </c>
      <c r="M42" s="25" t="s">
        <v>47</v>
      </c>
    </row>
    <row r="43" spans="1:13">
      <c r="A43" s="25" t="s">
        <v>788</v>
      </c>
      <c r="B43" s="25" t="s">
        <v>789</v>
      </c>
      <c r="C43" s="25" t="s">
        <v>790</v>
      </c>
      <c r="D43" s="25"/>
      <c r="E43" s="25" t="s">
        <v>36</v>
      </c>
      <c r="F43" s="25" t="s">
        <v>121</v>
      </c>
      <c r="G43" s="27" t="s">
        <v>159</v>
      </c>
      <c r="H43" s="26" t="s">
        <v>773</v>
      </c>
      <c r="I43" s="26" t="s">
        <v>773</v>
      </c>
      <c r="J43" s="26"/>
      <c r="K43" s="25" t="str">
        <f>"190,0"</f>
        <v>190,0</v>
      </c>
      <c r="L43" s="27" t="str">
        <f>"120,4790"</f>
        <v>120,4790</v>
      </c>
      <c r="M43" s="25" t="s">
        <v>47</v>
      </c>
    </row>
    <row r="44" spans="1:13">
      <c r="A44" s="25" t="s">
        <v>792</v>
      </c>
      <c r="B44" s="25" t="s">
        <v>793</v>
      </c>
      <c r="C44" s="25" t="s">
        <v>794</v>
      </c>
      <c r="D44" s="25"/>
      <c r="E44" s="25" t="s">
        <v>36</v>
      </c>
      <c r="F44" s="25" t="s">
        <v>108</v>
      </c>
      <c r="G44" s="27" t="s">
        <v>122</v>
      </c>
      <c r="H44" s="27" t="s">
        <v>153</v>
      </c>
      <c r="I44" s="26" t="s">
        <v>146</v>
      </c>
      <c r="J44" s="26"/>
      <c r="K44" s="25" t="str">
        <f>"190,0"</f>
        <v>190,0</v>
      </c>
      <c r="L44" s="27" t="str">
        <f>"119,9280"</f>
        <v>119,9280</v>
      </c>
      <c r="M44" s="25" t="s">
        <v>47</v>
      </c>
    </row>
    <row r="45" spans="1:13">
      <c r="A45" s="22" t="s">
        <v>796</v>
      </c>
      <c r="B45" s="22" t="s">
        <v>797</v>
      </c>
      <c r="C45" s="22" t="s">
        <v>99</v>
      </c>
      <c r="D45" s="22"/>
      <c r="E45" s="22" t="s">
        <v>36</v>
      </c>
      <c r="F45" s="22" t="s">
        <v>121</v>
      </c>
      <c r="G45" s="24" t="s">
        <v>798</v>
      </c>
      <c r="H45" s="24" t="s">
        <v>628</v>
      </c>
      <c r="I45" s="24" t="s">
        <v>799</v>
      </c>
      <c r="J45" s="23"/>
      <c r="K45" s="22" t="str">
        <f>"187,5"</f>
        <v>187,5</v>
      </c>
      <c r="L45" s="24" t="str">
        <f>"117,6188"</f>
        <v>117,6188</v>
      </c>
      <c r="M45" s="22" t="s">
        <v>47</v>
      </c>
    </row>
    <row r="47" spans="1:13" ht="15">
      <c r="A47" s="51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3">
      <c r="A48" s="19" t="s">
        <v>459</v>
      </c>
      <c r="B48" s="19" t="s">
        <v>460</v>
      </c>
      <c r="C48" s="19" t="s">
        <v>35</v>
      </c>
      <c r="D48" s="19"/>
      <c r="E48" s="19" t="s">
        <v>36</v>
      </c>
      <c r="F48" s="19" t="s">
        <v>461</v>
      </c>
      <c r="G48" s="21" t="s">
        <v>285</v>
      </c>
      <c r="H48" s="21" t="s">
        <v>282</v>
      </c>
      <c r="I48" s="21" t="s">
        <v>283</v>
      </c>
      <c r="J48" s="20"/>
      <c r="K48" s="19" t="str">
        <f>"225,0"</f>
        <v>225,0</v>
      </c>
      <c r="L48" s="21" t="str">
        <f>"143,6130"</f>
        <v>143,6130</v>
      </c>
      <c r="M48" s="19" t="s">
        <v>47</v>
      </c>
    </row>
    <row r="49" spans="1:13">
      <c r="A49" s="25" t="s">
        <v>800</v>
      </c>
      <c r="B49" s="25" t="s">
        <v>466</v>
      </c>
      <c r="C49" s="25" t="s">
        <v>467</v>
      </c>
      <c r="D49" s="25"/>
      <c r="E49" s="25" t="s">
        <v>36</v>
      </c>
      <c r="F49" s="25" t="s">
        <v>468</v>
      </c>
      <c r="G49" s="27" t="s">
        <v>40</v>
      </c>
      <c r="H49" s="26" t="s">
        <v>282</v>
      </c>
      <c r="I49" s="26"/>
      <c r="J49" s="26"/>
      <c r="K49" s="25" t="str">
        <f>"210,0"</f>
        <v>210,0</v>
      </c>
      <c r="L49" s="27" t="str">
        <f>"127,1550"</f>
        <v>127,1550</v>
      </c>
      <c r="M49" s="25" t="s">
        <v>47</v>
      </c>
    </row>
    <row r="50" spans="1:13">
      <c r="A50" s="22" t="s">
        <v>802</v>
      </c>
      <c r="B50" s="22" t="s">
        <v>233</v>
      </c>
      <c r="C50" s="22" t="s">
        <v>803</v>
      </c>
      <c r="D50" s="22"/>
      <c r="E50" s="22" t="s">
        <v>36</v>
      </c>
      <c r="F50" s="22" t="s">
        <v>37</v>
      </c>
      <c r="G50" s="24" t="s">
        <v>804</v>
      </c>
      <c r="H50" s="24" t="s">
        <v>44</v>
      </c>
      <c r="I50" s="23" t="s">
        <v>134</v>
      </c>
      <c r="J50" s="23"/>
      <c r="K50" s="22" t="str">
        <f>"200,0"</f>
        <v>200,0</v>
      </c>
      <c r="L50" s="24" t="str">
        <f>"117,0600"</f>
        <v>117,0600</v>
      </c>
      <c r="M50" s="22" t="s">
        <v>47</v>
      </c>
    </row>
    <row r="52" spans="1:13" ht="15">
      <c r="A52" s="51" t="s">
        <v>116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3">
      <c r="A53" s="19" t="s">
        <v>806</v>
      </c>
      <c r="B53" s="19" t="s">
        <v>807</v>
      </c>
      <c r="C53" s="19" t="s">
        <v>808</v>
      </c>
      <c r="D53" s="19"/>
      <c r="E53" s="19" t="s">
        <v>375</v>
      </c>
      <c r="F53" s="19" t="s">
        <v>139</v>
      </c>
      <c r="G53" s="21" t="s">
        <v>245</v>
      </c>
      <c r="H53" s="21" t="s">
        <v>244</v>
      </c>
      <c r="I53" s="20" t="s">
        <v>55</v>
      </c>
      <c r="J53" s="20"/>
      <c r="K53" s="19" t="str">
        <f>"275,0"</f>
        <v>275,0</v>
      </c>
      <c r="L53" s="21" t="str">
        <f>"153,1200"</f>
        <v>153,1200</v>
      </c>
      <c r="M53" s="19" t="s">
        <v>47</v>
      </c>
    </row>
    <row r="54" spans="1:13">
      <c r="A54" s="22" t="s">
        <v>810</v>
      </c>
      <c r="B54" s="22" t="s">
        <v>811</v>
      </c>
      <c r="C54" s="22" t="s">
        <v>812</v>
      </c>
      <c r="D54" s="22"/>
      <c r="E54" s="22" t="s">
        <v>36</v>
      </c>
      <c r="F54" s="22" t="s">
        <v>139</v>
      </c>
      <c r="G54" s="24" t="s">
        <v>486</v>
      </c>
      <c r="H54" s="24" t="s">
        <v>206</v>
      </c>
      <c r="I54" s="23" t="s">
        <v>285</v>
      </c>
      <c r="J54" s="23"/>
      <c r="K54" s="22" t="str">
        <f>"210,0"</f>
        <v>210,0</v>
      </c>
      <c r="L54" s="24" t="str">
        <f>"118,6710"</f>
        <v>118,6710</v>
      </c>
      <c r="M54" s="22" t="s">
        <v>47</v>
      </c>
    </row>
    <row r="56" spans="1:13" ht="15">
      <c r="A56" s="51" t="s">
        <v>129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1:13">
      <c r="A57" s="8" t="s">
        <v>814</v>
      </c>
      <c r="B57" s="8" t="s">
        <v>815</v>
      </c>
      <c r="C57" s="8" t="s">
        <v>816</v>
      </c>
      <c r="D57" s="8"/>
      <c r="E57" s="8" t="s">
        <v>36</v>
      </c>
      <c r="F57" s="8" t="s">
        <v>616</v>
      </c>
      <c r="G57" s="9" t="s">
        <v>817</v>
      </c>
      <c r="H57" s="9" t="s">
        <v>818</v>
      </c>
      <c r="I57" s="9" t="s">
        <v>198</v>
      </c>
      <c r="J57" s="10"/>
      <c r="K57" s="8" t="str">
        <f>"260,0"</f>
        <v>260,0</v>
      </c>
      <c r="L57" s="9" t="str">
        <f>"140,1660"</f>
        <v>140,1660</v>
      </c>
      <c r="M57" s="8" t="s">
        <v>47</v>
      </c>
    </row>
    <row r="59" spans="1:13" ht="15">
      <c r="A59" s="51" t="s">
        <v>48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</row>
    <row r="60" spans="1:13">
      <c r="A60" s="19" t="s">
        <v>820</v>
      </c>
      <c r="B60" s="19" t="s">
        <v>821</v>
      </c>
      <c r="C60" s="19" t="s">
        <v>305</v>
      </c>
      <c r="D60" s="19"/>
      <c r="E60" s="19" t="s">
        <v>323</v>
      </c>
      <c r="F60" s="19" t="s">
        <v>715</v>
      </c>
      <c r="G60" s="21" t="s">
        <v>252</v>
      </c>
      <c r="H60" s="21" t="s">
        <v>55</v>
      </c>
      <c r="I60" s="21" t="s">
        <v>61</v>
      </c>
      <c r="J60" s="20"/>
      <c r="K60" s="19" t="str">
        <f>"300,0"</f>
        <v>300,0</v>
      </c>
      <c r="L60" s="21" t="str">
        <f>"157,2000"</f>
        <v>157,2000</v>
      </c>
      <c r="M60" s="19" t="s">
        <v>47</v>
      </c>
    </row>
    <row r="61" spans="1:13">
      <c r="A61" s="22" t="s">
        <v>823</v>
      </c>
      <c r="B61" s="22" t="s">
        <v>824</v>
      </c>
      <c r="C61" s="22" t="s">
        <v>825</v>
      </c>
      <c r="D61" s="22"/>
      <c r="E61" s="22" t="s">
        <v>36</v>
      </c>
      <c r="F61" s="22" t="s">
        <v>37</v>
      </c>
      <c r="G61" s="24" t="s">
        <v>463</v>
      </c>
      <c r="H61" s="24" t="s">
        <v>826</v>
      </c>
      <c r="I61" s="23" t="s">
        <v>243</v>
      </c>
      <c r="J61" s="23"/>
      <c r="K61" s="22" t="str">
        <f>"235,0"</f>
        <v>235,0</v>
      </c>
      <c r="L61" s="24" t="str">
        <f>"124,3620"</f>
        <v>124,3620</v>
      </c>
      <c r="M61" s="22" t="s">
        <v>47</v>
      </c>
    </row>
    <row r="63" spans="1:13" ht="15">
      <c r="E63" s="11" t="s">
        <v>62</v>
      </c>
    </row>
    <row r="64" spans="1:13" ht="15">
      <c r="E64" s="11" t="s">
        <v>63</v>
      </c>
    </row>
    <row r="65" spans="1:5" ht="15">
      <c r="E65" s="11" t="s">
        <v>64</v>
      </c>
    </row>
    <row r="66" spans="1:5" ht="15">
      <c r="E66" s="11" t="s">
        <v>65</v>
      </c>
    </row>
    <row r="67" spans="1:5" ht="15">
      <c r="E67" s="11" t="s">
        <v>65</v>
      </c>
    </row>
    <row r="68" spans="1:5" ht="15">
      <c r="E68" s="11" t="s">
        <v>66</v>
      </c>
    </row>
    <row r="69" spans="1:5" ht="15">
      <c r="E69" s="11"/>
    </row>
    <row r="71" spans="1:5" ht="18">
      <c r="A71" s="12" t="s">
        <v>67</v>
      </c>
      <c r="B71" s="12"/>
    </row>
    <row r="72" spans="1:5" ht="15">
      <c r="A72" s="13" t="s">
        <v>68</v>
      </c>
      <c r="B72" s="13"/>
    </row>
    <row r="73" spans="1:5" ht="14.25">
      <c r="A73" s="15"/>
      <c r="B73" s="16" t="s">
        <v>827</v>
      </c>
    </row>
    <row r="74" spans="1:5" ht="15">
      <c r="A74" s="17" t="s">
        <v>70</v>
      </c>
      <c r="B74" s="17" t="s">
        <v>71</v>
      </c>
      <c r="C74" s="17" t="s">
        <v>72</v>
      </c>
      <c r="D74" s="17" t="s">
        <v>73</v>
      </c>
      <c r="E74" s="17" t="s">
        <v>74</v>
      </c>
    </row>
    <row r="75" spans="1:5">
      <c r="A75" s="14" t="s">
        <v>711</v>
      </c>
      <c r="B75" s="5" t="s">
        <v>516</v>
      </c>
      <c r="C75" s="5" t="s">
        <v>828</v>
      </c>
      <c r="D75" s="5" t="s">
        <v>716</v>
      </c>
      <c r="E75" s="18" t="s">
        <v>829</v>
      </c>
    </row>
    <row r="76" spans="1:5">
      <c r="A76" s="14" t="s">
        <v>730</v>
      </c>
      <c r="B76" s="5" t="s">
        <v>516</v>
      </c>
      <c r="C76" s="5" t="s">
        <v>75</v>
      </c>
      <c r="D76" s="5" t="s">
        <v>734</v>
      </c>
      <c r="E76" s="18" t="s">
        <v>830</v>
      </c>
    </row>
    <row r="77" spans="1:5">
      <c r="A77" s="14" t="s">
        <v>747</v>
      </c>
      <c r="B77" s="5" t="s">
        <v>831</v>
      </c>
      <c r="C77" s="5" t="s">
        <v>376</v>
      </c>
      <c r="D77" s="5" t="s">
        <v>22</v>
      </c>
      <c r="E77" s="18" t="s">
        <v>832</v>
      </c>
    </row>
    <row r="79" spans="1:5" ht="14.25">
      <c r="A79" s="15"/>
      <c r="B79" s="16" t="s">
        <v>496</v>
      </c>
    </row>
    <row r="80" spans="1:5" ht="15">
      <c r="A80" s="17" t="s">
        <v>70</v>
      </c>
      <c r="B80" s="17" t="s">
        <v>71</v>
      </c>
      <c r="C80" s="17" t="s">
        <v>72</v>
      </c>
      <c r="D80" s="17" t="s">
        <v>73</v>
      </c>
      <c r="E80" s="17" t="s">
        <v>74</v>
      </c>
    </row>
    <row r="81" spans="1:5">
      <c r="A81" s="14" t="s">
        <v>717</v>
      </c>
      <c r="B81" s="5" t="s">
        <v>170</v>
      </c>
      <c r="C81" s="5" t="s">
        <v>508</v>
      </c>
      <c r="D81" s="5" t="s">
        <v>27</v>
      </c>
      <c r="E81" s="18" t="s">
        <v>833</v>
      </c>
    </row>
    <row r="82" spans="1:5">
      <c r="A82" s="14" t="s">
        <v>725</v>
      </c>
      <c r="B82" s="5" t="s">
        <v>170</v>
      </c>
      <c r="C82" s="5" t="s">
        <v>508</v>
      </c>
      <c r="D82" s="5" t="s">
        <v>729</v>
      </c>
      <c r="E82" s="18" t="s">
        <v>834</v>
      </c>
    </row>
    <row r="84" spans="1:5" ht="14.25">
      <c r="A84" s="15"/>
      <c r="B84" s="16" t="s">
        <v>69</v>
      </c>
    </row>
    <row r="85" spans="1:5" ht="15">
      <c r="A85" s="17" t="s">
        <v>70</v>
      </c>
      <c r="B85" s="17" t="s">
        <v>71</v>
      </c>
      <c r="C85" s="17" t="s">
        <v>72</v>
      </c>
      <c r="D85" s="17" t="s">
        <v>73</v>
      </c>
      <c r="E85" s="17" t="s">
        <v>74</v>
      </c>
    </row>
    <row r="86" spans="1:5">
      <c r="A86" s="14" t="s">
        <v>743</v>
      </c>
      <c r="B86" s="5" t="s">
        <v>69</v>
      </c>
      <c r="C86" s="5" t="s">
        <v>25</v>
      </c>
      <c r="D86" s="5" t="s">
        <v>470</v>
      </c>
      <c r="E86" s="18" t="s">
        <v>835</v>
      </c>
    </row>
    <row r="87" spans="1:5">
      <c r="A87" s="14" t="s">
        <v>735</v>
      </c>
      <c r="B87" s="5" t="s">
        <v>69</v>
      </c>
      <c r="C87" s="5" t="s">
        <v>75</v>
      </c>
      <c r="D87" s="5" t="s">
        <v>27</v>
      </c>
      <c r="E87" s="18" t="s">
        <v>836</v>
      </c>
    </row>
    <row r="88" spans="1:5">
      <c r="A88" s="14" t="s">
        <v>738</v>
      </c>
      <c r="B88" s="5" t="s">
        <v>69</v>
      </c>
      <c r="C88" s="5" t="s">
        <v>75</v>
      </c>
      <c r="D88" s="5" t="s">
        <v>413</v>
      </c>
      <c r="E88" s="18" t="s">
        <v>837</v>
      </c>
    </row>
    <row r="89" spans="1:5">
      <c r="A89" s="14" t="s">
        <v>752</v>
      </c>
      <c r="B89" s="5" t="s">
        <v>69</v>
      </c>
      <c r="C89" s="5" t="s">
        <v>345</v>
      </c>
      <c r="D89" s="5" t="s">
        <v>176</v>
      </c>
      <c r="E89" s="18" t="s">
        <v>838</v>
      </c>
    </row>
    <row r="91" spans="1:5" ht="14.25">
      <c r="A91" s="15"/>
      <c r="B91" s="16" t="s">
        <v>185</v>
      </c>
    </row>
    <row r="92" spans="1:5" ht="15">
      <c r="A92" s="17" t="s">
        <v>70</v>
      </c>
      <c r="B92" s="17" t="s">
        <v>71</v>
      </c>
      <c r="C92" s="17" t="s">
        <v>72</v>
      </c>
      <c r="D92" s="17" t="s">
        <v>73</v>
      </c>
      <c r="E92" s="17" t="s">
        <v>74</v>
      </c>
    </row>
    <row r="93" spans="1:5">
      <c r="A93" s="14" t="s">
        <v>371</v>
      </c>
      <c r="B93" s="5" t="s">
        <v>189</v>
      </c>
      <c r="C93" s="5" t="s">
        <v>508</v>
      </c>
      <c r="D93" s="5" t="s">
        <v>381</v>
      </c>
      <c r="E93" s="18" t="s">
        <v>839</v>
      </c>
    </row>
    <row r="96" spans="1:5" ht="15">
      <c r="A96" s="13" t="s">
        <v>77</v>
      </c>
      <c r="B96" s="13"/>
    </row>
    <row r="97" spans="1:5" ht="14.25">
      <c r="A97" s="15"/>
      <c r="B97" s="16" t="s">
        <v>510</v>
      </c>
    </row>
    <row r="98" spans="1:5" ht="15">
      <c r="A98" s="17" t="s">
        <v>70</v>
      </c>
      <c r="B98" s="17" t="s">
        <v>71</v>
      </c>
      <c r="C98" s="17" t="s">
        <v>72</v>
      </c>
      <c r="D98" s="17" t="s">
        <v>73</v>
      </c>
      <c r="E98" s="17" t="s">
        <v>74</v>
      </c>
    </row>
    <row r="99" spans="1:5">
      <c r="A99" s="14" t="s">
        <v>782</v>
      </c>
      <c r="B99" s="5" t="s">
        <v>511</v>
      </c>
      <c r="C99" s="5" t="s">
        <v>171</v>
      </c>
      <c r="D99" s="5" t="s">
        <v>40</v>
      </c>
      <c r="E99" s="18" t="s">
        <v>840</v>
      </c>
    </row>
    <row r="100" spans="1:5">
      <c r="A100" s="14" t="s">
        <v>458</v>
      </c>
      <c r="B100" s="5" t="s">
        <v>511</v>
      </c>
      <c r="C100" s="5" t="s">
        <v>80</v>
      </c>
      <c r="D100" s="5" t="s">
        <v>283</v>
      </c>
      <c r="E100" s="18" t="s">
        <v>841</v>
      </c>
    </row>
    <row r="101" spans="1:5">
      <c r="A101" s="14" t="s">
        <v>758</v>
      </c>
      <c r="B101" s="5" t="s">
        <v>511</v>
      </c>
      <c r="C101" s="5" t="s">
        <v>376</v>
      </c>
      <c r="D101" s="5" t="s">
        <v>690</v>
      </c>
      <c r="E101" s="18" t="s">
        <v>842</v>
      </c>
    </row>
    <row r="103" spans="1:5" ht="14.25">
      <c r="A103" s="15"/>
      <c r="B103" s="16" t="s">
        <v>69</v>
      </c>
    </row>
    <row r="104" spans="1:5" ht="15">
      <c r="A104" s="17" t="s">
        <v>70</v>
      </c>
      <c r="B104" s="17" t="s">
        <v>71</v>
      </c>
      <c r="C104" s="17" t="s">
        <v>72</v>
      </c>
      <c r="D104" s="17" t="s">
        <v>73</v>
      </c>
      <c r="E104" s="17" t="s">
        <v>74</v>
      </c>
    </row>
    <row r="105" spans="1:5">
      <c r="A105" s="14" t="s">
        <v>819</v>
      </c>
      <c r="B105" s="5" t="s">
        <v>69</v>
      </c>
      <c r="C105" s="5" t="s">
        <v>27</v>
      </c>
      <c r="D105" s="5" t="s">
        <v>61</v>
      </c>
      <c r="E105" s="18" t="s">
        <v>843</v>
      </c>
    </row>
    <row r="106" spans="1:5">
      <c r="A106" s="14" t="s">
        <v>805</v>
      </c>
      <c r="B106" s="5" t="s">
        <v>69</v>
      </c>
      <c r="C106" s="5" t="s">
        <v>23</v>
      </c>
      <c r="D106" s="5" t="s">
        <v>244</v>
      </c>
      <c r="E106" s="18" t="s">
        <v>844</v>
      </c>
    </row>
    <row r="107" spans="1:5">
      <c r="A107" s="14" t="s">
        <v>417</v>
      </c>
      <c r="B107" s="5" t="s">
        <v>69</v>
      </c>
      <c r="C107" s="5" t="s">
        <v>187</v>
      </c>
      <c r="D107" s="5" t="s">
        <v>282</v>
      </c>
      <c r="E107" s="18" t="s">
        <v>845</v>
      </c>
    </row>
    <row r="108" spans="1:5">
      <c r="A108" s="14" t="s">
        <v>422</v>
      </c>
      <c r="B108" s="5" t="s">
        <v>69</v>
      </c>
      <c r="C108" s="5" t="s">
        <v>187</v>
      </c>
      <c r="D108" s="5" t="s">
        <v>282</v>
      </c>
      <c r="E108" s="18" t="s">
        <v>846</v>
      </c>
    </row>
    <row r="109" spans="1:5">
      <c r="A109" s="14" t="s">
        <v>434</v>
      </c>
      <c r="B109" s="5" t="s">
        <v>69</v>
      </c>
      <c r="C109" s="5" t="s">
        <v>171</v>
      </c>
      <c r="D109" s="5" t="s">
        <v>433</v>
      </c>
      <c r="E109" s="18" t="s">
        <v>847</v>
      </c>
    </row>
    <row r="110" spans="1:5">
      <c r="A110" s="14" t="s">
        <v>443</v>
      </c>
      <c r="B110" s="5" t="s">
        <v>69</v>
      </c>
      <c r="C110" s="5" t="s">
        <v>171</v>
      </c>
      <c r="D110" s="5" t="s">
        <v>46</v>
      </c>
      <c r="E110" s="18" t="s">
        <v>848</v>
      </c>
    </row>
    <row r="111" spans="1:5">
      <c r="A111" s="14" t="s">
        <v>813</v>
      </c>
      <c r="B111" s="5" t="s">
        <v>69</v>
      </c>
      <c r="C111" s="5" t="s">
        <v>176</v>
      </c>
      <c r="D111" s="5" t="s">
        <v>324</v>
      </c>
      <c r="E111" s="18" t="s">
        <v>849</v>
      </c>
    </row>
    <row r="112" spans="1:5">
      <c r="A112" s="14" t="s">
        <v>770</v>
      </c>
      <c r="B112" s="5" t="s">
        <v>69</v>
      </c>
      <c r="C112" s="5" t="s">
        <v>187</v>
      </c>
      <c r="D112" s="5" t="s">
        <v>773</v>
      </c>
      <c r="E112" s="18" t="s">
        <v>850</v>
      </c>
    </row>
    <row r="113" spans="1:5">
      <c r="A113" s="14" t="s">
        <v>761</v>
      </c>
      <c r="B113" s="5" t="s">
        <v>69</v>
      </c>
      <c r="C113" s="5" t="s">
        <v>376</v>
      </c>
      <c r="D113" s="5" t="s">
        <v>59</v>
      </c>
      <c r="E113" s="18" t="s">
        <v>851</v>
      </c>
    </row>
    <row r="114" spans="1:5">
      <c r="A114" s="14" t="s">
        <v>464</v>
      </c>
      <c r="B114" s="5" t="s">
        <v>69</v>
      </c>
      <c r="C114" s="5" t="s">
        <v>80</v>
      </c>
      <c r="D114" s="5" t="s">
        <v>40</v>
      </c>
      <c r="E114" s="18" t="s">
        <v>852</v>
      </c>
    </row>
    <row r="115" spans="1:5">
      <c r="A115" s="14" t="s">
        <v>822</v>
      </c>
      <c r="B115" s="5" t="s">
        <v>69</v>
      </c>
      <c r="C115" s="5" t="s">
        <v>27</v>
      </c>
      <c r="D115" s="5" t="s">
        <v>284</v>
      </c>
      <c r="E115" s="18" t="s">
        <v>853</v>
      </c>
    </row>
    <row r="116" spans="1:5">
      <c r="A116" s="14" t="s">
        <v>787</v>
      </c>
      <c r="B116" s="5" t="s">
        <v>69</v>
      </c>
      <c r="C116" s="5" t="s">
        <v>171</v>
      </c>
      <c r="D116" s="5" t="s">
        <v>153</v>
      </c>
      <c r="E116" s="18" t="s">
        <v>854</v>
      </c>
    </row>
    <row r="117" spans="1:5">
      <c r="A117" s="14" t="s">
        <v>791</v>
      </c>
      <c r="B117" s="5" t="s">
        <v>69</v>
      </c>
      <c r="C117" s="5" t="s">
        <v>171</v>
      </c>
      <c r="D117" s="5" t="s">
        <v>153</v>
      </c>
      <c r="E117" s="18" t="s">
        <v>855</v>
      </c>
    </row>
    <row r="118" spans="1:5">
      <c r="A118" s="14" t="s">
        <v>809</v>
      </c>
      <c r="B118" s="5" t="s">
        <v>69</v>
      </c>
      <c r="C118" s="5" t="s">
        <v>23</v>
      </c>
      <c r="D118" s="5" t="s">
        <v>40</v>
      </c>
      <c r="E118" s="18" t="s">
        <v>856</v>
      </c>
    </row>
    <row r="119" spans="1:5">
      <c r="A119" s="14" t="s">
        <v>795</v>
      </c>
      <c r="B119" s="5" t="s">
        <v>69</v>
      </c>
      <c r="C119" s="5" t="s">
        <v>171</v>
      </c>
      <c r="D119" s="5" t="s">
        <v>799</v>
      </c>
      <c r="E119" s="18" t="s">
        <v>857</v>
      </c>
    </row>
    <row r="120" spans="1:5">
      <c r="A120" s="14" t="s">
        <v>801</v>
      </c>
      <c r="B120" s="5" t="s">
        <v>69</v>
      </c>
      <c r="C120" s="5" t="s">
        <v>80</v>
      </c>
      <c r="D120" s="5" t="s">
        <v>146</v>
      </c>
      <c r="E120" s="18" t="s">
        <v>858</v>
      </c>
    </row>
    <row r="121" spans="1:5">
      <c r="A121" s="14" t="s">
        <v>774</v>
      </c>
      <c r="B121" s="5" t="s">
        <v>69</v>
      </c>
      <c r="C121" s="5" t="s">
        <v>187</v>
      </c>
      <c r="D121" s="5" t="s">
        <v>58</v>
      </c>
      <c r="E121" s="18" t="s">
        <v>859</v>
      </c>
    </row>
    <row r="123" spans="1:5" ht="14.25">
      <c r="A123" s="15"/>
      <c r="B123" s="16" t="s">
        <v>185</v>
      </c>
    </row>
    <row r="124" spans="1:5" ht="15">
      <c r="A124" s="17" t="s">
        <v>70</v>
      </c>
      <c r="B124" s="17" t="s">
        <v>71</v>
      </c>
      <c r="C124" s="17" t="s">
        <v>72</v>
      </c>
      <c r="D124" s="17" t="s">
        <v>73</v>
      </c>
      <c r="E124" s="17" t="s">
        <v>74</v>
      </c>
    </row>
    <row r="125" spans="1:5">
      <c r="A125" s="14" t="s">
        <v>761</v>
      </c>
      <c r="B125" s="5" t="s">
        <v>860</v>
      </c>
      <c r="C125" s="5" t="s">
        <v>376</v>
      </c>
      <c r="D125" s="5" t="s">
        <v>59</v>
      </c>
      <c r="E125" s="18" t="s">
        <v>861</v>
      </c>
    </row>
    <row r="126" spans="1:5">
      <c r="A126" s="14" t="s">
        <v>777</v>
      </c>
      <c r="B126" s="5" t="s">
        <v>186</v>
      </c>
      <c r="C126" s="5" t="s">
        <v>187</v>
      </c>
      <c r="D126" s="5" t="s">
        <v>59</v>
      </c>
      <c r="E126" s="18" t="s">
        <v>862</v>
      </c>
    </row>
  </sheetData>
  <mergeCells count="24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3:L13"/>
    <mergeCell ref="A18:L18"/>
    <mergeCell ref="A21:L21"/>
    <mergeCell ref="K3:K4"/>
    <mergeCell ref="L3:L4"/>
    <mergeCell ref="A47:L47"/>
    <mergeCell ref="A52:L52"/>
    <mergeCell ref="A56:L56"/>
    <mergeCell ref="A59:L59"/>
    <mergeCell ref="A24:L24"/>
    <mergeCell ref="A27:L27"/>
    <mergeCell ref="A32:L32"/>
    <mergeCell ref="A39:L39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15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8" width="6.5703125" style="4" bestFit="1" customWidth="1"/>
    <col min="9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31" style="5" bestFit="1" customWidth="1"/>
    <col min="14" max="16384" width="9.140625" style="4"/>
  </cols>
  <sheetData>
    <row r="1" spans="1:13" s="3" customFormat="1" ht="29.1" customHeight="1">
      <c r="A1" s="55" t="s">
        <v>538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370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540</v>
      </c>
      <c r="B6" s="8" t="s">
        <v>541</v>
      </c>
      <c r="C6" s="8" t="s">
        <v>542</v>
      </c>
      <c r="D6" s="8"/>
      <c r="E6" s="8" t="s">
        <v>438</v>
      </c>
      <c r="F6" s="8" t="s">
        <v>398</v>
      </c>
      <c r="G6" s="9" t="s">
        <v>543</v>
      </c>
      <c r="H6" s="9" t="s">
        <v>369</v>
      </c>
      <c r="I6" s="9" t="s">
        <v>544</v>
      </c>
      <c r="J6" s="10"/>
      <c r="K6" s="8" t="str">
        <f>"42,5"</f>
        <v>42,5</v>
      </c>
      <c r="L6" s="9" t="str">
        <f>"42,0580"</f>
        <v>42,0580</v>
      </c>
      <c r="M6" s="8" t="s">
        <v>47</v>
      </c>
    </row>
    <row r="8" spans="1:13" ht="15">
      <c r="A8" s="51" t="s">
        <v>15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546</v>
      </c>
      <c r="B9" s="8" t="s">
        <v>547</v>
      </c>
      <c r="C9" s="8" t="s">
        <v>548</v>
      </c>
      <c r="D9" s="8"/>
      <c r="E9" s="8" t="s">
        <v>438</v>
      </c>
      <c r="F9" s="8" t="s">
        <v>398</v>
      </c>
      <c r="G9" s="9" t="s">
        <v>543</v>
      </c>
      <c r="H9" s="9" t="s">
        <v>369</v>
      </c>
      <c r="I9" s="9" t="s">
        <v>544</v>
      </c>
      <c r="J9" s="10"/>
      <c r="K9" s="8" t="str">
        <f>"42,5"</f>
        <v>42,5</v>
      </c>
      <c r="L9" s="9" t="str">
        <f>"40,6831"</f>
        <v>40,6831</v>
      </c>
      <c r="M9" s="8" t="s">
        <v>47</v>
      </c>
    </row>
    <row r="11" spans="1:13" ht="15">
      <c r="A11" s="51" t="s">
        <v>382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19" t="s">
        <v>550</v>
      </c>
      <c r="B12" s="19" t="s">
        <v>551</v>
      </c>
      <c r="C12" s="19" t="s">
        <v>552</v>
      </c>
      <c r="D12" s="19"/>
      <c r="E12" s="19" t="s">
        <v>438</v>
      </c>
      <c r="F12" s="19" t="s">
        <v>398</v>
      </c>
      <c r="G12" s="21" t="s">
        <v>369</v>
      </c>
      <c r="H12" s="21" t="s">
        <v>380</v>
      </c>
      <c r="I12" s="20" t="s">
        <v>553</v>
      </c>
      <c r="J12" s="20"/>
      <c r="K12" s="19" t="str">
        <f>"45,0"</f>
        <v>45,0</v>
      </c>
      <c r="L12" s="21" t="str">
        <f>"39,4042"</f>
        <v>39,4042</v>
      </c>
      <c r="M12" s="19" t="s">
        <v>47</v>
      </c>
    </row>
    <row r="13" spans="1:13">
      <c r="A13" s="22" t="s">
        <v>555</v>
      </c>
      <c r="B13" s="22" t="s">
        <v>556</v>
      </c>
      <c r="C13" s="22" t="s">
        <v>557</v>
      </c>
      <c r="D13" s="22"/>
      <c r="E13" s="22" t="s">
        <v>438</v>
      </c>
      <c r="F13" s="22" t="s">
        <v>398</v>
      </c>
      <c r="G13" s="24" t="s">
        <v>543</v>
      </c>
      <c r="H13" s="24" t="s">
        <v>379</v>
      </c>
      <c r="I13" s="24" t="s">
        <v>369</v>
      </c>
      <c r="J13" s="23"/>
      <c r="K13" s="22" t="str">
        <f>"40,0"</f>
        <v>40,0</v>
      </c>
      <c r="L13" s="24" t="str">
        <f>"34,9260"</f>
        <v>34,9260</v>
      </c>
      <c r="M13" s="22" t="s">
        <v>47</v>
      </c>
    </row>
    <row r="15" spans="1:13" ht="15">
      <c r="A15" s="51" t="s">
        <v>273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9" t="s">
        <v>559</v>
      </c>
      <c r="B16" s="19" t="s">
        <v>560</v>
      </c>
      <c r="C16" s="19" t="s">
        <v>561</v>
      </c>
      <c r="D16" s="19"/>
      <c r="E16" s="19" t="s">
        <v>36</v>
      </c>
      <c r="F16" s="19" t="s">
        <v>37</v>
      </c>
      <c r="G16" s="21" t="s">
        <v>562</v>
      </c>
      <c r="H16" s="20" t="s">
        <v>25</v>
      </c>
      <c r="I16" s="21" t="s">
        <v>563</v>
      </c>
      <c r="J16" s="20"/>
      <c r="K16" s="19" t="str">
        <f>"60,0"</f>
        <v>60,0</v>
      </c>
      <c r="L16" s="21" t="str">
        <f>"47,6580"</f>
        <v>47,6580</v>
      </c>
      <c r="M16" s="19" t="s">
        <v>47</v>
      </c>
    </row>
    <row r="17" spans="1:13">
      <c r="A17" s="22" t="s">
        <v>565</v>
      </c>
      <c r="B17" s="22" t="s">
        <v>566</v>
      </c>
      <c r="C17" s="22" t="s">
        <v>567</v>
      </c>
      <c r="D17" s="22"/>
      <c r="E17" s="22" t="s">
        <v>36</v>
      </c>
      <c r="F17" s="22" t="s">
        <v>197</v>
      </c>
      <c r="G17" s="24" t="s">
        <v>568</v>
      </c>
      <c r="H17" s="24" t="s">
        <v>352</v>
      </c>
      <c r="I17" s="24" t="s">
        <v>569</v>
      </c>
      <c r="J17" s="23"/>
      <c r="K17" s="22" t="str">
        <f>"57,5"</f>
        <v>57,5</v>
      </c>
      <c r="L17" s="24" t="str">
        <f>"46,5750"</f>
        <v>46,5750</v>
      </c>
      <c r="M17" s="22" t="s">
        <v>47</v>
      </c>
    </row>
    <row r="19" spans="1:13" ht="15">
      <c r="A19" s="51" t="s">
        <v>95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8" t="s">
        <v>571</v>
      </c>
      <c r="B20" s="8" t="s">
        <v>572</v>
      </c>
      <c r="C20" s="8" t="s">
        <v>573</v>
      </c>
      <c r="D20" s="8"/>
      <c r="E20" s="8" t="s">
        <v>36</v>
      </c>
      <c r="F20" s="8" t="s">
        <v>398</v>
      </c>
      <c r="G20" s="9" t="s">
        <v>568</v>
      </c>
      <c r="H20" s="9" t="s">
        <v>562</v>
      </c>
      <c r="I20" s="9" t="s">
        <v>563</v>
      </c>
      <c r="J20" s="10"/>
      <c r="K20" s="8" t="str">
        <f>"60,0"</f>
        <v>60,0</v>
      </c>
      <c r="L20" s="9" t="str">
        <f>"41,8680"</f>
        <v>41,8680</v>
      </c>
      <c r="M20" s="8" t="s">
        <v>47</v>
      </c>
    </row>
    <row r="22" spans="1:13" ht="15">
      <c r="A22" s="51" t="s">
        <v>382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3">
      <c r="A23" s="8" t="s">
        <v>575</v>
      </c>
      <c r="B23" s="8" t="s">
        <v>576</v>
      </c>
      <c r="C23" s="8" t="s">
        <v>577</v>
      </c>
      <c r="D23" s="8"/>
      <c r="E23" s="8" t="s">
        <v>36</v>
      </c>
      <c r="F23" s="8" t="s">
        <v>578</v>
      </c>
      <c r="G23" s="9" t="s">
        <v>579</v>
      </c>
      <c r="H23" s="10" t="s">
        <v>25</v>
      </c>
      <c r="I23" s="9" t="s">
        <v>563</v>
      </c>
      <c r="J23" s="10"/>
      <c r="K23" s="8" t="str">
        <f>"60,0"</f>
        <v>60,0</v>
      </c>
      <c r="L23" s="9" t="str">
        <f>"62,9662"</f>
        <v>62,9662</v>
      </c>
      <c r="M23" s="8" t="s">
        <v>47</v>
      </c>
    </row>
    <row r="25" spans="1:13" ht="15">
      <c r="A25" s="51" t="s">
        <v>273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3">
      <c r="A26" s="19" t="s">
        <v>581</v>
      </c>
      <c r="B26" s="19" t="s">
        <v>582</v>
      </c>
      <c r="C26" s="19" t="s">
        <v>583</v>
      </c>
      <c r="D26" s="19"/>
      <c r="E26" s="19" t="s">
        <v>36</v>
      </c>
      <c r="F26" s="19" t="s">
        <v>584</v>
      </c>
      <c r="G26" s="21" t="s">
        <v>42</v>
      </c>
      <c r="H26" s="20" t="s">
        <v>416</v>
      </c>
      <c r="I26" s="20" t="s">
        <v>43</v>
      </c>
      <c r="J26" s="20"/>
      <c r="K26" s="19" t="str">
        <f>"140,0"</f>
        <v>140,0</v>
      </c>
      <c r="L26" s="21" t="str">
        <f>"102,8580"</f>
        <v>102,8580</v>
      </c>
      <c r="M26" s="19" t="s">
        <v>585</v>
      </c>
    </row>
    <row r="27" spans="1:13">
      <c r="A27" s="25" t="s">
        <v>587</v>
      </c>
      <c r="B27" s="25" t="s">
        <v>588</v>
      </c>
      <c r="C27" s="25" t="s">
        <v>589</v>
      </c>
      <c r="D27" s="25"/>
      <c r="E27" s="25" t="s">
        <v>36</v>
      </c>
      <c r="F27" s="25" t="s">
        <v>590</v>
      </c>
      <c r="G27" s="27" t="s">
        <v>591</v>
      </c>
      <c r="H27" s="27" t="s">
        <v>470</v>
      </c>
      <c r="I27" s="26" t="s">
        <v>29</v>
      </c>
      <c r="J27" s="26"/>
      <c r="K27" s="25" t="str">
        <f>"132,5"</f>
        <v>132,5</v>
      </c>
      <c r="L27" s="27" t="str">
        <f>"97,2152"</f>
        <v>97,2152</v>
      </c>
      <c r="M27" s="25" t="s">
        <v>47</v>
      </c>
    </row>
    <row r="28" spans="1:13">
      <c r="A28" s="22" t="s">
        <v>581</v>
      </c>
      <c r="B28" s="22" t="s">
        <v>592</v>
      </c>
      <c r="C28" s="22" t="s">
        <v>583</v>
      </c>
      <c r="D28" s="22"/>
      <c r="E28" s="22" t="s">
        <v>36</v>
      </c>
      <c r="F28" s="22" t="s">
        <v>584</v>
      </c>
      <c r="G28" s="24" t="s">
        <v>42</v>
      </c>
      <c r="H28" s="23" t="s">
        <v>416</v>
      </c>
      <c r="I28" s="23" t="s">
        <v>43</v>
      </c>
      <c r="J28" s="23"/>
      <c r="K28" s="22" t="str">
        <f>"140,0"</f>
        <v>140,0</v>
      </c>
      <c r="L28" s="24" t="str">
        <f>"102,8580"</f>
        <v>102,8580</v>
      </c>
      <c r="M28" s="22" t="s">
        <v>585</v>
      </c>
    </row>
    <row r="30" spans="1:13" ht="15">
      <c r="A30" s="51" t="s">
        <v>84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3">
      <c r="A31" s="19" t="s">
        <v>594</v>
      </c>
      <c r="B31" s="19" t="s">
        <v>595</v>
      </c>
      <c r="C31" s="19" t="s">
        <v>596</v>
      </c>
      <c r="D31" s="19"/>
      <c r="E31" s="19" t="s">
        <v>597</v>
      </c>
      <c r="F31" s="19" t="s">
        <v>598</v>
      </c>
      <c r="G31" s="21" t="s">
        <v>599</v>
      </c>
      <c r="H31" s="21" t="s">
        <v>43</v>
      </c>
      <c r="I31" s="21" t="s">
        <v>182</v>
      </c>
      <c r="J31" s="20"/>
      <c r="K31" s="19" t="str">
        <f>"150,0"</f>
        <v>150,0</v>
      </c>
      <c r="L31" s="21" t="str">
        <f>"99,9900"</f>
        <v>99,9900</v>
      </c>
      <c r="M31" s="19" t="s">
        <v>94</v>
      </c>
    </row>
    <row r="32" spans="1:13">
      <c r="A32" s="22" t="s">
        <v>601</v>
      </c>
      <c r="B32" s="22" t="s">
        <v>602</v>
      </c>
      <c r="C32" s="22" t="s">
        <v>603</v>
      </c>
      <c r="D32" s="22"/>
      <c r="E32" s="22" t="s">
        <v>36</v>
      </c>
      <c r="F32" s="22" t="s">
        <v>604</v>
      </c>
      <c r="G32" s="24" t="s">
        <v>41</v>
      </c>
      <c r="H32" s="24" t="s">
        <v>474</v>
      </c>
      <c r="I32" s="23" t="s">
        <v>43</v>
      </c>
      <c r="J32" s="23"/>
      <c r="K32" s="22" t="str">
        <f>"137,5"</f>
        <v>137,5</v>
      </c>
      <c r="L32" s="24" t="str">
        <f>"92,9500"</f>
        <v>92,9500</v>
      </c>
      <c r="M32" s="22" t="s">
        <v>47</v>
      </c>
    </row>
    <row r="34" spans="1:13" ht="15">
      <c r="A34" s="51" t="s">
        <v>95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5" spans="1:13">
      <c r="A35" s="19" t="s">
        <v>606</v>
      </c>
      <c r="B35" s="19" t="s">
        <v>607</v>
      </c>
      <c r="C35" s="19" t="s">
        <v>608</v>
      </c>
      <c r="D35" s="19"/>
      <c r="E35" s="19" t="s">
        <v>89</v>
      </c>
      <c r="F35" s="19" t="s">
        <v>54</v>
      </c>
      <c r="G35" s="21" t="s">
        <v>609</v>
      </c>
      <c r="H35" s="21" t="s">
        <v>610</v>
      </c>
      <c r="I35" s="20" t="s">
        <v>101</v>
      </c>
      <c r="J35" s="20"/>
      <c r="K35" s="19" t="str">
        <f>"152,5"</f>
        <v>152,5</v>
      </c>
      <c r="L35" s="21" t="str">
        <f>"95,0837"</f>
        <v>95,0837</v>
      </c>
      <c r="M35" s="19" t="s">
        <v>611</v>
      </c>
    </row>
    <row r="36" spans="1:13">
      <c r="A36" s="22" t="s">
        <v>613</v>
      </c>
      <c r="B36" s="22" t="s">
        <v>614</v>
      </c>
      <c r="C36" s="22" t="s">
        <v>615</v>
      </c>
      <c r="D36" s="22"/>
      <c r="E36" s="22" t="s">
        <v>36</v>
      </c>
      <c r="F36" s="22" t="s">
        <v>616</v>
      </c>
      <c r="G36" s="24" t="s">
        <v>41</v>
      </c>
      <c r="H36" s="23" t="s">
        <v>416</v>
      </c>
      <c r="I36" s="23"/>
      <c r="J36" s="23"/>
      <c r="K36" s="22" t="str">
        <f>"130,0"</f>
        <v>130,0</v>
      </c>
      <c r="L36" s="24" t="str">
        <f>"81,4840"</f>
        <v>81,4840</v>
      </c>
      <c r="M36" s="22" t="s">
        <v>47</v>
      </c>
    </row>
    <row r="38" spans="1:13" ht="15">
      <c r="A38" s="51" t="s">
        <v>31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13">
      <c r="A39" s="19" t="s">
        <v>618</v>
      </c>
      <c r="B39" s="19" t="s">
        <v>619</v>
      </c>
      <c r="C39" s="19" t="s">
        <v>620</v>
      </c>
      <c r="D39" s="19"/>
      <c r="E39" s="19" t="s">
        <v>621</v>
      </c>
      <c r="F39" s="19" t="s">
        <v>622</v>
      </c>
      <c r="G39" s="21" t="s">
        <v>182</v>
      </c>
      <c r="H39" s="21" t="s">
        <v>110</v>
      </c>
      <c r="I39" s="21" t="s">
        <v>172</v>
      </c>
      <c r="J39" s="20"/>
      <c r="K39" s="19" t="str">
        <f>"165,0"</f>
        <v>165,0</v>
      </c>
      <c r="L39" s="21" t="str">
        <f>"98,9734"</f>
        <v>98,9734</v>
      </c>
      <c r="M39" s="19" t="s">
        <v>47</v>
      </c>
    </row>
    <row r="40" spans="1:13">
      <c r="A40" s="25" t="s">
        <v>624</v>
      </c>
      <c r="B40" s="25" t="s">
        <v>625</v>
      </c>
      <c r="C40" s="25" t="s">
        <v>626</v>
      </c>
      <c r="D40" s="25"/>
      <c r="E40" s="25" t="s">
        <v>627</v>
      </c>
      <c r="F40" s="25" t="s">
        <v>37</v>
      </c>
      <c r="G40" s="27" t="s">
        <v>58</v>
      </c>
      <c r="H40" s="27" t="s">
        <v>628</v>
      </c>
      <c r="I40" s="26" t="s">
        <v>227</v>
      </c>
      <c r="J40" s="26"/>
      <c r="K40" s="25" t="str">
        <f>"177,5"</f>
        <v>177,5</v>
      </c>
      <c r="L40" s="27" t="str">
        <f>"105,7900"</f>
        <v>105,7900</v>
      </c>
      <c r="M40" s="25" t="s">
        <v>47</v>
      </c>
    </row>
    <row r="41" spans="1:13">
      <c r="A41" s="25" t="s">
        <v>630</v>
      </c>
      <c r="B41" s="25" t="s">
        <v>631</v>
      </c>
      <c r="C41" s="25" t="s">
        <v>632</v>
      </c>
      <c r="D41" s="25"/>
      <c r="E41" s="25" t="s">
        <v>627</v>
      </c>
      <c r="F41" s="25" t="s">
        <v>37</v>
      </c>
      <c r="G41" s="27" t="s">
        <v>182</v>
      </c>
      <c r="H41" s="27" t="s">
        <v>101</v>
      </c>
      <c r="I41" s="26" t="s">
        <v>633</v>
      </c>
      <c r="J41" s="26"/>
      <c r="K41" s="25" t="str">
        <f>"155,0"</f>
        <v>155,0</v>
      </c>
      <c r="L41" s="27" t="str">
        <f>"91,0935"</f>
        <v>91,0935</v>
      </c>
      <c r="M41" s="25" t="s">
        <v>47</v>
      </c>
    </row>
    <row r="42" spans="1:13">
      <c r="A42" s="22" t="s">
        <v>635</v>
      </c>
      <c r="B42" s="22" t="s">
        <v>636</v>
      </c>
      <c r="C42" s="22" t="s">
        <v>637</v>
      </c>
      <c r="D42" s="22"/>
      <c r="E42" s="22" t="s">
        <v>638</v>
      </c>
      <c r="F42" s="22" t="s">
        <v>108</v>
      </c>
      <c r="G42" s="23" t="s">
        <v>639</v>
      </c>
      <c r="H42" s="24" t="s">
        <v>639</v>
      </c>
      <c r="I42" s="23" t="s">
        <v>101</v>
      </c>
      <c r="J42" s="23"/>
      <c r="K42" s="22" t="str">
        <f>"147,5"</f>
        <v>147,5</v>
      </c>
      <c r="L42" s="24" t="str">
        <f>"86,9217"</f>
        <v>86,9217</v>
      </c>
      <c r="M42" s="22" t="s">
        <v>47</v>
      </c>
    </row>
    <row r="44" spans="1:13" ht="15">
      <c r="A44" s="51" t="s">
        <v>116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3">
      <c r="A45" s="19" t="s">
        <v>641</v>
      </c>
      <c r="B45" s="19" t="s">
        <v>642</v>
      </c>
      <c r="C45" s="19" t="s">
        <v>643</v>
      </c>
      <c r="D45" s="19"/>
      <c r="E45" s="19" t="s">
        <v>438</v>
      </c>
      <c r="F45" s="19" t="s">
        <v>398</v>
      </c>
      <c r="G45" s="21" t="s">
        <v>28</v>
      </c>
      <c r="H45" s="21" t="s">
        <v>415</v>
      </c>
      <c r="I45" s="21" t="s">
        <v>416</v>
      </c>
      <c r="J45" s="20"/>
      <c r="K45" s="19" t="str">
        <f>"142,5"</f>
        <v>142,5</v>
      </c>
      <c r="L45" s="21" t="str">
        <f>"80,1847"</f>
        <v>80,1847</v>
      </c>
      <c r="M45" s="19" t="s">
        <v>47</v>
      </c>
    </row>
    <row r="46" spans="1:13">
      <c r="A46" s="25" t="s">
        <v>644</v>
      </c>
      <c r="B46" s="25" t="s">
        <v>645</v>
      </c>
      <c r="C46" s="25" t="s">
        <v>646</v>
      </c>
      <c r="D46" s="25"/>
      <c r="E46" s="25" t="s">
        <v>36</v>
      </c>
      <c r="F46" s="25" t="s">
        <v>108</v>
      </c>
      <c r="G46" s="26" t="s">
        <v>58</v>
      </c>
      <c r="H46" s="26" t="s">
        <v>58</v>
      </c>
      <c r="I46" s="26" t="s">
        <v>58</v>
      </c>
      <c r="J46" s="26"/>
      <c r="K46" s="25" t="str">
        <f>"0,0"</f>
        <v>0,0</v>
      </c>
      <c r="L46" s="27" t="str">
        <f>"0,0000"</f>
        <v>0,0000</v>
      </c>
      <c r="M46" s="25" t="s">
        <v>47</v>
      </c>
    </row>
    <row r="47" spans="1:13">
      <c r="A47" s="22" t="s">
        <v>648</v>
      </c>
      <c r="B47" s="22" t="s">
        <v>649</v>
      </c>
      <c r="C47" s="22" t="s">
        <v>650</v>
      </c>
      <c r="D47" s="22"/>
      <c r="E47" s="22" t="s">
        <v>36</v>
      </c>
      <c r="F47" s="22" t="s">
        <v>37</v>
      </c>
      <c r="G47" s="24" t="s">
        <v>42</v>
      </c>
      <c r="H47" s="24" t="s">
        <v>109</v>
      </c>
      <c r="I47" s="23" t="s">
        <v>633</v>
      </c>
      <c r="J47" s="23"/>
      <c r="K47" s="22" t="str">
        <f>"150,0"</f>
        <v>150,0</v>
      </c>
      <c r="L47" s="24" t="str">
        <f>"89,2582"</f>
        <v>89,2582</v>
      </c>
      <c r="M47" s="22" t="s">
        <v>47</v>
      </c>
    </row>
    <row r="49" spans="1:13" ht="15">
      <c r="A49" s="51" t="s">
        <v>129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</row>
    <row r="50" spans="1:13">
      <c r="A50" s="19" t="s">
        <v>651</v>
      </c>
      <c r="B50" s="19" t="s">
        <v>484</v>
      </c>
      <c r="C50" s="19" t="s">
        <v>485</v>
      </c>
      <c r="D50" s="19"/>
      <c r="E50" s="19" t="s">
        <v>36</v>
      </c>
      <c r="F50" s="19" t="s">
        <v>37</v>
      </c>
      <c r="G50" s="21" t="s">
        <v>182</v>
      </c>
      <c r="H50" s="21" t="s">
        <v>110</v>
      </c>
      <c r="I50" s="20" t="s">
        <v>487</v>
      </c>
      <c r="J50" s="20"/>
      <c r="K50" s="19" t="str">
        <f>"160,0"</f>
        <v>160,0</v>
      </c>
      <c r="L50" s="21" t="str">
        <f>"86,0320"</f>
        <v>86,0320</v>
      </c>
      <c r="M50" s="19" t="s">
        <v>47</v>
      </c>
    </row>
    <row r="51" spans="1:13">
      <c r="A51" s="25" t="s">
        <v>653</v>
      </c>
      <c r="B51" s="25" t="s">
        <v>654</v>
      </c>
      <c r="C51" s="25" t="s">
        <v>655</v>
      </c>
      <c r="D51" s="25"/>
      <c r="E51" s="25" t="s">
        <v>36</v>
      </c>
      <c r="F51" s="25" t="s">
        <v>121</v>
      </c>
      <c r="G51" s="27" t="s">
        <v>109</v>
      </c>
      <c r="H51" s="26" t="s">
        <v>110</v>
      </c>
      <c r="I51" s="26" t="s">
        <v>487</v>
      </c>
      <c r="J51" s="26"/>
      <c r="K51" s="25" t="str">
        <f>"150,0"</f>
        <v>150,0</v>
      </c>
      <c r="L51" s="27" t="str">
        <f>"97,4394"</f>
        <v>97,4394</v>
      </c>
      <c r="M51" s="25" t="s">
        <v>47</v>
      </c>
    </row>
    <row r="52" spans="1:13">
      <c r="A52" s="22" t="s">
        <v>657</v>
      </c>
      <c r="B52" s="22" t="s">
        <v>658</v>
      </c>
      <c r="C52" s="22" t="s">
        <v>289</v>
      </c>
      <c r="D52" s="22"/>
      <c r="E52" s="22" t="s">
        <v>89</v>
      </c>
      <c r="F52" s="22" t="s">
        <v>590</v>
      </c>
      <c r="G52" s="24" t="s">
        <v>164</v>
      </c>
      <c r="H52" s="24" t="s">
        <v>205</v>
      </c>
      <c r="I52" s="23" t="s">
        <v>134</v>
      </c>
      <c r="J52" s="23"/>
      <c r="K52" s="22" t="str">
        <f>"195,0"</f>
        <v>195,0</v>
      </c>
      <c r="L52" s="24" t="str">
        <f>"186,0677"</f>
        <v>186,0677</v>
      </c>
      <c r="M52" s="22" t="s">
        <v>94</v>
      </c>
    </row>
    <row r="54" spans="1:13" ht="15">
      <c r="A54" s="51" t="s">
        <v>48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3">
      <c r="A55" s="19" t="s">
        <v>660</v>
      </c>
      <c r="B55" s="19" t="s">
        <v>661</v>
      </c>
      <c r="C55" s="19" t="s">
        <v>662</v>
      </c>
      <c r="D55" s="19"/>
      <c r="E55" s="19" t="s">
        <v>663</v>
      </c>
      <c r="F55" s="19" t="s">
        <v>598</v>
      </c>
      <c r="G55" s="21" t="s">
        <v>284</v>
      </c>
      <c r="H55" s="21" t="s">
        <v>664</v>
      </c>
      <c r="I55" s="20" t="s">
        <v>497</v>
      </c>
      <c r="J55" s="20"/>
      <c r="K55" s="19" t="str">
        <f>"242,5"</f>
        <v>242,5</v>
      </c>
      <c r="L55" s="21" t="str">
        <f>"126,7548"</f>
        <v>126,7548</v>
      </c>
      <c r="M55" s="19" t="s">
        <v>665</v>
      </c>
    </row>
    <row r="56" spans="1:13">
      <c r="A56" s="25" t="s">
        <v>667</v>
      </c>
      <c r="B56" s="25" t="s">
        <v>668</v>
      </c>
      <c r="C56" s="25" t="s">
        <v>669</v>
      </c>
      <c r="D56" s="25"/>
      <c r="E56" s="25" t="s">
        <v>36</v>
      </c>
      <c r="F56" s="25" t="s">
        <v>37</v>
      </c>
      <c r="G56" s="27" t="s">
        <v>102</v>
      </c>
      <c r="H56" s="26" t="s">
        <v>123</v>
      </c>
      <c r="I56" s="26" t="s">
        <v>123</v>
      </c>
      <c r="J56" s="26"/>
      <c r="K56" s="25" t="str">
        <f>"155,0"</f>
        <v>155,0</v>
      </c>
      <c r="L56" s="27" t="str">
        <f>"81,8710"</f>
        <v>81,8710</v>
      </c>
      <c r="M56" s="25" t="s">
        <v>47</v>
      </c>
    </row>
    <row r="57" spans="1:13">
      <c r="A57" s="22" t="s">
        <v>671</v>
      </c>
      <c r="B57" s="22" t="s">
        <v>672</v>
      </c>
      <c r="C57" s="22" t="s">
        <v>673</v>
      </c>
      <c r="D57" s="22"/>
      <c r="E57" s="22" t="s">
        <v>674</v>
      </c>
      <c r="F57" s="22" t="s">
        <v>121</v>
      </c>
      <c r="G57" s="24" t="s">
        <v>123</v>
      </c>
      <c r="H57" s="24" t="s">
        <v>59</v>
      </c>
      <c r="I57" s="23" t="s">
        <v>60</v>
      </c>
      <c r="J57" s="23"/>
      <c r="K57" s="22" t="str">
        <f>"180,0"</f>
        <v>180,0</v>
      </c>
      <c r="L57" s="24" t="str">
        <f>"95,6160"</f>
        <v>95,6160</v>
      </c>
      <c r="M57" s="22" t="s">
        <v>47</v>
      </c>
    </row>
    <row r="59" spans="1:13" ht="15">
      <c r="A59" s="51" t="s">
        <v>337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</row>
    <row r="60" spans="1:13">
      <c r="A60" s="8" t="s">
        <v>676</v>
      </c>
      <c r="B60" s="8" t="s">
        <v>677</v>
      </c>
      <c r="C60" s="8" t="s">
        <v>678</v>
      </c>
      <c r="D60" s="8"/>
      <c r="E60" s="8" t="s">
        <v>679</v>
      </c>
      <c r="F60" s="8" t="s">
        <v>37</v>
      </c>
      <c r="G60" s="9" t="s">
        <v>59</v>
      </c>
      <c r="H60" s="10" t="s">
        <v>440</v>
      </c>
      <c r="I60" s="10" t="s">
        <v>440</v>
      </c>
      <c r="J60" s="10"/>
      <c r="K60" s="8" t="str">
        <f>"180,0"</f>
        <v>180,0</v>
      </c>
      <c r="L60" s="9" t="str">
        <f>"83,3040"</f>
        <v>83,3040</v>
      </c>
      <c r="M60" s="8" t="s">
        <v>47</v>
      </c>
    </row>
    <row r="62" spans="1:13" ht="15">
      <c r="E62" s="11" t="s">
        <v>62</v>
      </c>
    </row>
    <row r="63" spans="1:13" ht="15">
      <c r="E63" s="11" t="s">
        <v>63</v>
      </c>
    </row>
    <row r="64" spans="1:13" ht="15">
      <c r="E64" s="11" t="s">
        <v>64</v>
      </c>
    </row>
    <row r="65" spans="1:5" ht="15">
      <c r="E65" s="11" t="s">
        <v>65</v>
      </c>
    </row>
    <row r="66" spans="1:5" ht="15">
      <c r="E66" s="11" t="s">
        <v>65</v>
      </c>
    </row>
    <row r="67" spans="1:5" ht="15">
      <c r="E67" s="11" t="s">
        <v>66</v>
      </c>
    </row>
    <row r="68" spans="1:5" ht="15">
      <c r="E68" s="11"/>
    </row>
    <row r="70" spans="1:5" ht="18">
      <c r="A70" s="12" t="s">
        <v>67</v>
      </c>
      <c r="B70" s="12"/>
    </row>
    <row r="71" spans="1:5" ht="15">
      <c r="A71" s="13" t="s">
        <v>68</v>
      </c>
      <c r="B71" s="13"/>
    </row>
    <row r="72" spans="1:5" ht="14.25">
      <c r="A72" s="15"/>
      <c r="B72" s="16" t="s">
        <v>69</v>
      </c>
    </row>
    <row r="73" spans="1:5" ht="15">
      <c r="A73" s="17" t="s">
        <v>70</v>
      </c>
      <c r="B73" s="17" t="s">
        <v>71</v>
      </c>
      <c r="C73" s="17" t="s">
        <v>72</v>
      </c>
      <c r="D73" s="17" t="s">
        <v>73</v>
      </c>
      <c r="E73" s="17" t="s">
        <v>74</v>
      </c>
    </row>
    <row r="74" spans="1:5">
      <c r="A74" s="14" t="s">
        <v>558</v>
      </c>
      <c r="B74" s="5" t="s">
        <v>69</v>
      </c>
      <c r="C74" s="5" t="s">
        <v>376</v>
      </c>
      <c r="D74" s="5" t="s">
        <v>25</v>
      </c>
      <c r="E74" s="18" t="s">
        <v>680</v>
      </c>
    </row>
    <row r="75" spans="1:5">
      <c r="A75" s="14" t="s">
        <v>564</v>
      </c>
      <c r="B75" s="5" t="s">
        <v>69</v>
      </c>
      <c r="C75" s="5" t="s">
        <v>376</v>
      </c>
      <c r="D75" s="5" t="s">
        <v>681</v>
      </c>
      <c r="E75" s="18" t="s">
        <v>682</v>
      </c>
    </row>
    <row r="76" spans="1:5">
      <c r="A76" s="14" t="s">
        <v>539</v>
      </c>
      <c r="B76" s="5" t="s">
        <v>69</v>
      </c>
      <c r="C76" s="5" t="s">
        <v>508</v>
      </c>
      <c r="D76" s="5" t="s">
        <v>544</v>
      </c>
      <c r="E76" s="18" t="s">
        <v>683</v>
      </c>
    </row>
    <row r="77" spans="1:5">
      <c r="A77" s="14" t="s">
        <v>570</v>
      </c>
      <c r="B77" s="5" t="s">
        <v>69</v>
      </c>
      <c r="C77" s="5" t="s">
        <v>171</v>
      </c>
      <c r="D77" s="5" t="s">
        <v>25</v>
      </c>
      <c r="E77" s="18" t="s">
        <v>684</v>
      </c>
    </row>
    <row r="78" spans="1:5">
      <c r="A78" s="14" t="s">
        <v>545</v>
      </c>
      <c r="B78" s="5" t="s">
        <v>69</v>
      </c>
      <c r="C78" s="5" t="s">
        <v>75</v>
      </c>
      <c r="D78" s="5" t="s">
        <v>544</v>
      </c>
      <c r="E78" s="18" t="s">
        <v>685</v>
      </c>
    </row>
    <row r="79" spans="1:5">
      <c r="A79" s="14" t="s">
        <v>549</v>
      </c>
      <c r="B79" s="5" t="s">
        <v>69</v>
      </c>
      <c r="C79" s="5" t="s">
        <v>25</v>
      </c>
      <c r="D79" s="5" t="s">
        <v>380</v>
      </c>
      <c r="E79" s="18" t="s">
        <v>686</v>
      </c>
    </row>
    <row r="80" spans="1:5">
      <c r="A80" s="14" t="s">
        <v>554</v>
      </c>
      <c r="B80" s="5" t="s">
        <v>69</v>
      </c>
      <c r="C80" s="5" t="s">
        <v>25</v>
      </c>
      <c r="D80" s="5" t="s">
        <v>369</v>
      </c>
      <c r="E80" s="18" t="s">
        <v>687</v>
      </c>
    </row>
    <row r="83" spans="1:5" ht="15">
      <c r="A83" s="13" t="s">
        <v>77</v>
      </c>
      <c r="B83" s="13"/>
    </row>
    <row r="84" spans="1:5" ht="14.25">
      <c r="A84" s="15"/>
      <c r="B84" s="16" t="s">
        <v>510</v>
      </c>
    </row>
    <row r="85" spans="1:5" ht="15">
      <c r="A85" s="17" t="s">
        <v>70</v>
      </c>
      <c r="B85" s="17" t="s">
        <v>71</v>
      </c>
      <c r="C85" s="17" t="s">
        <v>72</v>
      </c>
      <c r="D85" s="17" t="s">
        <v>73</v>
      </c>
      <c r="E85" s="17" t="s">
        <v>74</v>
      </c>
    </row>
    <row r="86" spans="1:5">
      <c r="A86" s="14" t="s">
        <v>574</v>
      </c>
      <c r="B86" s="5" t="s">
        <v>516</v>
      </c>
      <c r="C86" s="5" t="s">
        <v>25</v>
      </c>
      <c r="D86" s="5" t="s">
        <v>25</v>
      </c>
      <c r="E86" s="18" t="s">
        <v>688</v>
      </c>
    </row>
    <row r="88" spans="1:5" ht="14.25">
      <c r="A88" s="15"/>
      <c r="B88" s="16" t="s">
        <v>169</v>
      </c>
    </row>
    <row r="89" spans="1:5" ht="15">
      <c r="A89" s="17" t="s">
        <v>70</v>
      </c>
      <c r="B89" s="17" t="s">
        <v>71</v>
      </c>
      <c r="C89" s="17" t="s">
        <v>72</v>
      </c>
      <c r="D89" s="17" t="s">
        <v>73</v>
      </c>
      <c r="E89" s="17" t="s">
        <v>74</v>
      </c>
    </row>
    <row r="90" spans="1:5">
      <c r="A90" s="14" t="s">
        <v>617</v>
      </c>
      <c r="B90" s="5" t="s">
        <v>170</v>
      </c>
      <c r="C90" s="5" t="s">
        <v>80</v>
      </c>
      <c r="D90" s="5" t="s">
        <v>172</v>
      </c>
      <c r="E90" s="18" t="s">
        <v>689</v>
      </c>
    </row>
    <row r="91" spans="1:5">
      <c r="A91" s="14" t="s">
        <v>605</v>
      </c>
      <c r="B91" s="5" t="s">
        <v>170</v>
      </c>
      <c r="C91" s="5" t="s">
        <v>171</v>
      </c>
      <c r="D91" s="5" t="s">
        <v>690</v>
      </c>
      <c r="E91" s="18" t="s">
        <v>691</v>
      </c>
    </row>
    <row r="93" spans="1:5" ht="14.25">
      <c r="A93" s="15"/>
      <c r="B93" s="16" t="s">
        <v>69</v>
      </c>
    </row>
    <row r="94" spans="1:5" ht="15">
      <c r="A94" s="17" t="s">
        <v>70</v>
      </c>
      <c r="B94" s="17" t="s">
        <v>71</v>
      </c>
      <c r="C94" s="17" t="s">
        <v>72</v>
      </c>
      <c r="D94" s="17" t="s">
        <v>73</v>
      </c>
      <c r="E94" s="17" t="s">
        <v>74</v>
      </c>
    </row>
    <row r="95" spans="1:5">
      <c r="A95" s="14" t="s">
        <v>659</v>
      </c>
      <c r="B95" s="5" t="s">
        <v>69</v>
      </c>
      <c r="C95" s="5" t="s">
        <v>27</v>
      </c>
      <c r="D95" s="5" t="s">
        <v>664</v>
      </c>
      <c r="E95" s="18" t="s">
        <v>692</v>
      </c>
    </row>
    <row r="96" spans="1:5">
      <c r="A96" s="14" t="s">
        <v>623</v>
      </c>
      <c r="B96" s="5" t="s">
        <v>69</v>
      </c>
      <c r="C96" s="5" t="s">
        <v>80</v>
      </c>
      <c r="D96" s="5" t="s">
        <v>628</v>
      </c>
      <c r="E96" s="18" t="s">
        <v>693</v>
      </c>
    </row>
    <row r="97" spans="1:5">
      <c r="A97" s="14" t="s">
        <v>580</v>
      </c>
      <c r="B97" s="5" t="s">
        <v>69</v>
      </c>
      <c r="C97" s="5" t="s">
        <v>376</v>
      </c>
      <c r="D97" s="5" t="s">
        <v>599</v>
      </c>
      <c r="E97" s="18" t="s">
        <v>694</v>
      </c>
    </row>
    <row r="98" spans="1:5">
      <c r="A98" s="14" t="s">
        <v>593</v>
      </c>
      <c r="B98" s="5" t="s">
        <v>69</v>
      </c>
      <c r="C98" s="5" t="s">
        <v>187</v>
      </c>
      <c r="D98" s="5" t="s">
        <v>182</v>
      </c>
      <c r="E98" s="18" t="s">
        <v>695</v>
      </c>
    </row>
    <row r="99" spans="1:5">
      <c r="A99" s="14" t="s">
        <v>586</v>
      </c>
      <c r="B99" s="5" t="s">
        <v>69</v>
      </c>
      <c r="C99" s="5" t="s">
        <v>376</v>
      </c>
      <c r="D99" s="5" t="s">
        <v>470</v>
      </c>
      <c r="E99" s="18" t="s">
        <v>696</v>
      </c>
    </row>
    <row r="100" spans="1:5">
      <c r="A100" s="14" t="s">
        <v>600</v>
      </c>
      <c r="B100" s="5" t="s">
        <v>69</v>
      </c>
      <c r="C100" s="5" t="s">
        <v>187</v>
      </c>
      <c r="D100" s="5" t="s">
        <v>415</v>
      </c>
      <c r="E100" s="18" t="s">
        <v>697</v>
      </c>
    </row>
    <row r="101" spans="1:5">
      <c r="A101" s="14" t="s">
        <v>629</v>
      </c>
      <c r="B101" s="5" t="s">
        <v>69</v>
      </c>
      <c r="C101" s="5" t="s">
        <v>80</v>
      </c>
      <c r="D101" s="5" t="s">
        <v>101</v>
      </c>
      <c r="E101" s="18" t="s">
        <v>698</v>
      </c>
    </row>
    <row r="102" spans="1:5">
      <c r="A102" s="14" t="s">
        <v>634</v>
      </c>
      <c r="B102" s="5" t="s">
        <v>69</v>
      </c>
      <c r="C102" s="5" t="s">
        <v>80</v>
      </c>
      <c r="D102" s="5" t="s">
        <v>639</v>
      </c>
      <c r="E102" s="18" t="s">
        <v>699</v>
      </c>
    </row>
    <row r="103" spans="1:5">
      <c r="A103" s="14" t="s">
        <v>482</v>
      </c>
      <c r="B103" s="5" t="s">
        <v>69</v>
      </c>
      <c r="C103" s="5" t="s">
        <v>176</v>
      </c>
      <c r="D103" s="5" t="s">
        <v>110</v>
      </c>
      <c r="E103" s="18" t="s">
        <v>700</v>
      </c>
    </row>
    <row r="104" spans="1:5">
      <c r="A104" s="14" t="s">
        <v>675</v>
      </c>
      <c r="B104" s="5" t="s">
        <v>69</v>
      </c>
      <c r="C104" s="5" t="s">
        <v>345</v>
      </c>
      <c r="D104" s="5" t="s">
        <v>59</v>
      </c>
      <c r="E104" s="18" t="s">
        <v>701</v>
      </c>
    </row>
    <row r="105" spans="1:5">
      <c r="A105" s="14" t="s">
        <v>666</v>
      </c>
      <c r="B105" s="5" t="s">
        <v>69</v>
      </c>
      <c r="C105" s="5" t="s">
        <v>27</v>
      </c>
      <c r="D105" s="5" t="s">
        <v>101</v>
      </c>
      <c r="E105" s="18" t="s">
        <v>702</v>
      </c>
    </row>
    <row r="106" spans="1:5">
      <c r="A106" s="14" t="s">
        <v>612</v>
      </c>
      <c r="B106" s="5" t="s">
        <v>69</v>
      </c>
      <c r="C106" s="5" t="s">
        <v>171</v>
      </c>
      <c r="D106" s="5" t="s">
        <v>28</v>
      </c>
      <c r="E106" s="18" t="s">
        <v>703</v>
      </c>
    </row>
    <row r="107" spans="1:5">
      <c r="A107" s="14" t="s">
        <v>640</v>
      </c>
      <c r="B107" s="5" t="s">
        <v>69</v>
      </c>
      <c r="C107" s="5" t="s">
        <v>23</v>
      </c>
      <c r="D107" s="5" t="s">
        <v>416</v>
      </c>
      <c r="E107" s="18" t="s">
        <v>704</v>
      </c>
    </row>
    <row r="109" spans="1:5" ht="14.25">
      <c r="A109" s="15"/>
      <c r="B109" s="16" t="s">
        <v>185</v>
      </c>
    </row>
    <row r="110" spans="1:5" ht="15">
      <c r="A110" s="17" t="s">
        <v>70</v>
      </c>
      <c r="B110" s="17" t="s">
        <v>71</v>
      </c>
      <c r="C110" s="17" t="s">
        <v>72</v>
      </c>
      <c r="D110" s="17" t="s">
        <v>73</v>
      </c>
      <c r="E110" s="17" t="s">
        <v>74</v>
      </c>
    </row>
    <row r="111" spans="1:5">
      <c r="A111" s="14" t="s">
        <v>656</v>
      </c>
      <c r="B111" s="5" t="s">
        <v>186</v>
      </c>
      <c r="C111" s="5" t="s">
        <v>176</v>
      </c>
      <c r="D111" s="5" t="s">
        <v>39</v>
      </c>
      <c r="E111" s="18" t="s">
        <v>705</v>
      </c>
    </row>
    <row r="112" spans="1:5">
      <c r="A112" s="14" t="s">
        <v>580</v>
      </c>
      <c r="B112" s="5" t="s">
        <v>189</v>
      </c>
      <c r="C112" s="5" t="s">
        <v>376</v>
      </c>
      <c r="D112" s="5" t="s">
        <v>599</v>
      </c>
      <c r="E112" s="18" t="s">
        <v>694</v>
      </c>
    </row>
    <row r="113" spans="1:5">
      <c r="A113" s="14" t="s">
        <v>652</v>
      </c>
      <c r="B113" s="5" t="s">
        <v>268</v>
      </c>
      <c r="C113" s="5" t="s">
        <v>176</v>
      </c>
      <c r="D113" s="5" t="s">
        <v>182</v>
      </c>
      <c r="E113" s="18" t="s">
        <v>706</v>
      </c>
    </row>
    <row r="114" spans="1:5">
      <c r="A114" s="14" t="s">
        <v>670</v>
      </c>
      <c r="B114" s="5" t="s">
        <v>189</v>
      </c>
      <c r="C114" s="5" t="s">
        <v>27</v>
      </c>
      <c r="D114" s="5" t="s">
        <v>59</v>
      </c>
      <c r="E114" s="18" t="s">
        <v>707</v>
      </c>
    </row>
    <row r="115" spans="1:5">
      <c r="A115" s="14" t="s">
        <v>647</v>
      </c>
      <c r="B115" s="5" t="s">
        <v>505</v>
      </c>
      <c r="C115" s="5" t="s">
        <v>23</v>
      </c>
      <c r="D115" s="5" t="s">
        <v>182</v>
      </c>
      <c r="E115" s="18" t="s">
        <v>708</v>
      </c>
    </row>
  </sheetData>
  <mergeCells count="25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A15:L15"/>
    <mergeCell ref="A19:L19"/>
    <mergeCell ref="K3:K4"/>
    <mergeCell ref="L3:L4"/>
    <mergeCell ref="A59:L59"/>
    <mergeCell ref="A38:L38"/>
    <mergeCell ref="A44:L44"/>
    <mergeCell ref="A49:L49"/>
    <mergeCell ref="A54:L54"/>
    <mergeCell ref="A22:L22"/>
    <mergeCell ref="A25:L25"/>
    <mergeCell ref="A30:L30"/>
    <mergeCell ref="A34:L34"/>
  </mergeCell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28515625" style="5" bestFit="1" customWidth="1"/>
    <col min="7" max="9" width="6.5703125" style="4" bestFit="1" customWidth="1"/>
    <col min="10" max="10" width="4.85546875" style="4" bestFit="1" customWidth="1"/>
    <col min="11" max="13" width="6.5703125" style="4" bestFit="1" customWidth="1"/>
    <col min="14" max="14" width="4.85546875" style="4" bestFit="1" customWidth="1"/>
    <col min="15" max="17" width="6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358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5" spans="1:21" ht="15">
      <c r="A5" s="53" t="s">
        <v>359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361</v>
      </c>
      <c r="B6" s="8" t="s">
        <v>362</v>
      </c>
      <c r="C6" s="8" t="s">
        <v>363</v>
      </c>
      <c r="D6" s="8"/>
      <c r="E6" s="8" t="s">
        <v>36</v>
      </c>
      <c r="F6" s="8" t="s">
        <v>37</v>
      </c>
      <c r="G6" s="9" t="s">
        <v>364</v>
      </c>
      <c r="H6" s="9" t="s">
        <v>365</v>
      </c>
      <c r="I6" s="9" t="s">
        <v>366</v>
      </c>
      <c r="J6" s="10"/>
      <c r="K6" s="9" t="s">
        <v>367</v>
      </c>
      <c r="L6" s="9" t="s">
        <v>368</v>
      </c>
      <c r="M6" s="10" t="s">
        <v>369</v>
      </c>
      <c r="N6" s="10"/>
      <c r="O6" s="9" t="s">
        <v>364</v>
      </c>
      <c r="P6" s="9" t="s">
        <v>365</v>
      </c>
      <c r="Q6" s="10" t="s">
        <v>171</v>
      </c>
      <c r="R6" s="10"/>
      <c r="S6" s="8" t="str">
        <f>"0,0"</f>
        <v>0,0</v>
      </c>
      <c r="T6" s="9" t="str">
        <f>"201,1230"</f>
        <v>201,1230</v>
      </c>
      <c r="U6" s="8" t="s">
        <v>47</v>
      </c>
    </row>
    <row r="8" spans="1:21" ht="15">
      <c r="A8" s="51" t="s">
        <v>370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8" t="s">
        <v>372</v>
      </c>
      <c r="B9" s="8" t="s">
        <v>373</v>
      </c>
      <c r="C9" s="8" t="s">
        <v>374</v>
      </c>
      <c r="D9" s="8"/>
      <c r="E9" s="8" t="s">
        <v>375</v>
      </c>
      <c r="F9" s="8" t="s">
        <v>139</v>
      </c>
      <c r="G9" s="9" t="s">
        <v>376</v>
      </c>
      <c r="H9" s="9" t="s">
        <v>377</v>
      </c>
      <c r="I9" s="9" t="s">
        <v>378</v>
      </c>
      <c r="J9" s="10"/>
      <c r="K9" s="9" t="s">
        <v>379</v>
      </c>
      <c r="L9" s="9" t="s">
        <v>369</v>
      </c>
      <c r="M9" s="9" t="s">
        <v>380</v>
      </c>
      <c r="N9" s="10"/>
      <c r="O9" s="9" t="s">
        <v>80</v>
      </c>
      <c r="P9" s="9" t="s">
        <v>381</v>
      </c>
      <c r="Q9" s="10" t="s">
        <v>23</v>
      </c>
      <c r="R9" s="10"/>
      <c r="S9" s="8" t="str">
        <f>"220,0"</f>
        <v>220,0</v>
      </c>
      <c r="T9" s="9" t="str">
        <f>"217,3060"</f>
        <v>217,3060</v>
      </c>
      <c r="U9" s="8" t="s">
        <v>47</v>
      </c>
    </row>
    <row r="11" spans="1:21" ht="15">
      <c r="A11" s="51" t="s">
        <v>382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1">
      <c r="A12" s="19" t="s">
        <v>384</v>
      </c>
      <c r="B12" s="19" t="s">
        <v>385</v>
      </c>
      <c r="C12" s="19" t="s">
        <v>386</v>
      </c>
      <c r="D12" s="19"/>
      <c r="E12" s="19" t="s">
        <v>36</v>
      </c>
      <c r="F12" s="19" t="s">
        <v>387</v>
      </c>
      <c r="G12" s="21" t="s">
        <v>388</v>
      </c>
      <c r="H12" s="20" t="s">
        <v>389</v>
      </c>
      <c r="I12" s="20" t="s">
        <v>389</v>
      </c>
      <c r="J12" s="20"/>
      <c r="K12" s="21" t="s">
        <v>390</v>
      </c>
      <c r="L12" s="21" t="s">
        <v>391</v>
      </c>
      <c r="M12" s="21" t="s">
        <v>392</v>
      </c>
      <c r="N12" s="20"/>
      <c r="O12" s="21" t="s">
        <v>388</v>
      </c>
      <c r="P12" s="21" t="s">
        <v>393</v>
      </c>
      <c r="Q12" s="20" t="s">
        <v>176</v>
      </c>
      <c r="R12" s="20"/>
      <c r="S12" s="19" t="str">
        <f>"0,0"</f>
        <v>0,0</v>
      </c>
      <c r="T12" s="21" t="str">
        <f>"214,2979"</f>
        <v>214,2979</v>
      </c>
      <c r="U12" s="19" t="s">
        <v>47</v>
      </c>
    </row>
    <row r="13" spans="1:21">
      <c r="A13" s="22" t="s">
        <v>395</v>
      </c>
      <c r="B13" s="22" t="s">
        <v>396</v>
      </c>
      <c r="C13" s="22" t="s">
        <v>397</v>
      </c>
      <c r="D13" s="22"/>
      <c r="E13" s="22" t="s">
        <v>36</v>
      </c>
      <c r="F13" s="22" t="s">
        <v>398</v>
      </c>
      <c r="G13" s="24" t="s">
        <v>92</v>
      </c>
      <c r="H13" s="24" t="s">
        <v>93</v>
      </c>
      <c r="I13" s="24" t="s">
        <v>388</v>
      </c>
      <c r="J13" s="23"/>
      <c r="K13" s="24" t="s">
        <v>399</v>
      </c>
      <c r="L13" s="24" t="s">
        <v>391</v>
      </c>
      <c r="M13" s="23" t="s">
        <v>400</v>
      </c>
      <c r="N13" s="23"/>
      <c r="O13" s="24" t="s">
        <v>401</v>
      </c>
      <c r="P13" s="24" t="s">
        <v>388</v>
      </c>
      <c r="Q13" s="23" t="s">
        <v>381</v>
      </c>
      <c r="R13" s="23"/>
      <c r="S13" s="22" t="str">
        <f>"0,0"</f>
        <v>0,0</v>
      </c>
      <c r="T13" s="24" t="str">
        <f>"204,6145"</f>
        <v>204,6145</v>
      </c>
      <c r="U13" s="22" t="s">
        <v>47</v>
      </c>
    </row>
    <row r="15" spans="1:21" ht="15">
      <c r="A15" s="51" t="s">
        <v>273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1">
      <c r="A16" s="8" t="s">
        <v>403</v>
      </c>
      <c r="B16" s="8" t="s">
        <v>404</v>
      </c>
      <c r="C16" s="8" t="s">
        <v>405</v>
      </c>
      <c r="D16" s="8"/>
      <c r="E16" s="8" t="s">
        <v>406</v>
      </c>
      <c r="F16" s="8" t="s">
        <v>37</v>
      </c>
      <c r="G16" s="9" t="s">
        <v>80</v>
      </c>
      <c r="H16" s="9" t="s">
        <v>389</v>
      </c>
      <c r="I16" s="9" t="s">
        <v>176</v>
      </c>
      <c r="J16" s="10"/>
      <c r="K16" s="10" t="s">
        <v>352</v>
      </c>
      <c r="L16" s="9" t="s">
        <v>25</v>
      </c>
      <c r="M16" s="9" t="s">
        <v>26</v>
      </c>
      <c r="N16" s="10"/>
      <c r="O16" s="9" t="s">
        <v>357</v>
      </c>
      <c r="P16" s="9" t="s">
        <v>28</v>
      </c>
      <c r="Q16" s="10" t="s">
        <v>29</v>
      </c>
      <c r="R16" s="10"/>
      <c r="S16" s="8" t="str">
        <f>"305,0"</f>
        <v>305,0</v>
      </c>
      <c r="T16" s="9" t="str">
        <f>"254,4158"</f>
        <v>254,4158</v>
      </c>
      <c r="U16" s="8" t="s">
        <v>47</v>
      </c>
    </row>
    <row r="18" spans="1:21" ht="15">
      <c r="A18" s="51" t="s">
        <v>95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1">
      <c r="A19" s="8" t="s">
        <v>408</v>
      </c>
      <c r="B19" s="8" t="s">
        <v>409</v>
      </c>
      <c r="C19" s="8" t="s">
        <v>410</v>
      </c>
      <c r="D19" s="8"/>
      <c r="E19" s="8" t="s">
        <v>411</v>
      </c>
      <c r="F19" s="8" t="s">
        <v>412</v>
      </c>
      <c r="G19" s="9" t="s">
        <v>389</v>
      </c>
      <c r="H19" s="10" t="s">
        <v>24</v>
      </c>
      <c r="I19" s="9" t="s">
        <v>413</v>
      </c>
      <c r="J19" s="10"/>
      <c r="K19" s="9" t="s">
        <v>25</v>
      </c>
      <c r="L19" s="9" t="s">
        <v>414</v>
      </c>
      <c r="M19" s="10" t="s">
        <v>26</v>
      </c>
      <c r="N19" s="10"/>
      <c r="O19" s="10" t="s">
        <v>29</v>
      </c>
      <c r="P19" s="9" t="s">
        <v>415</v>
      </c>
      <c r="Q19" s="9" t="s">
        <v>416</v>
      </c>
      <c r="R19" s="10"/>
      <c r="S19" s="8" t="str">
        <f>"312,5"</f>
        <v>312,5</v>
      </c>
      <c r="T19" s="9" t="str">
        <f>"243,5672"</f>
        <v>243,5672</v>
      </c>
      <c r="U19" s="8" t="s">
        <v>47</v>
      </c>
    </row>
    <row r="21" spans="1:21" ht="15">
      <c r="A21" s="51" t="s">
        <v>84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1">
      <c r="A22" s="19" t="s">
        <v>418</v>
      </c>
      <c r="B22" s="19" t="s">
        <v>419</v>
      </c>
      <c r="C22" s="19" t="s">
        <v>355</v>
      </c>
      <c r="D22" s="19"/>
      <c r="E22" s="19" t="s">
        <v>36</v>
      </c>
      <c r="F22" s="19" t="s">
        <v>121</v>
      </c>
      <c r="G22" s="21" t="s">
        <v>115</v>
      </c>
      <c r="H22" s="21" t="s">
        <v>420</v>
      </c>
      <c r="I22" s="21" t="s">
        <v>103</v>
      </c>
      <c r="J22" s="20"/>
      <c r="K22" s="21" t="s">
        <v>176</v>
      </c>
      <c r="L22" s="21" t="s">
        <v>421</v>
      </c>
      <c r="M22" s="20" t="s">
        <v>357</v>
      </c>
      <c r="N22" s="20"/>
      <c r="O22" s="21" t="s">
        <v>159</v>
      </c>
      <c r="P22" s="21" t="s">
        <v>206</v>
      </c>
      <c r="Q22" s="20" t="s">
        <v>282</v>
      </c>
      <c r="R22" s="20"/>
      <c r="S22" s="19" t="str">
        <f>"0,0"</f>
        <v>0,0</v>
      </c>
      <c r="T22" s="21" t="str">
        <f>"329,0840"</f>
        <v>329,0840</v>
      </c>
      <c r="U22" s="19" t="s">
        <v>47</v>
      </c>
    </row>
    <row r="23" spans="1:21">
      <c r="A23" s="22" t="s">
        <v>423</v>
      </c>
      <c r="B23" s="22" t="s">
        <v>424</v>
      </c>
      <c r="C23" s="22" t="s">
        <v>425</v>
      </c>
      <c r="D23" s="22"/>
      <c r="E23" s="22" t="s">
        <v>426</v>
      </c>
      <c r="F23" s="22" t="s">
        <v>54</v>
      </c>
      <c r="G23" s="23" t="s">
        <v>59</v>
      </c>
      <c r="H23" s="23" t="s">
        <v>59</v>
      </c>
      <c r="I23" s="23" t="s">
        <v>59</v>
      </c>
      <c r="J23" s="23"/>
      <c r="K23" s="23" t="s">
        <v>28</v>
      </c>
      <c r="L23" s="23"/>
      <c r="M23" s="23"/>
      <c r="N23" s="23"/>
      <c r="O23" s="23" t="s">
        <v>40</v>
      </c>
      <c r="P23" s="23"/>
      <c r="Q23" s="23"/>
      <c r="R23" s="23"/>
      <c r="S23" s="22" t="str">
        <f>"0,0"</f>
        <v>0,0</v>
      </c>
      <c r="T23" s="24" t="str">
        <f>"0,0000"</f>
        <v>0,0000</v>
      </c>
      <c r="U23" s="22" t="s">
        <v>427</v>
      </c>
    </row>
    <row r="25" spans="1:21" ht="15">
      <c r="A25" s="51" t="s">
        <v>95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1">
      <c r="A26" s="19" t="s">
        <v>429</v>
      </c>
      <c r="B26" s="19" t="s">
        <v>430</v>
      </c>
      <c r="C26" s="19" t="s">
        <v>431</v>
      </c>
      <c r="D26" s="19"/>
      <c r="E26" s="19" t="s">
        <v>406</v>
      </c>
      <c r="F26" s="19" t="s">
        <v>432</v>
      </c>
      <c r="G26" s="20" t="s">
        <v>59</v>
      </c>
      <c r="H26" s="21" t="s">
        <v>59</v>
      </c>
      <c r="I26" s="20" t="s">
        <v>153</v>
      </c>
      <c r="J26" s="20"/>
      <c r="K26" s="21" t="s">
        <v>28</v>
      </c>
      <c r="L26" s="21" t="s">
        <v>415</v>
      </c>
      <c r="M26" s="21" t="s">
        <v>416</v>
      </c>
      <c r="N26" s="20"/>
      <c r="O26" s="21" t="s">
        <v>282</v>
      </c>
      <c r="P26" s="20" t="s">
        <v>433</v>
      </c>
      <c r="Q26" s="20"/>
      <c r="R26" s="20"/>
      <c r="S26" s="19" t="str">
        <f>"542,5"</f>
        <v>542,5</v>
      </c>
      <c r="T26" s="21" t="str">
        <f>"367,8866"</f>
        <v>367,8866</v>
      </c>
      <c r="U26" s="19" t="s">
        <v>47</v>
      </c>
    </row>
    <row r="27" spans="1:21">
      <c r="A27" s="25" t="s">
        <v>435</v>
      </c>
      <c r="B27" s="25" t="s">
        <v>436</v>
      </c>
      <c r="C27" s="25" t="s">
        <v>437</v>
      </c>
      <c r="D27" s="25"/>
      <c r="E27" s="25" t="s">
        <v>438</v>
      </c>
      <c r="F27" s="25" t="s">
        <v>439</v>
      </c>
      <c r="G27" s="27" t="s">
        <v>123</v>
      </c>
      <c r="H27" s="27" t="s">
        <v>60</v>
      </c>
      <c r="I27" s="27" t="s">
        <v>39</v>
      </c>
      <c r="J27" s="26"/>
      <c r="K27" s="27" t="s">
        <v>415</v>
      </c>
      <c r="L27" s="27" t="s">
        <v>43</v>
      </c>
      <c r="M27" s="26" t="s">
        <v>182</v>
      </c>
      <c r="N27" s="26"/>
      <c r="O27" s="26" t="s">
        <v>440</v>
      </c>
      <c r="P27" s="27" t="s">
        <v>433</v>
      </c>
      <c r="Q27" s="26" t="s">
        <v>212</v>
      </c>
      <c r="R27" s="26"/>
      <c r="S27" s="25" t="str">
        <f>"572,5"</f>
        <v>572,5</v>
      </c>
      <c r="T27" s="27" t="str">
        <f>"358,4995"</f>
        <v>358,4995</v>
      </c>
      <c r="U27" s="25" t="s">
        <v>47</v>
      </c>
    </row>
    <row r="28" spans="1:21">
      <c r="A28" s="25" t="s">
        <v>441</v>
      </c>
      <c r="B28" s="25" t="s">
        <v>442</v>
      </c>
      <c r="C28" s="25" t="s">
        <v>431</v>
      </c>
      <c r="D28" s="25"/>
      <c r="E28" s="25" t="s">
        <v>406</v>
      </c>
      <c r="F28" s="25" t="s">
        <v>432</v>
      </c>
      <c r="G28" s="26" t="s">
        <v>59</v>
      </c>
      <c r="H28" s="27" t="s">
        <v>59</v>
      </c>
      <c r="I28" s="26" t="s">
        <v>153</v>
      </c>
      <c r="J28" s="26"/>
      <c r="K28" s="27" t="s">
        <v>28</v>
      </c>
      <c r="L28" s="27" t="s">
        <v>415</v>
      </c>
      <c r="M28" s="27" t="s">
        <v>416</v>
      </c>
      <c r="N28" s="26"/>
      <c r="O28" s="27" t="s">
        <v>282</v>
      </c>
      <c r="P28" s="26" t="s">
        <v>433</v>
      </c>
      <c r="Q28" s="26"/>
      <c r="R28" s="26"/>
      <c r="S28" s="25" t="str">
        <f>"542,5"</f>
        <v>542,5</v>
      </c>
      <c r="T28" s="27" t="str">
        <f>"340,6358"</f>
        <v>340,6358</v>
      </c>
      <c r="U28" s="25" t="s">
        <v>47</v>
      </c>
    </row>
    <row r="29" spans="1:21">
      <c r="A29" s="25" t="s">
        <v>444</v>
      </c>
      <c r="B29" s="25" t="s">
        <v>445</v>
      </c>
      <c r="C29" s="25" t="s">
        <v>446</v>
      </c>
      <c r="D29" s="25"/>
      <c r="E29" s="25" t="s">
        <v>375</v>
      </c>
      <c r="F29" s="25" t="s">
        <v>139</v>
      </c>
      <c r="G29" s="27" t="s">
        <v>172</v>
      </c>
      <c r="H29" s="27" t="s">
        <v>447</v>
      </c>
      <c r="I29" s="27" t="s">
        <v>59</v>
      </c>
      <c r="J29" s="26"/>
      <c r="K29" s="27" t="s">
        <v>448</v>
      </c>
      <c r="L29" s="26" t="s">
        <v>449</v>
      </c>
      <c r="M29" s="27" t="s">
        <v>28</v>
      </c>
      <c r="N29" s="26"/>
      <c r="O29" s="27" t="s">
        <v>282</v>
      </c>
      <c r="P29" s="27" t="s">
        <v>46</v>
      </c>
      <c r="Q29" s="26" t="s">
        <v>212</v>
      </c>
      <c r="R29" s="26"/>
      <c r="S29" s="25" t="str">
        <f>"540,0"</f>
        <v>540,0</v>
      </c>
      <c r="T29" s="27" t="str">
        <f>"340,2540"</f>
        <v>340,2540</v>
      </c>
      <c r="U29" s="25" t="s">
        <v>47</v>
      </c>
    </row>
    <row r="30" spans="1:21">
      <c r="A30" s="22" t="s">
        <v>451</v>
      </c>
      <c r="B30" s="22" t="s">
        <v>452</v>
      </c>
      <c r="C30" s="22" t="s">
        <v>453</v>
      </c>
      <c r="D30" s="22"/>
      <c r="E30" s="22" t="s">
        <v>36</v>
      </c>
      <c r="F30" s="22" t="s">
        <v>21</v>
      </c>
      <c r="G30" s="24" t="s">
        <v>102</v>
      </c>
      <c r="H30" s="23" t="s">
        <v>172</v>
      </c>
      <c r="I30" s="23" t="s">
        <v>172</v>
      </c>
      <c r="J30" s="23"/>
      <c r="K30" s="23" t="s">
        <v>28</v>
      </c>
      <c r="L30" s="24" t="s">
        <v>41</v>
      </c>
      <c r="M30" s="23" t="s">
        <v>43</v>
      </c>
      <c r="N30" s="23"/>
      <c r="O30" s="24" t="s">
        <v>172</v>
      </c>
      <c r="P30" s="24" t="s">
        <v>158</v>
      </c>
      <c r="Q30" s="23" t="s">
        <v>146</v>
      </c>
      <c r="R30" s="23"/>
      <c r="S30" s="22" t="str">
        <f>"0,0"</f>
        <v>0,0</v>
      </c>
      <c r="T30" s="24" t="str">
        <f>"289,3400"</f>
        <v>289,3400</v>
      </c>
      <c r="U30" s="22" t="s">
        <v>47</v>
      </c>
    </row>
    <row r="32" spans="1:21" ht="15">
      <c r="A32" s="51" t="s">
        <v>31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1">
      <c r="A33" s="19" t="s">
        <v>455</v>
      </c>
      <c r="B33" s="19" t="s">
        <v>456</v>
      </c>
      <c r="C33" s="19" t="s">
        <v>457</v>
      </c>
      <c r="D33" s="19"/>
      <c r="E33" s="19" t="s">
        <v>36</v>
      </c>
      <c r="F33" s="19" t="s">
        <v>37</v>
      </c>
      <c r="G33" s="21" t="s">
        <v>41</v>
      </c>
      <c r="H33" s="21" t="s">
        <v>42</v>
      </c>
      <c r="I33" s="21" t="s">
        <v>182</v>
      </c>
      <c r="J33" s="20"/>
      <c r="K33" s="21" t="s">
        <v>366</v>
      </c>
      <c r="L33" s="21" t="s">
        <v>93</v>
      </c>
      <c r="M33" s="21" t="s">
        <v>301</v>
      </c>
      <c r="N33" s="20"/>
      <c r="O33" s="21" t="s">
        <v>109</v>
      </c>
      <c r="P33" s="21" t="s">
        <v>115</v>
      </c>
      <c r="Q33" s="21" t="s">
        <v>158</v>
      </c>
      <c r="R33" s="20"/>
      <c r="S33" s="19" t="str">
        <f>"0,0"</f>
        <v>0,0</v>
      </c>
      <c r="T33" s="21" t="str">
        <f>"309,9907"</f>
        <v>309,9907</v>
      </c>
      <c r="U33" s="19" t="s">
        <v>47</v>
      </c>
    </row>
    <row r="34" spans="1:21">
      <c r="A34" s="25" t="s">
        <v>459</v>
      </c>
      <c r="B34" s="25" t="s">
        <v>460</v>
      </c>
      <c r="C34" s="25" t="s">
        <v>35</v>
      </c>
      <c r="D34" s="25"/>
      <c r="E34" s="25" t="s">
        <v>36</v>
      </c>
      <c r="F34" s="25" t="s">
        <v>461</v>
      </c>
      <c r="G34" s="27" t="s">
        <v>159</v>
      </c>
      <c r="H34" s="26" t="s">
        <v>39</v>
      </c>
      <c r="I34" s="27" t="s">
        <v>205</v>
      </c>
      <c r="J34" s="26"/>
      <c r="K34" s="27" t="s">
        <v>41</v>
      </c>
      <c r="L34" s="27" t="s">
        <v>462</v>
      </c>
      <c r="M34" s="26" t="s">
        <v>29</v>
      </c>
      <c r="N34" s="26"/>
      <c r="O34" s="27" t="s">
        <v>45</v>
      </c>
      <c r="P34" s="27" t="s">
        <v>463</v>
      </c>
      <c r="Q34" s="27" t="s">
        <v>283</v>
      </c>
      <c r="R34" s="26"/>
      <c r="S34" s="25" t="str">
        <f>"552,5"</f>
        <v>552,5</v>
      </c>
      <c r="T34" s="27" t="str">
        <f>"352,6497"</f>
        <v>352,6497</v>
      </c>
      <c r="U34" s="25" t="s">
        <v>47</v>
      </c>
    </row>
    <row r="35" spans="1:21">
      <c r="A35" s="25" t="s">
        <v>465</v>
      </c>
      <c r="B35" s="25" t="s">
        <v>466</v>
      </c>
      <c r="C35" s="25" t="s">
        <v>467</v>
      </c>
      <c r="D35" s="25"/>
      <c r="E35" s="25" t="s">
        <v>36</v>
      </c>
      <c r="F35" s="25" t="s">
        <v>468</v>
      </c>
      <c r="G35" s="27" t="s">
        <v>58</v>
      </c>
      <c r="H35" s="27" t="s">
        <v>59</v>
      </c>
      <c r="I35" s="27" t="s">
        <v>153</v>
      </c>
      <c r="J35" s="26"/>
      <c r="K35" s="27" t="s">
        <v>469</v>
      </c>
      <c r="L35" s="27" t="s">
        <v>28</v>
      </c>
      <c r="M35" s="27" t="s">
        <v>470</v>
      </c>
      <c r="N35" s="26"/>
      <c r="O35" s="27" t="s">
        <v>206</v>
      </c>
      <c r="P35" s="26" t="s">
        <v>282</v>
      </c>
      <c r="Q35" s="26"/>
      <c r="R35" s="26"/>
      <c r="S35" s="25" t="str">
        <f>"0,0"</f>
        <v>0,0</v>
      </c>
      <c r="T35" s="27" t="str">
        <f>"322,4287"</f>
        <v>322,4287</v>
      </c>
      <c r="U35" s="25" t="s">
        <v>47</v>
      </c>
    </row>
    <row r="36" spans="1:21">
      <c r="A36" s="22" t="s">
        <v>472</v>
      </c>
      <c r="B36" s="22" t="s">
        <v>473</v>
      </c>
      <c r="C36" s="22" t="s">
        <v>196</v>
      </c>
      <c r="D36" s="22"/>
      <c r="E36" s="22" t="s">
        <v>36</v>
      </c>
      <c r="F36" s="22" t="s">
        <v>37</v>
      </c>
      <c r="G36" s="23" t="s">
        <v>58</v>
      </c>
      <c r="H36" s="24" t="s">
        <v>58</v>
      </c>
      <c r="I36" s="23" t="s">
        <v>60</v>
      </c>
      <c r="J36" s="23"/>
      <c r="K36" s="24" t="s">
        <v>28</v>
      </c>
      <c r="L36" s="24" t="s">
        <v>474</v>
      </c>
      <c r="M36" s="23" t="s">
        <v>43</v>
      </c>
      <c r="N36" s="23"/>
      <c r="O36" s="24" t="s">
        <v>44</v>
      </c>
      <c r="P36" s="24" t="s">
        <v>40</v>
      </c>
      <c r="Q36" s="23" t="s">
        <v>285</v>
      </c>
      <c r="R36" s="23"/>
      <c r="S36" s="22" t="str">
        <f>"517,5"</f>
        <v>517,5</v>
      </c>
      <c r="T36" s="24" t="str">
        <f>"307,7572"</f>
        <v>307,7572</v>
      </c>
      <c r="U36" s="22" t="s">
        <v>47</v>
      </c>
    </row>
    <row r="38" spans="1:21" ht="15">
      <c r="A38" s="51" t="s">
        <v>116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1">
      <c r="A39" s="8" t="s">
        <v>476</v>
      </c>
      <c r="B39" s="8" t="s">
        <v>477</v>
      </c>
      <c r="C39" s="8" t="s">
        <v>234</v>
      </c>
      <c r="D39" s="8"/>
      <c r="E39" s="8" t="s">
        <v>36</v>
      </c>
      <c r="F39" s="8" t="s">
        <v>37</v>
      </c>
      <c r="G39" s="9" t="s">
        <v>463</v>
      </c>
      <c r="H39" s="9" t="s">
        <v>478</v>
      </c>
      <c r="I39" s="9" t="s">
        <v>284</v>
      </c>
      <c r="J39" s="10"/>
      <c r="K39" s="9" t="s">
        <v>479</v>
      </c>
      <c r="L39" s="10" t="s">
        <v>101</v>
      </c>
      <c r="M39" s="10" t="s">
        <v>101</v>
      </c>
      <c r="N39" s="10"/>
      <c r="O39" s="9" t="s">
        <v>480</v>
      </c>
      <c r="P39" s="9" t="s">
        <v>481</v>
      </c>
      <c r="Q39" s="10" t="s">
        <v>245</v>
      </c>
      <c r="R39" s="10"/>
      <c r="S39" s="8" t="str">
        <f>"0,0"</f>
        <v>0,0</v>
      </c>
      <c r="T39" s="9" t="str">
        <f>"350,3496"</f>
        <v>350,3496</v>
      </c>
      <c r="U39" s="8" t="s">
        <v>47</v>
      </c>
    </row>
    <row r="41" spans="1:21" ht="15">
      <c r="A41" s="51" t="s">
        <v>129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1">
      <c r="A42" s="8" t="s">
        <v>483</v>
      </c>
      <c r="B42" s="8" t="s">
        <v>484</v>
      </c>
      <c r="C42" s="8" t="s">
        <v>485</v>
      </c>
      <c r="D42" s="8"/>
      <c r="E42" s="8" t="s">
        <v>36</v>
      </c>
      <c r="F42" s="8" t="s">
        <v>37</v>
      </c>
      <c r="G42" s="9" t="s">
        <v>158</v>
      </c>
      <c r="H42" s="9" t="s">
        <v>159</v>
      </c>
      <c r="I42" s="9" t="s">
        <v>486</v>
      </c>
      <c r="J42" s="10"/>
      <c r="K42" s="9" t="s">
        <v>182</v>
      </c>
      <c r="L42" s="9" t="s">
        <v>115</v>
      </c>
      <c r="M42" s="10" t="s">
        <v>487</v>
      </c>
      <c r="N42" s="10"/>
      <c r="O42" s="10" t="s">
        <v>40</v>
      </c>
      <c r="P42" s="9" t="s">
        <v>480</v>
      </c>
      <c r="Q42" s="9" t="s">
        <v>488</v>
      </c>
      <c r="R42" s="10"/>
      <c r="S42" s="8" t="str">
        <f>"0,0"</f>
        <v>0,0</v>
      </c>
      <c r="T42" s="9" t="str">
        <f>"321,2757"</f>
        <v>321,2757</v>
      </c>
      <c r="U42" s="8" t="s">
        <v>47</v>
      </c>
    </row>
    <row r="44" spans="1:21" ht="15">
      <c r="A44" s="51" t="s">
        <v>48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21">
      <c r="A45" s="8" t="s">
        <v>490</v>
      </c>
      <c r="B45" s="8" t="s">
        <v>491</v>
      </c>
      <c r="C45" s="8" t="s">
        <v>492</v>
      </c>
      <c r="D45" s="8"/>
      <c r="E45" s="8" t="s">
        <v>493</v>
      </c>
      <c r="F45" s="8" t="s">
        <v>37</v>
      </c>
      <c r="G45" s="9" t="s">
        <v>23</v>
      </c>
      <c r="H45" s="9" t="s">
        <v>494</v>
      </c>
      <c r="I45" s="9" t="s">
        <v>29</v>
      </c>
      <c r="J45" s="10"/>
      <c r="K45" s="9" t="s">
        <v>91</v>
      </c>
      <c r="L45" s="9" t="s">
        <v>495</v>
      </c>
      <c r="M45" s="9" t="s">
        <v>80</v>
      </c>
      <c r="N45" s="10"/>
      <c r="O45" s="9" t="s">
        <v>182</v>
      </c>
      <c r="P45" s="9" t="s">
        <v>172</v>
      </c>
      <c r="Q45" s="9" t="s">
        <v>59</v>
      </c>
      <c r="R45" s="10"/>
      <c r="S45" s="8" t="str">
        <f>"405,0"</f>
        <v>405,0</v>
      </c>
      <c r="T45" s="9" t="str">
        <f>"229,0226"</f>
        <v>229,0226</v>
      </c>
      <c r="U45" s="8" t="s">
        <v>47</v>
      </c>
    </row>
    <row r="47" spans="1:21" ht="15">
      <c r="E47" s="11" t="s">
        <v>62</v>
      </c>
    </row>
    <row r="48" spans="1:21" ht="15">
      <c r="E48" s="11" t="s">
        <v>63</v>
      </c>
    </row>
    <row r="49" spans="1:5" ht="15">
      <c r="E49" s="11" t="s">
        <v>64</v>
      </c>
    </row>
    <row r="50" spans="1:5" ht="15">
      <c r="E50" s="11" t="s">
        <v>65</v>
      </c>
    </row>
    <row r="51" spans="1:5" ht="15">
      <c r="E51" s="11" t="s">
        <v>65</v>
      </c>
    </row>
    <row r="52" spans="1:5" ht="15">
      <c r="E52" s="11" t="s">
        <v>66</v>
      </c>
    </row>
    <row r="53" spans="1:5" ht="15">
      <c r="E53" s="11"/>
    </row>
    <row r="55" spans="1:5" ht="18">
      <c r="A55" s="12" t="s">
        <v>67</v>
      </c>
      <c r="B55" s="12"/>
    </row>
    <row r="56" spans="1:5" ht="15">
      <c r="A56" s="13" t="s">
        <v>68</v>
      </c>
      <c r="B56" s="13"/>
    </row>
    <row r="57" spans="1:5" ht="14.25">
      <c r="A57" s="15"/>
      <c r="B57" s="16" t="s">
        <v>496</v>
      </c>
    </row>
    <row r="58" spans="1:5" ht="15">
      <c r="A58" s="17" t="s">
        <v>70</v>
      </c>
      <c r="B58" s="17" t="s">
        <v>71</v>
      </c>
      <c r="C58" s="17" t="s">
        <v>72</v>
      </c>
      <c r="D58" s="17" t="s">
        <v>73</v>
      </c>
      <c r="E58" s="17" t="s">
        <v>74</v>
      </c>
    </row>
    <row r="59" spans="1:5">
      <c r="A59" s="14" t="s">
        <v>383</v>
      </c>
      <c r="B59" s="5" t="s">
        <v>170</v>
      </c>
      <c r="C59" s="5" t="s">
        <v>25</v>
      </c>
      <c r="D59" s="5" t="s">
        <v>497</v>
      </c>
      <c r="E59" s="18" t="s">
        <v>498</v>
      </c>
    </row>
    <row r="60" spans="1:5">
      <c r="A60" s="14" t="s">
        <v>360</v>
      </c>
      <c r="B60" s="5" t="s">
        <v>170</v>
      </c>
      <c r="C60" s="5" t="s">
        <v>499</v>
      </c>
      <c r="D60" s="5" t="s">
        <v>500</v>
      </c>
      <c r="E60" s="18" t="s">
        <v>501</v>
      </c>
    </row>
    <row r="62" spans="1:5" ht="14.25">
      <c r="A62" s="15"/>
      <c r="B62" s="16" t="s">
        <v>69</v>
      </c>
    </row>
    <row r="63" spans="1:5" ht="15">
      <c r="A63" s="17" t="s">
        <v>70</v>
      </c>
      <c r="B63" s="17" t="s">
        <v>71</v>
      </c>
      <c r="C63" s="17" t="s">
        <v>72</v>
      </c>
      <c r="D63" s="17" t="s">
        <v>73</v>
      </c>
      <c r="E63" s="17" t="s">
        <v>74</v>
      </c>
    </row>
    <row r="64" spans="1:5">
      <c r="A64" s="14" t="s">
        <v>402</v>
      </c>
      <c r="B64" s="5" t="s">
        <v>69</v>
      </c>
      <c r="C64" s="5" t="s">
        <v>376</v>
      </c>
      <c r="D64" s="5" t="s">
        <v>502</v>
      </c>
      <c r="E64" s="18" t="s">
        <v>503</v>
      </c>
    </row>
    <row r="65" spans="1:5">
      <c r="A65" s="14" t="s">
        <v>394</v>
      </c>
      <c r="B65" s="5" t="s">
        <v>69</v>
      </c>
      <c r="C65" s="5" t="s">
        <v>25</v>
      </c>
      <c r="D65" s="5" t="s">
        <v>284</v>
      </c>
      <c r="E65" s="18" t="s">
        <v>504</v>
      </c>
    </row>
    <row r="67" spans="1:5" ht="14.25">
      <c r="A67" s="15"/>
      <c r="B67" s="16" t="s">
        <v>185</v>
      </c>
    </row>
    <row r="68" spans="1:5" ht="15">
      <c r="A68" s="17" t="s">
        <v>70</v>
      </c>
      <c r="B68" s="17" t="s">
        <v>71</v>
      </c>
      <c r="C68" s="17" t="s">
        <v>72</v>
      </c>
      <c r="D68" s="17" t="s">
        <v>73</v>
      </c>
      <c r="E68" s="17" t="s">
        <v>74</v>
      </c>
    </row>
    <row r="69" spans="1:5">
      <c r="A69" s="14" t="s">
        <v>407</v>
      </c>
      <c r="B69" s="5" t="s">
        <v>505</v>
      </c>
      <c r="C69" s="5" t="s">
        <v>171</v>
      </c>
      <c r="D69" s="5" t="s">
        <v>506</v>
      </c>
      <c r="E69" s="18" t="s">
        <v>507</v>
      </c>
    </row>
    <row r="70" spans="1:5">
      <c r="A70" s="14" t="s">
        <v>371</v>
      </c>
      <c r="B70" s="5" t="s">
        <v>189</v>
      </c>
      <c r="C70" s="5" t="s">
        <v>508</v>
      </c>
      <c r="D70" s="5" t="s">
        <v>282</v>
      </c>
      <c r="E70" s="18" t="s">
        <v>509</v>
      </c>
    </row>
    <row r="73" spans="1:5" ht="15">
      <c r="A73" s="13" t="s">
        <v>77</v>
      </c>
      <c r="B73" s="13"/>
    </row>
    <row r="74" spans="1:5" ht="14.25">
      <c r="A74" s="15"/>
      <c r="B74" s="16" t="s">
        <v>510</v>
      </c>
    </row>
    <row r="75" spans="1:5" ht="15">
      <c r="A75" s="17" t="s">
        <v>70</v>
      </c>
      <c r="B75" s="17" t="s">
        <v>71</v>
      </c>
      <c r="C75" s="17" t="s">
        <v>72</v>
      </c>
      <c r="D75" s="17" t="s">
        <v>73</v>
      </c>
      <c r="E75" s="17" t="s">
        <v>74</v>
      </c>
    </row>
    <row r="76" spans="1:5">
      <c r="A76" s="14" t="s">
        <v>428</v>
      </c>
      <c r="B76" s="5" t="s">
        <v>511</v>
      </c>
      <c r="C76" s="5" t="s">
        <v>171</v>
      </c>
      <c r="D76" s="5" t="s">
        <v>512</v>
      </c>
      <c r="E76" s="18" t="s">
        <v>513</v>
      </c>
    </row>
    <row r="77" spans="1:5">
      <c r="A77" s="14" t="s">
        <v>458</v>
      </c>
      <c r="B77" s="5" t="s">
        <v>511</v>
      </c>
      <c r="C77" s="5" t="s">
        <v>80</v>
      </c>
      <c r="D77" s="5" t="s">
        <v>514</v>
      </c>
      <c r="E77" s="18" t="s">
        <v>515</v>
      </c>
    </row>
    <row r="78" spans="1:5">
      <c r="A78" s="14" t="s">
        <v>454</v>
      </c>
      <c r="B78" s="5" t="s">
        <v>516</v>
      </c>
      <c r="C78" s="5" t="s">
        <v>80</v>
      </c>
      <c r="D78" s="5" t="s">
        <v>517</v>
      </c>
      <c r="E78" s="18" t="s">
        <v>518</v>
      </c>
    </row>
    <row r="79" spans="1:5">
      <c r="A79" s="14" t="s">
        <v>489</v>
      </c>
      <c r="B79" s="5" t="s">
        <v>511</v>
      </c>
      <c r="C79" s="5" t="s">
        <v>27</v>
      </c>
      <c r="D79" s="5" t="s">
        <v>519</v>
      </c>
      <c r="E79" s="18" t="s">
        <v>520</v>
      </c>
    </row>
    <row r="81" spans="1:5" ht="14.25">
      <c r="A81" s="15"/>
      <c r="B81" s="16" t="s">
        <v>169</v>
      </c>
    </row>
    <row r="82" spans="1:5" ht="15">
      <c r="A82" s="17" t="s">
        <v>70</v>
      </c>
      <c r="B82" s="17" t="s">
        <v>71</v>
      </c>
      <c r="C82" s="17" t="s">
        <v>72</v>
      </c>
      <c r="D82" s="17" t="s">
        <v>73</v>
      </c>
      <c r="E82" s="17" t="s">
        <v>74</v>
      </c>
    </row>
    <row r="83" spans="1:5">
      <c r="A83" s="14" t="s">
        <v>475</v>
      </c>
      <c r="B83" s="5" t="s">
        <v>170</v>
      </c>
      <c r="C83" s="5" t="s">
        <v>23</v>
      </c>
      <c r="D83" s="5" t="s">
        <v>521</v>
      </c>
      <c r="E83" s="18" t="s">
        <v>522</v>
      </c>
    </row>
    <row r="85" spans="1:5" ht="14.25">
      <c r="A85" s="15"/>
      <c r="B85" s="16" t="s">
        <v>69</v>
      </c>
    </row>
    <row r="86" spans="1:5" ht="15">
      <c r="A86" s="17" t="s">
        <v>70</v>
      </c>
      <c r="B86" s="17" t="s">
        <v>71</v>
      </c>
      <c r="C86" s="17" t="s">
        <v>72</v>
      </c>
      <c r="D86" s="17" t="s">
        <v>73</v>
      </c>
      <c r="E86" s="17" t="s">
        <v>74</v>
      </c>
    </row>
    <row r="87" spans="1:5">
      <c r="A87" s="14" t="s">
        <v>434</v>
      </c>
      <c r="B87" s="5" t="s">
        <v>69</v>
      </c>
      <c r="C87" s="5" t="s">
        <v>171</v>
      </c>
      <c r="D87" s="5" t="s">
        <v>523</v>
      </c>
      <c r="E87" s="18" t="s">
        <v>524</v>
      </c>
    </row>
    <row r="88" spans="1:5">
      <c r="A88" s="14" t="s">
        <v>428</v>
      </c>
      <c r="B88" s="5" t="s">
        <v>69</v>
      </c>
      <c r="C88" s="5" t="s">
        <v>171</v>
      </c>
      <c r="D88" s="5" t="s">
        <v>512</v>
      </c>
      <c r="E88" s="18" t="s">
        <v>525</v>
      </c>
    </row>
    <row r="89" spans="1:5">
      <c r="A89" s="14" t="s">
        <v>443</v>
      </c>
      <c r="B89" s="5" t="s">
        <v>69</v>
      </c>
      <c r="C89" s="5" t="s">
        <v>171</v>
      </c>
      <c r="D89" s="5" t="s">
        <v>526</v>
      </c>
      <c r="E89" s="18" t="s">
        <v>527</v>
      </c>
    </row>
    <row r="90" spans="1:5">
      <c r="A90" s="14" t="s">
        <v>417</v>
      </c>
      <c r="B90" s="5" t="s">
        <v>69</v>
      </c>
      <c r="C90" s="5" t="s">
        <v>187</v>
      </c>
      <c r="D90" s="5" t="s">
        <v>528</v>
      </c>
      <c r="E90" s="18" t="s">
        <v>529</v>
      </c>
    </row>
    <row r="91" spans="1:5">
      <c r="A91" s="14" t="s">
        <v>464</v>
      </c>
      <c r="B91" s="5" t="s">
        <v>69</v>
      </c>
      <c r="C91" s="5" t="s">
        <v>80</v>
      </c>
      <c r="D91" s="5" t="s">
        <v>530</v>
      </c>
      <c r="E91" s="18" t="s">
        <v>531</v>
      </c>
    </row>
    <row r="92" spans="1:5">
      <c r="A92" s="14" t="s">
        <v>482</v>
      </c>
      <c r="B92" s="5" t="s">
        <v>69</v>
      </c>
      <c r="C92" s="5" t="s">
        <v>176</v>
      </c>
      <c r="D92" s="5" t="s">
        <v>532</v>
      </c>
      <c r="E92" s="18" t="s">
        <v>533</v>
      </c>
    </row>
    <row r="93" spans="1:5">
      <c r="A93" s="14" t="s">
        <v>471</v>
      </c>
      <c r="B93" s="5" t="s">
        <v>69</v>
      </c>
      <c r="C93" s="5" t="s">
        <v>80</v>
      </c>
      <c r="D93" s="5" t="s">
        <v>534</v>
      </c>
      <c r="E93" s="18" t="s">
        <v>535</v>
      </c>
    </row>
    <row r="94" spans="1:5">
      <c r="A94" s="14" t="s">
        <v>450</v>
      </c>
      <c r="B94" s="5" t="s">
        <v>69</v>
      </c>
      <c r="C94" s="5" t="s">
        <v>171</v>
      </c>
      <c r="D94" s="5" t="s">
        <v>536</v>
      </c>
      <c r="E94" s="18" t="s">
        <v>537</v>
      </c>
    </row>
  </sheetData>
  <mergeCells count="24"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A8:T8"/>
    <mergeCell ref="A11:T11"/>
    <mergeCell ref="A15:T15"/>
    <mergeCell ref="A18:T18"/>
    <mergeCell ref="S3:S4"/>
    <mergeCell ref="T3:T4"/>
    <mergeCell ref="K3:N3"/>
    <mergeCell ref="O3:R3"/>
    <mergeCell ref="A41:T41"/>
    <mergeCell ref="A44:T44"/>
    <mergeCell ref="A21:T21"/>
    <mergeCell ref="A25:T25"/>
    <mergeCell ref="A32:T32"/>
    <mergeCell ref="A38:T38"/>
  </mergeCell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L12" sqref="L1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5.5703125" style="29" bestFit="1" customWidth="1"/>
    <col min="9" max="9" width="7.85546875" style="5" bestFit="1" customWidth="1"/>
    <col min="10" max="10" width="6.5703125" style="4" bestFit="1" customWidth="1"/>
    <col min="11" max="11" width="15.42578125" style="5" bestFit="1" customWidth="1"/>
    <col min="12" max="16384" width="9.140625" style="4"/>
  </cols>
  <sheetData>
    <row r="1" spans="1:13" s="3" customFormat="1" ht="29.1" customHeight="1">
      <c r="A1" s="55" t="s">
        <v>348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0" t="s">
        <v>349</v>
      </c>
      <c r="B6" s="8" t="s">
        <v>350</v>
      </c>
      <c r="C6" s="8" t="s">
        <v>351</v>
      </c>
      <c r="D6" s="8"/>
      <c r="E6" s="8" t="s">
        <v>225</v>
      </c>
      <c r="F6" s="8" t="s">
        <v>226</v>
      </c>
      <c r="G6" s="10" t="s">
        <v>946</v>
      </c>
      <c r="H6" s="28">
        <v>40</v>
      </c>
      <c r="I6" s="31" t="s">
        <v>544</v>
      </c>
      <c r="J6" s="9"/>
      <c r="K6" s="30" t="s">
        <v>949</v>
      </c>
    </row>
    <row r="8" spans="1:13" ht="15">
      <c r="A8" s="51" t="s">
        <v>84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ht="15.75">
      <c r="A9" s="30" t="s">
        <v>353</v>
      </c>
      <c r="B9" s="8" t="s">
        <v>354</v>
      </c>
      <c r="C9" s="8" t="s">
        <v>355</v>
      </c>
      <c r="D9" s="8"/>
      <c r="E9" s="8" t="s">
        <v>225</v>
      </c>
      <c r="F9" s="8" t="s">
        <v>356</v>
      </c>
      <c r="G9" s="32" t="s">
        <v>947</v>
      </c>
      <c r="H9" s="34">
        <v>127.5</v>
      </c>
      <c r="I9" s="30" t="s">
        <v>948</v>
      </c>
      <c r="J9" s="9"/>
      <c r="K9" s="30" t="s">
        <v>948</v>
      </c>
      <c r="L9" s="35" t="s">
        <v>953</v>
      </c>
    </row>
    <row r="11" spans="1:13" ht="15">
      <c r="A11" s="51" t="s">
        <v>48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 ht="15.75">
      <c r="A12" s="30" t="s">
        <v>148</v>
      </c>
      <c r="B12" s="8" t="s">
        <v>150</v>
      </c>
      <c r="C12" s="8" t="s">
        <v>151</v>
      </c>
      <c r="D12" s="8"/>
      <c r="E12" s="8" t="s">
        <v>152</v>
      </c>
      <c r="F12" s="8" t="s">
        <v>37</v>
      </c>
      <c r="G12" s="32" t="s">
        <v>950</v>
      </c>
      <c r="H12" s="33">
        <v>180</v>
      </c>
      <c r="I12" s="30" t="s">
        <v>799</v>
      </c>
      <c r="J12" s="9"/>
      <c r="K12" s="30" t="s">
        <v>799</v>
      </c>
      <c r="L12" s="35" t="s">
        <v>954</v>
      </c>
    </row>
    <row r="14" spans="1:13" ht="15">
      <c r="E14" s="11" t="s">
        <v>62</v>
      </c>
    </row>
    <row r="15" spans="1:13" ht="15">
      <c r="E15" s="11" t="s">
        <v>63</v>
      </c>
    </row>
    <row r="16" spans="1:13" ht="15">
      <c r="E16" s="11" t="s">
        <v>64</v>
      </c>
    </row>
    <row r="17" spans="1:5" ht="15">
      <c r="E17" s="11" t="s">
        <v>65</v>
      </c>
    </row>
    <row r="18" spans="1:5" ht="15">
      <c r="E18" s="11" t="s">
        <v>65</v>
      </c>
    </row>
    <row r="19" spans="1:5" ht="15">
      <c r="E19" s="11" t="s">
        <v>66</v>
      </c>
    </row>
    <row r="20" spans="1:5" ht="15">
      <c r="E20" s="11"/>
    </row>
    <row r="22" spans="1:5" ht="18">
      <c r="A22" s="12" t="s">
        <v>67</v>
      </c>
      <c r="B22" s="12"/>
    </row>
  </sheetData>
  <mergeCells count="14">
    <mergeCell ref="A1:K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L3:L4"/>
    <mergeCell ref="M3:M4"/>
    <mergeCell ref="K3:K4"/>
    <mergeCell ref="A5:J5"/>
  </mergeCells>
  <phoneticPr fontId="0" type="noConversion"/>
  <pageMargins left="0.75" right="0.75" top="1" bottom="1" header="0.5" footer="0.5"/>
  <headerFooter alignWithMargins="0"/>
  <cellWatches>
    <cellWatch r="H9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934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273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9" t="s">
        <v>936</v>
      </c>
      <c r="B6" s="19" t="s">
        <v>937</v>
      </c>
      <c r="C6" s="19" t="s">
        <v>938</v>
      </c>
      <c r="D6" s="19"/>
      <c r="E6" s="19" t="s">
        <v>939</v>
      </c>
      <c r="F6" s="19" t="s">
        <v>108</v>
      </c>
      <c r="G6" s="21" t="s">
        <v>80</v>
      </c>
      <c r="H6" s="21" t="s">
        <v>23</v>
      </c>
      <c r="I6" s="21" t="s">
        <v>24</v>
      </c>
      <c r="J6" s="20"/>
      <c r="K6" s="19" t="str">
        <f>"105,0"</f>
        <v>105,0</v>
      </c>
      <c r="L6" s="21" t="str">
        <f>"87,9604"</f>
        <v>87,9604</v>
      </c>
      <c r="M6" s="19" t="s">
        <v>47</v>
      </c>
    </row>
    <row r="7" spans="1:13">
      <c r="A7" s="22" t="s">
        <v>941</v>
      </c>
      <c r="B7" s="22" t="s">
        <v>942</v>
      </c>
      <c r="C7" s="22" t="s">
        <v>561</v>
      </c>
      <c r="D7" s="22"/>
      <c r="E7" s="22" t="s">
        <v>742</v>
      </c>
      <c r="F7" s="22" t="s">
        <v>108</v>
      </c>
      <c r="G7" s="24" t="s">
        <v>80</v>
      </c>
      <c r="H7" s="24" t="s">
        <v>23</v>
      </c>
      <c r="I7" s="24" t="s">
        <v>389</v>
      </c>
      <c r="J7" s="23"/>
      <c r="K7" s="22" t="str">
        <f>"102,5"</f>
        <v>102,5</v>
      </c>
      <c r="L7" s="24" t="str">
        <f>"83,8582"</f>
        <v>83,8582</v>
      </c>
      <c r="M7" s="22" t="s">
        <v>47</v>
      </c>
    </row>
    <row r="9" spans="1:13" ht="15">
      <c r="A9" s="51" t="s">
        <v>129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8" t="s">
        <v>814</v>
      </c>
      <c r="B10" s="8" t="s">
        <v>815</v>
      </c>
      <c r="C10" s="8" t="s">
        <v>816</v>
      </c>
      <c r="D10" s="8"/>
      <c r="E10" s="8" t="s">
        <v>36</v>
      </c>
      <c r="F10" s="8" t="s">
        <v>616</v>
      </c>
      <c r="G10" s="9" t="s">
        <v>206</v>
      </c>
      <c r="H10" s="9" t="s">
        <v>463</v>
      </c>
      <c r="I10" s="9" t="s">
        <v>892</v>
      </c>
      <c r="J10" s="10"/>
      <c r="K10" s="8" t="str">
        <f>"230,0"</f>
        <v>230,0</v>
      </c>
      <c r="L10" s="9" t="str">
        <f>"123,9930"</f>
        <v>123,9930</v>
      </c>
      <c r="M10" s="8" t="s">
        <v>47</v>
      </c>
    </row>
    <row r="12" spans="1:13" ht="15">
      <c r="E12" s="11" t="s">
        <v>62</v>
      </c>
    </row>
    <row r="13" spans="1:13" ht="15">
      <c r="E13" s="11" t="s">
        <v>63</v>
      </c>
    </row>
    <row r="14" spans="1:13" ht="15">
      <c r="E14" s="11" t="s">
        <v>64</v>
      </c>
    </row>
    <row r="15" spans="1:13" ht="15">
      <c r="E15" s="11" t="s">
        <v>65</v>
      </c>
    </row>
    <row r="16" spans="1:13" ht="15">
      <c r="E16" s="11" t="s">
        <v>65</v>
      </c>
    </row>
    <row r="17" spans="1:5" ht="15">
      <c r="E17" s="11" t="s">
        <v>66</v>
      </c>
    </row>
    <row r="18" spans="1:5" ht="15">
      <c r="E18" s="11"/>
    </row>
    <row r="20" spans="1:5" ht="18">
      <c r="A20" s="12" t="s">
        <v>67</v>
      </c>
      <c r="B20" s="12"/>
    </row>
    <row r="21" spans="1:5" ht="15">
      <c r="A21" s="13" t="s">
        <v>68</v>
      </c>
      <c r="B21" s="13"/>
    </row>
    <row r="22" spans="1:5" ht="14.25">
      <c r="A22" s="15"/>
      <c r="B22" s="16" t="s">
        <v>827</v>
      </c>
    </row>
    <row r="23" spans="1:5" ht="15">
      <c r="A23" s="17" t="s">
        <v>70</v>
      </c>
      <c r="B23" s="17" t="s">
        <v>71</v>
      </c>
      <c r="C23" s="17" t="s">
        <v>72</v>
      </c>
      <c r="D23" s="17" t="s">
        <v>73</v>
      </c>
      <c r="E23" s="17" t="s">
        <v>74</v>
      </c>
    </row>
    <row r="24" spans="1:5">
      <c r="A24" s="14" t="s">
        <v>935</v>
      </c>
      <c r="B24" s="5" t="s">
        <v>831</v>
      </c>
      <c r="C24" s="5" t="s">
        <v>376</v>
      </c>
      <c r="D24" s="5" t="s">
        <v>24</v>
      </c>
      <c r="E24" s="18" t="s">
        <v>943</v>
      </c>
    </row>
    <row r="26" spans="1:5" ht="14.25">
      <c r="A26" s="15"/>
      <c r="B26" s="16" t="s">
        <v>496</v>
      </c>
    </row>
    <row r="27" spans="1:5" ht="15">
      <c r="A27" s="17" t="s">
        <v>70</v>
      </c>
      <c r="B27" s="17" t="s">
        <v>71</v>
      </c>
      <c r="C27" s="17" t="s">
        <v>72</v>
      </c>
      <c r="D27" s="17" t="s">
        <v>73</v>
      </c>
      <c r="E27" s="17" t="s">
        <v>74</v>
      </c>
    </row>
    <row r="28" spans="1:5">
      <c r="A28" s="14" t="s">
        <v>940</v>
      </c>
      <c r="B28" s="5" t="s">
        <v>170</v>
      </c>
      <c r="C28" s="5" t="s">
        <v>376</v>
      </c>
      <c r="D28" s="5" t="s">
        <v>389</v>
      </c>
      <c r="E28" s="18" t="s">
        <v>944</v>
      </c>
    </row>
    <row r="31" spans="1:5" ht="15">
      <c r="A31" s="13" t="s">
        <v>77</v>
      </c>
      <c r="B31" s="13"/>
    </row>
    <row r="32" spans="1:5" ht="14.25">
      <c r="A32" s="15"/>
      <c r="B32" s="16" t="s">
        <v>69</v>
      </c>
    </row>
    <row r="33" spans="1:5" ht="15">
      <c r="A33" s="17" t="s">
        <v>70</v>
      </c>
      <c r="B33" s="17" t="s">
        <v>71</v>
      </c>
      <c r="C33" s="17" t="s">
        <v>72</v>
      </c>
      <c r="D33" s="17" t="s">
        <v>73</v>
      </c>
      <c r="E33" s="17" t="s">
        <v>74</v>
      </c>
    </row>
    <row r="34" spans="1:5">
      <c r="A34" s="14" t="s">
        <v>813</v>
      </c>
      <c r="B34" s="5" t="s">
        <v>69</v>
      </c>
      <c r="C34" s="5" t="s">
        <v>176</v>
      </c>
      <c r="D34" s="5" t="s">
        <v>46</v>
      </c>
      <c r="E34" s="18" t="s">
        <v>945</v>
      </c>
    </row>
  </sheetData>
  <mergeCells count="13">
    <mergeCell ref="E3:E4"/>
    <mergeCell ref="F3:F4"/>
    <mergeCell ref="G3:J3"/>
    <mergeCell ref="A9:L9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F3" sqref="F3:M4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8" width="5.5703125" style="4" bestFit="1" customWidth="1"/>
    <col min="9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8.85546875" style="5" bestFit="1" customWidth="1"/>
    <col min="14" max="16384" width="9.140625" style="4"/>
  </cols>
  <sheetData>
    <row r="1" spans="1:13" s="3" customFormat="1" ht="29.1" customHeight="1">
      <c r="A1" s="55" t="s">
        <v>335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48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336</v>
      </c>
      <c r="B6" s="8" t="s">
        <v>304</v>
      </c>
      <c r="C6" s="8" t="s">
        <v>305</v>
      </c>
      <c r="D6" s="8"/>
      <c r="E6" s="8" t="s">
        <v>36</v>
      </c>
      <c r="F6" s="8" t="s">
        <v>37</v>
      </c>
      <c r="G6" s="10" t="s">
        <v>146</v>
      </c>
      <c r="H6" s="10" t="s">
        <v>146</v>
      </c>
      <c r="I6" s="9" t="s">
        <v>44</v>
      </c>
      <c r="J6" s="10"/>
      <c r="K6" s="8" t="str">
        <f>"200,0"</f>
        <v>200,0</v>
      </c>
      <c r="L6" s="9" t="str">
        <f>"104,8000"</f>
        <v>104,8000</v>
      </c>
      <c r="M6" s="8" t="s">
        <v>47</v>
      </c>
    </row>
    <row r="8" spans="1:13" ht="15">
      <c r="A8" s="51" t="s">
        <v>337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339</v>
      </c>
      <c r="B9" s="8" t="s">
        <v>340</v>
      </c>
      <c r="C9" s="8" t="s">
        <v>341</v>
      </c>
      <c r="D9" s="8"/>
      <c r="E9" s="8" t="s">
        <v>168</v>
      </c>
      <c r="F9" s="8" t="s">
        <v>37</v>
      </c>
      <c r="G9" s="9" t="s">
        <v>342</v>
      </c>
      <c r="H9" s="10" t="s">
        <v>343</v>
      </c>
      <c r="I9" s="10" t="s">
        <v>343</v>
      </c>
      <c r="J9" s="10"/>
      <c r="K9" s="8" t="str">
        <f>"325,0"</f>
        <v>325,0</v>
      </c>
      <c r="L9" s="9" t="str">
        <f>"161,8500"</f>
        <v>161,8500</v>
      </c>
      <c r="M9" s="8" t="s">
        <v>344</v>
      </c>
    </row>
    <row r="11" spans="1:13" ht="15">
      <c r="E11" s="11" t="s">
        <v>62</v>
      </c>
    </row>
    <row r="12" spans="1:13" ht="15">
      <c r="E12" s="11" t="s">
        <v>63</v>
      </c>
    </row>
    <row r="13" spans="1:13" ht="15">
      <c r="E13" s="11" t="s">
        <v>64</v>
      </c>
    </row>
    <row r="14" spans="1:13" ht="15">
      <c r="E14" s="11" t="s">
        <v>65</v>
      </c>
    </row>
    <row r="15" spans="1:13" ht="15">
      <c r="E15" s="11" t="s">
        <v>65</v>
      </c>
    </row>
    <row r="16" spans="1:13" ht="15">
      <c r="E16" s="11" t="s">
        <v>66</v>
      </c>
    </row>
    <row r="17" spans="1:5" ht="15">
      <c r="E17" s="11"/>
    </row>
    <row r="19" spans="1:5" ht="18">
      <c r="A19" s="12" t="s">
        <v>67</v>
      </c>
      <c r="B19" s="12"/>
    </row>
    <row r="20" spans="1:5" ht="15">
      <c r="A20" s="13" t="s">
        <v>77</v>
      </c>
      <c r="B20" s="13"/>
    </row>
    <row r="21" spans="1:5" ht="14.25">
      <c r="A21" s="15"/>
      <c r="B21" s="16" t="s">
        <v>69</v>
      </c>
    </row>
    <row r="22" spans="1:5" ht="15">
      <c r="A22" s="17" t="s">
        <v>70</v>
      </c>
      <c r="B22" s="17" t="s">
        <v>71</v>
      </c>
      <c r="C22" s="17" t="s">
        <v>72</v>
      </c>
      <c r="D22" s="17" t="s">
        <v>73</v>
      </c>
      <c r="E22" s="17" t="s">
        <v>74</v>
      </c>
    </row>
    <row r="23" spans="1:5">
      <c r="A23" s="14" t="s">
        <v>338</v>
      </c>
      <c r="B23" s="5" t="s">
        <v>69</v>
      </c>
      <c r="C23" s="5" t="s">
        <v>345</v>
      </c>
      <c r="D23" s="5" t="s">
        <v>342</v>
      </c>
      <c r="E23" s="18" t="s">
        <v>346</v>
      </c>
    </row>
    <row r="24" spans="1:5">
      <c r="A24" s="14" t="s">
        <v>302</v>
      </c>
      <c r="B24" s="5" t="s">
        <v>69</v>
      </c>
      <c r="C24" s="5" t="s">
        <v>27</v>
      </c>
      <c r="D24" s="5" t="s">
        <v>146</v>
      </c>
      <c r="E24" s="18" t="s">
        <v>347</v>
      </c>
    </row>
  </sheetData>
  <mergeCells count="13">
    <mergeCell ref="E3:E4"/>
    <mergeCell ref="F3:F4"/>
    <mergeCell ref="G3:J3"/>
    <mergeCell ref="A8:L8"/>
    <mergeCell ref="K3:K4"/>
    <mergeCell ref="L3:L4"/>
    <mergeCell ref="M3:M4"/>
    <mergeCell ref="A5:L5"/>
    <mergeCell ref="A1:M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334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333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332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5703125" style="5" bestFit="1" customWidth="1"/>
    <col min="14" max="16384" width="9.140625" style="4"/>
  </cols>
  <sheetData>
    <row r="1" spans="1:13" s="3" customFormat="1" ht="29.1" customHeight="1">
      <c r="A1" s="55" t="s">
        <v>312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314</v>
      </c>
      <c r="B6" s="8" t="s">
        <v>315</v>
      </c>
      <c r="C6" s="8" t="s">
        <v>316</v>
      </c>
      <c r="D6" s="8"/>
      <c r="E6" s="8" t="s">
        <v>20</v>
      </c>
      <c r="F6" s="8" t="s">
        <v>317</v>
      </c>
      <c r="G6" s="9" t="s">
        <v>282</v>
      </c>
      <c r="H6" s="9" t="s">
        <v>46</v>
      </c>
      <c r="I6" s="10" t="s">
        <v>212</v>
      </c>
      <c r="J6" s="10"/>
      <c r="K6" s="8" t="str">
        <f>"230,0"</f>
        <v>230,0</v>
      </c>
      <c r="L6" s="9" t="str">
        <f>"135,3550"</f>
        <v>135,3550</v>
      </c>
      <c r="M6" s="8" t="s">
        <v>318</v>
      </c>
    </row>
    <row r="8" spans="1:13" ht="15">
      <c r="A8" s="51" t="s">
        <v>116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320</v>
      </c>
      <c r="B9" s="8" t="s">
        <v>321</v>
      </c>
      <c r="C9" s="8" t="s">
        <v>322</v>
      </c>
      <c r="D9" s="8"/>
      <c r="E9" s="8" t="s">
        <v>323</v>
      </c>
      <c r="F9" s="8" t="s">
        <v>139</v>
      </c>
      <c r="G9" s="9" t="s">
        <v>212</v>
      </c>
      <c r="H9" s="10" t="s">
        <v>324</v>
      </c>
      <c r="I9" s="10" t="s">
        <v>244</v>
      </c>
      <c r="J9" s="10"/>
      <c r="K9" s="8" t="str">
        <f>"240,0"</f>
        <v>240,0</v>
      </c>
      <c r="L9" s="9" t="str">
        <f>"136,5120"</f>
        <v>136,5120</v>
      </c>
      <c r="M9" s="8" t="s">
        <v>47</v>
      </c>
    </row>
    <row r="11" spans="1:13" ht="15">
      <c r="A11" s="51" t="s">
        <v>48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8" t="s">
        <v>326</v>
      </c>
      <c r="B12" s="8" t="s">
        <v>327</v>
      </c>
      <c r="C12" s="8" t="s">
        <v>328</v>
      </c>
      <c r="D12" s="8"/>
      <c r="E12" s="8" t="s">
        <v>323</v>
      </c>
      <c r="F12" s="8" t="s">
        <v>139</v>
      </c>
      <c r="G12" s="9" t="s">
        <v>61</v>
      </c>
      <c r="H12" s="9" t="s">
        <v>57</v>
      </c>
      <c r="I12" s="10" t="s">
        <v>294</v>
      </c>
      <c r="J12" s="10"/>
      <c r="K12" s="8" t="str">
        <f>"320,0"</f>
        <v>320,0</v>
      </c>
      <c r="L12" s="9" t="str">
        <f>"169,7600"</f>
        <v>169,7600</v>
      </c>
      <c r="M12" s="8" t="s">
        <v>47</v>
      </c>
    </row>
    <row r="14" spans="1:13" ht="15">
      <c r="E14" s="11" t="s">
        <v>62</v>
      </c>
    </row>
    <row r="15" spans="1:13" ht="15">
      <c r="E15" s="11" t="s">
        <v>63</v>
      </c>
    </row>
    <row r="16" spans="1:13" ht="15">
      <c r="E16" s="11" t="s">
        <v>64</v>
      </c>
    </row>
    <row r="17" spans="1:5" ht="15">
      <c r="E17" s="11" t="s">
        <v>65</v>
      </c>
    </row>
    <row r="18" spans="1:5" ht="15">
      <c r="E18" s="11" t="s">
        <v>65</v>
      </c>
    </row>
    <row r="19" spans="1:5" ht="15">
      <c r="E19" s="11" t="s">
        <v>66</v>
      </c>
    </row>
    <row r="20" spans="1:5" ht="15">
      <c r="E20" s="11"/>
    </row>
    <row r="22" spans="1:5" ht="18">
      <c r="A22" s="12" t="s">
        <v>67</v>
      </c>
      <c r="B22" s="12"/>
    </row>
    <row r="23" spans="1:5" ht="15">
      <c r="A23" s="13" t="s">
        <v>77</v>
      </c>
      <c r="B23" s="13"/>
    </row>
    <row r="24" spans="1:5" ht="14.25">
      <c r="A24" s="15"/>
      <c r="B24" s="16" t="s">
        <v>69</v>
      </c>
    </row>
    <row r="25" spans="1:5" ht="15">
      <c r="A25" s="17" t="s">
        <v>70</v>
      </c>
      <c r="B25" s="17" t="s">
        <v>71</v>
      </c>
      <c r="C25" s="17" t="s">
        <v>72</v>
      </c>
      <c r="D25" s="17" t="s">
        <v>73</v>
      </c>
      <c r="E25" s="17" t="s">
        <v>74</v>
      </c>
    </row>
    <row r="26" spans="1:5">
      <c r="A26" s="14" t="s">
        <v>325</v>
      </c>
      <c r="B26" s="5" t="s">
        <v>69</v>
      </c>
      <c r="C26" s="5" t="s">
        <v>27</v>
      </c>
      <c r="D26" s="5" t="s">
        <v>57</v>
      </c>
      <c r="E26" s="18" t="s">
        <v>329</v>
      </c>
    </row>
    <row r="27" spans="1:5">
      <c r="A27" s="14" t="s">
        <v>319</v>
      </c>
      <c r="B27" s="5" t="s">
        <v>69</v>
      </c>
      <c r="C27" s="5" t="s">
        <v>23</v>
      </c>
      <c r="D27" s="5" t="s">
        <v>212</v>
      </c>
      <c r="E27" s="18" t="s">
        <v>330</v>
      </c>
    </row>
    <row r="28" spans="1:5">
      <c r="A28" s="14" t="s">
        <v>313</v>
      </c>
      <c r="B28" s="5" t="s">
        <v>69</v>
      </c>
      <c r="C28" s="5" t="s">
        <v>80</v>
      </c>
      <c r="D28" s="5" t="s">
        <v>46</v>
      </c>
      <c r="E28" s="18" t="s">
        <v>331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K3:K4"/>
    <mergeCell ref="L3:L4"/>
    <mergeCell ref="M3:M4"/>
    <mergeCell ref="A5:L5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8" width="6.5703125" style="4" bestFit="1" customWidth="1"/>
    <col min="9" max="9" width="5.5703125" style="4" bestFit="1" customWidth="1"/>
    <col min="10" max="10" width="4.85546875" style="4" bestFit="1" customWidth="1"/>
    <col min="11" max="12" width="6.5703125" style="4" bestFit="1" customWidth="1"/>
    <col min="13" max="13" width="5.5703125" style="4" bestFit="1" customWidth="1"/>
    <col min="14" max="14" width="4.85546875" style="4" bestFit="1" customWidth="1"/>
    <col min="15" max="15" width="6.5703125" style="4" bestFit="1" customWidth="1"/>
    <col min="16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272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5" spans="1:21" ht="15">
      <c r="A5" s="53" t="s">
        <v>273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274</v>
      </c>
      <c r="B6" s="8" t="s">
        <v>275</v>
      </c>
      <c r="C6" s="8" t="s">
        <v>276</v>
      </c>
      <c r="D6" s="8"/>
      <c r="E6" s="8" t="s">
        <v>168</v>
      </c>
      <c r="F6" s="8" t="s">
        <v>37</v>
      </c>
      <c r="G6" s="10" t="s">
        <v>43</v>
      </c>
      <c r="H6" s="10"/>
      <c r="I6" s="10"/>
      <c r="J6" s="10"/>
      <c r="K6" s="10" t="s">
        <v>23</v>
      </c>
      <c r="L6" s="10"/>
      <c r="M6" s="10"/>
      <c r="N6" s="10"/>
      <c r="O6" s="10" t="s">
        <v>28</v>
      </c>
      <c r="P6" s="10"/>
      <c r="Q6" s="10"/>
      <c r="R6" s="10"/>
      <c r="S6" s="8" t="str">
        <f>"0,0"</f>
        <v>0,0</v>
      </c>
      <c r="T6" s="9" t="str">
        <f>"0,0000"</f>
        <v>0,0000</v>
      </c>
      <c r="U6" s="8" t="s">
        <v>277</v>
      </c>
    </row>
    <row r="8" spans="1:21" ht="15">
      <c r="A8" s="51" t="s">
        <v>95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8" t="s">
        <v>279</v>
      </c>
      <c r="B9" s="8" t="s">
        <v>280</v>
      </c>
      <c r="C9" s="8" t="s">
        <v>281</v>
      </c>
      <c r="D9" s="8"/>
      <c r="E9" s="8" t="s">
        <v>168</v>
      </c>
      <c r="F9" s="8" t="s">
        <v>37</v>
      </c>
      <c r="G9" s="9" t="s">
        <v>146</v>
      </c>
      <c r="H9" s="9" t="s">
        <v>40</v>
      </c>
      <c r="I9" s="10" t="s">
        <v>282</v>
      </c>
      <c r="J9" s="10"/>
      <c r="K9" s="9" t="s">
        <v>40</v>
      </c>
      <c r="L9" s="9" t="s">
        <v>283</v>
      </c>
      <c r="M9" s="10" t="s">
        <v>284</v>
      </c>
      <c r="N9" s="10"/>
      <c r="O9" s="9" t="s">
        <v>146</v>
      </c>
      <c r="P9" s="10" t="s">
        <v>285</v>
      </c>
      <c r="Q9" s="10"/>
      <c r="R9" s="10"/>
      <c r="S9" s="8" t="str">
        <f>"635,0"</f>
        <v>635,0</v>
      </c>
      <c r="T9" s="9" t="str">
        <f>"393,2555"</f>
        <v>393,2555</v>
      </c>
      <c r="U9" s="8" t="s">
        <v>47</v>
      </c>
    </row>
    <row r="11" spans="1:21" ht="15">
      <c r="A11" s="51" t="s">
        <v>129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1">
      <c r="A12" s="8" t="s">
        <v>287</v>
      </c>
      <c r="B12" s="8" t="s">
        <v>288</v>
      </c>
      <c r="C12" s="8" t="s">
        <v>289</v>
      </c>
      <c r="D12" s="8"/>
      <c r="E12" s="8" t="s">
        <v>36</v>
      </c>
      <c r="F12" s="8" t="s">
        <v>37</v>
      </c>
      <c r="G12" s="9" t="s">
        <v>290</v>
      </c>
      <c r="H12" s="9" t="s">
        <v>291</v>
      </c>
      <c r="I12" s="10" t="s">
        <v>236</v>
      </c>
      <c r="J12" s="10"/>
      <c r="K12" s="9" t="s">
        <v>292</v>
      </c>
      <c r="L12" s="9" t="s">
        <v>293</v>
      </c>
      <c r="M12" s="10" t="s">
        <v>294</v>
      </c>
      <c r="N12" s="10"/>
      <c r="O12" s="9" t="s">
        <v>293</v>
      </c>
      <c r="P12" s="10" t="s">
        <v>235</v>
      </c>
      <c r="Q12" s="10" t="s">
        <v>235</v>
      </c>
      <c r="R12" s="10"/>
      <c r="S12" s="8" t="str">
        <f>"0,0"</f>
        <v>0,0</v>
      </c>
      <c r="T12" s="9" t="str">
        <f>"543,7000"</f>
        <v>543,7000</v>
      </c>
      <c r="U12" s="8" t="s">
        <v>47</v>
      </c>
    </row>
    <row r="14" spans="1:21" ht="15">
      <c r="A14" s="51" t="s">
        <v>48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1">
      <c r="A15" s="19" t="s">
        <v>296</v>
      </c>
      <c r="B15" s="19" t="s">
        <v>297</v>
      </c>
      <c r="C15" s="19" t="s">
        <v>298</v>
      </c>
      <c r="D15" s="19"/>
      <c r="E15" s="19" t="s">
        <v>36</v>
      </c>
      <c r="F15" s="19" t="s">
        <v>299</v>
      </c>
      <c r="G15" s="21" t="s">
        <v>291</v>
      </c>
      <c r="H15" s="20" t="s">
        <v>300</v>
      </c>
      <c r="I15" s="20" t="s">
        <v>300</v>
      </c>
      <c r="J15" s="20"/>
      <c r="K15" s="20" t="s">
        <v>252</v>
      </c>
      <c r="L15" s="21" t="s">
        <v>292</v>
      </c>
      <c r="M15" s="20" t="s">
        <v>61</v>
      </c>
      <c r="N15" s="20"/>
      <c r="O15" s="21" t="s">
        <v>301</v>
      </c>
      <c r="P15" s="20"/>
      <c r="Q15" s="20"/>
      <c r="R15" s="20"/>
      <c r="S15" s="19" t="str">
        <f>"0,0"</f>
        <v>0,0</v>
      </c>
      <c r="T15" s="21" t="str">
        <f>"390,9420"</f>
        <v>390,9420</v>
      </c>
      <c r="U15" s="19" t="s">
        <v>47</v>
      </c>
    </row>
    <row r="16" spans="1:21">
      <c r="A16" s="22" t="s">
        <v>303</v>
      </c>
      <c r="B16" s="22" t="s">
        <v>304</v>
      </c>
      <c r="C16" s="22" t="s">
        <v>305</v>
      </c>
      <c r="D16" s="22"/>
      <c r="E16" s="22" t="s">
        <v>36</v>
      </c>
      <c r="F16" s="22" t="s">
        <v>37</v>
      </c>
      <c r="G16" s="23" t="s">
        <v>212</v>
      </c>
      <c r="H16" s="23" t="s">
        <v>243</v>
      </c>
      <c r="I16" s="23" t="s">
        <v>243</v>
      </c>
      <c r="J16" s="23"/>
      <c r="K16" s="23" t="s">
        <v>146</v>
      </c>
      <c r="L16" s="23"/>
      <c r="M16" s="23"/>
      <c r="N16" s="23"/>
      <c r="O16" s="23" t="s">
        <v>59</v>
      </c>
      <c r="P16" s="23"/>
      <c r="Q16" s="23"/>
      <c r="R16" s="23"/>
      <c r="S16" s="22" t="str">
        <f>"0,0"</f>
        <v>0,0</v>
      </c>
      <c r="T16" s="24" t="str">
        <f>"0,0000"</f>
        <v>0,0000</v>
      </c>
      <c r="U16" s="22" t="s">
        <v>47</v>
      </c>
    </row>
    <row r="18" spans="1:5" ht="15">
      <c r="E18" s="11" t="s">
        <v>62</v>
      </c>
    </row>
    <row r="19" spans="1:5" ht="15">
      <c r="E19" s="11" t="s">
        <v>63</v>
      </c>
    </row>
    <row r="20" spans="1:5" ht="15">
      <c r="E20" s="11" t="s">
        <v>64</v>
      </c>
    </row>
    <row r="21" spans="1:5" ht="15">
      <c r="E21" s="11" t="s">
        <v>65</v>
      </c>
    </row>
    <row r="22" spans="1:5" ht="15">
      <c r="E22" s="11" t="s">
        <v>65</v>
      </c>
    </row>
    <row r="23" spans="1:5" ht="15">
      <c r="E23" s="11" t="s">
        <v>66</v>
      </c>
    </row>
    <row r="24" spans="1:5" ht="15">
      <c r="E24" s="11"/>
    </row>
    <row r="26" spans="1:5" ht="18">
      <c r="A26" s="12" t="s">
        <v>67</v>
      </c>
      <c r="B26" s="12"/>
    </row>
    <row r="27" spans="1:5" ht="15">
      <c r="A27" s="13" t="s">
        <v>77</v>
      </c>
      <c r="B27" s="13"/>
    </row>
    <row r="28" spans="1:5" ht="14.25">
      <c r="A28" s="15"/>
      <c r="B28" s="16" t="s">
        <v>69</v>
      </c>
    </row>
    <row r="29" spans="1:5" ht="15">
      <c r="A29" s="17" t="s">
        <v>70</v>
      </c>
      <c r="B29" s="17" t="s">
        <v>71</v>
      </c>
      <c r="C29" s="17" t="s">
        <v>72</v>
      </c>
      <c r="D29" s="17" t="s">
        <v>73</v>
      </c>
      <c r="E29" s="17" t="s">
        <v>74</v>
      </c>
    </row>
    <row r="30" spans="1:5">
      <c r="A30" s="14" t="s">
        <v>286</v>
      </c>
      <c r="B30" s="5" t="s">
        <v>69</v>
      </c>
      <c r="C30" s="5" t="s">
        <v>176</v>
      </c>
      <c r="D30" s="5" t="s">
        <v>306</v>
      </c>
      <c r="E30" s="18" t="s">
        <v>307</v>
      </c>
    </row>
    <row r="31" spans="1:5">
      <c r="A31" s="14" t="s">
        <v>278</v>
      </c>
      <c r="B31" s="5" t="s">
        <v>69</v>
      </c>
      <c r="C31" s="5" t="s">
        <v>171</v>
      </c>
      <c r="D31" s="5" t="s">
        <v>308</v>
      </c>
      <c r="E31" s="18" t="s">
        <v>309</v>
      </c>
    </row>
    <row r="32" spans="1:5">
      <c r="A32" s="14" t="s">
        <v>295</v>
      </c>
      <c r="B32" s="5" t="s">
        <v>69</v>
      </c>
      <c r="C32" s="5" t="s">
        <v>27</v>
      </c>
      <c r="D32" s="5" t="s">
        <v>310</v>
      </c>
      <c r="E32" s="18" t="s">
        <v>311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T8"/>
    <mergeCell ref="A11:T11"/>
    <mergeCell ref="A14:T14"/>
    <mergeCell ref="S3:S4"/>
    <mergeCell ref="T3:T4"/>
    <mergeCell ref="U3:U4"/>
    <mergeCell ref="A5:T5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271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270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16.7109375" style="5" bestFit="1" customWidth="1"/>
    <col min="7" max="7" width="6.5703125" style="4" bestFit="1" customWidth="1"/>
    <col min="8" max="8" width="5.5703125" style="4" bestFit="1" customWidth="1"/>
    <col min="9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5703125" style="5" bestFit="1" customWidth="1"/>
    <col min="14" max="16384" width="9.140625" style="4"/>
  </cols>
  <sheetData>
    <row r="1" spans="1:13" s="3" customFormat="1" ht="29.1" customHeight="1">
      <c r="A1" s="55" t="s">
        <v>261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116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263</v>
      </c>
      <c r="B6" s="8" t="s">
        <v>264</v>
      </c>
      <c r="C6" s="8" t="s">
        <v>265</v>
      </c>
      <c r="D6" s="8"/>
      <c r="E6" s="8" t="s">
        <v>89</v>
      </c>
      <c r="F6" s="8" t="s">
        <v>145</v>
      </c>
      <c r="G6" s="9" t="s">
        <v>266</v>
      </c>
      <c r="H6" s="10" t="s">
        <v>56</v>
      </c>
      <c r="I6" s="9" t="s">
        <v>267</v>
      </c>
      <c r="J6" s="10"/>
      <c r="K6" s="8" t="str">
        <f>"310,0"</f>
        <v>310,0</v>
      </c>
      <c r="L6" s="9" t="str">
        <f>"203,0146"</f>
        <v>203,0146</v>
      </c>
      <c r="M6" s="8" t="s">
        <v>238</v>
      </c>
    </row>
    <row r="8" spans="1:13" ht="15">
      <c r="E8" s="11" t="s">
        <v>62</v>
      </c>
    </row>
    <row r="9" spans="1:13" ht="15">
      <c r="E9" s="11" t="s">
        <v>63</v>
      </c>
    </row>
    <row r="10" spans="1:13" ht="15">
      <c r="E10" s="11" t="s">
        <v>64</v>
      </c>
    </row>
    <row r="11" spans="1:13" ht="15">
      <c r="E11" s="11" t="s">
        <v>65</v>
      </c>
    </row>
    <row r="12" spans="1:13" ht="15">
      <c r="E12" s="11" t="s">
        <v>65</v>
      </c>
    </row>
    <row r="13" spans="1:13" ht="15">
      <c r="E13" s="11" t="s">
        <v>66</v>
      </c>
    </row>
    <row r="14" spans="1:13" ht="15">
      <c r="E14" s="11"/>
    </row>
    <row r="16" spans="1:13" ht="18">
      <c r="A16" s="12" t="s">
        <v>67</v>
      </c>
      <c r="B16" s="12"/>
    </row>
    <row r="17" spans="1:5" ht="15">
      <c r="A17" s="13" t="s">
        <v>77</v>
      </c>
      <c r="B17" s="13"/>
    </row>
    <row r="18" spans="1:5" ht="14.25">
      <c r="A18" s="15"/>
      <c r="B18" s="16" t="s">
        <v>185</v>
      </c>
    </row>
    <row r="19" spans="1:5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>
      <c r="A20" s="14" t="s">
        <v>262</v>
      </c>
      <c r="B20" s="5" t="s">
        <v>268</v>
      </c>
      <c r="C20" s="5" t="s">
        <v>23</v>
      </c>
      <c r="D20" s="5" t="s">
        <v>56</v>
      </c>
      <c r="E20" s="18" t="s">
        <v>269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260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933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259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.5703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3.5703125" style="5" bestFit="1" customWidth="1"/>
    <col min="22" max="16384" width="9.140625" style="4"/>
  </cols>
  <sheetData>
    <row r="1" spans="1:21" s="3" customFormat="1" ht="29.1" customHeight="1">
      <c r="A1" s="55" t="s">
        <v>230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5" spans="1:21" ht="15">
      <c r="A5" s="53" t="s">
        <v>116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232</v>
      </c>
      <c r="B6" s="8" t="s">
        <v>233</v>
      </c>
      <c r="C6" s="8" t="s">
        <v>234</v>
      </c>
      <c r="D6" s="8"/>
      <c r="E6" s="8" t="s">
        <v>144</v>
      </c>
      <c r="F6" s="8" t="s">
        <v>145</v>
      </c>
      <c r="G6" s="9" t="s">
        <v>235</v>
      </c>
      <c r="H6" s="9" t="s">
        <v>236</v>
      </c>
      <c r="I6" s="10" t="s">
        <v>237</v>
      </c>
      <c r="J6" s="10"/>
      <c r="K6" s="9" t="s">
        <v>200</v>
      </c>
      <c r="L6" s="10" t="s">
        <v>55</v>
      </c>
      <c r="M6" s="10" t="s">
        <v>55</v>
      </c>
      <c r="N6" s="10"/>
      <c r="O6" s="9" t="s">
        <v>200</v>
      </c>
      <c r="P6" s="9" t="s">
        <v>55</v>
      </c>
      <c r="Q6" s="10" t="s">
        <v>61</v>
      </c>
      <c r="R6" s="10"/>
      <c r="S6" s="8" t="str">
        <f>"930,0"</f>
        <v>930,0</v>
      </c>
      <c r="T6" s="9" t="str">
        <f>"515,2200"</f>
        <v>515,2200</v>
      </c>
      <c r="U6" s="8" t="s">
        <v>238</v>
      </c>
    </row>
    <row r="8" spans="1:21" ht="15">
      <c r="A8" s="51" t="s">
        <v>129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19" t="s">
        <v>240</v>
      </c>
      <c r="B9" s="19" t="s">
        <v>241</v>
      </c>
      <c r="C9" s="19" t="s">
        <v>242</v>
      </c>
      <c r="D9" s="19"/>
      <c r="E9" s="19" t="s">
        <v>144</v>
      </c>
      <c r="F9" s="19" t="s">
        <v>145</v>
      </c>
      <c r="G9" s="21" t="s">
        <v>243</v>
      </c>
      <c r="H9" s="21" t="s">
        <v>244</v>
      </c>
      <c r="I9" s="20" t="s">
        <v>61</v>
      </c>
      <c r="J9" s="20"/>
      <c r="K9" s="21" t="s">
        <v>58</v>
      </c>
      <c r="L9" s="21" t="s">
        <v>153</v>
      </c>
      <c r="M9" s="21" t="s">
        <v>146</v>
      </c>
      <c r="N9" s="20"/>
      <c r="O9" s="21" t="s">
        <v>245</v>
      </c>
      <c r="P9" s="20" t="s">
        <v>244</v>
      </c>
      <c r="Q9" s="21" t="s">
        <v>246</v>
      </c>
      <c r="R9" s="20"/>
      <c r="S9" s="19" t="str">
        <f>"760,0"</f>
        <v>760,0</v>
      </c>
      <c r="T9" s="21" t="str">
        <f>"418,9880"</f>
        <v>418,9880</v>
      </c>
      <c r="U9" s="19" t="s">
        <v>247</v>
      </c>
    </row>
    <row r="10" spans="1:21">
      <c r="A10" s="22" t="s">
        <v>249</v>
      </c>
      <c r="B10" s="22" t="s">
        <v>250</v>
      </c>
      <c r="C10" s="22" t="s">
        <v>251</v>
      </c>
      <c r="D10" s="22"/>
      <c r="E10" s="22" t="s">
        <v>144</v>
      </c>
      <c r="F10" s="22" t="s">
        <v>128</v>
      </c>
      <c r="G10" s="24" t="s">
        <v>243</v>
      </c>
      <c r="H10" s="24" t="s">
        <v>244</v>
      </c>
      <c r="I10" s="24" t="s">
        <v>61</v>
      </c>
      <c r="J10" s="23"/>
      <c r="K10" s="24" t="s">
        <v>110</v>
      </c>
      <c r="L10" s="24" t="s">
        <v>123</v>
      </c>
      <c r="M10" s="24" t="s">
        <v>60</v>
      </c>
      <c r="N10" s="23"/>
      <c r="O10" s="24" t="s">
        <v>245</v>
      </c>
      <c r="P10" s="24" t="s">
        <v>200</v>
      </c>
      <c r="Q10" s="23" t="s">
        <v>252</v>
      </c>
      <c r="R10" s="23"/>
      <c r="S10" s="22" t="str">
        <f>"755,0"</f>
        <v>755,0</v>
      </c>
      <c r="T10" s="24" t="str">
        <f>"413,5135"</f>
        <v>413,5135</v>
      </c>
      <c r="U10" s="22" t="s">
        <v>47</v>
      </c>
    </row>
    <row r="12" spans="1:21" ht="15">
      <c r="E12" s="11" t="s">
        <v>62</v>
      </c>
    </row>
    <row r="13" spans="1:21" ht="15">
      <c r="E13" s="11" t="s">
        <v>63</v>
      </c>
    </row>
    <row r="14" spans="1:21" ht="15">
      <c r="E14" s="11" t="s">
        <v>64</v>
      </c>
    </row>
    <row r="15" spans="1:21" ht="15">
      <c r="E15" s="11" t="s">
        <v>65</v>
      </c>
    </row>
    <row r="16" spans="1:21" ht="15">
      <c r="E16" s="11" t="s">
        <v>65</v>
      </c>
    </row>
    <row r="17" spans="1:5" ht="15">
      <c r="E17" s="11" t="s">
        <v>66</v>
      </c>
    </row>
    <row r="18" spans="1:5" ht="15">
      <c r="E18" s="11"/>
    </row>
    <row r="20" spans="1:5" ht="18">
      <c r="A20" s="12" t="s">
        <v>67</v>
      </c>
      <c r="B20" s="12"/>
    </row>
    <row r="21" spans="1:5" ht="15">
      <c r="A21" s="13" t="s">
        <v>77</v>
      </c>
      <c r="B21" s="13"/>
    </row>
    <row r="22" spans="1:5" ht="14.25">
      <c r="A22" s="15"/>
      <c r="B22" s="16" t="s">
        <v>69</v>
      </c>
    </row>
    <row r="23" spans="1:5" ht="15">
      <c r="A23" s="17" t="s">
        <v>70</v>
      </c>
      <c r="B23" s="17" t="s">
        <v>71</v>
      </c>
      <c r="C23" s="17" t="s">
        <v>72</v>
      </c>
      <c r="D23" s="17" t="s">
        <v>73</v>
      </c>
      <c r="E23" s="17" t="s">
        <v>74</v>
      </c>
    </row>
    <row r="24" spans="1:5">
      <c r="A24" s="14" t="s">
        <v>231</v>
      </c>
      <c r="B24" s="5" t="s">
        <v>69</v>
      </c>
      <c r="C24" s="5" t="s">
        <v>23</v>
      </c>
      <c r="D24" s="5" t="s">
        <v>253</v>
      </c>
      <c r="E24" s="18" t="s">
        <v>254</v>
      </c>
    </row>
    <row r="25" spans="1:5">
      <c r="A25" s="14" t="s">
        <v>239</v>
      </c>
      <c r="B25" s="5" t="s">
        <v>69</v>
      </c>
      <c r="C25" s="5" t="s">
        <v>176</v>
      </c>
      <c r="D25" s="5" t="s">
        <v>255</v>
      </c>
      <c r="E25" s="18" t="s">
        <v>256</v>
      </c>
    </row>
    <row r="26" spans="1:5">
      <c r="A26" s="14" t="s">
        <v>248</v>
      </c>
      <c r="B26" s="5" t="s">
        <v>69</v>
      </c>
      <c r="C26" s="5" t="s">
        <v>176</v>
      </c>
      <c r="D26" s="5" t="s">
        <v>257</v>
      </c>
      <c r="E26" s="18" t="s">
        <v>258</v>
      </c>
    </row>
  </sheetData>
  <mergeCells count="15">
    <mergeCell ref="E3:E4"/>
    <mergeCell ref="F3:F4"/>
    <mergeCell ref="G3:J3"/>
    <mergeCell ref="K3:N3"/>
    <mergeCell ref="O3:R3"/>
    <mergeCell ref="A8:T8"/>
    <mergeCell ref="S3:S4"/>
    <mergeCell ref="T3:T4"/>
    <mergeCell ref="U3:U4"/>
    <mergeCell ref="A5:T5"/>
    <mergeCell ref="A1:U2"/>
    <mergeCell ref="A3:A4"/>
    <mergeCell ref="B3:B4"/>
    <mergeCell ref="C3:C4"/>
    <mergeCell ref="D3:D4"/>
  </mergeCells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28515625" style="5" bestFit="1" customWidth="1"/>
    <col min="14" max="16384" width="9.140625" style="4"/>
  </cols>
  <sheetData>
    <row r="1" spans="1:13" s="3" customFormat="1" ht="29.1" customHeight="1">
      <c r="A1" s="55" t="s">
        <v>220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222</v>
      </c>
      <c r="B6" s="8" t="s">
        <v>223</v>
      </c>
      <c r="C6" s="8" t="s">
        <v>224</v>
      </c>
      <c r="D6" s="8"/>
      <c r="E6" s="8" t="s">
        <v>225</v>
      </c>
      <c r="F6" s="8" t="s">
        <v>226</v>
      </c>
      <c r="G6" s="10" t="s">
        <v>59</v>
      </c>
      <c r="H6" s="9" t="s">
        <v>59</v>
      </c>
      <c r="I6" s="9" t="s">
        <v>227</v>
      </c>
      <c r="J6" s="10"/>
      <c r="K6" s="8" t="str">
        <f>"182,5"</f>
        <v>182,5</v>
      </c>
      <c r="L6" s="9" t="str">
        <f>"121,2712"</f>
        <v>121,2712</v>
      </c>
      <c r="M6" s="8" t="s">
        <v>228</v>
      </c>
    </row>
    <row r="8" spans="1:13" ht="15">
      <c r="E8" s="11" t="s">
        <v>62</v>
      </c>
    </row>
    <row r="9" spans="1:13" ht="15">
      <c r="E9" s="11" t="s">
        <v>63</v>
      </c>
    </row>
    <row r="10" spans="1:13" ht="15">
      <c r="E10" s="11" t="s">
        <v>64</v>
      </c>
    </row>
    <row r="11" spans="1:13" ht="15">
      <c r="E11" s="11" t="s">
        <v>65</v>
      </c>
    </row>
    <row r="12" spans="1:13" ht="15">
      <c r="E12" s="11" t="s">
        <v>65</v>
      </c>
    </row>
    <row r="13" spans="1:13" ht="15">
      <c r="E13" s="11" t="s">
        <v>66</v>
      </c>
    </row>
    <row r="14" spans="1:13" ht="15">
      <c r="E14" s="11"/>
    </row>
    <row r="16" spans="1:13" ht="18">
      <c r="A16" s="12" t="s">
        <v>67</v>
      </c>
      <c r="B16" s="12"/>
    </row>
    <row r="17" spans="1:5" ht="15">
      <c r="A17" s="13" t="s">
        <v>77</v>
      </c>
      <c r="B17" s="13"/>
    </row>
    <row r="18" spans="1:5" ht="14.25">
      <c r="A18" s="15"/>
      <c r="B18" s="16" t="s">
        <v>69</v>
      </c>
    </row>
    <row r="19" spans="1:5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>
      <c r="A20" s="14" t="s">
        <v>221</v>
      </c>
      <c r="B20" s="5" t="s">
        <v>69</v>
      </c>
      <c r="C20" s="5" t="s">
        <v>187</v>
      </c>
      <c r="D20" s="5" t="s">
        <v>227</v>
      </c>
      <c r="E20" s="18" t="s">
        <v>229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219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6" spans="1:21" ht="15">
      <c r="E6" s="11" t="s">
        <v>62</v>
      </c>
    </row>
    <row r="7" spans="1:21" ht="15">
      <c r="E7" s="11" t="s">
        <v>63</v>
      </c>
    </row>
    <row r="8" spans="1:21" ht="15">
      <c r="E8" s="11" t="s">
        <v>64</v>
      </c>
    </row>
    <row r="9" spans="1:21" ht="15">
      <c r="E9" s="11" t="s">
        <v>65</v>
      </c>
    </row>
    <row r="10" spans="1:21" ht="15">
      <c r="E10" s="11" t="s">
        <v>65</v>
      </c>
    </row>
    <row r="11" spans="1:21" ht="15">
      <c r="E11" s="11" t="s">
        <v>66</v>
      </c>
    </row>
    <row r="12" spans="1:21" ht="15">
      <c r="E12" s="11"/>
    </row>
    <row r="14" spans="1:21" ht="18">
      <c r="A14" s="12" t="s">
        <v>67</v>
      </c>
      <c r="B14" s="12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0.140625" style="5" bestFit="1" customWidth="1"/>
    <col min="7" max="8" width="6.5703125" style="4" bestFit="1" customWidth="1"/>
    <col min="9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55" t="s">
        <v>192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194</v>
      </c>
      <c r="B6" s="8" t="s">
        <v>195</v>
      </c>
      <c r="C6" s="8" t="s">
        <v>196</v>
      </c>
      <c r="D6" s="8"/>
      <c r="E6" s="8" t="s">
        <v>36</v>
      </c>
      <c r="F6" s="8" t="s">
        <v>197</v>
      </c>
      <c r="G6" s="9" t="s">
        <v>198</v>
      </c>
      <c r="H6" s="9" t="s">
        <v>199</v>
      </c>
      <c r="I6" s="10" t="s">
        <v>200</v>
      </c>
      <c r="J6" s="10"/>
      <c r="K6" s="8" t="str">
        <f>"267,5"</f>
        <v>267,5</v>
      </c>
      <c r="L6" s="9" t="str">
        <f>"159,0822"</f>
        <v>159,0822</v>
      </c>
      <c r="M6" s="8" t="s">
        <v>47</v>
      </c>
    </row>
    <row r="8" spans="1:13" ht="15">
      <c r="A8" s="51" t="s">
        <v>116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202</v>
      </c>
      <c r="B9" s="8" t="s">
        <v>203</v>
      </c>
      <c r="C9" s="8" t="s">
        <v>204</v>
      </c>
      <c r="D9" s="8"/>
      <c r="E9" s="8" t="s">
        <v>36</v>
      </c>
      <c r="F9" s="8" t="s">
        <v>37</v>
      </c>
      <c r="G9" s="9" t="s">
        <v>205</v>
      </c>
      <c r="H9" s="9" t="s">
        <v>206</v>
      </c>
      <c r="I9" s="10" t="s">
        <v>46</v>
      </c>
      <c r="J9" s="10"/>
      <c r="K9" s="8" t="str">
        <f>"210,0"</f>
        <v>210,0</v>
      </c>
      <c r="L9" s="9" t="str">
        <f>"117,0750"</f>
        <v>117,0750</v>
      </c>
      <c r="M9" s="8" t="s">
        <v>47</v>
      </c>
    </row>
    <row r="11" spans="1:13" ht="15">
      <c r="A11" s="51" t="s">
        <v>48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8" t="s">
        <v>208</v>
      </c>
      <c r="B12" s="8" t="s">
        <v>209</v>
      </c>
      <c r="C12" s="8" t="s">
        <v>210</v>
      </c>
      <c r="D12" s="8"/>
      <c r="E12" s="8" t="s">
        <v>144</v>
      </c>
      <c r="F12" s="8" t="s">
        <v>211</v>
      </c>
      <c r="G12" s="9" t="s">
        <v>46</v>
      </c>
      <c r="H12" s="9" t="s">
        <v>212</v>
      </c>
      <c r="I12" s="9" t="s">
        <v>213</v>
      </c>
      <c r="J12" s="10"/>
      <c r="K12" s="8" t="str">
        <f>"245,0"</f>
        <v>245,0</v>
      </c>
      <c r="L12" s="9" t="str">
        <f>"193,3383"</f>
        <v>193,3383</v>
      </c>
      <c r="M12" s="8" t="s">
        <v>94</v>
      </c>
    </row>
    <row r="14" spans="1:13" ht="15">
      <c r="E14" s="11" t="s">
        <v>62</v>
      </c>
    </row>
    <row r="15" spans="1:13" ht="15">
      <c r="E15" s="11" t="s">
        <v>63</v>
      </c>
    </row>
    <row r="16" spans="1:13" ht="15">
      <c r="E16" s="11" t="s">
        <v>64</v>
      </c>
    </row>
    <row r="17" spans="1:5" ht="15">
      <c r="E17" s="11" t="s">
        <v>65</v>
      </c>
    </row>
    <row r="18" spans="1:5" ht="15">
      <c r="E18" s="11" t="s">
        <v>65</v>
      </c>
    </row>
    <row r="19" spans="1:5" ht="15">
      <c r="E19" s="11" t="s">
        <v>66</v>
      </c>
    </row>
    <row r="20" spans="1:5" ht="15">
      <c r="E20" s="11"/>
    </row>
    <row r="22" spans="1:5" ht="18">
      <c r="A22" s="12" t="s">
        <v>67</v>
      </c>
      <c r="B22" s="12"/>
    </row>
    <row r="23" spans="1:5" ht="15">
      <c r="A23" s="13" t="s">
        <v>77</v>
      </c>
      <c r="B23" s="13"/>
    </row>
    <row r="24" spans="1:5" ht="14.25">
      <c r="A24" s="15"/>
      <c r="B24" s="16" t="s">
        <v>69</v>
      </c>
    </row>
    <row r="25" spans="1:5" ht="15">
      <c r="A25" s="17" t="s">
        <v>70</v>
      </c>
      <c r="B25" s="17" t="s">
        <v>71</v>
      </c>
      <c r="C25" s="17" t="s">
        <v>72</v>
      </c>
      <c r="D25" s="17" t="s">
        <v>73</v>
      </c>
      <c r="E25" s="17" t="s">
        <v>74</v>
      </c>
    </row>
    <row r="26" spans="1:5">
      <c r="A26" s="14" t="s">
        <v>193</v>
      </c>
      <c r="B26" s="5" t="s">
        <v>69</v>
      </c>
      <c r="C26" s="5" t="s">
        <v>80</v>
      </c>
      <c r="D26" s="5" t="s">
        <v>214</v>
      </c>
      <c r="E26" s="18" t="s">
        <v>215</v>
      </c>
    </row>
    <row r="27" spans="1:5">
      <c r="A27" s="14" t="s">
        <v>201</v>
      </c>
      <c r="B27" s="5" t="s">
        <v>69</v>
      </c>
      <c r="C27" s="5" t="s">
        <v>23</v>
      </c>
      <c r="D27" s="5" t="s">
        <v>40</v>
      </c>
      <c r="E27" s="18" t="s">
        <v>216</v>
      </c>
    </row>
    <row r="29" spans="1:5" ht="14.25">
      <c r="A29" s="15"/>
      <c r="B29" s="16" t="s">
        <v>185</v>
      </c>
    </row>
    <row r="30" spans="1:5" ht="15">
      <c r="A30" s="17" t="s">
        <v>70</v>
      </c>
      <c r="B30" s="17" t="s">
        <v>71</v>
      </c>
      <c r="C30" s="17" t="s">
        <v>72</v>
      </c>
      <c r="D30" s="17" t="s">
        <v>73</v>
      </c>
      <c r="E30" s="17" t="s">
        <v>74</v>
      </c>
    </row>
    <row r="31" spans="1:5">
      <c r="A31" s="14" t="s">
        <v>207</v>
      </c>
      <c r="B31" s="5" t="s">
        <v>217</v>
      </c>
      <c r="C31" s="5" t="s">
        <v>27</v>
      </c>
      <c r="D31" s="5" t="s">
        <v>213</v>
      </c>
      <c r="E31" s="18" t="s">
        <v>218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K3:K4"/>
    <mergeCell ref="L3:L4"/>
    <mergeCell ref="M3:M4"/>
    <mergeCell ref="A5:L5"/>
  </mergeCells>
  <phoneticPr fontId="0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59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1406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4.42578125" style="5" bestFit="1" customWidth="1"/>
    <col min="14" max="16384" width="9.140625" style="4"/>
  </cols>
  <sheetData>
    <row r="1" spans="1:13" s="3" customFormat="1" ht="29.1" customHeight="1">
      <c r="A1" s="55" t="s">
        <v>83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86</v>
      </c>
      <c r="B6" s="8" t="s">
        <v>87</v>
      </c>
      <c r="C6" s="8" t="s">
        <v>88</v>
      </c>
      <c r="D6" s="8"/>
      <c r="E6" s="8" t="s">
        <v>89</v>
      </c>
      <c r="F6" s="8" t="s">
        <v>90</v>
      </c>
      <c r="G6" s="9" t="s">
        <v>91</v>
      </c>
      <c r="H6" s="9" t="s">
        <v>92</v>
      </c>
      <c r="I6" s="9" t="s">
        <v>93</v>
      </c>
      <c r="J6" s="10"/>
      <c r="K6" s="8" t="str">
        <f>"90,0"</f>
        <v>90,0</v>
      </c>
      <c r="L6" s="9" t="str">
        <f>"108,3699"</f>
        <v>108,3699</v>
      </c>
      <c r="M6" s="8" t="s">
        <v>94</v>
      </c>
    </row>
    <row r="8" spans="1:13" ht="15">
      <c r="A8" s="51" t="s">
        <v>95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19" t="s">
        <v>97</v>
      </c>
      <c r="B9" s="19" t="s">
        <v>98</v>
      </c>
      <c r="C9" s="19" t="s">
        <v>99</v>
      </c>
      <c r="D9" s="19"/>
      <c r="E9" s="19" t="s">
        <v>36</v>
      </c>
      <c r="F9" s="19" t="s">
        <v>100</v>
      </c>
      <c r="G9" s="20" t="s">
        <v>101</v>
      </c>
      <c r="H9" s="21" t="s">
        <v>102</v>
      </c>
      <c r="I9" s="21" t="s">
        <v>103</v>
      </c>
      <c r="J9" s="20"/>
      <c r="K9" s="19" t="str">
        <f>"165,0"</f>
        <v>165,0</v>
      </c>
      <c r="L9" s="21" t="str">
        <f>"103,5045"</f>
        <v>103,5045</v>
      </c>
      <c r="M9" s="19" t="s">
        <v>47</v>
      </c>
    </row>
    <row r="10" spans="1:13">
      <c r="A10" s="22" t="s">
        <v>105</v>
      </c>
      <c r="B10" s="22" t="s">
        <v>106</v>
      </c>
      <c r="C10" s="22" t="s">
        <v>107</v>
      </c>
      <c r="D10" s="22"/>
      <c r="E10" s="22" t="s">
        <v>36</v>
      </c>
      <c r="F10" s="22" t="s">
        <v>108</v>
      </c>
      <c r="G10" s="24" t="s">
        <v>42</v>
      </c>
      <c r="H10" s="24" t="s">
        <v>109</v>
      </c>
      <c r="I10" s="23" t="s">
        <v>110</v>
      </c>
      <c r="J10" s="23"/>
      <c r="K10" s="22" t="str">
        <f>"150,0"</f>
        <v>150,0</v>
      </c>
      <c r="L10" s="24" t="str">
        <f>"93,8550"</f>
        <v>93,8550</v>
      </c>
      <c r="M10" s="22" t="s">
        <v>47</v>
      </c>
    </row>
    <row r="12" spans="1:13" ht="15">
      <c r="A12" s="51" t="s">
        <v>31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3">
      <c r="A13" s="8" t="s">
        <v>112</v>
      </c>
      <c r="B13" s="8" t="s">
        <v>113</v>
      </c>
      <c r="C13" s="8" t="s">
        <v>114</v>
      </c>
      <c r="D13" s="8"/>
      <c r="E13" s="8" t="s">
        <v>36</v>
      </c>
      <c r="F13" s="8" t="s">
        <v>37</v>
      </c>
      <c r="G13" s="10" t="s">
        <v>101</v>
      </c>
      <c r="H13" s="9" t="s">
        <v>102</v>
      </c>
      <c r="I13" s="9" t="s">
        <v>115</v>
      </c>
      <c r="J13" s="10"/>
      <c r="K13" s="8" t="str">
        <f>"160,0"</f>
        <v>160,0</v>
      </c>
      <c r="L13" s="9" t="str">
        <f>"96,0640"</f>
        <v>96,0640</v>
      </c>
      <c r="M13" s="8" t="s">
        <v>47</v>
      </c>
    </row>
    <row r="15" spans="1:13" ht="15">
      <c r="A15" s="51" t="s">
        <v>116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9" t="s">
        <v>118</v>
      </c>
      <c r="B16" s="19" t="s">
        <v>119</v>
      </c>
      <c r="C16" s="19" t="s">
        <v>120</v>
      </c>
      <c r="D16" s="19"/>
      <c r="E16" s="19" t="s">
        <v>36</v>
      </c>
      <c r="F16" s="19" t="s">
        <v>121</v>
      </c>
      <c r="G16" s="21" t="s">
        <v>115</v>
      </c>
      <c r="H16" s="21" t="s">
        <v>122</v>
      </c>
      <c r="I16" s="20" t="s">
        <v>123</v>
      </c>
      <c r="J16" s="20"/>
      <c r="K16" s="19" t="str">
        <f>"170,0"</f>
        <v>170,0</v>
      </c>
      <c r="L16" s="21" t="str">
        <f>"96,4782"</f>
        <v>96,4782</v>
      </c>
      <c r="M16" s="19" t="s">
        <v>47</v>
      </c>
    </row>
    <row r="17" spans="1:13">
      <c r="A17" s="22" t="s">
        <v>125</v>
      </c>
      <c r="B17" s="22" t="s">
        <v>126</v>
      </c>
      <c r="C17" s="22" t="s">
        <v>127</v>
      </c>
      <c r="D17" s="22"/>
      <c r="E17" s="22" t="s">
        <v>36</v>
      </c>
      <c r="F17" s="22" t="s">
        <v>128</v>
      </c>
      <c r="G17" s="24" t="s">
        <v>115</v>
      </c>
      <c r="H17" s="24" t="s">
        <v>122</v>
      </c>
      <c r="I17" s="23" t="s">
        <v>59</v>
      </c>
      <c r="J17" s="23"/>
      <c r="K17" s="22" t="str">
        <f>"170,0"</f>
        <v>170,0</v>
      </c>
      <c r="L17" s="24" t="str">
        <f>"96,2200"</f>
        <v>96,2200</v>
      </c>
      <c r="M17" s="22" t="s">
        <v>47</v>
      </c>
    </row>
    <row r="19" spans="1:13" ht="15">
      <c r="A19" s="51" t="s">
        <v>129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19" t="s">
        <v>131</v>
      </c>
      <c r="B20" s="19" t="s">
        <v>132</v>
      </c>
      <c r="C20" s="19" t="s">
        <v>133</v>
      </c>
      <c r="D20" s="19"/>
      <c r="E20" s="19" t="s">
        <v>36</v>
      </c>
      <c r="F20" s="19" t="s">
        <v>108</v>
      </c>
      <c r="G20" s="21" t="s">
        <v>60</v>
      </c>
      <c r="H20" s="21" t="s">
        <v>44</v>
      </c>
      <c r="I20" s="20" t="s">
        <v>134</v>
      </c>
      <c r="J20" s="20"/>
      <c r="K20" s="19" t="str">
        <f>"200,0"</f>
        <v>200,0</v>
      </c>
      <c r="L20" s="21" t="str">
        <f>"107,7800"</f>
        <v>107,7800</v>
      </c>
      <c r="M20" s="19" t="s">
        <v>47</v>
      </c>
    </row>
    <row r="21" spans="1:13">
      <c r="A21" s="22" t="s">
        <v>136</v>
      </c>
      <c r="B21" s="22" t="s">
        <v>137</v>
      </c>
      <c r="C21" s="22" t="s">
        <v>138</v>
      </c>
      <c r="D21" s="22"/>
      <c r="E21" s="22" t="s">
        <v>36</v>
      </c>
      <c r="F21" s="22" t="s">
        <v>139</v>
      </c>
      <c r="G21" s="23" t="s">
        <v>110</v>
      </c>
      <c r="H21" s="24" t="s">
        <v>122</v>
      </c>
      <c r="I21" s="23" t="s">
        <v>123</v>
      </c>
      <c r="J21" s="23"/>
      <c r="K21" s="22" t="str">
        <f>"170,0"</f>
        <v>170,0</v>
      </c>
      <c r="L21" s="24" t="str">
        <f>"91,5620"</f>
        <v>91,5620</v>
      </c>
      <c r="M21" s="22" t="s">
        <v>47</v>
      </c>
    </row>
    <row r="23" spans="1:13" ht="15">
      <c r="A23" s="51" t="s">
        <v>48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3">
      <c r="A24" s="19" t="s">
        <v>141</v>
      </c>
      <c r="B24" s="19" t="s">
        <v>142</v>
      </c>
      <c r="C24" s="19" t="s">
        <v>143</v>
      </c>
      <c r="D24" s="19"/>
      <c r="E24" s="19" t="s">
        <v>144</v>
      </c>
      <c r="F24" s="19" t="s">
        <v>145</v>
      </c>
      <c r="G24" s="20" t="s">
        <v>58</v>
      </c>
      <c r="H24" s="21" t="s">
        <v>60</v>
      </c>
      <c r="I24" s="20" t="s">
        <v>146</v>
      </c>
      <c r="J24" s="20"/>
      <c r="K24" s="19" t="str">
        <f>"185,0"</f>
        <v>185,0</v>
      </c>
      <c r="L24" s="21" t="str">
        <f>"99,2562"</f>
        <v>99,2562</v>
      </c>
      <c r="M24" s="19" t="s">
        <v>147</v>
      </c>
    </row>
    <row r="25" spans="1:13">
      <c r="A25" s="25" t="s">
        <v>149</v>
      </c>
      <c r="B25" s="25" t="s">
        <v>150</v>
      </c>
      <c r="C25" s="25" t="s">
        <v>151</v>
      </c>
      <c r="D25" s="25"/>
      <c r="E25" s="25" t="s">
        <v>152</v>
      </c>
      <c r="F25" s="25" t="s">
        <v>37</v>
      </c>
      <c r="G25" s="27" t="s">
        <v>153</v>
      </c>
      <c r="H25" s="27" t="s">
        <v>39</v>
      </c>
      <c r="I25" s="27" t="s">
        <v>146</v>
      </c>
      <c r="J25" s="26"/>
      <c r="K25" s="25" t="str">
        <f>"200,0"</f>
        <v>200,0</v>
      </c>
      <c r="L25" s="27" t="str">
        <f>"105,5600"</f>
        <v>105,5600</v>
      </c>
      <c r="M25" s="25" t="s">
        <v>47</v>
      </c>
    </row>
    <row r="26" spans="1:13">
      <c r="A26" s="25" t="s">
        <v>155</v>
      </c>
      <c r="B26" s="25" t="s">
        <v>156</v>
      </c>
      <c r="C26" s="25" t="s">
        <v>157</v>
      </c>
      <c r="D26" s="25"/>
      <c r="E26" s="25" t="s">
        <v>36</v>
      </c>
      <c r="F26" s="25" t="s">
        <v>139</v>
      </c>
      <c r="G26" s="27" t="s">
        <v>158</v>
      </c>
      <c r="H26" s="27" t="s">
        <v>159</v>
      </c>
      <c r="I26" s="26" t="s">
        <v>146</v>
      </c>
      <c r="J26" s="26"/>
      <c r="K26" s="25" t="str">
        <f>"190,0"</f>
        <v>190,0</v>
      </c>
      <c r="L26" s="27" t="str">
        <f>"101,0420"</f>
        <v>101,0420</v>
      </c>
      <c r="M26" s="25" t="s">
        <v>47</v>
      </c>
    </row>
    <row r="27" spans="1:13">
      <c r="A27" s="25" t="s">
        <v>161</v>
      </c>
      <c r="B27" s="25" t="s">
        <v>162</v>
      </c>
      <c r="C27" s="25" t="s">
        <v>163</v>
      </c>
      <c r="D27" s="25"/>
      <c r="E27" s="25" t="s">
        <v>36</v>
      </c>
      <c r="F27" s="25" t="s">
        <v>139</v>
      </c>
      <c r="G27" s="27" t="s">
        <v>123</v>
      </c>
      <c r="H27" s="27" t="s">
        <v>164</v>
      </c>
      <c r="I27" s="26" t="s">
        <v>146</v>
      </c>
      <c r="J27" s="26"/>
      <c r="K27" s="25" t="str">
        <f>"185,0"</f>
        <v>185,0</v>
      </c>
      <c r="L27" s="27" t="str">
        <f>"97,6245"</f>
        <v>97,6245</v>
      </c>
      <c r="M27" s="25" t="s">
        <v>47</v>
      </c>
    </row>
    <row r="28" spans="1:13">
      <c r="A28" s="22" t="s">
        <v>165</v>
      </c>
      <c r="B28" s="22" t="s">
        <v>166</v>
      </c>
      <c r="C28" s="22" t="s">
        <v>167</v>
      </c>
      <c r="D28" s="22"/>
      <c r="E28" s="22" t="s">
        <v>168</v>
      </c>
      <c r="F28" s="22" t="s">
        <v>37</v>
      </c>
      <c r="G28" s="23" t="s">
        <v>153</v>
      </c>
      <c r="H28" s="23"/>
      <c r="I28" s="23"/>
      <c r="J28" s="23"/>
      <c r="K28" s="22" t="str">
        <f>"0,0"</f>
        <v>0,0</v>
      </c>
      <c r="L28" s="24" t="str">
        <f>"0,0000"</f>
        <v>0,0000</v>
      </c>
      <c r="M28" s="22" t="s">
        <v>47</v>
      </c>
    </row>
    <row r="30" spans="1:13" ht="15">
      <c r="E30" s="11" t="s">
        <v>62</v>
      </c>
    </row>
    <row r="31" spans="1:13" ht="15">
      <c r="E31" s="11" t="s">
        <v>63</v>
      </c>
    </row>
    <row r="32" spans="1:13" ht="15">
      <c r="E32" s="11" t="s">
        <v>64</v>
      </c>
    </row>
    <row r="33" spans="1:5" ht="15">
      <c r="E33" s="11" t="s">
        <v>65</v>
      </c>
    </row>
    <row r="34" spans="1:5" ht="15">
      <c r="E34" s="11" t="s">
        <v>65</v>
      </c>
    </row>
    <row r="35" spans="1:5" ht="15">
      <c r="E35" s="11" t="s">
        <v>66</v>
      </c>
    </row>
    <row r="36" spans="1:5" ht="15">
      <c r="E36" s="11"/>
    </row>
    <row r="38" spans="1:5" ht="18">
      <c r="A38" s="12" t="s">
        <v>67</v>
      </c>
      <c r="B38" s="12"/>
    </row>
    <row r="39" spans="1:5" ht="15">
      <c r="A39" s="13" t="s">
        <v>77</v>
      </c>
      <c r="B39" s="13"/>
    </row>
    <row r="40" spans="1:5" ht="14.25">
      <c r="A40" s="15"/>
      <c r="B40" s="16" t="s">
        <v>169</v>
      </c>
    </row>
    <row r="41" spans="1:5" ht="15">
      <c r="A41" s="17" t="s">
        <v>70</v>
      </c>
      <c r="B41" s="17" t="s">
        <v>71</v>
      </c>
      <c r="C41" s="17" t="s">
        <v>72</v>
      </c>
      <c r="D41" s="17" t="s">
        <v>73</v>
      </c>
      <c r="E41" s="17" t="s">
        <v>74</v>
      </c>
    </row>
    <row r="42" spans="1:5">
      <c r="A42" s="14" t="s">
        <v>96</v>
      </c>
      <c r="B42" s="5" t="s">
        <v>170</v>
      </c>
      <c r="C42" s="5" t="s">
        <v>171</v>
      </c>
      <c r="D42" s="5" t="s">
        <v>172</v>
      </c>
      <c r="E42" s="18" t="s">
        <v>173</v>
      </c>
    </row>
    <row r="43" spans="1:5">
      <c r="A43" s="14" t="s">
        <v>140</v>
      </c>
      <c r="B43" s="5" t="s">
        <v>170</v>
      </c>
      <c r="C43" s="5" t="s">
        <v>27</v>
      </c>
      <c r="D43" s="5" t="s">
        <v>60</v>
      </c>
      <c r="E43" s="18" t="s">
        <v>174</v>
      </c>
    </row>
    <row r="44" spans="1:5">
      <c r="A44" s="14" t="s">
        <v>117</v>
      </c>
      <c r="B44" s="5" t="s">
        <v>170</v>
      </c>
      <c r="C44" s="5" t="s">
        <v>23</v>
      </c>
      <c r="D44" s="5" t="s">
        <v>58</v>
      </c>
      <c r="E44" s="18" t="s">
        <v>175</v>
      </c>
    </row>
    <row r="46" spans="1:5" ht="14.25">
      <c r="A46" s="15"/>
      <c r="B46" s="16" t="s">
        <v>69</v>
      </c>
    </row>
    <row r="47" spans="1:5" ht="15">
      <c r="A47" s="17" t="s">
        <v>70</v>
      </c>
      <c r="B47" s="17" t="s">
        <v>71</v>
      </c>
      <c r="C47" s="17" t="s">
        <v>72</v>
      </c>
      <c r="D47" s="17" t="s">
        <v>73</v>
      </c>
      <c r="E47" s="17" t="s">
        <v>74</v>
      </c>
    </row>
    <row r="48" spans="1:5">
      <c r="A48" s="14" t="s">
        <v>130</v>
      </c>
      <c r="B48" s="5" t="s">
        <v>69</v>
      </c>
      <c r="C48" s="5" t="s">
        <v>176</v>
      </c>
      <c r="D48" s="5" t="s">
        <v>146</v>
      </c>
      <c r="E48" s="18" t="s">
        <v>177</v>
      </c>
    </row>
    <row r="49" spans="1:5">
      <c r="A49" s="14" t="s">
        <v>148</v>
      </c>
      <c r="B49" s="5" t="s">
        <v>69</v>
      </c>
      <c r="C49" s="5" t="s">
        <v>27</v>
      </c>
      <c r="D49" s="5" t="s">
        <v>146</v>
      </c>
      <c r="E49" s="18" t="s">
        <v>178</v>
      </c>
    </row>
    <row r="50" spans="1:5">
      <c r="A50" s="14" t="s">
        <v>154</v>
      </c>
      <c r="B50" s="5" t="s">
        <v>69</v>
      </c>
      <c r="C50" s="5" t="s">
        <v>27</v>
      </c>
      <c r="D50" s="5" t="s">
        <v>153</v>
      </c>
      <c r="E50" s="18" t="s">
        <v>179</v>
      </c>
    </row>
    <row r="51" spans="1:5">
      <c r="A51" s="14" t="s">
        <v>160</v>
      </c>
      <c r="B51" s="5" t="s">
        <v>69</v>
      </c>
      <c r="C51" s="5" t="s">
        <v>27</v>
      </c>
      <c r="D51" s="5" t="s">
        <v>60</v>
      </c>
      <c r="E51" s="18" t="s">
        <v>180</v>
      </c>
    </row>
    <row r="52" spans="1:5">
      <c r="A52" s="14" t="s">
        <v>111</v>
      </c>
      <c r="B52" s="5" t="s">
        <v>69</v>
      </c>
      <c r="C52" s="5" t="s">
        <v>80</v>
      </c>
      <c r="D52" s="5" t="s">
        <v>110</v>
      </c>
      <c r="E52" s="18" t="s">
        <v>181</v>
      </c>
    </row>
    <row r="53" spans="1:5">
      <c r="A53" s="14" t="s">
        <v>104</v>
      </c>
      <c r="B53" s="5" t="s">
        <v>69</v>
      </c>
      <c r="C53" s="5" t="s">
        <v>171</v>
      </c>
      <c r="D53" s="5" t="s">
        <v>182</v>
      </c>
      <c r="E53" s="18" t="s">
        <v>183</v>
      </c>
    </row>
    <row r="54" spans="1:5">
      <c r="A54" s="14" t="s">
        <v>135</v>
      </c>
      <c r="B54" s="5" t="s">
        <v>69</v>
      </c>
      <c r="C54" s="5" t="s">
        <v>176</v>
      </c>
      <c r="D54" s="5" t="s">
        <v>58</v>
      </c>
      <c r="E54" s="18" t="s">
        <v>184</v>
      </c>
    </row>
    <row r="56" spans="1:5" ht="14.25">
      <c r="A56" s="15"/>
      <c r="B56" s="16" t="s">
        <v>185</v>
      </c>
    </row>
    <row r="57" spans="1:5" ht="15">
      <c r="A57" s="17" t="s">
        <v>70</v>
      </c>
      <c r="B57" s="17" t="s">
        <v>71</v>
      </c>
      <c r="C57" s="17" t="s">
        <v>72</v>
      </c>
      <c r="D57" s="17" t="s">
        <v>73</v>
      </c>
      <c r="E57" s="17" t="s">
        <v>74</v>
      </c>
    </row>
    <row r="58" spans="1:5">
      <c r="A58" s="14" t="s">
        <v>85</v>
      </c>
      <c r="B58" s="5" t="s">
        <v>186</v>
      </c>
      <c r="C58" s="5" t="s">
        <v>187</v>
      </c>
      <c r="D58" s="5" t="s">
        <v>80</v>
      </c>
      <c r="E58" s="18" t="s">
        <v>188</v>
      </c>
    </row>
    <row r="59" spans="1:5">
      <c r="A59" s="14" t="s">
        <v>124</v>
      </c>
      <c r="B59" s="5" t="s">
        <v>189</v>
      </c>
      <c r="C59" s="5" t="s">
        <v>23</v>
      </c>
      <c r="D59" s="5" t="s">
        <v>58</v>
      </c>
      <c r="E59" s="18" t="s">
        <v>190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3:L23"/>
    <mergeCell ref="A8:L8"/>
    <mergeCell ref="A12:L12"/>
    <mergeCell ref="A15:L15"/>
    <mergeCell ref="A19:L19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33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6.5703125" style="4" bestFit="1" customWidth="1"/>
    <col min="8" max="9" width="5.5703125" style="4" bestFit="1" customWidth="1"/>
    <col min="10" max="10" width="4.85546875" style="4" bestFit="1" customWidth="1"/>
    <col min="11" max="12" width="6.5703125" style="4" bestFit="1" customWidth="1"/>
    <col min="13" max="13" width="5.5703125" style="4" bestFit="1" customWidth="1"/>
    <col min="14" max="14" width="4.85546875" style="4" bestFit="1" customWidth="1"/>
    <col min="15" max="16" width="6.5703125" style="4" bestFit="1" customWidth="1"/>
    <col min="17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5" spans="1:21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17</v>
      </c>
      <c r="B6" s="8" t="s">
        <v>18</v>
      </c>
      <c r="C6" s="8" t="s">
        <v>19</v>
      </c>
      <c r="D6" s="8"/>
      <c r="E6" s="8" t="s">
        <v>20</v>
      </c>
      <c r="F6" s="8" t="s">
        <v>21</v>
      </c>
      <c r="G6" s="9" t="s">
        <v>22</v>
      </c>
      <c r="H6" s="9" t="s">
        <v>23</v>
      </c>
      <c r="I6" s="10" t="s">
        <v>24</v>
      </c>
      <c r="J6" s="10"/>
      <c r="K6" s="10" t="s">
        <v>25</v>
      </c>
      <c r="L6" s="9" t="s">
        <v>25</v>
      </c>
      <c r="M6" s="9" t="s">
        <v>26</v>
      </c>
      <c r="N6" s="10"/>
      <c r="O6" s="9" t="s">
        <v>27</v>
      </c>
      <c r="P6" s="9" t="s">
        <v>28</v>
      </c>
      <c r="Q6" s="9" t="s">
        <v>29</v>
      </c>
      <c r="R6" s="10"/>
      <c r="S6" s="8" t="str">
        <f>"300,0"</f>
        <v>300,0</v>
      </c>
      <c r="T6" s="9" t="str">
        <f>"275,2050"</f>
        <v>275,2050</v>
      </c>
      <c r="U6" s="8" t="s">
        <v>30</v>
      </c>
    </row>
    <row r="8" spans="1:21" ht="15">
      <c r="A8" s="51" t="s">
        <v>31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1">
      <c r="A9" s="8" t="s">
        <v>33</v>
      </c>
      <c r="B9" s="8" t="s">
        <v>34</v>
      </c>
      <c r="C9" s="8" t="s">
        <v>35</v>
      </c>
      <c r="D9" s="8"/>
      <c r="E9" s="8" t="s">
        <v>36</v>
      </c>
      <c r="F9" s="8" t="s">
        <v>37</v>
      </c>
      <c r="G9" s="9" t="s">
        <v>38</v>
      </c>
      <c r="H9" s="9" t="s">
        <v>39</v>
      </c>
      <c r="I9" s="10" t="s">
        <v>40</v>
      </c>
      <c r="J9" s="10"/>
      <c r="K9" s="9" t="s">
        <v>41</v>
      </c>
      <c r="L9" s="9" t="s">
        <v>42</v>
      </c>
      <c r="M9" s="10" t="s">
        <v>43</v>
      </c>
      <c r="N9" s="10"/>
      <c r="O9" s="9" t="s">
        <v>44</v>
      </c>
      <c r="P9" s="9" t="s">
        <v>45</v>
      </c>
      <c r="Q9" s="10" t="s">
        <v>46</v>
      </c>
      <c r="R9" s="10"/>
      <c r="S9" s="8" t="str">
        <f>"0,0"</f>
        <v>0,0</v>
      </c>
      <c r="T9" s="9" t="str">
        <f>"325,0500"</f>
        <v>325,0500</v>
      </c>
      <c r="U9" s="8" t="s">
        <v>47</v>
      </c>
    </row>
    <row r="11" spans="1:21" ht="15">
      <c r="A11" s="51" t="s">
        <v>48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1">
      <c r="A12" s="8" t="s">
        <v>50</v>
      </c>
      <c r="B12" s="8" t="s">
        <v>51</v>
      </c>
      <c r="C12" s="8" t="s">
        <v>52</v>
      </c>
      <c r="D12" s="8"/>
      <c r="E12" s="8" t="s">
        <v>53</v>
      </c>
      <c r="F12" s="8" t="s">
        <v>54</v>
      </c>
      <c r="G12" s="9" t="s">
        <v>55</v>
      </c>
      <c r="H12" s="9" t="s">
        <v>56</v>
      </c>
      <c r="I12" s="10" t="s">
        <v>57</v>
      </c>
      <c r="J12" s="10"/>
      <c r="K12" s="9" t="s">
        <v>58</v>
      </c>
      <c r="L12" s="9" t="s">
        <v>59</v>
      </c>
      <c r="M12" s="9" t="s">
        <v>60</v>
      </c>
      <c r="N12" s="10"/>
      <c r="O12" s="9" t="s">
        <v>55</v>
      </c>
      <c r="P12" s="10" t="s">
        <v>61</v>
      </c>
      <c r="Q12" s="10"/>
      <c r="R12" s="10"/>
      <c r="S12" s="8" t="str">
        <f>"785,0"</f>
        <v>785,0</v>
      </c>
      <c r="T12" s="9" t="str">
        <f>"413,1455"</f>
        <v>413,1455</v>
      </c>
      <c r="U12" s="8" t="s">
        <v>47</v>
      </c>
    </row>
    <row r="14" spans="1:21" ht="15">
      <c r="E14" s="11" t="s">
        <v>62</v>
      </c>
    </row>
    <row r="15" spans="1:21" ht="15">
      <c r="E15" s="11" t="s">
        <v>63</v>
      </c>
    </row>
    <row r="16" spans="1:21" ht="15">
      <c r="E16" s="11" t="s">
        <v>64</v>
      </c>
    </row>
    <row r="17" spans="1:5" ht="15">
      <c r="E17" s="11" t="s">
        <v>65</v>
      </c>
    </row>
    <row r="18" spans="1:5" ht="15">
      <c r="E18" s="11" t="s">
        <v>65</v>
      </c>
    </row>
    <row r="19" spans="1:5" ht="15">
      <c r="E19" s="11" t="s">
        <v>66</v>
      </c>
    </row>
    <row r="20" spans="1:5" ht="15">
      <c r="E20" s="11"/>
    </row>
    <row r="22" spans="1:5" ht="18">
      <c r="A22" s="12" t="s">
        <v>67</v>
      </c>
      <c r="B22" s="12"/>
    </row>
    <row r="23" spans="1:5" ht="15">
      <c r="A23" s="13" t="s">
        <v>68</v>
      </c>
      <c r="B23" s="13"/>
    </row>
    <row r="24" spans="1:5" ht="14.25">
      <c r="A24" s="15"/>
      <c r="B24" s="16" t="s">
        <v>69</v>
      </c>
    </row>
    <row r="25" spans="1:5" ht="15">
      <c r="A25" s="17" t="s">
        <v>70</v>
      </c>
      <c r="B25" s="17" t="s">
        <v>71</v>
      </c>
      <c r="C25" s="17" t="s">
        <v>72</v>
      </c>
      <c r="D25" s="17" t="s">
        <v>73</v>
      </c>
      <c r="E25" s="17" t="s">
        <v>74</v>
      </c>
    </row>
    <row r="26" spans="1:5">
      <c r="A26" s="14" t="s">
        <v>16</v>
      </c>
      <c r="B26" s="5" t="s">
        <v>69</v>
      </c>
      <c r="C26" s="5" t="s">
        <v>75</v>
      </c>
      <c r="D26" s="5" t="s">
        <v>61</v>
      </c>
      <c r="E26" s="18" t="s">
        <v>76</v>
      </c>
    </row>
    <row r="29" spans="1:5" ht="15">
      <c r="A29" s="13" t="s">
        <v>77</v>
      </c>
      <c r="B29" s="13"/>
    </row>
    <row r="30" spans="1:5" ht="14.25">
      <c r="A30" s="15"/>
      <c r="B30" s="16" t="s">
        <v>69</v>
      </c>
    </row>
    <row r="31" spans="1:5" ht="15">
      <c r="A31" s="17" t="s">
        <v>70</v>
      </c>
      <c r="B31" s="17" t="s">
        <v>71</v>
      </c>
      <c r="C31" s="17" t="s">
        <v>72</v>
      </c>
      <c r="D31" s="17" t="s">
        <v>73</v>
      </c>
      <c r="E31" s="17" t="s">
        <v>74</v>
      </c>
    </row>
    <row r="32" spans="1:5">
      <c r="A32" s="14" t="s">
        <v>49</v>
      </c>
      <c r="B32" s="5" t="s">
        <v>69</v>
      </c>
      <c r="C32" s="5" t="s">
        <v>27</v>
      </c>
      <c r="D32" s="5" t="s">
        <v>78</v>
      </c>
      <c r="E32" s="18" t="s">
        <v>79</v>
      </c>
    </row>
    <row r="33" spans="1:5">
      <c r="A33" s="14" t="s">
        <v>32</v>
      </c>
      <c r="B33" s="5" t="s">
        <v>69</v>
      </c>
      <c r="C33" s="5" t="s">
        <v>80</v>
      </c>
      <c r="D33" s="5" t="s">
        <v>81</v>
      </c>
      <c r="E33" s="18" t="s">
        <v>82</v>
      </c>
    </row>
  </sheetData>
  <mergeCells count="16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8:T8"/>
    <mergeCell ref="A11:T11"/>
    <mergeCell ref="D3:D4"/>
    <mergeCell ref="S3:S4"/>
    <mergeCell ref="T3:T4"/>
    <mergeCell ref="A5:T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8.14062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968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967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273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962</v>
      </c>
      <c r="B6" s="8" t="s">
        <v>961</v>
      </c>
      <c r="C6" s="8" t="s">
        <v>960</v>
      </c>
      <c r="D6" s="8"/>
      <c r="E6" s="8" t="s">
        <v>36</v>
      </c>
      <c r="F6" s="8" t="s">
        <v>100</v>
      </c>
      <c r="G6" s="9" t="s">
        <v>959</v>
      </c>
      <c r="H6" s="56" t="s">
        <v>508</v>
      </c>
      <c r="I6" s="8" t="str">
        <f>"1690,0"</f>
        <v>1690,0</v>
      </c>
      <c r="J6" s="9" t="str">
        <f>"1501,5650"</f>
        <v>1501,5650</v>
      </c>
      <c r="K6" s="8" t="s">
        <v>47</v>
      </c>
    </row>
    <row r="8" spans="1:11" ht="15">
      <c r="E8" s="11" t="s">
        <v>62</v>
      </c>
    </row>
    <row r="9" spans="1:11" ht="15">
      <c r="E9" s="11" t="s">
        <v>63</v>
      </c>
    </row>
    <row r="10" spans="1:11" ht="15">
      <c r="E10" s="11" t="s">
        <v>64</v>
      </c>
    </row>
    <row r="11" spans="1:11" ht="15">
      <c r="E11" s="11" t="s">
        <v>65</v>
      </c>
    </row>
    <row r="12" spans="1:11" ht="15">
      <c r="E12" s="11" t="s">
        <v>65</v>
      </c>
    </row>
    <row r="13" spans="1:11" ht="15">
      <c r="E13" s="11" t="s">
        <v>66</v>
      </c>
    </row>
    <row r="14" spans="1:11" ht="15">
      <c r="E14" s="11"/>
    </row>
    <row r="16" spans="1:11" ht="18">
      <c r="A16" s="12" t="s">
        <v>67</v>
      </c>
      <c r="B16" s="12"/>
    </row>
    <row r="17" spans="1:5" s="4" customFormat="1" ht="15">
      <c r="A17" s="13" t="s">
        <v>68</v>
      </c>
      <c r="B17" s="13"/>
      <c r="C17" s="5"/>
      <c r="D17" s="5"/>
      <c r="E17" s="5"/>
    </row>
    <row r="18" spans="1:5" s="4" customFormat="1" ht="14.25">
      <c r="A18" s="15"/>
      <c r="B18" s="16" t="s">
        <v>69</v>
      </c>
      <c r="C18" s="5"/>
      <c r="D18" s="5"/>
      <c r="E18" s="5"/>
    </row>
    <row r="19" spans="1:5" s="4" customFormat="1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958</v>
      </c>
    </row>
    <row r="20" spans="1:5" s="4" customFormat="1">
      <c r="A20" s="14" t="s">
        <v>957</v>
      </c>
      <c r="B20" s="5" t="s">
        <v>69</v>
      </c>
      <c r="C20" s="5" t="s">
        <v>376</v>
      </c>
      <c r="D20" s="5" t="s">
        <v>956</v>
      </c>
      <c r="E20" s="18" t="s">
        <v>955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29.7109375" style="5" bestFit="1" customWidth="1"/>
    <col min="7" max="7" width="6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15.7109375" style="5" bestFit="1" customWidth="1"/>
    <col min="12" max="16384" width="9.140625" style="4"/>
  </cols>
  <sheetData>
    <row r="1" spans="1:11" s="3" customFormat="1" ht="29.1" customHeight="1">
      <c r="A1" s="55" t="s">
        <v>988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967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84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86</v>
      </c>
      <c r="B6" s="8" t="s">
        <v>987</v>
      </c>
      <c r="C6" s="8" t="s">
        <v>88</v>
      </c>
      <c r="D6" s="8"/>
      <c r="E6" s="8" t="s">
        <v>89</v>
      </c>
      <c r="F6" s="8" t="s">
        <v>90</v>
      </c>
      <c r="G6" s="9" t="s">
        <v>364</v>
      </c>
      <c r="H6" s="56" t="s">
        <v>986</v>
      </c>
      <c r="I6" s="8" t="str">
        <f>"910,0"</f>
        <v>910,0</v>
      </c>
      <c r="J6" s="9" t="str">
        <f>"773,9550"</f>
        <v>773,9550</v>
      </c>
      <c r="K6" s="8" t="s">
        <v>94</v>
      </c>
    </row>
    <row r="8" spans="1:11" ht="15">
      <c r="A8" s="51" t="s">
        <v>95</v>
      </c>
      <c r="B8" s="52"/>
      <c r="C8" s="52"/>
      <c r="D8" s="52"/>
      <c r="E8" s="52"/>
      <c r="F8" s="52"/>
      <c r="G8" s="52"/>
      <c r="H8" s="52"/>
      <c r="I8" s="52"/>
      <c r="J8" s="52"/>
    </row>
    <row r="9" spans="1:11">
      <c r="A9" s="8" t="s">
        <v>985</v>
      </c>
      <c r="B9" s="8" t="s">
        <v>984</v>
      </c>
      <c r="C9" s="8" t="s">
        <v>983</v>
      </c>
      <c r="D9" s="8"/>
      <c r="E9" s="8" t="s">
        <v>36</v>
      </c>
      <c r="F9" s="8" t="s">
        <v>37</v>
      </c>
      <c r="G9" s="9" t="s">
        <v>366</v>
      </c>
      <c r="H9" s="56" t="s">
        <v>982</v>
      </c>
      <c r="I9" s="8" t="str">
        <f>"2720,0"</f>
        <v>2720,0</v>
      </c>
      <c r="J9" s="9" t="str">
        <f>"2121,5999"</f>
        <v>2121,5999</v>
      </c>
      <c r="K9" s="8" t="s">
        <v>47</v>
      </c>
    </row>
    <row r="11" spans="1:11" ht="15">
      <c r="A11" s="51" t="s">
        <v>129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>
      <c r="A12" s="8" t="s">
        <v>981</v>
      </c>
      <c r="B12" s="8" t="s">
        <v>980</v>
      </c>
      <c r="C12" s="8" t="s">
        <v>979</v>
      </c>
      <c r="D12" s="8"/>
      <c r="E12" s="8" t="s">
        <v>36</v>
      </c>
      <c r="F12" s="8" t="s">
        <v>37</v>
      </c>
      <c r="G12" s="9" t="s">
        <v>978</v>
      </c>
      <c r="H12" s="56" t="s">
        <v>977</v>
      </c>
      <c r="I12" s="8" t="str">
        <f>"2152,5"</f>
        <v>2152,5</v>
      </c>
      <c r="J12" s="9" t="str">
        <f>"1479,4133"</f>
        <v>1479,4133</v>
      </c>
      <c r="K12" s="8" t="s">
        <v>47</v>
      </c>
    </row>
    <row r="14" spans="1:11" ht="15">
      <c r="E14" s="11" t="s">
        <v>62</v>
      </c>
    </row>
    <row r="15" spans="1:11" ht="15">
      <c r="E15" s="11" t="s">
        <v>63</v>
      </c>
    </row>
    <row r="16" spans="1:11" ht="15">
      <c r="E16" s="11" t="s">
        <v>64</v>
      </c>
    </row>
    <row r="17" spans="1:5" s="4" customFormat="1" ht="15">
      <c r="A17" s="5"/>
      <c r="B17" s="5"/>
      <c r="C17" s="5"/>
      <c r="D17" s="5"/>
      <c r="E17" s="11" t="s">
        <v>65</v>
      </c>
    </row>
    <row r="18" spans="1:5" s="4" customFormat="1" ht="15">
      <c r="A18" s="5"/>
      <c r="B18" s="5"/>
      <c r="C18" s="5"/>
      <c r="D18" s="5"/>
      <c r="E18" s="11" t="s">
        <v>65</v>
      </c>
    </row>
    <row r="19" spans="1:5" s="4" customFormat="1" ht="15">
      <c r="A19" s="5"/>
      <c r="B19" s="5"/>
      <c r="C19" s="5"/>
      <c r="D19" s="5"/>
      <c r="E19" s="11" t="s">
        <v>66</v>
      </c>
    </row>
    <row r="20" spans="1:5" s="4" customFormat="1" ht="15">
      <c r="A20" s="5"/>
      <c r="B20" s="5"/>
      <c r="C20" s="5"/>
      <c r="D20" s="5"/>
      <c r="E20" s="11"/>
    </row>
    <row r="22" spans="1:5" s="4" customFormat="1" ht="18">
      <c r="A22" s="12" t="s">
        <v>67</v>
      </c>
      <c r="B22" s="12"/>
      <c r="C22" s="5"/>
      <c r="D22" s="5"/>
      <c r="E22" s="5"/>
    </row>
    <row r="23" spans="1:5" s="4" customFormat="1" ht="15">
      <c r="A23" s="13" t="s">
        <v>77</v>
      </c>
      <c r="B23" s="13"/>
      <c r="C23" s="5"/>
      <c r="D23" s="5"/>
      <c r="E23" s="5"/>
    </row>
    <row r="24" spans="1:5" s="4" customFormat="1" ht="14.25">
      <c r="A24" s="15"/>
      <c r="B24" s="16" t="s">
        <v>69</v>
      </c>
      <c r="C24" s="5"/>
      <c r="D24" s="5"/>
      <c r="E24" s="5"/>
    </row>
    <row r="25" spans="1:5" s="4" customFormat="1" ht="15">
      <c r="A25" s="17" t="s">
        <v>70</v>
      </c>
      <c r="B25" s="17" t="s">
        <v>71</v>
      </c>
      <c r="C25" s="17" t="s">
        <v>72</v>
      </c>
      <c r="D25" s="17" t="s">
        <v>73</v>
      </c>
      <c r="E25" s="17" t="s">
        <v>958</v>
      </c>
    </row>
    <row r="26" spans="1:5" s="4" customFormat="1">
      <c r="A26" s="14" t="s">
        <v>976</v>
      </c>
      <c r="B26" s="5" t="s">
        <v>69</v>
      </c>
      <c r="C26" s="5" t="s">
        <v>171</v>
      </c>
      <c r="D26" s="5" t="s">
        <v>975</v>
      </c>
      <c r="E26" s="18" t="s">
        <v>974</v>
      </c>
    </row>
    <row r="27" spans="1:5" s="4" customFormat="1">
      <c r="A27" s="14" t="s">
        <v>973</v>
      </c>
      <c r="B27" s="5" t="s">
        <v>69</v>
      </c>
      <c r="C27" s="5" t="s">
        <v>176</v>
      </c>
      <c r="D27" s="5" t="s">
        <v>972</v>
      </c>
      <c r="E27" s="18" t="s">
        <v>971</v>
      </c>
    </row>
    <row r="28" spans="1:5" s="4" customFormat="1">
      <c r="A28" s="14" t="s">
        <v>85</v>
      </c>
      <c r="B28" s="5" t="s">
        <v>69</v>
      </c>
      <c r="C28" s="5" t="s">
        <v>187</v>
      </c>
      <c r="D28" s="5" t="s">
        <v>970</v>
      </c>
      <c r="E28" s="18" t="s">
        <v>969</v>
      </c>
    </row>
  </sheetData>
  <mergeCells count="14">
    <mergeCell ref="A8:J8"/>
    <mergeCell ref="A11:J11"/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33.4257812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993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967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15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992</v>
      </c>
      <c r="B6" s="8" t="s">
        <v>740</v>
      </c>
      <c r="C6" s="8" t="s">
        <v>741</v>
      </c>
      <c r="D6" s="8"/>
      <c r="E6" s="8" t="s">
        <v>742</v>
      </c>
      <c r="F6" s="8" t="s">
        <v>108</v>
      </c>
      <c r="G6" s="9" t="s">
        <v>991</v>
      </c>
      <c r="H6" s="56" t="s">
        <v>380</v>
      </c>
      <c r="I6" s="8" t="str">
        <f>"1350,0"</f>
        <v>1350,0</v>
      </c>
      <c r="J6" s="9" t="str">
        <f>"1242,0000"</f>
        <v>1242,0000</v>
      </c>
      <c r="K6" s="8" t="s">
        <v>47</v>
      </c>
    </row>
    <row r="8" spans="1:11" ht="15">
      <c r="E8" s="11" t="s">
        <v>62</v>
      </c>
    </row>
    <row r="9" spans="1:11" ht="15">
      <c r="E9" s="11" t="s">
        <v>63</v>
      </c>
    </row>
    <row r="10" spans="1:11" ht="15">
      <c r="E10" s="11" t="s">
        <v>64</v>
      </c>
    </row>
    <row r="11" spans="1:11" ht="15">
      <c r="E11" s="11" t="s">
        <v>65</v>
      </c>
    </row>
    <row r="12" spans="1:11" ht="15">
      <c r="E12" s="11" t="s">
        <v>65</v>
      </c>
    </row>
    <row r="13" spans="1:11" ht="15">
      <c r="E13" s="11" t="s">
        <v>66</v>
      </c>
    </row>
    <row r="14" spans="1:11" ht="15">
      <c r="E14" s="11"/>
    </row>
    <row r="16" spans="1:11" ht="18">
      <c r="A16" s="12" t="s">
        <v>67</v>
      </c>
      <c r="B16" s="12"/>
    </row>
    <row r="17" spans="1:5" s="4" customFormat="1" ht="15">
      <c r="A17" s="13" t="s">
        <v>68</v>
      </c>
      <c r="B17" s="13"/>
      <c r="C17" s="5"/>
      <c r="D17" s="5"/>
      <c r="E17" s="5"/>
    </row>
    <row r="18" spans="1:5" s="4" customFormat="1" ht="14.25">
      <c r="A18" s="15"/>
      <c r="B18" s="16" t="s">
        <v>69</v>
      </c>
      <c r="C18" s="5"/>
      <c r="D18" s="5"/>
      <c r="E18" s="5"/>
    </row>
    <row r="19" spans="1:5" s="4" customFormat="1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958</v>
      </c>
    </row>
    <row r="20" spans="1:5" s="4" customFormat="1">
      <c r="A20" s="14" t="s">
        <v>738</v>
      </c>
      <c r="B20" s="5" t="s">
        <v>69</v>
      </c>
      <c r="C20" s="5" t="s">
        <v>75</v>
      </c>
      <c r="D20" s="5" t="s">
        <v>990</v>
      </c>
      <c r="E20" s="18" t="s">
        <v>989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932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10.7109375" style="5" bestFit="1" customWidth="1"/>
    <col min="5" max="5" width="22.7109375" style="5" bestFit="1" customWidth="1"/>
    <col min="6" max="6" width="38.14062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18.140625" style="5" bestFit="1" customWidth="1"/>
    <col min="12" max="16384" width="9.140625" style="4"/>
  </cols>
  <sheetData>
    <row r="1" spans="1:11" s="3" customFormat="1" ht="29.1" customHeight="1">
      <c r="A1" s="55" t="s">
        <v>1013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967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84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594</v>
      </c>
      <c r="B6" s="8" t="s">
        <v>595</v>
      </c>
      <c r="C6" s="8" t="s">
        <v>596</v>
      </c>
      <c r="D6" s="8"/>
      <c r="E6" s="8" t="s">
        <v>597</v>
      </c>
      <c r="F6" s="8" t="s">
        <v>598</v>
      </c>
      <c r="G6" s="9" t="s">
        <v>187</v>
      </c>
      <c r="H6" s="56" t="s">
        <v>982</v>
      </c>
      <c r="I6" s="8" t="str">
        <f>"2550,0"</f>
        <v>2550,0</v>
      </c>
      <c r="J6" s="9" t="str">
        <f>"2015,0100"</f>
        <v>2015,0100</v>
      </c>
      <c r="K6" s="8" t="s">
        <v>94</v>
      </c>
    </row>
    <row r="8" spans="1:11" ht="15">
      <c r="A8" s="51" t="s">
        <v>31</v>
      </c>
      <c r="B8" s="52"/>
      <c r="C8" s="52"/>
      <c r="D8" s="52"/>
      <c r="E8" s="52"/>
      <c r="F8" s="52"/>
      <c r="G8" s="52"/>
      <c r="H8" s="52"/>
      <c r="I8" s="52"/>
      <c r="J8" s="52"/>
    </row>
    <row r="9" spans="1:11">
      <c r="A9" s="19" t="s">
        <v>624</v>
      </c>
      <c r="B9" s="19" t="s">
        <v>625</v>
      </c>
      <c r="C9" s="19" t="s">
        <v>626</v>
      </c>
      <c r="D9" s="19"/>
      <c r="E9" s="19" t="s">
        <v>627</v>
      </c>
      <c r="F9" s="19" t="s">
        <v>37</v>
      </c>
      <c r="G9" s="21" t="s">
        <v>716</v>
      </c>
      <c r="H9" s="59" t="s">
        <v>543</v>
      </c>
      <c r="I9" s="19" t="str">
        <f>"3062,5"</f>
        <v>3062,5</v>
      </c>
      <c r="J9" s="21" t="str">
        <f>"2250,9375"</f>
        <v>2250,9375</v>
      </c>
      <c r="K9" s="19" t="s">
        <v>47</v>
      </c>
    </row>
    <row r="10" spans="1:11">
      <c r="A10" s="22" t="s">
        <v>1012</v>
      </c>
      <c r="B10" s="22" t="s">
        <v>745</v>
      </c>
      <c r="C10" s="22" t="s">
        <v>1011</v>
      </c>
      <c r="D10" s="22"/>
      <c r="E10" s="22" t="s">
        <v>36</v>
      </c>
      <c r="F10" s="22" t="s">
        <v>108</v>
      </c>
      <c r="G10" s="24" t="s">
        <v>401</v>
      </c>
      <c r="H10" s="58" t="s">
        <v>1010</v>
      </c>
      <c r="I10" s="22" t="str">
        <f>"2187,5"</f>
        <v>2187,5</v>
      </c>
      <c r="J10" s="24" t="str">
        <f>"1633,8438"</f>
        <v>1633,8438</v>
      </c>
      <c r="K10" s="22" t="s">
        <v>1009</v>
      </c>
    </row>
    <row r="12" spans="1:11" ht="15">
      <c r="A12" s="51" t="s">
        <v>116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>
      <c r="A13" s="8" t="s">
        <v>1008</v>
      </c>
      <c r="B13" s="8" t="s">
        <v>811</v>
      </c>
      <c r="C13" s="8" t="s">
        <v>812</v>
      </c>
      <c r="D13" s="8"/>
      <c r="E13" s="8" t="s">
        <v>36</v>
      </c>
      <c r="F13" s="8" t="s">
        <v>139</v>
      </c>
      <c r="G13" s="9" t="s">
        <v>756</v>
      </c>
      <c r="H13" s="56" t="s">
        <v>1007</v>
      </c>
      <c r="I13" s="8" t="str">
        <f>"1657,5"</f>
        <v>1657,5</v>
      </c>
      <c r="J13" s="9" t="str">
        <f>"1143,8408"</f>
        <v>1143,8408</v>
      </c>
      <c r="K13" s="8" t="s">
        <v>47</v>
      </c>
    </row>
    <row r="15" spans="1:11" ht="15">
      <c r="A15" s="51" t="s">
        <v>48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1">
      <c r="A16" s="8" t="s">
        <v>671</v>
      </c>
      <c r="B16" s="8" t="s">
        <v>672</v>
      </c>
      <c r="C16" s="8" t="s">
        <v>673</v>
      </c>
      <c r="D16" s="8"/>
      <c r="E16" s="8" t="s">
        <v>674</v>
      </c>
      <c r="F16" s="8" t="s">
        <v>121</v>
      </c>
      <c r="G16" s="9" t="s">
        <v>1006</v>
      </c>
      <c r="H16" s="56" t="s">
        <v>1005</v>
      </c>
      <c r="I16" s="8" t="str">
        <f>"822,5"</f>
        <v>822,5</v>
      </c>
      <c r="J16" s="9" t="str">
        <f>"556,9148"</f>
        <v>556,9148</v>
      </c>
      <c r="K16" s="8" t="s">
        <v>47</v>
      </c>
    </row>
    <row r="18" spans="1:5" s="4" customFormat="1" ht="15">
      <c r="A18" s="5"/>
      <c r="B18" s="5"/>
      <c r="C18" s="5"/>
      <c r="D18" s="5"/>
      <c r="E18" s="11" t="s">
        <v>62</v>
      </c>
    </row>
    <row r="19" spans="1:5" s="4" customFormat="1" ht="15">
      <c r="A19" s="5"/>
      <c r="B19" s="5"/>
      <c r="C19" s="5"/>
      <c r="D19" s="5"/>
      <c r="E19" s="11" t="s">
        <v>63</v>
      </c>
    </row>
    <row r="20" spans="1:5" s="4" customFormat="1" ht="15">
      <c r="A20" s="5"/>
      <c r="B20" s="5"/>
      <c r="C20" s="5"/>
      <c r="D20" s="5"/>
      <c r="E20" s="11" t="s">
        <v>64</v>
      </c>
    </row>
    <row r="21" spans="1:5" s="4" customFormat="1" ht="15">
      <c r="A21" s="5"/>
      <c r="B21" s="5"/>
      <c r="C21" s="5"/>
      <c r="D21" s="5"/>
      <c r="E21" s="11" t="s">
        <v>65</v>
      </c>
    </row>
    <row r="22" spans="1:5" s="4" customFormat="1" ht="15">
      <c r="A22" s="5"/>
      <c r="B22" s="5"/>
      <c r="C22" s="5"/>
      <c r="D22" s="5"/>
      <c r="E22" s="11" t="s">
        <v>65</v>
      </c>
    </row>
    <row r="23" spans="1:5" s="4" customFormat="1" ht="15">
      <c r="A23" s="5"/>
      <c r="B23" s="5"/>
      <c r="C23" s="5"/>
      <c r="D23" s="5"/>
      <c r="E23" s="11" t="s">
        <v>66</v>
      </c>
    </row>
    <row r="24" spans="1:5" s="4" customFormat="1" ht="15">
      <c r="A24" s="5"/>
      <c r="B24" s="5"/>
      <c r="C24" s="5"/>
      <c r="D24" s="5"/>
      <c r="E24" s="11"/>
    </row>
    <row r="26" spans="1:5" s="4" customFormat="1" ht="18">
      <c r="A26" s="12" t="s">
        <v>67</v>
      </c>
      <c r="B26" s="12"/>
      <c r="C26" s="5"/>
      <c r="D26" s="5"/>
      <c r="E26" s="5"/>
    </row>
    <row r="27" spans="1:5" s="4" customFormat="1" ht="15">
      <c r="A27" s="13" t="s">
        <v>77</v>
      </c>
      <c r="B27" s="13"/>
      <c r="C27" s="5"/>
      <c r="D27" s="5"/>
      <c r="E27" s="5"/>
    </row>
    <row r="28" spans="1:5" s="4" customFormat="1" ht="14.25">
      <c r="A28" s="15"/>
      <c r="B28" s="16" t="s">
        <v>69</v>
      </c>
      <c r="C28" s="5"/>
      <c r="D28" s="5"/>
      <c r="E28" s="5"/>
    </row>
    <row r="29" spans="1:5" s="4" customFormat="1" ht="15">
      <c r="A29" s="17" t="s">
        <v>70</v>
      </c>
      <c r="B29" s="17" t="s">
        <v>71</v>
      </c>
      <c r="C29" s="17" t="s">
        <v>72</v>
      </c>
      <c r="D29" s="17" t="s">
        <v>73</v>
      </c>
      <c r="E29" s="17" t="s">
        <v>958</v>
      </c>
    </row>
    <row r="30" spans="1:5" s="4" customFormat="1">
      <c r="A30" s="14" t="s">
        <v>623</v>
      </c>
      <c r="B30" s="5" t="s">
        <v>69</v>
      </c>
      <c r="C30" s="5" t="s">
        <v>80</v>
      </c>
      <c r="D30" s="5" t="s">
        <v>1004</v>
      </c>
      <c r="E30" s="18" t="s">
        <v>1003</v>
      </c>
    </row>
    <row r="31" spans="1:5" s="4" customFormat="1">
      <c r="A31" s="14" t="s">
        <v>593</v>
      </c>
      <c r="B31" s="5" t="s">
        <v>69</v>
      </c>
      <c r="C31" s="5" t="s">
        <v>187</v>
      </c>
      <c r="D31" s="5" t="s">
        <v>1002</v>
      </c>
      <c r="E31" s="18" t="s">
        <v>1001</v>
      </c>
    </row>
    <row r="32" spans="1:5" s="4" customFormat="1">
      <c r="A32" s="14" t="s">
        <v>1000</v>
      </c>
      <c r="B32" s="5" t="s">
        <v>69</v>
      </c>
      <c r="C32" s="5" t="s">
        <v>80</v>
      </c>
      <c r="D32" s="5" t="s">
        <v>999</v>
      </c>
      <c r="E32" s="18" t="s">
        <v>998</v>
      </c>
    </row>
    <row r="33" spans="1:5" s="4" customFormat="1">
      <c r="A33" s="14" t="s">
        <v>809</v>
      </c>
      <c r="B33" s="5" t="s">
        <v>69</v>
      </c>
      <c r="C33" s="5" t="s">
        <v>23</v>
      </c>
      <c r="D33" s="5" t="s">
        <v>997</v>
      </c>
      <c r="E33" s="18" t="s">
        <v>996</v>
      </c>
    </row>
    <row r="35" spans="1:5" s="4" customFormat="1" ht="14.25">
      <c r="A35" s="15"/>
      <c r="B35" s="16" t="s">
        <v>185</v>
      </c>
      <c r="C35" s="5"/>
      <c r="D35" s="5"/>
      <c r="E35" s="5"/>
    </row>
    <row r="36" spans="1:5" s="4" customFormat="1" ht="15">
      <c r="A36" s="17" t="s">
        <v>70</v>
      </c>
      <c r="B36" s="17" t="s">
        <v>71</v>
      </c>
      <c r="C36" s="17" t="s">
        <v>72</v>
      </c>
      <c r="D36" s="17" t="s">
        <v>73</v>
      </c>
      <c r="E36" s="17" t="s">
        <v>958</v>
      </c>
    </row>
    <row r="37" spans="1:5" s="4" customFormat="1">
      <c r="A37" s="14" t="s">
        <v>670</v>
      </c>
      <c r="B37" s="5" t="s">
        <v>189</v>
      </c>
      <c r="C37" s="5" t="s">
        <v>27</v>
      </c>
      <c r="D37" s="5" t="s">
        <v>995</v>
      </c>
      <c r="E37" s="18" t="s">
        <v>994</v>
      </c>
    </row>
  </sheetData>
  <mergeCells count="15">
    <mergeCell ref="A8:J8"/>
    <mergeCell ref="A12:J12"/>
    <mergeCell ref="A15:J15"/>
    <mergeCell ref="D3:D4"/>
    <mergeCell ref="I3:I4"/>
    <mergeCell ref="J3:J4"/>
    <mergeCell ref="A5:J5"/>
    <mergeCell ref="A1:K2"/>
    <mergeCell ref="G3:H3"/>
    <mergeCell ref="A3:A4"/>
    <mergeCell ref="B3:B4"/>
    <mergeCell ref="C3:C4"/>
    <mergeCell ref="K3:K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1014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1015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1024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1023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1022</v>
      </c>
      <c r="B6" s="8" t="s">
        <v>1021</v>
      </c>
      <c r="C6" s="8" t="s">
        <v>1020</v>
      </c>
      <c r="D6" s="8"/>
      <c r="E6" s="8" t="s">
        <v>168</v>
      </c>
      <c r="F6" s="8" t="s">
        <v>37</v>
      </c>
      <c r="G6" s="9" t="s">
        <v>23</v>
      </c>
      <c r="H6" s="56" t="s">
        <v>977</v>
      </c>
      <c r="I6" s="8" t="str">
        <f>"2100,0"</f>
        <v>2100,0</v>
      </c>
      <c r="J6" s="9" t="str">
        <f>"1075,2001"</f>
        <v>1075,2001</v>
      </c>
      <c r="K6" s="8" t="s">
        <v>1019</v>
      </c>
    </row>
    <row r="8" spans="1:11" ht="15">
      <c r="E8" s="11" t="s">
        <v>62</v>
      </c>
    </row>
    <row r="9" spans="1:11" ht="15">
      <c r="E9" s="11" t="s">
        <v>63</v>
      </c>
    </row>
    <row r="10" spans="1:11" ht="15">
      <c r="E10" s="11" t="s">
        <v>64</v>
      </c>
    </row>
    <row r="11" spans="1:11" ht="15">
      <c r="E11" s="11" t="s">
        <v>65</v>
      </c>
    </row>
    <row r="12" spans="1:11" ht="15">
      <c r="E12" s="11" t="s">
        <v>65</v>
      </c>
    </row>
    <row r="13" spans="1:11" ht="15">
      <c r="E13" s="11" t="s">
        <v>66</v>
      </c>
    </row>
    <row r="14" spans="1:11" ht="15">
      <c r="E14" s="11"/>
    </row>
    <row r="16" spans="1:11" ht="18">
      <c r="A16" s="12" t="s">
        <v>67</v>
      </c>
      <c r="B16" s="12"/>
    </row>
    <row r="17" spans="1:5" s="4" customFormat="1" ht="15">
      <c r="A17" s="13" t="s">
        <v>77</v>
      </c>
      <c r="B17" s="13"/>
      <c r="C17" s="5"/>
      <c r="D17" s="5"/>
      <c r="E17" s="5"/>
    </row>
    <row r="18" spans="1:5" s="4" customFormat="1" ht="14.25">
      <c r="A18" s="15"/>
      <c r="B18" s="16" t="s">
        <v>69</v>
      </c>
      <c r="C18" s="5"/>
      <c r="D18" s="5"/>
      <c r="E18" s="5"/>
    </row>
    <row r="19" spans="1:5" s="4" customFormat="1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 s="4" customFormat="1">
      <c r="A20" s="14" t="s">
        <v>1018</v>
      </c>
      <c r="B20" s="5" t="s">
        <v>69</v>
      </c>
      <c r="C20" s="5" t="s">
        <v>345</v>
      </c>
      <c r="D20" s="5" t="s">
        <v>1017</v>
      </c>
      <c r="E20" s="18" t="s">
        <v>1016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1025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7.71093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8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1032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1023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1031</v>
      </c>
      <c r="B6" s="8" t="s">
        <v>1030</v>
      </c>
      <c r="C6" s="8" t="s">
        <v>114</v>
      </c>
      <c r="D6" s="8"/>
      <c r="E6" s="8" t="s">
        <v>168</v>
      </c>
      <c r="F6" s="8" t="s">
        <v>37</v>
      </c>
      <c r="G6" s="9" t="s">
        <v>352</v>
      </c>
      <c r="H6" s="56" t="s">
        <v>1029</v>
      </c>
      <c r="I6" s="8" t="str">
        <f>"550,0"</f>
        <v>550,0</v>
      </c>
      <c r="J6" s="9" t="str">
        <f>"406,1706"</f>
        <v>406,1706</v>
      </c>
      <c r="K6" s="8" t="s">
        <v>47</v>
      </c>
    </row>
    <row r="8" spans="1:11" ht="15">
      <c r="E8" s="11" t="s">
        <v>62</v>
      </c>
    </row>
    <row r="9" spans="1:11" ht="15">
      <c r="E9" s="11" t="s">
        <v>63</v>
      </c>
    </row>
    <row r="10" spans="1:11" ht="15">
      <c r="E10" s="11" t="s">
        <v>64</v>
      </c>
    </row>
    <row r="11" spans="1:11" ht="15">
      <c r="E11" s="11" t="s">
        <v>65</v>
      </c>
    </row>
    <row r="12" spans="1:11" ht="15">
      <c r="E12" s="11" t="s">
        <v>65</v>
      </c>
    </row>
    <row r="13" spans="1:11" ht="15">
      <c r="E13" s="11" t="s">
        <v>66</v>
      </c>
    </row>
    <row r="14" spans="1:11" ht="15">
      <c r="E14" s="11"/>
    </row>
    <row r="16" spans="1:11" ht="18">
      <c r="A16" s="12" t="s">
        <v>67</v>
      </c>
      <c r="B16" s="12"/>
    </row>
    <row r="17" spans="1:5" s="4" customFormat="1" ht="15">
      <c r="A17" s="13" t="s">
        <v>77</v>
      </c>
      <c r="B17" s="13"/>
      <c r="C17" s="5"/>
      <c r="D17" s="5"/>
      <c r="E17" s="5"/>
    </row>
    <row r="18" spans="1:5" s="4" customFormat="1" ht="14.25">
      <c r="A18" s="15"/>
      <c r="B18" s="16" t="s">
        <v>510</v>
      </c>
      <c r="C18" s="5"/>
      <c r="D18" s="5"/>
      <c r="E18" s="5"/>
    </row>
    <row r="19" spans="1:5" s="4" customFormat="1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 s="4" customFormat="1">
      <c r="A20" s="14" t="s">
        <v>1028</v>
      </c>
      <c r="B20" s="5" t="s">
        <v>1027</v>
      </c>
      <c r="C20" s="5" t="s">
        <v>345</v>
      </c>
      <c r="D20" s="5" t="s">
        <v>81</v>
      </c>
      <c r="E20" s="18" t="s">
        <v>1026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1033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1034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1035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1036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6.5703125" style="5" bestFit="1" customWidth="1"/>
    <col min="14" max="16384" width="9.140625" style="4"/>
  </cols>
  <sheetData>
    <row r="1" spans="1:13" s="3" customFormat="1" ht="29.1" customHeight="1">
      <c r="A1" s="55" t="s">
        <v>879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2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5" spans="1:13" ht="15">
      <c r="A5" s="53" t="s">
        <v>273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9" t="s">
        <v>881</v>
      </c>
      <c r="B6" s="19" t="s">
        <v>882</v>
      </c>
      <c r="C6" s="19" t="s">
        <v>405</v>
      </c>
      <c r="D6" s="19"/>
      <c r="E6" s="19" t="s">
        <v>638</v>
      </c>
      <c r="F6" s="19" t="s">
        <v>108</v>
      </c>
      <c r="G6" s="21" t="s">
        <v>495</v>
      </c>
      <c r="H6" s="21" t="s">
        <v>729</v>
      </c>
      <c r="I6" s="20"/>
      <c r="J6" s="20"/>
      <c r="K6" s="19" t="str">
        <f>"92,5"</f>
        <v>92,5</v>
      </c>
      <c r="L6" s="21" t="str">
        <f>"77,1589"</f>
        <v>77,1589</v>
      </c>
      <c r="M6" s="19" t="s">
        <v>47</v>
      </c>
    </row>
    <row r="7" spans="1:13">
      <c r="A7" s="22" t="s">
        <v>884</v>
      </c>
      <c r="B7" s="22" t="s">
        <v>885</v>
      </c>
      <c r="C7" s="22" t="s">
        <v>886</v>
      </c>
      <c r="D7" s="22"/>
      <c r="E7" s="22" t="s">
        <v>36</v>
      </c>
      <c r="F7" s="22" t="s">
        <v>108</v>
      </c>
      <c r="G7" s="23" t="s">
        <v>80</v>
      </c>
      <c r="H7" s="23" t="s">
        <v>80</v>
      </c>
      <c r="I7" s="24" t="s">
        <v>93</v>
      </c>
      <c r="J7" s="23"/>
      <c r="K7" s="22" t="str">
        <f>"90,0"</f>
        <v>90,0</v>
      </c>
      <c r="L7" s="24" t="str">
        <f>"70,0875"</f>
        <v>70,0875</v>
      </c>
      <c r="M7" s="22" t="s">
        <v>47</v>
      </c>
    </row>
    <row r="9" spans="1:13" ht="15">
      <c r="A9" s="51" t="s">
        <v>95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3">
      <c r="A10" s="8" t="s">
        <v>888</v>
      </c>
      <c r="B10" s="8" t="s">
        <v>889</v>
      </c>
      <c r="C10" s="8" t="s">
        <v>890</v>
      </c>
      <c r="D10" s="8"/>
      <c r="E10" s="8" t="s">
        <v>36</v>
      </c>
      <c r="F10" s="8" t="s">
        <v>891</v>
      </c>
      <c r="G10" s="10" t="s">
        <v>46</v>
      </c>
      <c r="H10" s="9" t="s">
        <v>892</v>
      </c>
      <c r="I10" s="9" t="s">
        <v>893</v>
      </c>
      <c r="J10" s="10"/>
      <c r="K10" s="8" t="str">
        <f>"237,5"</f>
        <v>237,5</v>
      </c>
      <c r="L10" s="9" t="str">
        <f>"147,5825"</f>
        <v>147,5825</v>
      </c>
      <c r="M10" s="8" t="s">
        <v>894</v>
      </c>
    </row>
    <row r="12" spans="1:13" ht="15">
      <c r="A12" s="51" t="s">
        <v>31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3">
      <c r="A13" s="8" t="s">
        <v>895</v>
      </c>
      <c r="B13" s="8" t="s">
        <v>456</v>
      </c>
      <c r="C13" s="8" t="s">
        <v>457</v>
      </c>
      <c r="D13" s="8"/>
      <c r="E13" s="8" t="s">
        <v>493</v>
      </c>
      <c r="F13" s="8" t="s">
        <v>37</v>
      </c>
      <c r="G13" s="9" t="s">
        <v>28</v>
      </c>
      <c r="H13" s="9" t="s">
        <v>101</v>
      </c>
      <c r="I13" s="9" t="s">
        <v>58</v>
      </c>
      <c r="J13" s="10"/>
      <c r="K13" s="8" t="str">
        <f>"170,0"</f>
        <v>170,0</v>
      </c>
      <c r="L13" s="9" t="str">
        <f>"123,9963"</f>
        <v>123,9963</v>
      </c>
      <c r="M13" s="8" t="s">
        <v>47</v>
      </c>
    </row>
    <row r="15" spans="1:13" ht="15">
      <c r="A15" s="51" t="s">
        <v>116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9" t="s">
        <v>897</v>
      </c>
      <c r="B16" s="19" t="s">
        <v>898</v>
      </c>
      <c r="C16" s="19" t="s">
        <v>899</v>
      </c>
      <c r="D16" s="19"/>
      <c r="E16" s="19" t="s">
        <v>638</v>
      </c>
      <c r="F16" s="19" t="s">
        <v>108</v>
      </c>
      <c r="G16" s="21" t="s">
        <v>282</v>
      </c>
      <c r="H16" s="21" t="s">
        <v>433</v>
      </c>
      <c r="I16" s="20" t="s">
        <v>212</v>
      </c>
      <c r="J16" s="20"/>
      <c r="K16" s="19" t="str">
        <f>"232,5"</f>
        <v>232,5</v>
      </c>
      <c r="L16" s="21" t="str">
        <f>"130,4453"</f>
        <v>130,4453</v>
      </c>
      <c r="M16" s="19" t="s">
        <v>47</v>
      </c>
    </row>
    <row r="17" spans="1:13">
      <c r="A17" s="25" t="s">
        <v>901</v>
      </c>
      <c r="B17" s="25" t="s">
        <v>902</v>
      </c>
      <c r="C17" s="25" t="s">
        <v>903</v>
      </c>
      <c r="D17" s="25"/>
      <c r="E17" s="25" t="s">
        <v>36</v>
      </c>
      <c r="F17" s="25" t="s">
        <v>590</v>
      </c>
      <c r="G17" s="27" t="s">
        <v>205</v>
      </c>
      <c r="H17" s="26" t="s">
        <v>134</v>
      </c>
      <c r="I17" s="26" t="s">
        <v>134</v>
      </c>
      <c r="J17" s="26"/>
      <c r="K17" s="25" t="str">
        <f>"195,0"</f>
        <v>195,0</v>
      </c>
      <c r="L17" s="27" t="str">
        <f>"110,5455"</f>
        <v>110,5455</v>
      </c>
      <c r="M17" s="25" t="s">
        <v>47</v>
      </c>
    </row>
    <row r="18" spans="1:13">
      <c r="A18" s="22" t="s">
        <v>905</v>
      </c>
      <c r="B18" s="22" t="s">
        <v>906</v>
      </c>
      <c r="C18" s="22" t="s">
        <v>907</v>
      </c>
      <c r="D18" s="22"/>
      <c r="E18" s="22" t="s">
        <v>36</v>
      </c>
      <c r="F18" s="22" t="s">
        <v>37</v>
      </c>
      <c r="G18" s="24" t="s">
        <v>481</v>
      </c>
      <c r="H18" s="24" t="s">
        <v>908</v>
      </c>
      <c r="I18" s="24" t="s">
        <v>909</v>
      </c>
      <c r="J18" s="23"/>
      <c r="K18" s="22" t="str">
        <f>"265,0"</f>
        <v>265,0</v>
      </c>
      <c r="L18" s="24" t="str">
        <f>"148,6126"</f>
        <v>148,6126</v>
      </c>
      <c r="M18" s="22" t="s">
        <v>247</v>
      </c>
    </row>
    <row r="20" spans="1:13" ht="15">
      <c r="A20" s="51" t="s">
        <v>129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3">
      <c r="A21" s="19" t="s">
        <v>911</v>
      </c>
      <c r="B21" s="19" t="s">
        <v>912</v>
      </c>
      <c r="C21" s="19" t="s">
        <v>913</v>
      </c>
      <c r="D21" s="19"/>
      <c r="E21" s="19" t="s">
        <v>638</v>
      </c>
      <c r="F21" s="19" t="s">
        <v>914</v>
      </c>
      <c r="G21" s="21" t="s">
        <v>243</v>
      </c>
      <c r="H21" s="21" t="s">
        <v>915</v>
      </c>
      <c r="I21" s="20" t="s">
        <v>244</v>
      </c>
      <c r="J21" s="20"/>
      <c r="K21" s="19" t="str">
        <f>"265,0"</f>
        <v>265,0</v>
      </c>
      <c r="L21" s="21" t="str">
        <f>"142,9675"</f>
        <v>142,9675</v>
      </c>
      <c r="M21" s="19" t="s">
        <v>916</v>
      </c>
    </row>
    <row r="22" spans="1:13">
      <c r="A22" s="22" t="s">
        <v>911</v>
      </c>
      <c r="B22" s="22" t="s">
        <v>917</v>
      </c>
      <c r="C22" s="22" t="s">
        <v>913</v>
      </c>
      <c r="D22" s="22"/>
      <c r="E22" s="22" t="s">
        <v>638</v>
      </c>
      <c r="F22" s="22" t="s">
        <v>914</v>
      </c>
      <c r="G22" s="24" t="s">
        <v>243</v>
      </c>
      <c r="H22" s="24" t="s">
        <v>915</v>
      </c>
      <c r="I22" s="23" t="s">
        <v>244</v>
      </c>
      <c r="J22" s="23"/>
      <c r="K22" s="22" t="str">
        <f>"265,0"</f>
        <v>265,0</v>
      </c>
      <c r="L22" s="24" t="str">
        <f>"149,8299"</f>
        <v>149,8299</v>
      </c>
      <c r="M22" s="22" t="s">
        <v>916</v>
      </c>
    </row>
    <row r="24" spans="1:13" ht="15">
      <c r="A24" s="51" t="s">
        <v>48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3">
      <c r="A25" s="8" t="s">
        <v>919</v>
      </c>
      <c r="B25" s="8" t="s">
        <v>920</v>
      </c>
      <c r="C25" s="8" t="s">
        <v>492</v>
      </c>
      <c r="D25" s="8"/>
      <c r="E25" s="8" t="s">
        <v>638</v>
      </c>
      <c r="F25" s="8" t="s">
        <v>108</v>
      </c>
      <c r="G25" s="9" t="s">
        <v>40</v>
      </c>
      <c r="H25" s="10" t="s">
        <v>478</v>
      </c>
      <c r="I25" s="10"/>
      <c r="J25" s="10"/>
      <c r="K25" s="8" t="str">
        <f>"210,0"</f>
        <v>210,0</v>
      </c>
      <c r="L25" s="9" t="str">
        <f>"109,9560"</f>
        <v>109,9560</v>
      </c>
      <c r="M25" s="8" t="s">
        <v>47</v>
      </c>
    </row>
    <row r="27" spans="1:13" ht="15">
      <c r="E27" s="11" t="s">
        <v>62</v>
      </c>
    </row>
    <row r="28" spans="1:13" ht="15">
      <c r="E28" s="11" t="s">
        <v>63</v>
      </c>
    </row>
    <row r="29" spans="1:13" ht="15">
      <c r="E29" s="11" t="s">
        <v>64</v>
      </c>
    </row>
    <row r="30" spans="1:13" ht="15">
      <c r="E30" s="11" t="s">
        <v>65</v>
      </c>
    </row>
    <row r="31" spans="1:13" ht="15">
      <c r="E31" s="11" t="s">
        <v>65</v>
      </c>
    </row>
    <row r="32" spans="1:13" ht="15">
      <c r="E32" s="11" t="s">
        <v>66</v>
      </c>
    </row>
    <row r="33" spans="1:5" ht="15">
      <c r="E33" s="11"/>
    </row>
    <row r="35" spans="1:5" ht="18">
      <c r="A35" s="12" t="s">
        <v>67</v>
      </c>
      <c r="B35" s="12"/>
    </row>
    <row r="36" spans="1:5" ht="15">
      <c r="A36" s="13" t="s">
        <v>68</v>
      </c>
      <c r="B36" s="13"/>
    </row>
    <row r="37" spans="1:5" ht="14.25">
      <c r="A37" s="15"/>
      <c r="B37" s="16" t="s">
        <v>69</v>
      </c>
    </row>
    <row r="38" spans="1:5" ht="15">
      <c r="A38" s="17" t="s">
        <v>70</v>
      </c>
      <c r="B38" s="17" t="s">
        <v>71</v>
      </c>
      <c r="C38" s="17" t="s">
        <v>72</v>
      </c>
      <c r="D38" s="17" t="s">
        <v>73</v>
      </c>
      <c r="E38" s="17" t="s">
        <v>74</v>
      </c>
    </row>
    <row r="39" spans="1:5">
      <c r="A39" s="14" t="s">
        <v>880</v>
      </c>
      <c r="B39" s="5" t="s">
        <v>69</v>
      </c>
      <c r="C39" s="5" t="s">
        <v>376</v>
      </c>
      <c r="D39" s="5" t="s">
        <v>729</v>
      </c>
      <c r="E39" s="18" t="s">
        <v>921</v>
      </c>
    </row>
    <row r="40" spans="1:5">
      <c r="A40" s="14" t="s">
        <v>883</v>
      </c>
      <c r="B40" s="5" t="s">
        <v>69</v>
      </c>
      <c r="C40" s="5" t="s">
        <v>376</v>
      </c>
      <c r="D40" s="5" t="s">
        <v>80</v>
      </c>
      <c r="E40" s="18" t="s">
        <v>922</v>
      </c>
    </row>
    <row r="43" spans="1:5" ht="15">
      <c r="A43" s="13" t="s">
        <v>77</v>
      </c>
      <c r="B43" s="13"/>
    </row>
    <row r="44" spans="1:5" ht="14.25">
      <c r="A44" s="15"/>
      <c r="B44" s="16" t="s">
        <v>510</v>
      </c>
    </row>
    <row r="45" spans="1:5" ht="15">
      <c r="A45" s="17" t="s">
        <v>70</v>
      </c>
      <c r="B45" s="17" t="s">
        <v>71</v>
      </c>
      <c r="C45" s="17" t="s">
        <v>72</v>
      </c>
      <c r="D45" s="17" t="s">
        <v>73</v>
      </c>
      <c r="E45" s="17" t="s">
        <v>74</v>
      </c>
    </row>
    <row r="46" spans="1:5">
      <c r="A46" s="14" t="s">
        <v>454</v>
      </c>
      <c r="B46" s="5" t="s">
        <v>516</v>
      </c>
      <c r="C46" s="5" t="s">
        <v>80</v>
      </c>
      <c r="D46" s="5" t="s">
        <v>58</v>
      </c>
      <c r="E46" s="18" t="s">
        <v>923</v>
      </c>
    </row>
    <row r="48" spans="1:5" ht="14.25">
      <c r="A48" s="15"/>
      <c r="B48" s="16" t="s">
        <v>169</v>
      </c>
    </row>
    <row r="49" spans="1:5" ht="15">
      <c r="A49" s="17" t="s">
        <v>70</v>
      </c>
      <c r="B49" s="17" t="s">
        <v>71</v>
      </c>
      <c r="C49" s="17" t="s">
        <v>72</v>
      </c>
      <c r="D49" s="17" t="s">
        <v>73</v>
      </c>
      <c r="E49" s="17" t="s">
        <v>74</v>
      </c>
    </row>
    <row r="50" spans="1:5">
      <c r="A50" s="14" t="s">
        <v>896</v>
      </c>
      <c r="B50" s="5" t="s">
        <v>170</v>
      </c>
      <c r="C50" s="5" t="s">
        <v>23</v>
      </c>
      <c r="D50" s="5" t="s">
        <v>433</v>
      </c>
      <c r="E50" s="18" t="s">
        <v>924</v>
      </c>
    </row>
    <row r="52" spans="1:5" ht="14.25">
      <c r="A52" s="15"/>
      <c r="B52" s="16" t="s">
        <v>69</v>
      </c>
    </row>
    <row r="53" spans="1:5" ht="15">
      <c r="A53" s="17" t="s">
        <v>70</v>
      </c>
      <c r="B53" s="17" t="s">
        <v>71</v>
      </c>
      <c r="C53" s="17" t="s">
        <v>72</v>
      </c>
      <c r="D53" s="17" t="s">
        <v>73</v>
      </c>
      <c r="E53" s="17" t="s">
        <v>74</v>
      </c>
    </row>
    <row r="54" spans="1:5">
      <c r="A54" s="14" t="s">
        <v>887</v>
      </c>
      <c r="B54" s="5" t="s">
        <v>69</v>
      </c>
      <c r="C54" s="5" t="s">
        <v>171</v>
      </c>
      <c r="D54" s="5" t="s">
        <v>925</v>
      </c>
      <c r="E54" s="18" t="s">
        <v>926</v>
      </c>
    </row>
    <row r="55" spans="1:5">
      <c r="A55" s="14" t="s">
        <v>910</v>
      </c>
      <c r="B55" s="5" t="s">
        <v>69</v>
      </c>
      <c r="C55" s="5" t="s">
        <v>176</v>
      </c>
      <c r="D55" s="5" t="s">
        <v>915</v>
      </c>
      <c r="E55" s="18" t="s">
        <v>927</v>
      </c>
    </row>
    <row r="56" spans="1:5">
      <c r="A56" s="14" t="s">
        <v>900</v>
      </c>
      <c r="B56" s="5" t="s">
        <v>69</v>
      </c>
      <c r="C56" s="5" t="s">
        <v>23</v>
      </c>
      <c r="D56" s="5" t="s">
        <v>39</v>
      </c>
      <c r="E56" s="18" t="s">
        <v>928</v>
      </c>
    </row>
    <row r="57" spans="1:5">
      <c r="A57" s="14" t="s">
        <v>918</v>
      </c>
      <c r="B57" s="5" t="s">
        <v>69</v>
      </c>
      <c r="C57" s="5" t="s">
        <v>27</v>
      </c>
      <c r="D57" s="5" t="s">
        <v>40</v>
      </c>
      <c r="E57" s="18" t="s">
        <v>929</v>
      </c>
    </row>
    <row r="59" spans="1:5" ht="14.25">
      <c r="A59" s="15"/>
      <c r="B59" s="16" t="s">
        <v>185</v>
      </c>
    </row>
    <row r="60" spans="1:5" ht="15">
      <c r="A60" s="17" t="s">
        <v>70</v>
      </c>
      <c r="B60" s="17" t="s">
        <v>71</v>
      </c>
      <c r="C60" s="17" t="s">
        <v>72</v>
      </c>
      <c r="D60" s="17" t="s">
        <v>73</v>
      </c>
      <c r="E60" s="17" t="s">
        <v>74</v>
      </c>
    </row>
    <row r="61" spans="1:5">
      <c r="A61" s="14" t="s">
        <v>910</v>
      </c>
      <c r="B61" s="5" t="s">
        <v>505</v>
      </c>
      <c r="C61" s="5" t="s">
        <v>176</v>
      </c>
      <c r="D61" s="5" t="s">
        <v>915</v>
      </c>
      <c r="E61" s="18" t="s">
        <v>930</v>
      </c>
    </row>
    <row r="62" spans="1:5">
      <c r="A62" s="14" t="s">
        <v>904</v>
      </c>
      <c r="B62" s="5" t="s">
        <v>189</v>
      </c>
      <c r="C62" s="5" t="s">
        <v>23</v>
      </c>
      <c r="D62" s="5" t="s">
        <v>915</v>
      </c>
      <c r="E62" s="18" t="s">
        <v>931</v>
      </c>
    </row>
  </sheetData>
  <mergeCells count="17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A24:L24"/>
    <mergeCell ref="A9:L9"/>
    <mergeCell ref="A12:L12"/>
    <mergeCell ref="A15:L15"/>
    <mergeCell ref="A20:L20"/>
    <mergeCell ref="K3:K4"/>
    <mergeCell ref="L3:L4"/>
  </mergeCells>
  <phoneticPr fontId="0" type="noConversion"/>
  <pageMargins left="0.75" right="0.75" top="1" bottom="1" header="0.5" footer="0.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3.42578125" style="5" bestFit="1" customWidth="1"/>
    <col min="7" max="7" width="4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1044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1023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8" t="s">
        <v>1043</v>
      </c>
      <c r="B6" s="8" t="s">
        <v>1042</v>
      </c>
      <c r="C6" s="8" t="s">
        <v>234</v>
      </c>
      <c r="D6" s="8"/>
      <c r="E6" s="8" t="s">
        <v>1041</v>
      </c>
      <c r="F6" s="8" t="s">
        <v>108</v>
      </c>
      <c r="G6" s="9" t="s">
        <v>187</v>
      </c>
      <c r="H6" s="56" t="s">
        <v>1040</v>
      </c>
      <c r="I6" s="8" t="str">
        <f>"3225,0"</f>
        <v>3225,0</v>
      </c>
      <c r="J6" s="9" t="str">
        <f>"1786,6501"</f>
        <v>1786,6501</v>
      </c>
      <c r="K6" s="8" t="s">
        <v>47</v>
      </c>
    </row>
    <row r="8" spans="1:11" ht="15">
      <c r="E8" s="11" t="s">
        <v>62</v>
      </c>
    </row>
    <row r="9" spans="1:11" ht="15">
      <c r="E9" s="11" t="s">
        <v>63</v>
      </c>
    </row>
    <row r="10" spans="1:11" ht="15">
      <c r="E10" s="11" t="s">
        <v>64</v>
      </c>
    </row>
    <row r="11" spans="1:11" ht="15">
      <c r="E11" s="11" t="s">
        <v>65</v>
      </c>
    </row>
    <row r="12" spans="1:11" ht="15">
      <c r="E12" s="11" t="s">
        <v>65</v>
      </c>
    </row>
    <row r="13" spans="1:11" ht="15">
      <c r="E13" s="11" t="s">
        <v>66</v>
      </c>
    </row>
    <row r="14" spans="1:11" ht="15">
      <c r="E14" s="11"/>
    </row>
    <row r="16" spans="1:11" ht="18">
      <c r="A16" s="12" t="s">
        <v>67</v>
      </c>
      <c r="B16" s="12"/>
    </row>
    <row r="17" spans="1:5" s="4" customFormat="1" ht="15">
      <c r="A17" s="13" t="s">
        <v>77</v>
      </c>
      <c r="B17" s="13"/>
      <c r="C17" s="5"/>
      <c r="D17" s="5"/>
      <c r="E17" s="5"/>
    </row>
    <row r="18" spans="1:5" s="4" customFormat="1" ht="14.25">
      <c r="A18" s="15"/>
      <c r="B18" s="16" t="s">
        <v>69</v>
      </c>
      <c r="C18" s="5"/>
      <c r="D18" s="5"/>
      <c r="E18" s="5"/>
    </row>
    <row r="19" spans="1:5" s="4" customFormat="1" ht="15">
      <c r="A19" s="17" t="s">
        <v>70</v>
      </c>
      <c r="B19" s="17" t="s">
        <v>71</v>
      </c>
      <c r="C19" s="17" t="s">
        <v>72</v>
      </c>
      <c r="D19" s="17" t="s">
        <v>73</v>
      </c>
      <c r="E19" s="17" t="s">
        <v>74</v>
      </c>
    </row>
    <row r="20" spans="1:5" s="4" customFormat="1">
      <c r="A20" s="14" t="s">
        <v>1039</v>
      </c>
      <c r="B20" s="5" t="s">
        <v>69</v>
      </c>
      <c r="C20" s="5" t="s">
        <v>345</v>
      </c>
      <c r="D20" s="5" t="s">
        <v>1038</v>
      </c>
      <c r="E20" s="18" t="s">
        <v>1037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2" style="5" bestFit="1" customWidth="1"/>
    <col min="7" max="7" width="5.5703125" style="4" bestFit="1" customWidth="1"/>
    <col min="8" max="8" width="4.5703125" style="29" bestFit="1" customWidth="1"/>
    <col min="9" max="9" width="7.85546875" style="5" bestFit="1" customWidth="1"/>
    <col min="10" max="10" width="9.5703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1055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 t="s">
        <v>14</v>
      </c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5" spans="1:11" ht="15">
      <c r="A5" s="53" t="s">
        <v>1023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19" t="s">
        <v>459</v>
      </c>
      <c r="B6" s="19" t="s">
        <v>1054</v>
      </c>
      <c r="C6" s="19" t="s">
        <v>1053</v>
      </c>
      <c r="D6" s="19"/>
      <c r="E6" s="19" t="s">
        <v>36</v>
      </c>
      <c r="F6" s="19" t="s">
        <v>461</v>
      </c>
      <c r="G6" s="21" t="s">
        <v>562</v>
      </c>
      <c r="H6" s="59" t="s">
        <v>1052</v>
      </c>
      <c r="I6" s="19" t="str">
        <f>"2585,0"</f>
        <v>2585,0</v>
      </c>
      <c r="J6" s="21" t="str">
        <f>"1673,6841"</f>
        <v>1673,6841</v>
      </c>
      <c r="K6" s="19" t="s">
        <v>47</v>
      </c>
    </row>
    <row r="7" spans="1:11">
      <c r="A7" s="22" t="s">
        <v>613</v>
      </c>
      <c r="B7" s="22" t="s">
        <v>1051</v>
      </c>
      <c r="C7" s="22" t="s">
        <v>615</v>
      </c>
      <c r="D7" s="22"/>
      <c r="E7" s="22" t="s">
        <v>36</v>
      </c>
      <c r="F7" s="22" t="s">
        <v>616</v>
      </c>
      <c r="G7" s="24" t="s">
        <v>562</v>
      </c>
      <c r="H7" s="58" t="s">
        <v>1050</v>
      </c>
      <c r="I7" s="22" t="str">
        <f>"2145,0"</f>
        <v>2145,0</v>
      </c>
      <c r="J7" s="24" t="str">
        <f>"1368,6867"</f>
        <v>1368,6867</v>
      </c>
      <c r="K7" s="22" t="s">
        <v>47</v>
      </c>
    </row>
    <row r="9" spans="1:11" ht="15">
      <c r="E9" s="11" t="s">
        <v>62</v>
      </c>
    </row>
    <row r="10" spans="1:11" ht="15">
      <c r="E10" s="11" t="s">
        <v>63</v>
      </c>
    </row>
    <row r="11" spans="1:11" ht="15">
      <c r="E11" s="11" t="s">
        <v>64</v>
      </c>
    </row>
    <row r="12" spans="1:11" ht="15">
      <c r="E12" s="11" t="s">
        <v>65</v>
      </c>
    </row>
    <row r="13" spans="1:11" ht="15">
      <c r="E13" s="11" t="s">
        <v>65</v>
      </c>
    </row>
    <row r="14" spans="1:11" ht="15">
      <c r="E14" s="11" t="s">
        <v>66</v>
      </c>
    </row>
    <row r="15" spans="1:11" ht="15">
      <c r="E15" s="11"/>
    </row>
    <row r="17" spans="1:5" s="4" customFormat="1" ht="18">
      <c r="A17" s="12" t="s">
        <v>67</v>
      </c>
      <c r="B17" s="12"/>
      <c r="C17" s="5"/>
      <c r="D17" s="5"/>
      <c r="E17" s="5"/>
    </row>
    <row r="18" spans="1:5" s="4" customFormat="1" ht="15">
      <c r="A18" s="13" t="s">
        <v>77</v>
      </c>
      <c r="B18" s="13"/>
      <c r="C18" s="5"/>
      <c r="D18" s="5"/>
      <c r="E18" s="5"/>
    </row>
    <row r="19" spans="1:5" s="4" customFormat="1" ht="14.25">
      <c r="A19" s="15"/>
      <c r="B19" s="16" t="s">
        <v>510</v>
      </c>
      <c r="C19" s="5"/>
      <c r="D19" s="5"/>
      <c r="E19" s="5"/>
    </row>
    <row r="20" spans="1:5" s="4" customFormat="1" ht="15">
      <c r="A20" s="17" t="s">
        <v>70</v>
      </c>
      <c r="B20" s="17" t="s">
        <v>71</v>
      </c>
      <c r="C20" s="17" t="s">
        <v>72</v>
      </c>
      <c r="D20" s="17" t="s">
        <v>73</v>
      </c>
      <c r="E20" s="17" t="s">
        <v>74</v>
      </c>
    </row>
    <row r="21" spans="1:5" s="4" customFormat="1">
      <c r="A21" s="14" t="s">
        <v>458</v>
      </c>
      <c r="B21" s="5" t="s">
        <v>1027</v>
      </c>
      <c r="C21" s="5" t="s">
        <v>345</v>
      </c>
      <c r="D21" s="5" t="s">
        <v>1049</v>
      </c>
      <c r="E21" s="18" t="s">
        <v>1048</v>
      </c>
    </row>
    <row r="23" spans="1:5" s="4" customFormat="1" ht="14.25">
      <c r="A23" s="15"/>
      <c r="B23" s="16" t="s">
        <v>185</v>
      </c>
      <c r="C23" s="5"/>
      <c r="D23" s="5"/>
      <c r="E23" s="5"/>
    </row>
    <row r="24" spans="1:5" s="4" customFormat="1" ht="15">
      <c r="A24" s="17" t="s">
        <v>70</v>
      </c>
      <c r="B24" s="17" t="s">
        <v>71</v>
      </c>
      <c r="C24" s="17" t="s">
        <v>72</v>
      </c>
      <c r="D24" s="17" t="s">
        <v>73</v>
      </c>
      <c r="E24" s="17" t="s">
        <v>74</v>
      </c>
    </row>
    <row r="25" spans="1:5" s="4" customFormat="1">
      <c r="A25" s="14" t="s">
        <v>612</v>
      </c>
      <c r="B25" s="5" t="s">
        <v>1047</v>
      </c>
      <c r="C25" s="5" t="s">
        <v>345</v>
      </c>
      <c r="D25" s="5" t="s">
        <v>1046</v>
      </c>
      <c r="E25" s="18" t="s">
        <v>1045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</mergeCells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sqref="A1:K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9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55" t="s">
        <v>1056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966</v>
      </c>
      <c r="H3" s="50"/>
      <c r="I3" s="50" t="s">
        <v>965</v>
      </c>
      <c r="J3" s="50" t="s">
        <v>6</v>
      </c>
      <c r="K3" s="38" t="s">
        <v>5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2" t="s">
        <v>964</v>
      </c>
      <c r="H4" s="57" t="s">
        <v>963</v>
      </c>
      <c r="I4" s="49"/>
      <c r="J4" s="49"/>
      <c r="K4" s="39"/>
    </row>
    <row r="6" spans="1:11" ht="15">
      <c r="E6" s="11" t="s">
        <v>62</v>
      </c>
    </row>
    <row r="7" spans="1:11" ht="15">
      <c r="E7" s="11" t="s">
        <v>63</v>
      </c>
    </row>
    <row r="8" spans="1:11" ht="15">
      <c r="E8" s="11" t="s">
        <v>64</v>
      </c>
    </row>
    <row r="9" spans="1:11" ht="15">
      <c r="E9" s="11" t="s">
        <v>65</v>
      </c>
    </row>
    <row r="10" spans="1:11" ht="15">
      <c r="E10" s="11" t="s">
        <v>65</v>
      </c>
    </row>
    <row r="11" spans="1:11" ht="15">
      <c r="E11" s="11" t="s">
        <v>66</v>
      </c>
    </row>
    <row r="12" spans="1:11" ht="15">
      <c r="E12" s="11"/>
    </row>
    <row r="14" spans="1:11" ht="18">
      <c r="A14" s="12" t="s">
        <v>67</v>
      </c>
      <c r="B14" s="12"/>
    </row>
  </sheetData>
  <mergeCells count="11">
    <mergeCell ref="F3:F4"/>
    <mergeCell ref="E3:E4"/>
    <mergeCell ref="D3:D4"/>
    <mergeCell ref="I3:I4"/>
    <mergeCell ref="J3:J4"/>
    <mergeCell ref="A1:K2"/>
    <mergeCell ref="G3:H3"/>
    <mergeCell ref="A3:A4"/>
    <mergeCell ref="B3:B4"/>
    <mergeCell ref="C3:C4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4"/>
  <sheetViews>
    <sheetView topLeftCell="A7"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3" width="2.140625" style="4" bestFit="1" customWidth="1"/>
    <col min="14" max="14" width="4.85546875" style="4" bestFit="1" customWidth="1"/>
    <col min="15" max="17" width="2.140625" style="4" bestFit="1" customWidth="1"/>
    <col min="18" max="18" width="4.85546875" style="4" bestFit="1" customWidth="1"/>
    <col min="19" max="19" width="7.85546875" style="5" bestFit="1" customWidth="1"/>
    <col min="20" max="20" width="6.42578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5" t="s">
        <v>878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2</v>
      </c>
      <c r="L3" s="50"/>
      <c r="M3" s="50"/>
      <c r="N3" s="50"/>
      <c r="O3" s="50" t="s">
        <v>3</v>
      </c>
      <c r="P3" s="50"/>
      <c r="Q3" s="50"/>
      <c r="R3" s="50"/>
      <c r="S3" s="50" t="s">
        <v>4</v>
      </c>
      <c r="T3" s="50" t="s">
        <v>6</v>
      </c>
      <c r="U3" s="38" t="s">
        <v>5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49"/>
      <c r="T4" s="49"/>
      <c r="U4" s="39"/>
    </row>
    <row r="6" spans="1:21" ht="15">
      <c r="E6" s="11" t="s">
        <v>62</v>
      </c>
    </row>
    <row r="7" spans="1:21" ht="15">
      <c r="E7" s="11" t="s">
        <v>63</v>
      </c>
    </row>
    <row r="8" spans="1:21" ht="15">
      <c r="E8" s="11" t="s">
        <v>64</v>
      </c>
    </row>
    <row r="9" spans="1:21" ht="15">
      <c r="E9" s="11" t="s">
        <v>65</v>
      </c>
    </row>
    <row r="10" spans="1:21" ht="15">
      <c r="E10" s="11" t="s">
        <v>65</v>
      </c>
    </row>
    <row r="11" spans="1:21" ht="15">
      <c r="E11" s="11" t="s">
        <v>66</v>
      </c>
    </row>
    <row r="12" spans="1:21" ht="15">
      <c r="E12" s="11"/>
    </row>
    <row r="14" spans="1:21" ht="18">
      <c r="A14" s="12" t="s">
        <v>67</v>
      </c>
      <c r="B14" s="12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1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5" t="s">
        <v>875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3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9</v>
      </c>
      <c r="C3" s="48" t="s">
        <v>12</v>
      </c>
      <c r="D3" s="50"/>
      <c r="E3" s="50" t="s">
        <v>7</v>
      </c>
      <c r="F3" s="50" t="s">
        <v>11</v>
      </c>
      <c r="G3" s="50" t="s">
        <v>3</v>
      </c>
      <c r="H3" s="50"/>
      <c r="I3" s="50"/>
      <c r="J3" s="50"/>
      <c r="K3" s="50" t="s">
        <v>191</v>
      </c>
      <c r="L3" s="50" t="s">
        <v>6</v>
      </c>
      <c r="M3" s="38" t="s">
        <v>5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2">
        <v>1</v>
      </c>
      <c r="H4" s="2">
        <v>2</v>
      </c>
      <c r="I4" s="2">
        <v>3</v>
      </c>
      <c r="J4" s="2" t="s">
        <v>8</v>
      </c>
      <c r="K4" s="49"/>
      <c r="L4" s="49"/>
      <c r="M4" s="39"/>
    </row>
    <row r="6" spans="1:13" ht="15">
      <c r="E6" s="11" t="s">
        <v>62</v>
      </c>
    </row>
    <row r="7" spans="1:13" ht="15">
      <c r="E7" s="11" t="s">
        <v>63</v>
      </c>
    </row>
    <row r="8" spans="1:13" ht="15">
      <c r="E8" s="11" t="s">
        <v>64</v>
      </c>
    </row>
    <row r="9" spans="1:13" ht="15">
      <c r="E9" s="11" t="s">
        <v>65</v>
      </c>
    </row>
    <row r="10" spans="1:13" ht="15">
      <c r="E10" s="11" t="s">
        <v>65</v>
      </c>
    </row>
    <row r="11" spans="1:13" ht="15">
      <c r="E11" s="11" t="s">
        <v>66</v>
      </c>
    </row>
    <row r="12" spans="1:13" ht="15">
      <c r="E12" s="11"/>
    </row>
    <row r="14" spans="1:13" ht="18">
      <c r="A14" s="12" t="s">
        <v>67</v>
      </c>
      <c r="B14" s="12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52</vt:i4>
      </vt:variant>
    </vt:vector>
  </HeadingPairs>
  <TitlesOfParts>
    <vt:vector size="52" baseType="lpstr">
      <vt:lpstr>Лист35</vt:lpstr>
      <vt:lpstr>Люб. присед софт экип.</vt:lpstr>
      <vt:lpstr>Люб. тяга софт экип.</vt:lpstr>
      <vt:lpstr>Люб. присед мн.слой</vt:lpstr>
      <vt:lpstr>Люб. жим софт экип.</vt:lpstr>
      <vt:lpstr>Люб. ПЛ. софт экип.</vt:lpstr>
      <vt:lpstr>Люб. присед 1.слой</vt:lpstr>
      <vt:lpstr>Люб. тяга мн.слой</vt:lpstr>
      <vt:lpstr>Люб. тяга 1.слой</vt:lpstr>
      <vt:lpstr>Люб. присед б.э.</vt:lpstr>
      <vt:lpstr>Люб. жим мн.слой</vt:lpstr>
      <vt:lpstr>Люб. ПЛ. мн.слой</vt:lpstr>
      <vt:lpstr>Люб. Военный жим</vt:lpstr>
      <vt:lpstr>Люб. жим 1.слой</vt:lpstr>
      <vt:lpstr>Люб. ПЛ. 1.слой</vt:lpstr>
      <vt:lpstr>Люб. тяга б.э.</vt:lpstr>
      <vt:lpstr>Люб. жим б.э.</vt:lpstr>
      <vt:lpstr>Люб. ПЛ. б.э.</vt:lpstr>
      <vt:lpstr>Проф. Военный жим</vt:lpstr>
      <vt:lpstr>ПРО жим софт экип. 3сл.</vt:lpstr>
      <vt:lpstr>ПРО присед софт экип.</vt:lpstr>
      <vt:lpstr>ПРО тяга софт экип.</vt:lpstr>
      <vt:lpstr>ПРО присед мн.слой</vt:lpstr>
      <vt:lpstr>ПРО жим софт экип.</vt:lpstr>
      <vt:lpstr>ПРО ПЛ. софт экип.</vt:lpstr>
      <vt:lpstr>ПРО присед 1.слой</vt:lpstr>
      <vt:lpstr>ПРО тяга мн.слой</vt:lpstr>
      <vt:lpstr>ПРО тяга 1.слой</vt:lpstr>
      <vt:lpstr>ПРО присед б.э.</vt:lpstr>
      <vt:lpstr>ПРО жим мн.слой</vt:lpstr>
      <vt:lpstr>ПРО ПЛ. мн.слой</vt:lpstr>
      <vt:lpstr>ПРО жим 1.слой</vt:lpstr>
      <vt:lpstr>ПРО ПЛ. 1.слой</vt:lpstr>
      <vt:lpstr>ПРО тяга б.э.</vt:lpstr>
      <vt:lpstr>ПРО жим б.э.</vt:lpstr>
      <vt:lpstr>ПРО ПЛ. б.э.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Про. 150 кг.</vt:lpstr>
      <vt:lpstr>Про. 125 кг.</vt:lpstr>
      <vt:lpstr>Про. 100 кг.</vt:lpstr>
      <vt:lpstr>Про. 75 кг.</vt:lpstr>
      <vt:lpstr>0-00-19Про. 55 кг.</vt:lpstr>
      <vt:lpstr>Про. 55 кг.</vt:lpstr>
      <vt:lpstr>Люб. 125 кг.</vt:lpstr>
      <vt:lpstr>Люб. 150 кг.</vt:lpstr>
      <vt:lpstr>Люб. 100 кг.</vt:lpstr>
      <vt:lpstr>Люб. 75 кг.</vt:lpstr>
      <vt:lpstr>Люб. 55 кг.</vt:lpstr>
      <vt:lpstr>Люб. 35 кг.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2018-05-02T16:57:21Z</dcterms:modified>
</cp:coreProperties>
</file>