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2" activeTab="16"/>
  </bookViews>
  <sheets>
    <sheet name="Русская тяга проф. 200 кг." sheetId="1" r:id="rId1"/>
    <sheet name="Русская тяга люб. 200 кг." sheetId="2" r:id="rId2"/>
    <sheet name="Русская тяга люб. 150 кг." sheetId="3" r:id="rId3"/>
    <sheet name="Русская тяга люб. 75 кг." sheetId="4" r:id="rId4"/>
    <sheet name="Пауэрспорт Профессионалы" sheetId="5" r:id="rId5"/>
    <sheet name="Пауэрспорт Любители" sheetId="6" r:id="rId6"/>
    <sheet name="Бицепс Профессионалы" sheetId="7" r:id="rId7"/>
    <sheet name="Бицепс Любители" sheetId="8" r:id="rId8"/>
    <sheet name="Жим стоя Профессионалы" sheetId="9" r:id="rId9"/>
    <sheet name="Жим стоя Любители" sheetId="10" r:id="rId10"/>
    <sheet name="Люб. народный жим 1_2 вес" sheetId="11" r:id="rId11"/>
    <sheet name="Двоеборье проф." sheetId="12" r:id="rId12"/>
    <sheet name="Двоеборье люб" sheetId="13" r:id="rId13"/>
    <sheet name="ПРО тяга б.э." sheetId="14" r:id="rId14"/>
    <sheet name="Люб. тяга б.э." sheetId="15" r:id="rId15"/>
    <sheet name="ПРО жим б.э." sheetId="16" r:id="rId16"/>
    <sheet name="Люб. жим б.э." sheetId="17" r:id="rId17"/>
    <sheet name="СОВ жим" sheetId="18" r:id="rId18"/>
    <sheet name="ПРО жим мн.слой" sheetId="19" r:id="rId19"/>
    <sheet name="ПРО Военный жим" sheetId="20" r:id="rId20"/>
    <sheet name="Люб. Военный жим" sheetId="21" r:id="rId21"/>
  </sheets>
  <definedNames/>
  <calcPr fullCalcOnLoad="1" refMode="R1C1"/>
</workbook>
</file>

<file path=xl/sharedStrings.xml><?xml version="1.0" encoding="utf-8"?>
<sst xmlns="http://schemas.openxmlformats.org/spreadsheetml/2006/main" count="2392" uniqueCount="599">
  <si>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</si>
  <si>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</si>
  <si>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</si>
  <si>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</si>
  <si>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</si>
  <si>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</si>
  <si>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</si>
  <si>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</si>
  <si>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</si>
  <si>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Белгородской области
Любители военный жим
Белгород/Белгородская область 14 - 15 декабря 2019 г.</t>
  </si>
  <si>
    <t>Shv/Mel</t>
  </si>
  <si>
    <t>Жим лёжа</t>
  </si>
  <si>
    <t>ВЕСОВАЯ КАТЕГОРИЯ   75</t>
  </si>
  <si>
    <t>Захаров Сергей</t>
  </si>
  <si>
    <t>1. Захаров Сергей</t>
  </si>
  <si>
    <t>Юноши 18 - 19 (30.11.2001)/18</t>
  </si>
  <si>
    <t>73,80</t>
  </si>
  <si>
    <t xml:space="preserve">лично </t>
  </si>
  <si>
    <t xml:space="preserve">Белгород/Белгородская область </t>
  </si>
  <si>
    <t>80,0</t>
  </si>
  <si>
    <t>85,0</t>
  </si>
  <si>
    <t>90,0</t>
  </si>
  <si>
    <t xml:space="preserve"> </t>
  </si>
  <si>
    <t>Букреев Николай</t>
  </si>
  <si>
    <t>1. Букреев Николай</t>
  </si>
  <si>
    <t>Открытая (28.05.1992)/27</t>
  </si>
  <si>
    <t>72,75</t>
  </si>
  <si>
    <t xml:space="preserve">Санта Моника </t>
  </si>
  <si>
    <t xml:space="preserve">Курск/Курская область </t>
  </si>
  <si>
    <t>120,0</t>
  </si>
  <si>
    <t>130,0</t>
  </si>
  <si>
    <t>135,0</t>
  </si>
  <si>
    <t xml:space="preserve">Тютрин Дмитрий </t>
  </si>
  <si>
    <t>Зубарев Андрей</t>
  </si>
  <si>
    <t>2. Зубарев Андрей</t>
  </si>
  <si>
    <t>Открытая (06.01.1985)/34</t>
  </si>
  <si>
    <t>73,10</t>
  </si>
  <si>
    <t xml:space="preserve">Сталь Белогорья </t>
  </si>
  <si>
    <t>ВЕСОВАЯ КАТЕГОРИЯ   82.5</t>
  </si>
  <si>
    <t>Чебанов Дмитрий</t>
  </si>
  <si>
    <t>1. Чебанов Дмитрий</t>
  </si>
  <si>
    <t>Юниоры 20 - 23 (13.11.1998)/21</t>
  </si>
  <si>
    <t>81,15</t>
  </si>
  <si>
    <t>100,0</t>
  </si>
  <si>
    <t>110,0</t>
  </si>
  <si>
    <t>Скороходов Никита</t>
  </si>
  <si>
    <t>-. Скороходов Никита</t>
  </si>
  <si>
    <t>Открытая (01.02.1992)/27</t>
  </si>
  <si>
    <t>78,90</t>
  </si>
  <si>
    <t>ВЕСОВАЯ КАТЕГОРИЯ   90</t>
  </si>
  <si>
    <t>Паньков Дмитрий</t>
  </si>
  <si>
    <t>1. Паньков Дмитрий</t>
  </si>
  <si>
    <t>Открытая (04.10.1986)/33</t>
  </si>
  <si>
    <t>87,50</t>
  </si>
  <si>
    <t>105,0</t>
  </si>
  <si>
    <t>115,0</t>
  </si>
  <si>
    <t>125,0</t>
  </si>
  <si>
    <t>Филиппов Олег</t>
  </si>
  <si>
    <t>2. Филиппов Олег</t>
  </si>
  <si>
    <t>Открытая (13.01.1981)/38</t>
  </si>
  <si>
    <t>85,15</t>
  </si>
  <si>
    <t>112,5</t>
  </si>
  <si>
    <t>Моисеенко Александр</t>
  </si>
  <si>
    <t>1. Моисеенко Александр</t>
  </si>
  <si>
    <t>Мастера 45 - 49 (24.09.1972)/47</t>
  </si>
  <si>
    <t>88,65</t>
  </si>
  <si>
    <t xml:space="preserve">Железный Союз </t>
  </si>
  <si>
    <t xml:space="preserve">Зинков Павел </t>
  </si>
  <si>
    <t>Мамонов Юрий</t>
  </si>
  <si>
    <t>1. Мамонов Юрий</t>
  </si>
  <si>
    <t>Мастера 50 - 54 (07.04.1966)/53</t>
  </si>
  <si>
    <t>85,35</t>
  </si>
  <si>
    <t>ВЕСОВАЯ КАТЕГОРИЯ   100</t>
  </si>
  <si>
    <t>Литовченко Александр</t>
  </si>
  <si>
    <t>1. Литовченко Александр</t>
  </si>
  <si>
    <t>Открытая (26.06.1986)/33</t>
  </si>
  <si>
    <t>98,90</t>
  </si>
  <si>
    <t xml:space="preserve">Пересвет </t>
  </si>
  <si>
    <t>160,0</t>
  </si>
  <si>
    <t>170,0</t>
  </si>
  <si>
    <t>175,0</t>
  </si>
  <si>
    <t>Тютрин Дмитрий</t>
  </si>
  <si>
    <t>2. Тютрин Дмитрий</t>
  </si>
  <si>
    <t>Открытая (16.11.1993)/26</t>
  </si>
  <si>
    <t>94,00</t>
  </si>
  <si>
    <t>145,0</t>
  </si>
  <si>
    <t>152,5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</si>
  <si>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</si>
  <si>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</si>
  <si>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</si>
  <si>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</si>
  <si>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</si>
  <si>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</si>
  <si>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</si>
  <si>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</si>
  <si>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</si>
  <si>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</si>
  <si>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</si>
  <si>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</si>
  <si>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</si>
  <si>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75</t>
  </si>
  <si>
    <t>64,2042</t>
  </si>
  <si>
    <t xml:space="preserve">Юниоры </t>
  </si>
  <si>
    <t xml:space="preserve">Юниоры 20 - 23 </t>
  </si>
  <si>
    <t>82.5</t>
  </si>
  <si>
    <t>70,2933</t>
  </si>
  <si>
    <t xml:space="preserve">Открытая </t>
  </si>
  <si>
    <t>100</t>
  </si>
  <si>
    <t>94,6560</t>
  </si>
  <si>
    <t>88,5105</t>
  </si>
  <si>
    <t>88,1660</t>
  </si>
  <si>
    <t>87,0775</t>
  </si>
  <si>
    <t>90</t>
  </si>
  <si>
    <t>68,4940</t>
  </si>
  <si>
    <t>63,6457</t>
  </si>
  <si>
    <t xml:space="preserve">Мастера </t>
  </si>
  <si>
    <t xml:space="preserve">Мастера 50 - 54 </t>
  </si>
  <si>
    <t>85,2858</t>
  </si>
  <si>
    <t xml:space="preserve">Мастера 45 - 49 </t>
  </si>
  <si>
    <t>83,8629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</si>
  <si>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</si>
  <si>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</si>
  <si>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</si>
  <si>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</si>
  <si>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54(9+9+12+12+12) </t>
  </si>
  <si>
    <t xml:space="preserve">Филиппов Олег, Тютрин Дмитрий, Чебанов Дмитрий, Букреев Николай, Паньков Дмитрий </t>
  </si>
  <si>
    <t xml:space="preserve">24(12+12) </t>
  </si>
  <si>
    <t xml:space="preserve">Мамонов Юрий, Моисеенко Александр </t>
  </si>
  <si>
    <t xml:space="preserve">12(12) </t>
  </si>
  <si>
    <t xml:space="preserve">Литовченко Александр </t>
  </si>
  <si>
    <t xml:space="preserve">9(9) </t>
  </si>
  <si>
    <t xml:space="preserve">Зубарев Андрей </t>
  </si>
  <si>
    <t>Результат</t>
  </si>
  <si>
    <t>Кубок Белгородской области
ПРО военный жим
Белгород/Белгородская область 14 - 15 декабря 2019 г.</t>
  </si>
  <si>
    <t>Ревковский Андрей</t>
  </si>
  <si>
    <t>1. Ревковский Андрей</t>
  </si>
  <si>
    <t>Открытая (04.06.1986)/33</t>
  </si>
  <si>
    <t>99,50</t>
  </si>
  <si>
    <t xml:space="preserve">Рядинский Денис </t>
  </si>
  <si>
    <t>ВЕСОВАЯ КАТЕГОРИЯ   125</t>
  </si>
  <si>
    <t>Лазарев Виталий</t>
  </si>
  <si>
    <t>1. Лазарев Виталий</t>
  </si>
  <si>
    <t>Открытая (25.08.1988)/31</t>
  </si>
  <si>
    <t>121,70</t>
  </si>
  <si>
    <t>150,0</t>
  </si>
  <si>
    <t xml:space="preserve">Степура Евгений </t>
  </si>
  <si>
    <t>125</t>
  </si>
  <si>
    <t>84,0480</t>
  </si>
  <si>
    <t>63,8595</t>
  </si>
  <si>
    <t xml:space="preserve">Ревковский Андрей </t>
  </si>
  <si>
    <t>Кубок Белгородской области
ПРО жим лежа в многослойной экипировке
Белгород/Белгородская область 14 - 15 декабря 2019 г.</t>
  </si>
  <si>
    <t>ВЕСОВАЯ КАТЕГОРИЯ   110</t>
  </si>
  <si>
    <t>Громов Сергей</t>
  </si>
  <si>
    <t>1. Громов Сергей</t>
  </si>
  <si>
    <t>Мастера 50 - 54 (02.09.1966)/53</t>
  </si>
  <si>
    <t>103,80</t>
  </si>
  <si>
    <t>220,0</t>
  </si>
  <si>
    <t>235,0</t>
  </si>
  <si>
    <t>250,0</t>
  </si>
  <si>
    <t>110</t>
  </si>
  <si>
    <t>174,8245</t>
  </si>
  <si>
    <t>Кубок Белгородской области
СОВ жим лежа
Белгород/Белгородская область 14 - 15 декабря 2019 г.</t>
  </si>
  <si>
    <t>Богомолов Вадим</t>
  </si>
  <si>
    <t>1. Богомолов Вадим</t>
  </si>
  <si>
    <t>Мастера 55 - 59 (20.12.1963)/55</t>
  </si>
  <si>
    <t>106,60</t>
  </si>
  <si>
    <t xml:space="preserve">Фитнес Сити </t>
  </si>
  <si>
    <t xml:space="preserve">Евдокимов Евгений </t>
  </si>
  <si>
    <t xml:space="preserve">Мастера 55 - 59 </t>
  </si>
  <si>
    <t>97,0733</t>
  </si>
  <si>
    <t xml:space="preserve">Богомолов Вадим </t>
  </si>
  <si>
    <t>Кубок Белгородской области
Любители жим лежа без экипировки
Белгород/Белгородская область 14 - 15 декабря 2019 г.</t>
  </si>
  <si>
    <t>ВЕСОВАЯ КАТЕГОРИЯ   56</t>
  </si>
  <si>
    <t>Шевченко Екатерина</t>
  </si>
  <si>
    <t>1. Шевченко Екатерина</t>
  </si>
  <si>
    <t>Открытая (07.07.1995)/24</t>
  </si>
  <si>
    <t>53,70</t>
  </si>
  <si>
    <t xml:space="preserve">Стальное Звено-Академия Силы </t>
  </si>
  <si>
    <t xml:space="preserve">Курчатов/Курская область </t>
  </si>
  <si>
    <t>42,5</t>
  </si>
  <si>
    <t>45,0</t>
  </si>
  <si>
    <t>55,0</t>
  </si>
  <si>
    <t xml:space="preserve">Меркулов Виталий </t>
  </si>
  <si>
    <t>ВЕСОВАЯ КАТЕГОРИЯ   60</t>
  </si>
  <si>
    <t>Гостева Валентина</t>
  </si>
  <si>
    <t>1. Гостева Валентина</t>
  </si>
  <si>
    <t>Мастера 60 - 64 (07.08.1955)/64</t>
  </si>
  <si>
    <t>57,50</t>
  </si>
  <si>
    <t>60,0</t>
  </si>
  <si>
    <t>62,5</t>
  </si>
  <si>
    <t>65,0</t>
  </si>
  <si>
    <t xml:space="preserve">Дородных Владимир Николаевич </t>
  </si>
  <si>
    <t>ВЕСОВАЯ КАТЕГОРИЯ   67.5</t>
  </si>
  <si>
    <t>Скляр Елена</t>
  </si>
  <si>
    <t>1. Скляр Елена</t>
  </si>
  <si>
    <t>Мастера 40 - 44 (10.02.1978)/41</t>
  </si>
  <si>
    <t>65,30</t>
  </si>
  <si>
    <t>Дудакова Анастасия</t>
  </si>
  <si>
    <t>1. Дудакова Анастасия</t>
  </si>
  <si>
    <t>Юниорки 20 - 23 (27.12.1995)/23</t>
  </si>
  <si>
    <t>68,90</t>
  </si>
  <si>
    <t>Малыхин Кирилл</t>
  </si>
  <si>
    <t>1. Малыхин Кирилл</t>
  </si>
  <si>
    <t>Юноши 16 - 17 (14.05.2003)/16</t>
  </si>
  <si>
    <t>53,15</t>
  </si>
  <si>
    <t xml:space="preserve">Русич </t>
  </si>
  <si>
    <t xml:space="preserve">Алексеевка/Белгородская область </t>
  </si>
  <si>
    <t>70,0</t>
  </si>
  <si>
    <t xml:space="preserve">Костенников Олег Федорович </t>
  </si>
  <si>
    <t>Белый Гордей</t>
  </si>
  <si>
    <t>1. Белый Гордей</t>
  </si>
  <si>
    <t>Юноши 16 - 17 (23.11.2002)/17</t>
  </si>
  <si>
    <t>59,35</t>
  </si>
  <si>
    <t>95,0</t>
  </si>
  <si>
    <t>Новицкий Михаил</t>
  </si>
  <si>
    <t>1. Новицкий Михаил</t>
  </si>
  <si>
    <t>Юноши 14-15 (01.11.2004)/15</t>
  </si>
  <si>
    <t>69,00</t>
  </si>
  <si>
    <t>Плотников Артём</t>
  </si>
  <si>
    <t>1. Плотников Артём</t>
  </si>
  <si>
    <t>Юноши 16 - 17 (16.01.2003)/16</t>
  </si>
  <si>
    <t>69,90</t>
  </si>
  <si>
    <t>Давыденко Дмитрий</t>
  </si>
  <si>
    <t>2. Давыденко Дмитрий</t>
  </si>
  <si>
    <t>Юноши 16 - 17 (15.09.2002)/17</t>
  </si>
  <si>
    <t>71,15</t>
  </si>
  <si>
    <t>1. Зубарев Андрей</t>
  </si>
  <si>
    <t>140,0</t>
  </si>
  <si>
    <t>2. Букреев Николай</t>
  </si>
  <si>
    <t>137,5</t>
  </si>
  <si>
    <t>142,5</t>
  </si>
  <si>
    <t>Былдин Артемий</t>
  </si>
  <si>
    <t>1. Былдин Артемий</t>
  </si>
  <si>
    <t>Юноши 14-15 (04.07.2005)/14</t>
  </si>
  <si>
    <t>78,75</t>
  </si>
  <si>
    <t>Полухин Максим</t>
  </si>
  <si>
    <t>1. Полухин Максим</t>
  </si>
  <si>
    <t>Открытая (24.04.1995)/24</t>
  </si>
  <si>
    <t xml:space="preserve">Валуйки </t>
  </si>
  <si>
    <t xml:space="preserve">Валуйки/Белгородская область </t>
  </si>
  <si>
    <t xml:space="preserve">Татаркин Александр Викторович </t>
  </si>
  <si>
    <t>Суздалев Арсений</t>
  </si>
  <si>
    <t>2. Суздалев Арсений</t>
  </si>
  <si>
    <t>Открытая (26.04.1995)/24</t>
  </si>
  <si>
    <t>77,15</t>
  </si>
  <si>
    <t>107,5</t>
  </si>
  <si>
    <t xml:space="preserve">Швец-Ковган </t>
  </si>
  <si>
    <t xml:space="preserve">1. Швец-Ковган </t>
  </si>
  <si>
    <t>Юноши 16 - 17 (12.03.2003)/16</t>
  </si>
  <si>
    <t>89,15</t>
  </si>
  <si>
    <t>-. Лютый Алексей</t>
  </si>
  <si>
    <t>Юноши 18 - 19 (06.03.2001)/18</t>
  </si>
  <si>
    <t>87,40</t>
  </si>
  <si>
    <t>-. Ковалёв Владислав</t>
  </si>
  <si>
    <t>Юниоры 20 - 23 (22.04.1996)/23</t>
  </si>
  <si>
    <t>86,75</t>
  </si>
  <si>
    <t>127,5</t>
  </si>
  <si>
    <t>Уколов Артём</t>
  </si>
  <si>
    <t>1. Уколов Артём</t>
  </si>
  <si>
    <t>Открытая (11.12.1990)/29</t>
  </si>
  <si>
    <t>87,95</t>
  </si>
  <si>
    <t>155,0</t>
  </si>
  <si>
    <t>Мусиенко Константин</t>
  </si>
  <si>
    <t>2. Мусиенко Константин</t>
  </si>
  <si>
    <t>Открытая (19.07.1989)/30</t>
  </si>
  <si>
    <t>88,95</t>
  </si>
  <si>
    <t>165,0</t>
  </si>
  <si>
    <t>180,0</t>
  </si>
  <si>
    <t>Горбачев Александр</t>
  </si>
  <si>
    <t>2. Горбачев Александр</t>
  </si>
  <si>
    <t>Открытая (27.04.1988)/31</t>
  </si>
  <si>
    <t>98,50</t>
  </si>
  <si>
    <t xml:space="preserve">Стальное Звено </t>
  </si>
  <si>
    <t xml:space="preserve">Дмитриев/Курская область </t>
  </si>
  <si>
    <t>157,5</t>
  </si>
  <si>
    <t>167,5</t>
  </si>
  <si>
    <t xml:space="preserve">Женщины </t>
  </si>
  <si>
    <t xml:space="preserve">Юниорки </t>
  </si>
  <si>
    <t>49,8550</t>
  </si>
  <si>
    <t>56</t>
  </si>
  <si>
    <t>42,4823</t>
  </si>
  <si>
    <t xml:space="preserve">Мастера 60 - 64 </t>
  </si>
  <si>
    <t>60</t>
  </si>
  <si>
    <t>108,1509</t>
  </si>
  <si>
    <t xml:space="preserve">Мастера 40 - 44 </t>
  </si>
  <si>
    <t>67.5</t>
  </si>
  <si>
    <t>48,2373</t>
  </si>
  <si>
    <t xml:space="preserve">Юноши 16 - 17 </t>
  </si>
  <si>
    <t>89,4960</t>
  </si>
  <si>
    <t>88,7814</t>
  </si>
  <si>
    <t xml:space="preserve">Юноши 14-15 </t>
  </si>
  <si>
    <t>74,8074</t>
  </si>
  <si>
    <t>73,3811</t>
  </si>
  <si>
    <t>67,2034</t>
  </si>
  <si>
    <t>53,2185</t>
  </si>
  <si>
    <t>52,4269</t>
  </si>
  <si>
    <t>100,2240</t>
  </si>
  <si>
    <t>94,9480</t>
  </si>
  <si>
    <t>93,6169</t>
  </si>
  <si>
    <t>92,0370</t>
  </si>
  <si>
    <t>92,0235</t>
  </si>
  <si>
    <t>83,2260</t>
  </si>
  <si>
    <t>82,5300</t>
  </si>
  <si>
    <t>78,0180</t>
  </si>
  <si>
    <t>89,1624</t>
  </si>
  <si>
    <t>87,0884</t>
  </si>
  <si>
    <t xml:space="preserve">69(12+12+9+12+12+12) </t>
  </si>
  <si>
    <t xml:space="preserve">Скляр Елена, Новицкий Михаил, Суздалев Арсений, Гостева Валентина, Дудакова Анастасия, Шевченко Екатерина </t>
  </si>
  <si>
    <t xml:space="preserve">69(12+12+12+12+12+9) </t>
  </si>
  <si>
    <t xml:space="preserve">Швец-Ковган, Белый Гордей, Былдин Артемий, Малыхин Кирилл, Плотников Артём, Давыденко Дмитрий </t>
  </si>
  <si>
    <t xml:space="preserve">21(12+9) </t>
  </si>
  <si>
    <t xml:space="preserve">Зубарев Андрей, Мусиенко Константин </t>
  </si>
  <si>
    <t xml:space="preserve">Полухин Максим </t>
  </si>
  <si>
    <t xml:space="preserve">Букреев Николай </t>
  </si>
  <si>
    <t xml:space="preserve">Горбачев Александр </t>
  </si>
  <si>
    <t>Кубок Белгородской области
ПРО жим лежа без экипировки
Белгород/Белгородская область 14 - 15 декабря 2019 г.</t>
  </si>
  <si>
    <t>Волошенко Виктор</t>
  </si>
  <si>
    <t>1. Волошенко Виктор</t>
  </si>
  <si>
    <t>Юноши 14-15 (31.07.2004)/15</t>
  </si>
  <si>
    <t>76,55</t>
  </si>
  <si>
    <t>Бондаренко Евгений</t>
  </si>
  <si>
    <t>1. Бондаренко Евгений</t>
  </si>
  <si>
    <t>Открытая (26.01.1990)/29</t>
  </si>
  <si>
    <t>109,20</t>
  </si>
  <si>
    <t>190,0</t>
  </si>
  <si>
    <t>200,0</t>
  </si>
  <si>
    <t xml:space="preserve">Богатченко Андрей </t>
  </si>
  <si>
    <t>Меркулов Виталий</t>
  </si>
  <si>
    <t>1. Меркулов Виталий</t>
  </si>
  <si>
    <t>Открытая (11.06.1990)/29</t>
  </si>
  <si>
    <t>116,20</t>
  </si>
  <si>
    <t>88,7478</t>
  </si>
  <si>
    <t>107,5000</t>
  </si>
  <si>
    <t>84,8480</t>
  </si>
  <si>
    <t xml:space="preserve">Волошенко Виктор </t>
  </si>
  <si>
    <t>Кубок Белгородской области
Любители становая тяга без экипировки
Белгород/Белгородская область 14 - 15 декабря 2019 г.</t>
  </si>
  <si>
    <t>Становая тяга</t>
  </si>
  <si>
    <t>92,5</t>
  </si>
  <si>
    <t>97,5</t>
  </si>
  <si>
    <t>117,5</t>
  </si>
  <si>
    <t>185,0</t>
  </si>
  <si>
    <t>205,0</t>
  </si>
  <si>
    <t>215,0</t>
  </si>
  <si>
    <t>Рычкин Алексей</t>
  </si>
  <si>
    <t>2. Рычкин Алексей</t>
  </si>
  <si>
    <t>Открытая (18.04.1995)/24</t>
  </si>
  <si>
    <t>71,00</t>
  </si>
  <si>
    <t>210,0</t>
  </si>
  <si>
    <t>Яковлев Кирилл</t>
  </si>
  <si>
    <t>1. Яковлев Кирилл</t>
  </si>
  <si>
    <t>Юноши 0-13 (03.10.2006)/13</t>
  </si>
  <si>
    <t>79,65</t>
  </si>
  <si>
    <t>Польшиков Василий</t>
  </si>
  <si>
    <t>1. Польшиков Василий</t>
  </si>
  <si>
    <t>Открытая (27.09.1982)/37</t>
  </si>
  <si>
    <t>82,40</t>
  </si>
  <si>
    <t>225,0</t>
  </si>
  <si>
    <t>240,0</t>
  </si>
  <si>
    <t>247,5</t>
  </si>
  <si>
    <t>2. Скороходов Никита</t>
  </si>
  <si>
    <t>1. Мусиенко Константин</t>
  </si>
  <si>
    <t>270,0</t>
  </si>
  <si>
    <t>275,0</t>
  </si>
  <si>
    <t>162,5</t>
  </si>
  <si>
    <t>84,3700</t>
  </si>
  <si>
    <t>87,3246</t>
  </si>
  <si>
    <t>195,5035</t>
  </si>
  <si>
    <t>78,3856</t>
  </si>
  <si>
    <t>159,1040</t>
  </si>
  <si>
    <t xml:space="preserve">Юноши 0-13 </t>
  </si>
  <si>
    <t>76,1464</t>
  </si>
  <si>
    <t>159,1650</t>
  </si>
  <si>
    <t>153,4005</t>
  </si>
  <si>
    <t>146,3828</t>
  </si>
  <si>
    <t>145,8851</t>
  </si>
  <si>
    <t>98,4994</t>
  </si>
  <si>
    <t>83,1220</t>
  </si>
  <si>
    <t xml:space="preserve">60(12+12+12+12+12) </t>
  </si>
  <si>
    <t xml:space="preserve">Скляр Елена, Яковлев Кирилл, Гостева Валентина, Дудакова Анастасия, Шевченко Екатерина </t>
  </si>
  <si>
    <t xml:space="preserve">30(9+12+9) </t>
  </si>
  <si>
    <t xml:space="preserve">Филиппов Олег, Букреев Николай, Скороходов Никита </t>
  </si>
  <si>
    <t xml:space="preserve">Польшиков Василий, Мусиенко Константин </t>
  </si>
  <si>
    <t xml:space="preserve">21(9+12) </t>
  </si>
  <si>
    <t xml:space="preserve">Рычкин Алексей, Плотников Артём </t>
  </si>
  <si>
    <t>Кубок Белгородской области
ПРО становая тяга без экипировки
Белгород/Белгородская область 14 - 15 декабря 2019 г.</t>
  </si>
  <si>
    <t>Токарь Дмитрий</t>
  </si>
  <si>
    <t>1. Токарь Дмитрий</t>
  </si>
  <si>
    <t>Юноши 14-15 (26.11.2004)/15</t>
  </si>
  <si>
    <t>74,40</t>
  </si>
  <si>
    <t>147,5</t>
  </si>
  <si>
    <t>Печурин Сергей</t>
  </si>
  <si>
    <t>1. Печурин Сергей</t>
  </si>
  <si>
    <t>Открытая (11.06.1992)/27</t>
  </si>
  <si>
    <t>100,00</t>
  </si>
  <si>
    <t>280,0</t>
  </si>
  <si>
    <t>300,0</t>
  </si>
  <si>
    <t>310,0</t>
  </si>
  <si>
    <t>Мотайло Дмитрий</t>
  </si>
  <si>
    <t>2. Мотайло Дмитрий</t>
  </si>
  <si>
    <t>Открытая (06.06.1985)/34</t>
  </si>
  <si>
    <t>98,20</t>
  </si>
  <si>
    <t>230,0</t>
  </si>
  <si>
    <t>265,0</t>
  </si>
  <si>
    <t>272,5</t>
  </si>
  <si>
    <t>126,2506</t>
  </si>
  <si>
    <t>166,2000</t>
  </si>
  <si>
    <t>144,5068</t>
  </si>
  <si>
    <t>134,0640</t>
  </si>
  <si>
    <t xml:space="preserve">Токарь Дмитрий </t>
  </si>
  <si>
    <t>Кубок Белгородской области
Силовое двоеборье любители
Белгород/Белгородская область 14 - 15 декабря 2019 г.</t>
  </si>
  <si>
    <t>68,95</t>
  </si>
  <si>
    <t>57,5</t>
  </si>
  <si>
    <t>134,1550</t>
  </si>
  <si>
    <t>182,5</t>
  </si>
  <si>
    <t>303,6544</t>
  </si>
  <si>
    <t>126,6229</t>
  </si>
  <si>
    <t xml:space="preserve">36(12+12+12) </t>
  </si>
  <si>
    <t xml:space="preserve">Скляр Елена, Гостева Валентина, Дудакова Анастасия </t>
  </si>
  <si>
    <t>Кубок Белгородской области
Силовое двоеборье профессионалы
Белгород/Белгородская область 14 - 15 декабря 2019 г.</t>
  </si>
  <si>
    <t>Мирзоян Артур</t>
  </si>
  <si>
    <t>1. Мирзоян Артур</t>
  </si>
  <si>
    <t>Юноши 14-15 (25.11.2004)/15</t>
  </si>
  <si>
    <t>79,95</t>
  </si>
  <si>
    <t>75,0</t>
  </si>
  <si>
    <t>Беглов Юрий</t>
  </si>
  <si>
    <t>1. Беглов Юрий</t>
  </si>
  <si>
    <t>Мастера 50 - 54 (06.05.1965)/54</t>
  </si>
  <si>
    <t>79,30</t>
  </si>
  <si>
    <t xml:space="preserve">Воронеж/Воронежская область </t>
  </si>
  <si>
    <t>122,5</t>
  </si>
  <si>
    <t>115,20</t>
  </si>
  <si>
    <t>227,5</t>
  </si>
  <si>
    <t>169,9825</t>
  </si>
  <si>
    <t>432,5</t>
  </si>
  <si>
    <t>229,7440</t>
  </si>
  <si>
    <t>365,0</t>
  </si>
  <si>
    <t>309,2317</t>
  </si>
  <si>
    <t xml:space="preserve">Беглов Юрий, Мирзоян Артур, Меркулов Виталий </t>
  </si>
  <si>
    <t>Вес</t>
  </si>
  <si>
    <t>Повторы</t>
  </si>
  <si>
    <t>Тоннаж</t>
  </si>
  <si>
    <t>Кубок Белгородской области
Любители народный жим (1/2 вес)
Белгород/Белгородская область 14 - 15 декабря 2019 г.</t>
  </si>
  <si>
    <t>НАП Н.Ж.</t>
  </si>
  <si>
    <t>Народный жим</t>
  </si>
  <si>
    <t>30,0</t>
  </si>
  <si>
    <t>59,0</t>
  </si>
  <si>
    <t xml:space="preserve">НАП Н.Ж. </t>
  </si>
  <si>
    <t>1770,0</t>
  </si>
  <si>
    <t>1628,4000</t>
  </si>
  <si>
    <t xml:space="preserve">Белый Гордей </t>
  </si>
  <si>
    <t>Кубок Белгородской области
Одиночный жим штанги стоя Любители
Белгород/Белгородская область 14 - 15 декабря 2019 г.</t>
  </si>
  <si>
    <t>Жим стоя</t>
  </si>
  <si>
    <t>Куприй Валерий</t>
  </si>
  <si>
    <t>1. Куприй Валерий</t>
  </si>
  <si>
    <t>Открытая (19.10.1986)/33</t>
  </si>
  <si>
    <t>74,30</t>
  </si>
  <si>
    <t>46,8580</t>
  </si>
  <si>
    <t xml:space="preserve">Куприй Валерий </t>
  </si>
  <si>
    <t>Кубок Белгородской области
Одиночный жим штанги стоя Профессионалы
Белгород/Белгородская область 14 - 15 декабря 2019 г.</t>
  </si>
  <si>
    <t>Осетров Евгений</t>
  </si>
  <si>
    <t>1. Осетров Евгений</t>
  </si>
  <si>
    <t>Юниоры 20 - 23 (03.03.1996)/23</t>
  </si>
  <si>
    <t>Трофимов Дмитрий</t>
  </si>
  <si>
    <t>1. Трофимов Дмитрий</t>
  </si>
  <si>
    <t>Мастера 45 - 49 (18.02.1974)/45</t>
  </si>
  <si>
    <t>88,90</t>
  </si>
  <si>
    <t>87,5</t>
  </si>
  <si>
    <t>39,0090</t>
  </si>
  <si>
    <t>55,6205</t>
  </si>
  <si>
    <t xml:space="preserve">Осетров Евгений, Трофимов Дмитрий </t>
  </si>
  <si>
    <t>Кубок Белгородской области
Одиночный подъём штанги на бицепс Любители
Белгород/Белгородская область 14 - 15 декабря 2019 г.</t>
  </si>
  <si>
    <t>Подъем на бицепс</t>
  </si>
  <si>
    <t>Анохин Даниил</t>
  </si>
  <si>
    <t>1. Анохин Даниил</t>
  </si>
  <si>
    <t>Юноши 16 - 17 (30.06.2003)/16</t>
  </si>
  <si>
    <t>65,10</t>
  </si>
  <si>
    <t>40,0</t>
  </si>
  <si>
    <t xml:space="preserve">Мальцев Сергей </t>
  </si>
  <si>
    <t>52,5</t>
  </si>
  <si>
    <t>Шашков Кирилл</t>
  </si>
  <si>
    <t>2. Шашков Кирилл</t>
  </si>
  <si>
    <t>Юноши 18 - 19 (24.07.2001)/18</t>
  </si>
  <si>
    <t>73,75</t>
  </si>
  <si>
    <t>Мануйленко Роман</t>
  </si>
  <si>
    <t>3. Мануйленко Роман</t>
  </si>
  <si>
    <t>Юноши 18 - 19 (07.05.2001)/18</t>
  </si>
  <si>
    <t>73,85</t>
  </si>
  <si>
    <t xml:space="preserve">Русь </t>
  </si>
  <si>
    <t xml:space="preserve">Грайворон/Белгородская область </t>
  </si>
  <si>
    <t>2. Куприй Валерий</t>
  </si>
  <si>
    <t>Мишуров Кирилл</t>
  </si>
  <si>
    <t>1. Мишуров Кирилл</t>
  </si>
  <si>
    <t>Юноши 16 - 17 (14.09.2002)/17</t>
  </si>
  <si>
    <t>80,00</t>
  </si>
  <si>
    <t>77,5</t>
  </si>
  <si>
    <t>47,5</t>
  </si>
  <si>
    <t>Малышев Евгений</t>
  </si>
  <si>
    <t>1. Малышев Евгений</t>
  </si>
  <si>
    <t>Открытая (20.12.1972)/46</t>
  </si>
  <si>
    <t>78,85</t>
  </si>
  <si>
    <t>Самойлов Олег</t>
  </si>
  <si>
    <t>1. Самойлов Олег</t>
  </si>
  <si>
    <t>Открытая (02.05.1992)/27</t>
  </si>
  <si>
    <t>88,75</t>
  </si>
  <si>
    <t xml:space="preserve">Старый Оскол/Белгородская область </t>
  </si>
  <si>
    <t>67,5</t>
  </si>
  <si>
    <t>Карпунин Александр</t>
  </si>
  <si>
    <t>1. Карпунин Александр</t>
  </si>
  <si>
    <t>Мастера 45 - 49 (21.10.1974)/45</t>
  </si>
  <si>
    <t>99,00</t>
  </si>
  <si>
    <t xml:space="preserve">Олимпийский </t>
  </si>
  <si>
    <t xml:space="preserve">Строитель/Белгородская область </t>
  </si>
  <si>
    <t>72,5</t>
  </si>
  <si>
    <t xml:space="preserve">Кильдюшев Андрей </t>
  </si>
  <si>
    <t>52,9737</t>
  </si>
  <si>
    <t>41,0193</t>
  </si>
  <si>
    <t>37,4719</t>
  </si>
  <si>
    <t>33,9136</t>
  </si>
  <si>
    <t>33,6017</t>
  </si>
  <si>
    <t>32,0854</t>
  </si>
  <si>
    <t>30,3539</t>
  </si>
  <si>
    <t>45,7483</t>
  </si>
  <si>
    <t>42,3875</t>
  </si>
  <si>
    <t>40,1640</t>
  </si>
  <si>
    <t>38,9760</t>
  </si>
  <si>
    <t>38,5425</t>
  </si>
  <si>
    <t>35,1807</t>
  </si>
  <si>
    <t>30,8821</t>
  </si>
  <si>
    <t>42,2829</t>
  </si>
  <si>
    <t xml:space="preserve">45(12+12+12+9) </t>
  </si>
  <si>
    <t xml:space="preserve">Анохин Даниил, Новицкий Михаил, Малышев Евгений, Суздалев Арсений </t>
  </si>
  <si>
    <t xml:space="preserve">33(12+9+12) </t>
  </si>
  <si>
    <t xml:space="preserve">Зубарев Андрей, Куприй Валерий, Мишуров Кирилл </t>
  </si>
  <si>
    <t xml:space="preserve">Тютрин Дмитрий, Чебанов Дмитрий </t>
  </si>
  <si>
    <t xml:space="preserve">Карпунин Александр </t>
  </si>
  <si>
    <t xml:space="preserve">8(8) </t>
  </si>
  <si>
    <t xml:space="preserve">Мануйленко Роман </t>
  </si>
  <si>
    <t>Кубок Белгородской области
Одиночный подъём штанги на бицепс Профессионалы
Белгород/Белгородская область 14 - 15 декабря 2019 г.</t>
  </si>
  <si>
    <t>ВЕСОВАЯ КАТЕГОРИЯ   52</t>
  </si>
  <si>
    <t>Рядинский Данила</t>
  </si>
  <si>
    <t>1. Рядинский Данила</t>
  </si>
  <si>
    <t>Юноши 0-13 (01.12.2009)/10</t>
  </si>
  <si>
    <t>28,80</t>
  </si>
  <si>
    <t>10,0</t>
  </si>
  <si>
    <t>12,5</t>
  </si>
  <si>
    <t>15,0</t>
  </si>
  <si>
    <t>Рядинский Денис</t>
  </si>
  <si>
    <t>1. Рядинский Денис</t>
  </si>
  <si>
    <t>Открытая (06.07.1985)/34</t>
  </si>
  <si>
    <t>85,50</t>
  </si>
  <si>
    <t xml:space="preserve">Трунов Михаил </t>
  </si>
  <si>
    <t>52</t>
  </si>
  <si>
    <t>24,2304</t>
  </si>
  <si>
    <t>46,8487</t>
  </si>
  <si>
    <t>38,6253</t>
  </si>
  <si>
    <t xml:space="preserve">48(12+12+12+12) </t>
  </si>
  <si>
    <t xml:space="preserve">Рядинский Денис, Осетров Евгений, Рядинский Данила, Трофимов Дмитрий </t>
  </si>
  <si>
    <t>Кубок Белгородской области
Пауэрспорт Любители
Белгород/Белгородская область 14 - 15 декабря 2019 г.</t>
  </si>
  <si>
    <t>107,6563</t>
  </si>
  <si>
    <t>97,3995</t>
  </si>
  <si>
    <t>87,0220</t>
  </si>
  <si>
    <t xml:space="preserve">Куприй Валерий, Мишуров Кирилл </t>
  </si>
  <si>
    <t>Кубок Белгородской области
Пауэрспорт Профессионалы
Белгород/Белгородская область 14 - 15 декабря 2019 г.</t>
  </si>
  <si>
    <t>94,2459</t>
  </si>
  <si>
    <t>Кубок Белгородской области
Русская станова тяга любители 75 кг.
Белгород/Белгородская область 14 - 15 декабря 2019 г.</t>
  </si>
  <si>
    <t>Атлетизм</t>
  </si>
  <si>
    <t>Русская становая</t>
  </si>
  <si>
    <t>ВЕСОВАЯ КАТЕГОРИЯ   All</t>
  </si>
  <si>
    <t>Бульба Светлана</t>
  </si>
  <si>
    <t>1. Бульба Светлана</t>
  </si>
  <si>
    <t>Открытая (25.12.1987)/31</t>
  </si>
  <si>
    <t>47,85</t>
  </si>
  <si>
    <t>27,0</t>
  </si>
  <si>
    <t xml:space="preserve">Трезинский Александр </t>
  </si>
  <si>
    <t xml:space="preserve">Атлетизм </t>
  </si>
  <si>
    <t>All</t>
  </si>
  <si>
    <t>2025,0</t>
  </si>
  <si>
    <t>42,3197</t>
  </si>
  <si>
    <t xml:space="preserve">Бульба Светлана </t>
  </si>
  <si>
    <t>Кубок Белгородской области
Русская станова тяга любители 150 кг.
Белгород/Белгородская область 14 - 15 декабря 2019 г.</t>
  </si>
  <si>
    <t>Мастера 45 - 49 (20.12.1972)/46</t>
  </si>
  <si>
    <t>20,0</t>
  </si>
  <si>
    <t>3000,0</t>
  </si>
  <si>
    <t>38,0469</t>
  </si>
  <si>
    <t xml:space="preserve">Малышев Евгений </t>
  </si>
  <si>
    <t>Кубок Белгородской области
Русская станова тяга любители 200 кг.
Белгород/Белгородская область 14 - 15 декабря 2019 г.</t>
  </si>
  <si>
    <t>16,0</t>
  </si>
  <si>
    <t>3200,0</t>
  </si>
  <si>
    <t>38,8349</t>
  </si>
  <si>
    <t xml:space="preserve">Польшиков Василий </t>
  </si>
  <si>
    <t>Кубок Белгородской области
Русская станова тяга профессионалы 200 кг.
Белгород/Белгородская область 14 - 15 декабря 2019 г.</t>
  </si>
  <si>
    <t>2000,0</t>
  </si>
  <si>
    <t>25,2206</t>
  </si>
  <si>
    <t xml:space="preserve">Беглов Юрий </t>
  </si>
  <si>
    <t>Коробейников Д.Ю.</t>
  </si>
  <si>
    <t>Коробейникова О.В.</t>
  </si>
  <si>
    <t>Коробейников М.Ю.</t>
  </si>
  <si>
    <t>Гурный Н.Е.</t>
  </si>
  <si>
    <t>Назаренко А.Н.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</si>
</sst>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125" style="4" bestFit="1" customWidth="1"/>
    <col min="4" max="4" width="10.625" style="4" bestFit="1" customWidth="1"/>
    <col min="5" max="5" width="30.25390625" style="4" bestFit="1" customWidth="1"/>
    <col min="6" max="6" width="29.00390625" style="4" bestFit="1" customWidth="1"/>
    <col min="7" max="7" width="5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5" t="s">
        <v>590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565</v>
      </c>
      <c r="E3" s="30" t="s">
        <v>4</v>
      </c>
      <c r="F3" s="30" t="s">
        <v>8</v>
      </c>
      <c r="G3" s="30" t="s">
        <v>566</v>
      </c>
      <c r="H3" s="30"/>
      <c r="I3" s="30" t="s">
        <v>440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438</v>
      </c>
      <c r="H4" s="26" t="s">
        <v>439</v>
      </c>
      <c r="I4" s="31"/>
      <c r="J4" s="31"/>
      <c r="K4" s="33"/>
    </row>
    <row r="5" spans="1:10" ht="15">
      <c r="A5" s="34" t="s">
        <v>567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21" t="s">
        <v>425</v>
      </c>
      <c r="B6" s="21" t="s">
        <v>426</v>
      </c>
      <c r="C6" s="21" t="s">
        <v>427</v>
      </c>
      <c r="D6" s="21" t="str">
        <f>"1,0000"</f>
        <v>1,0000</v>
      </c>
      <c r="E6" s="21" t="s">
        <v>177</v>
      </c>
      <c r="F6" s="21" t="s">
        <v>428</v>
      </c>
      <c r="G6" s="25" t="s">
        <v>325</v>
      </c>
      <c r="H6" s="28" t="s">
        <v>543</v>
      </c>
      <c r="I6" s="21" t="str">
        <f>"2000,0"</f>
        <v>2000,0</v>
      </c>
      <c r="J6" s="25" t="str">
        <f>"25,2206"</f>
        <v>25,2206</v>
      </c>
      <c r="K6" s="21" t="s">
        <v>22</v>
      </c>
    </row>
    <row r="8" spans="5:6" ht="15">
      <c r="E8" s="15" t="s">
        <v>87</v>
      </c>
      <c r="F8" s="4" t="s">
        <v>594</v>
      </c>
    </row>
    <row r="9" spans="5:6" ht="15">
      <c r="E9" s="15" t="s">
        <v>88</v>
      </c>
      <c r="F9" s="4" t="s">
        <v>595</v>
      </c>
    </row>
    <row r="10" spans="5:6" ht="15">
      <c r="E10" s="15" t="s">
        <v>89</v>
      </c>
      <c r="F10" s="4" t="s">
        <v>596</v>
      </c>
    </row>
    <row r="11" spans="5:6" ht="15">
      <c r="E11" s="15" t="s">
        <v>90</v>
      </c>
      <c r="F11" s="4" t="s">
        <v>598</v>
      </c>
    </row>
    <row r="12" spans="5:6" ht="15">
      <c r="E12" s="15" t="s">
        <v>90</v>
      </c>
      <c r="F12" s="4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115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574</v>
      </c>
    </row>
    <row r="20" spans="1:5" ht="12.75">
      <c r="A20" s="18" t="s">
        <v>424</v>
      </c>
      <c r="B20" s="4" t="s">
        <v>116</v>
      </c>
      <c r="C20" s="4" t="s">
        <v>575</v>
      </c>
      <c r="D20" s="4" t="s">
        <v>591</v>
      </c>
      <c r="E20" s="23" t="s">
        <v>592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177</v>
      </c>
      <c r="B27" s="4" t="s">
        <v>128</v>
      </c>
      <c r="C27" s="4" t="s">
        <v>593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5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875" style="4" bestFit="1" customWidth="1"/>
    <col min="14" max="16384" width="9.125" style="3" customWidth="1"/>
  </cols>
  <sheetData>
    <row r="1" spans="1:13" s="2" customFormat="1" ht="28.5" customHeight="1">
      <c r="A1" s="35" t="s">
        <v>450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451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453</v>
      </c>
      <c r="B6" s="21" t="s">
        <v>454</v>
      </c>
      <c r="C6" s="21" t="s">
        <v>455</v>
      </c>
      <c r="D6" s="21" t="str">
        <f>"0,6694"</f>
        <v>0,6694</v>
      </c>
      <c r="E6" s="21" t="s">
        <v>37</v>
      </c>
      <c r="F6" s="21" t="s">
        <v>18</v>
      </c>
      <c r="G6" s="25" t="s">
        <v>188</v>
      </c>
      <c r="H6" s="25" t="s">
        <v>190</v>
      </c>
      <c r="I6" s="25" t="s">
        <v>207</v>
      </c>
      <c r="J6" s="24"/>
      <c r="K6" s="21" t="str">
        <f>"70,0"</f>
        <v>70,0</v>
      </c>
      <c r="L6" s="25" t="str">
        <f>"46,8580"</f>
        <v>46,8580</v>
      </c>
      <c r="M6" s="21" t="s">
        <v>131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106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98</v>
      </c>
    </row>
    <row r="20" spans="1:5" ht="12.75">
      <c r="A20" s="18" t="s">
        <v>452</v>
      </c>
      <c r="B20" s="4" t="s">
        <v>106</v>
      </c>
      <c r="C20" s="4" t="s">
        <v>100</v>
      </c>
      <c r="D20" s="4" t="s">
        <v>207</v>
      </c>
      <c r="E20" s="23" t="s">
        <v>456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37</v>
      </c>
      <c r="B27" s="4" t="s">
        <v>128</v>
      </c>
      <c r="C27" s="4" t="s">
        <v>457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14.00390625" style="4" bestFit="1" customWidth="1"/>
    <col min="4" max="4" width="10.75390625" style="4" bestFit="1" customWidth="1"/>
    <col min="5" max="5" width="22.75390625" style="4" bestFit="1" customWidth="1"/>
    <col min="6" max="6" width="32.125" style="4" bestFit="1" customWidth="1"/>
    <col min="7" max="7" width="4.625" style="3" bestFit="1" customWidth="1"/>
    <col min="8" max="8" width="4.625" style="27" bestFit="1" customWidth="1"/>
    <col min="9" max="9" width="7.875" style="4" bestFit="1" customWidth="1"/>
    <col min="10" max="10" width="9.625" style="3" bestFit="1" customWidth="1"/>
    <col min="11" max="11" width="27.875" style="4" bestFit="1" customWidth="1"/>
    <col min="12" max="16384" width="9.125" style="3" customWidth="1"/>
  </cols>
  <sheetData>
    <row r="1" spans="1:11" s="2" customFormat="1" ht="28.5" customHeight="1">
      <c r="A1" s="35" t="s">
        <v>441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442</v>
      </c>
      <c r="E3" s="30" t="s">
        <v>4</v>
      </c>
      <c r="F3" s="30" t="s">
        <v>8</v>
      </c>
      <c r="G3" s="30" t="s">
        <v>443</v>
      </c>
      <c r="H3" s="30"/>
      <c r="I3" s="30" t="s">
        <v>440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438</v>
      </c>
      <c r="H4" s="26" t="s">
        <v>439</v>
      </c>
      <c r="I4" s="31"/>
      <c r="J4" s="31"/>
      <c r="K4" s="33"/>
    </row>
    <row r="5" spans="1:10" ht="15">
      <c r="A5" s="34" t="s">
        <v>183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21" t="s">
        <v>210</v>
      </c>
      <c r="B6" s="21" t="s">
        <v>211</v>
      </c>
      <c r="C6" s="21" t="s">
        <v>212</v>
      </c>
      <c r="D6" s="21" t="str">
        <f>"0,9200"</f>
        <v>0,9200</v>
      </c>
      <c r="E6" s="21" t="s">
        <v>205</v>
      </c>
      <c r="F6" s="21" t="s">
        <v>206</v>
      </c>
      <c r="G6" s="25" t="s">
        <v>444</v>
      </c>
      <c r="H6" s="28" t="s">
        <v>445</v>
      </c>
      <c r="I6" s="21" t="str">
        <f>"1770,0"</f>
        <v>1770,0</v>
      </c>
      <c r="J6" s="25" t="str">
        <f>"1628,4000"</f>
        <v>1628,4000</v>
      </c>
      <c r="K6" s="21" t="s">
        <v>208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93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446</v>
      </c>
    </row>
    <row r="20" spans="1:5" ht="12.75">
      <c r="A20" s="18" t="s">
        <v>209</v>
      </c>
      <c r="B20" s="4" t="s">
        <v>287</v>
      </c>
      <c r="C20" s="4" t="s">
        <v>282</v>
      </c>
      <c r="D20" s="4" t="s">
        <v>447</v>
      </c>
      <c r="E20" s="23" t="s">
        <v>448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205</v>
      </c>
      <c r="B27" s="4" t="s">
        <v>128</v>
      </c>
      <c r="C27" s="4" t="s">
        <v>449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5.375" style="4" bestFit="1" customWidth="1"/>
    <col min="4" max="4" width="9.25390625" style="4" bestFit="1" customWidth="1"/>
    <col min="5" max="5" width="30.2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7.875" style="4" bestFit="1" customWidth="1"/>
    <col min="18" max="16384" width="9.125" style="3" customWidth="1"/>
  </cols>
  <sheetData>
    <row r="1" spans="1:17" s="2" customFormat="1" ht="28.5" customHeight="1">
      <c r="A1" s="35" t="s">
        <v>418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336</v>
      </c>
      <c r="L3" s="30"/>
      <c r="M3" s="30"/>
      <c r="N3" s="30"/>
      <c r="O3" s="30" t="s">
        <v>1</v>
      </c>
      <c r="P3" s="30" t="s">
        <v>3</v>
      </c>
      <c r="Q3" s="32" t="s">
        <v>2</v>
      </c>
    </row>
    <row r="4" spans="1:17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1"/>
      <c r="P4" s="31"/>
      <c r="Q4" s="33"/>
    </row>
    <row r="5" spans="1:16" ht="1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2.75">
      <c r="A6" s="6" t="s">
        <v>420</v>
      </c>
      <c r="B6" s="6" t="s">
        <v>421</v>
      </c>
      <c r="C6" s="6" t="s">
        <v>422</v>
      </c>
      <c r="D6" s="6" t="str">
        <f>"0,6332"</f>
        <v>0,6332</v>
      </c>
      <c r="E6" s="6" t="s">
        <v>177</v>
      </c>
      <c r="F6" s="6" t="s">
        <v>178</v>
      </c>
      <c r="G6" s="8" t="s">
        <v>423</v>
      </c>
      <c r="H6" s="7" t="s">
        <v>19</v>
      </c>
      <c r="I6" s="7" t="s">
        <v>19</v>
      </c>
      <c r="J6" s="7"/>
      <c r="K6" s="8" t="s">
        <v>227</v>
      </c>
      <c r="L6" s="8" t="s">
        <v>85</v>
      </c>
      <c r="M6" s="8" t="s">
        <v>86</v>
      </c>
      <c r="N6" s="7"/>
      <c r="O6" s="6" t="str">
        <f>"227,5"</f>
        <v>227,5</v>
      </c>
      <c r="P6" s="8" t="str">
        <f>"169,9825"</f>
        <v>169,9825</v>
      </c>
      <c r="Q6" s="6" t="s">
        <v>182</v>
      </c>
    </row>
    <row r="7" spans="1:17" ht="12.75">
      <c r="A7" s="12" t="s">
        <v>425</v>
      </c>
      <c r="B7" s="12" t="s">
        <v>426</v>
      </c>
      <c r="C7" s="12" t="s">
        <v>427</v>
      </c>
      <c r="D7" s="12" t="str">
        <f>"0,6370"</f>
        <v>0,6370</v>
      </c>
      <c r="E7" s="12" t="s">
        <v>177</v>
      </c>
      <c r="F7" s="12" t="s">
        <v>428</v>
      </c>
      <c r="G7" s="14" t="s">
        <v>29</v>
      </c>
      <c r="H7" s="14" t="s">
        <v>429</v>
      </c>
      <c r="I7" s="14" t="s">
        <v>56</v>
      </c>
      <c r="J7" s="13"/>
      <c r="K7" s="14" t="s">
        <v>401</v>
      </c>
      <c r="L7" s="14" t="s">
        <v>357</v>
      </c>
      <c r="M7" s="13"/>
      <c r="N7" s="13"/>
      <c r="O7" s="12" t="str">
        <f>"365,0"</f>
        <v>365,0</v>
      </c>
      <c r="P7" s="14" t="str">
        <f>"309,2317"</f>
        <v>309,2317</v>
      </c>
      <c r="Q7" s="12" t="s">
        <v>22</v>
      </c>
    </row>
    <row r="9" spans="1:16" ht="15">
      <c r="A9" s="44" t="s">
        <v>139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7" ht="12.75">
      <c r="A10" s="21" t="s">
        <v>328</v>
      </c>
      <c r="B10" s="21" t="s">
        <v>329</v>
      </c>
      <c r="C10" s="21" t="s">
        <v>430</v>
      </c>
      <c r="D10" s="21" t="str">
        <f>"0,5312"</f>
        <v>0,5312</v>
      </c>
      <c r="E10" s="21" t="s">
        <v>177</v>
      </c>
      <c r="F10" s="21" t="s">
        <v>178</v>
      </c>
      <c r="G10" s="25" t="s">
        <v>261</v>
      </c>
      <c r="H10" s="25" t="s">
        <v>78</v>
      </c>
      <c r="I10" s="24"/>
      <c r="J10" s="24"/>
      <c r="K10" s="25" t="s">
        <v>402</v>
      </c>
      <c r="L10" s="25" t="s">
        <v>403</v>
      </c>
      <c r="M10" s="24"/>
      <c r="N10" s="24"/>
      <c r="O10" s="21" t="str">
        <f>"432,5"</f>
        <v>432,5</v>
      </c>
      <c r="P10" s="25" t="str">
        <f>"229,7440"</f>
        <v>229,7440</v>
      </c>
      <c r="Q10" s="21" t="s">
        <v>22</v>
      </c>
    </row>
    <row r="12" spans="5:6" ht="15">
      <c r="E12" s="15" t="s">
        <v>87</v>
      </c>
      <c r="F12" s="29" t="s">
        <v>594</v>
      </c>
    </row>
    <row r="13" spans="5:6" ht="15">
      <c r="E13" s="15" t="s">
        <v>88</v>
      </c>
      <c r="F13" s="29" t="s">
        <v>595</v>
      </c>
    </row>
    <row r="14" spans="5:6" ht="15">
      <c r="E14" s="15" t="s">
        <v>89</v>
      </c>
      <c r="F14" s="29" t="s">
        <v>596</v>
      </c>
    </row>
    <row r="15" spans="5:6" ht="15">
      <c r="E15" s="15" t="s">
        <v>90</v>
      </c>
      <c r="F15" s="29" t="s">
        <v>598</v>
      </c>
    </row>
    <row r="16" spans="5:6" ht="15">
      <c r="E16" s="15" t="s">
        <v>90</v>
      </c>
      <c r="F16" s="29" t="s">
        <v>597</v>
      </c>
    </row>
    <row r="17" ht="15">
      <c r="E17" s="15"/>
    </row>
    <row r="18" ht="15">
      <c r="E18" s="15"/>
    </row>
    <row r="20" spans="1:2" ht="18">
      <c r="A20" s="16" t="s">
        <v>91</v>
      </c>
      <c r="B20" s="16"/>
    </row>
    <row r="21" spans="1:2" ht="15">
      <c r="A21" s="17" t="s">
        <v>92</v>
      </c>
      <c r="B21" s="17"/>
    </row>
    <row r="22" spans="1:2" ht="14.25">
      <c r="A22" s="19"/>
      <c r="B22" s="20" t="s">
        <v>93</v>
      </c>
    </row>
    <row r="23" spans="1:5" ht="15">
      <c r="A23" s="22" t="s">
        <v>94</v>
      </c>
      <c r="B23" s="22" t="s">
        <v>95</v>
      </c>
      <c r="C23" s="22" t="s">
        <v>96</v>
      </c>
      <c r="D23" s="22" t="s">
        <v>97</v>
      </c>
      <c r="E23" s="22" t="s">
        <v>98</v>
      </c>
    </row>
    <row r="24" spans="1:5" ht="12.75">
      <c r="A24" s="18" t="s">
        <v>419</v>
      </c>
      <c r="B24" s="4" t="s">
        <v>290</v>
      </c>
      <c r="C24" s="4" t="s">
        <v>104</v>
      </c>
      <c r="D24" s="4" t="s">
        <v>431</v>
      </c>
      <c r="E24" s="23" t="s">
        <v>432</v>
      </c>
    </row>
    <row r="26" spans="1:2" ht="14.25">
      <c r="A26" s="19"/>
      <c r="B26" s="20" t="s">
        <v>106</v>
      </c>
    </row>
    <row r="27" spans="1:5" ht="15">
      <c r="A27" s="22" t="s">
        <v>94</v>
      </c>
      <c r="B27" s="22" t="s">
        <v>95</v>
      </c>
      <c r="C27" s="22" t="s">
        <v>96</v>
      </c>
      <c r="D27" s="22" t="s">
        <v>97</v>
      </c>
      <c r="E27" s="22" t="s">
        <v>98</v>
      </c>
    </row>
    <row r="28" spans="1:5" ht="12.75">
      <c r="A28" s="18" t="s">
        <v>327</v>
      </c>
      <c r="B28" s="4" t="s">
        <v>106</v>
      </c>
      <c r="C28" s="4" t="s">
        <v>146</v>
      </c>
      <c r="D28" s="4" t="s">
        <v>433</v>
      </c>
      <c r="E28" s="23" t="s">
        <v>434</v>
      </c>
    </row>
    <row r="30" spans="1:2" ht="14.25">
      <c r="A30" s="19"/>
      <c r="B30" s="20" t="s">
        <v>115</v>
      </c>
    </row>
    <row r="31" spans="1:5" ht="15">
      <c r="A31" s="22" t="s">
        <v>94</v>
      </c>
      <c r="B31" s="22" t="s">
        <v>95</v>
      </c>
      <c r="C31" s="22" t="s">
        <v>96</v>
      </c>
      <c r="D31" s="22" t="s">
        <v>97</v>
      </c>
      <c r="E31" s="22" t="s">
        <v>98</v>
      </c>
    </row>
    <row r="32" spans="1:5" ht="12.75">
      <c r="A32" s="18" t="s">
        <v>424</v>
      </c>
      <c r="B32" s="4" t="s">
        <v>116</v>
      </c>
      <c r="C32" s="4" t="s">
        <v>104</v>
      </c>
      <c r="D32" s="4" t="s">
        <v>435</v>
      </c>
      <c r="E32" s="23" t="s">
        <v>436</v>
      </c>
    </row>
    <row r="37" spans="1:2" ht="18">
      <c r="A37" s="16" t="s">
        <v>120</v>
      </c>
      <c r="B37" s="16"/>
    </row>
    <row r="38" spans="1:3" ht="15">
      <c r="A38" s="22" t="s">
        <v>121</v>
      </c>
      <c r="B38" s="22" t="s">
        <v>122</v>
      </c>
      <c r="C38" s="22" t="s">
        <v>123</v>
      </c>
    </row>
    <row r="39" spans="1:3" ht="12.75">
      <c r="A39" s="4" t="s">
        <v>177</v>
      </c>
      <c r="B39" s="4" t="s">
        <v>416</v>
      </c>
      <c r="C39" s="4" t="s">
        <v>437</v>
      </c>
    </row>
  </sheetData>
  <sheetProtection/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9:P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50.375" style="4" bestFit="1" customWidth="1"/>
    <col min="4" max="4" width="9.25390625" style="4" bestFit="1" customWidth="1"/>
    <col min="5" max="5" width="30.25390625" style="4" bestFit="1" customWidth="1"/>
    <col min="6" max="6" width="24.75390625" style="4" bestFit="1" customWidth="1"/>
    <col min="7" max="9" width="4.625" style="3" bestFit="1" customWidth="1"/>
    <col min="10" max="10" width="4.875" style="3" bestFit="1" customWidth="1"/>
    <col min="11" max="14" width="5.625" style="3" bestFit="1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35" t="s">
        <v>409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336</v>
      </c>
      <c r="L3" s="30"/>
      <c r="M3" s="30"/>
      <c r="N3" s="30"/>
      <c r="O3" s="30" t="s">
        <v>1</v>
      </c>
      <c r="P3" s="30" t="s">
        <v>3</v>
      </c>
      <c r="Q3" s="32" t="s">
        <v>2</v>
      </c>
    </row>
    <row r="4" spans="1:17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1"/>
      <c r="P4" s="31"/>
      <c r="Q4" s="33"/>
    </row>
    <row r="5" spans="1:16" ht="15">
      <c r="A5" s="34" t="s">
        <v>183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2.75">
      <c r="A6" s="21" t="s">
        <v>185</v>
      </c>
      <c r="B6" s="21" t="s">
        <v>186</v>
      </c>
      <c r="C6" s="21" t="s">
        <v>187</v>
      </c>
      <c r="D6" s="21" t="str">
        <f>"0,8921"</f>
        <v>0,8921</v>
      </c>
      <c r="E6" s="21" t="s">
        <v>177</v>
      </c>
      <c r="F6" s="21" t="s">
        <v>28</v>
      </c>
      <c r="G6" s="25" t="s">
        <v>188</v>
      </c>
      <c r="H6" s="25" t="s">
        <v>189</v>
      </c>
      <c r="I6" s="25" t="s">
        <v>190</v>
      </c>
      <c r="J6" s="24"/>
      <c r="K6" s="25" t="s">
        <v>54</v>
      </c>
      <c r="L6" s="25" t="s">
        <v>61</v>
      </c>
      <c r="M6" s="25" t="s">
        <v>339</v>
      </c>
      <c r="N6" s="25" t="s">
        <v>29</v>
      </c>
      <c r="O6" s="21" t="str">
        <f>"182,5"</f>
        <v>182,5</v>
      </c>
      <c r="P6" s="25" t="str">
        <f>"303,6544"</f>
        <v>303,6544</v>
      </c>
      <c r="Q6" s="21" t="s">
        <v>191</v>
      </c>
    </row>
    <row r="8" spans="1:16" ht="15">
      <c r="A8" s="44" t="s">
        <v>192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7" ht="12.75">
      <c r="A9" s="21" t="s">
        <v>194</v>
      </c>
      <c r="B9" s="21" t="s">
        <v>195</v>
      </c>
      <c r="C9" s="21" t="s">
        <v>196</v>
      </c>
      <c r="D9" s="21" t="str">
        <f>"0,8015"</f>
        <v>0,8015</v>
      </c>
      <c r="E9" s="21" t="s">
        <v>177</v>
      </c>
      <c r="F9" s="21" t="s">
        <v>178</v>
      </c>
      <c r="G9" s="25" t="s">
        <v>181</v>
      </c>
      <c r="H9" s="25" t="s">
        <v>188</v>
      </c>
      <c r="I9" s="24" t="s">
        <v>190</v>
      </c>
      <c r="J9" s="24"/>
      <c r="K9" s="25" t="s">
        <v>21</v>
      </c>
      <c r="L9" s="25" t="s">
        <v>213</v>
      </c>
      <c r="M9" s="25" t="s">
        <v>338</v>
      </c>
      <c r="N9" s="24"/>
      <c r="O9" s="21" t="str">
        <f>"157,5"</f>
        <v>157,5</v>
      </c>
      <c r="P9" s="25" t="str">
        <f>"126,6229"</f>
        <v>126,6229</v>
      </c>
      <c r="Q9" s="21" t="s">
        <v>182</v>
      </c>
    </row>
    <row r="11" spans="1:16" ht="15">
      <c r="A11" s="44" t="s">
        <v>12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7" ht="12.75">
      <c r="A12" s="21" t="s">
        <v>198</v>
      </c>
      <c r="B12" s="21" t="s">
        <v>199</v>
      </c>
      <c r="C12" s="21" t="s">
        <v>410</v>
      </c>
      <c r="D12" s="21" t="str">
        <f>"0,7666"</f>
        <v>0,7666</v>
      </c>
      <c r="E12" s="21" t="s">
        <v>177</v>
      </c>
      <c r="F12" s="21" t="s">
        <v>178</v>
      </c>
      <c r="G12" s="25" t="s">
        <v>411</v>
      </c>
      <c r="H12" s="25" t="s">
        <v>189</v>
      </c>
      <c r="I12" s="25" t="s">
        <v>190</v>
      </c>
      <c r="J12" s="24"/>
      <c r="K12" s="25" t="s">
        <v>245</v>
      </c>
      <c r="L12" s="25" t="s">
        <v>44</v>
      </c>
      <c r="M12" s="24"/>
      <c r="N12" s="24"/>
      <c r="O12" s="21" t="str">
        <f>"175,0"</f>
        <v>175,0</v>
      </c>
      <c r="P12" s="25" t="str">
        <f>"134,1550"</f>
        <v>134,1550</v>
      </c>
      <c r="Q12" s="21" t="s">
        <v>182</v>
      </c>
    </row>
    <row r="14" spans="5:6" ht="15">
      <c r="E14" s="15" t="s">
        <v>87</v>
      </c>
      <c r="F14" s="29" t="s">
        <v>594</v>
      </c>
    </row>
    <row r="15" spans="5:6" ht="15">
      <c r="E15" s="15" t="s">
        <v>88</v>
      </c>
      <c r="F15" s="29" t="s">
        <v>595</v>
      </c>
    </row>
    <row r="16" spans="5:6" ht="15">
      <c r="E16" s="15" t="s">
        <v>89</v>
      </c>
      <c r="F16" s="29" t="s">
        <v>596</v>
      </c>
    </row>
    <row r="17" spans="5:6" ht="15">
      <c r="E17" s="15" t="s">
        <v>90</v>
      </c>
      <c r="F17" s="29" t="s">
        <v>598</v>
      </c>
    </row>
    <row r="18" spans="5:6" ht="15">
      <c r="E18" s="15" t="s">
        <v>90</v>
      </c>
      <c r="F18" s="29" t="s">
        <v>597</v>
      </c>
    </row>
    <row r="19" ht="15">
      <c r="E19" s="15"/>
    </row>
    <row r="20" ht="15">
      <c r="E20" s="15"/>
    </row>
    <row r="22" spans="1:2" ht="18">
      <c r="A22" s="16" t="s">
        <v>91</v>
      </c>
      <c r="B22" s="16"/>
    </row>
    <row r="23" spans="1:2" ht="15">
      <c r="A23" s="17" t="s">
        <v>276</v>
      </c>
      <c r="B23" s="17"/>
    </row>
    <row r="24" spans="1:2" ht="14.25">
      <c r="A24" s="19"/>
      <c r="B24" s="20" t="s">
        <v>277</v>
      </c>
    </row>
    <row r="25" spans="1:5" ht="15">
      <c r="A25" s="22" t="s">
        <v>94</v>
      </c>
      <c r="B25" s="22" t="s">
        <v>95</v>
      </c>
      <c r="C25" s="22" t="s">
        <v>96</v>
      </c>
      <c r="D25" s="22" t="s">
        <v>97</v>
      </c>
      <c r="E25" s="22" t="s">
        <v>98</v>
      </c>
    </row>
    <row r="26" spans="1:5" ht="12.75">
      <c r="A26" s="18" t="s">
        <v>197</v>
      </c>
      <c r="B26" s="4" t="s">
        <v>103</v>
      </c>
      <c r="C26" s="4" t="s">
        <v>100</v>
      </c>
      <c r="D26" s="4" t="s">
        <v>80</v>
      </c>
      <c r="E26" s="23" t="s">
        <v>412</v>
      </c>
    </row>
    <row r="28" spans="1:2" ht="14.25">
      <c r="A28" s="19"/>
      <c r="B28" s="20" t="s">
        <v>115</v>
      </c>
    </row>
    <row r="29" spans="1:5" ht="15">
      <c r="A29" s="22" t="s">
        <v>94</v>
      </c>
      <c r="B29" s="22" t="s">
        <v>95</v>
      </c>
      <c r="C29" s="22" t="s">
        <v>96</v>
      </c>
      <c r="D29" s="22" t="s">
        <v>97</v>
      </c>
      <c r="E29" s="22" t="s">
        <v>98</v>
      </c>
    </row>
    <row r="30" spans="1:5" ht="12.75">
      <c r="A30" s="18" t="s">
        <v>184</v>
      </c>
      <c r="B30" s="4" t="s">
        <v>281</v>
      </c>
      <c r="C30" s="4" t="s">
        <v>282</v>
      </c>
      <c r="D30" s="4" t="s">
        <v>413</v>
      </c>
      <c r="E30" s="23" t="s">
        <v>414</v>
      </c>
    </row>
    <row r="31" spans="1:5" ht="12.75">
      <c r="A31" s="18" t="s">
        <v>193</v>
      </c>
      <c r="B31" s="4" t="s">
        <v>284</v>
      </c>
      <c r="C31" s="4" t="s">
        <v>285</v>
      </c>
      <c r="D31" s="4" t="s">
        <v>274</v>
      </c>
      <c r="E31" s="23" t="s">
        <v>415</v>
      </c>
    </row>
    <row r="36" spans="1:2" ht="18">
      <c r="A36" s="16" t="s">
        <v>120</v>
      </c>
      <c r="B36" s="16"/>
    </row>
    <row r="37" spans="1:3" ht="15">
      <c r="A37" s="22" t="s">
        <v>121</v>
      </c>
      <c r="B37" s="22" t="s">
        <v>122</v>
      </c>
      <c r="C37" s="22" t="s">
        <v>123</v>
      </c>
    </row>
    <row r="38" spans="1:3" ht="12.75">
      <c r="A38" s="4" t="s">
        <v>177</v>
      </c>
      <c r="B38" s="4" t="s">
        <v>416</v>
      </c>
      <c r="C38" s="4" t="s">
        <v>417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1.875" style="4" bestFit="1" customWidth="1"/>
    <col min="2" max="2" width="26.625" style="4" bestFit="1" customWidth="1"/>
    <col min="3" max="3" width="17.875" style="4" bestFit="1" customWidth="1"/>
    <col min="4" max="4" width="9.25390625" style="4" bestFit="1" customWidth="1"/>
    <col min="5" max="5" width="30.2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7.875" style="4" bestFit="1" customWidth="1"/>
    <col min="14" max="16384" width="9.125" style="3" customWidth="1"/>
  </cols>
  <sheetData>
    <row r="1" spans="1:13" s="2" customFormat="1" ht="28.5" customHeight="1">
      <c r="A1" s="35" t="s">
        <v>384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336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386</v>
      </c>
      <c r="B6" s="21" t="s">
        <v>387</v>
      </c>
      <c r="C6" s="21" t="s">
        <v>388</v>
      </c>
      <c r="D6" s="21" t="str">
        <f>"0,6687"</f>
        <v>0,6687</v>
      </c>
      <c r="E6" s="21" t="s">
        <v>205</v>
      </c>
      <c r="F6" s="21" t="s">
        <v>206</v>
      </c>
      <c r="G6" s="25" t="s">
        <v>389</v>
      </c>
      <c r="H6" s="25" t="s">
        <v>261</v>
      </c>
      <c r="I6" s="25" t="s">
        <v>78</v>
      </c>
      <c r="J6" s="24"/>
      <c r="K6" s="21" t="str">
        <f>"160,0"</f>
        <v>160,0</v>
      </c>
      <c r="L6" s="25" t="str">
        <f>"126,2506"</f>
        <v>126,2506</v>
      </c>
      <c r="M6" s="21" t="s">
        <v>208</v>
      </c>
    </row>
    <row r="8" spans="1:12" ht="15">
      <c r="A8" s="44" t="s">
        <v>72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6" t="s">
        <v>391</v>
      </c>
      <c r="B9" s="6" t="s">
        <v>392</v>
      </c>
      <c r="C9" s="6" t="s">
        <v>393</v>
      </c>
      <c r="D9" s="6" t="str">
        <f>"0,5540"</f>
        <v>0,5540</v>
      </c>
      <c r="E9" s="6" t="s">
        <v>17</v>
      </c>
      <c r="F9" s="6" t="s">
        <v>206</v>
      </c>
      <c r="G9" s="8" t="s">
        <v>394</v>
      </c>
      <c r="H9" s="8" t="s">
        <v>395</v>
      </c>
      <c r="I9" s="7" t="s">
        <v>396</v>
      </c>
      <c r="J9" s="7"/>
      <c r="K9" s="6" t="str">
        <f>"300,0"</f>
        <v>300,0</v>
      </c>
      <c r="L9" s="8" t="str">
        <f>"166,2000"</f>
        <v>166,2000</v>
      </c>
      <c r="M9" s="6" t="s">
        <v>22</v>
      </c>
    </row>
    <row r="10" spans="1:13" ht="12.75">
      <c r="A10" s="12" t="s">
        <v>398</v>
      </c>
      <c r="B10" s="12" t="s">
        <v>399</v>
      </c>
      <c r="C10" s="12" t="s">
        <v>400</v>
      </c>
      <c r="D10" s="12" t="str">
        <f>"0,5586"</f>
        <v>0,5586</v>
      </c>
      <c r="E10" s="12" t="s">
        <v>17</v>
      </c>
      <c r="F10" s="12" t="s">
        <v>18</v>
      </c>
      <c r="G10" s="14" t="s">
        <v>156</v>
      </c>
      <c r="H10" s="14" t="s">
        <v>401</v>
      </c>
      <c r="I10" s="14" t="s">
        <v>357</v>
      </c>
      <c r="J10" s="13"/>
      <c r="K10" s="12" t="str">
        <f>"240,0"</f>
        <v>240,0</v>
      </c>
      <c r="L10" s="14" t="str">
        <f>"134,0640"</f>
        <v>134,0640</v>
      </c>
      <c r="M10" s="12" t="s">
        <v>22</v>
      </c>
    </row>
    <row r="12" spans="1:12" ht="15">
      <c r="A12" s="44" t="s">
        <v>139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2.75">
      <c r="A13" s="21" t="s">
        <v>328</v>
      </c>
      <c r="B13" s="21" t="s">
        <v>329</v>
      </c>
      <c r="C13" s="21" t="s">
        <v>330</v>
      </c>
      <c r="D13" s="21" t="str">
        <f>"0,5303"</f>
        <v>0,5303</v>
      </c>
      <c r="E13" s="21" t="s">
        <v>177</v>
      </c>
      <c r="F13" s="21" t="s">
        <v>178</v>
      </c>
      <c r="G13" s="25" t="s">
        <v>402</v>
      </c>
      <c r="H13" s="25" t="s">
        <v>403</v>
      </c>
      <c r="I13" s="24"/>
      <c r="J13" s="24"/>
      <c r="K13" s="21" t="str">
        <f>"272,5"</f>
        <v>272,5</v>
      </c>
      <c r="L13" s="25" t="str">
        <f>"144,5068"</f>
        <v>144,5068</v>
      </c>
      <c r="M13" s="21" t="s">
        <v>22</v>
      </c>
    </row>
    <row r="15" spans="5:6" ht="15">
      <c r="E15" s="15" t="s">
        <v>87</v>
      </c>
      <c r="F15" s="29" t="s">
        <v>594</v>
      </c>
    </row>
    <row r="16" spans="5:6" ht="15">
      <c r="E16" s="15" t="s">
        <v>88</v>
      </c>
      <c r="F16" s="29" t="s">
        <v>595</v>
      </c>
    </row>
    <row r="17" spans="5:6" ht="15">
      <c r="E17" s="15" t="s">
        <v>89</v>
      </c>
      <c r="F17" s="29" t="s">
        <v>596</v>
      </c>
    </row>
    <row r="18" spans="5:6" ht="15">
      <c r="E18" s="15" t="s">
        <v>90</v>
      </c>
      <c r="F18" s="29" t="s">
        <v>598</v>
      </c>
    </row>
    <row r="19" spans="5:6" ht="15">
      <c r="E19" s="15" t="s">
        <v>90</v>
      </c>
      <c r="F19" s="29" t="s">
        <v>597</v>
      </c>
    </row>
    <row r="20" ht="15">
      <c r="E20" s="15"/>
    </row>
    <row r="21" ht="15">
      <c r="E21" s="15"/>
    </row>
    <row r="23" spans="1:2" ht="18">
      <c r="A23" s="16" t="s">
        <v>91</v>
      </c>
      <c r="B23" s="16"/>
    </row>
    <row r="24" spans="1:2" ht="15">
      <c r="A24" s="17" t="s">
        <v>92</v>
      </c>
      <c r="B24" s="17"/>
    </row>
    <row r="25" spans="1:2" ht="14.25">
      <c r="A25" s="19"/>
      <c r="B25" s="20" t="s">
        <v>93</v>
      </c>
    </row>
    <row r="26" spans="1:5" ht="15">
      <c r="A26" s="22" t="s">
        <v>94</v>
      </c>
      <c r="B26" s="22" t="s">
        <v>95</v>
      </c>
      <c r="C26" s="22" t="s">
        <v>96</v>
      </c>
      <c r="D26" s="22" t="s">
        <v>97</v>
      </c>
      <c r="E26" s="22" t="s">
        <v>98</v>
      </c>
    </row>
    <row r="27" spans="1:5" ht="12.75">
      <c r="A27" s="18" t="s">
        <v>385</v>
      </c>
      <c r="B27" s="4" t="s">
        <v>290</v>
      </c>
      <c r="C27" s="4" t="s">
        <v>100</v>
      </c>
      <c r="D27" s="4" t="s">
        <v>78</v>
      </c>
      <c r="E27" s="23" t="s">
        <v>404</v>
      </c>
    </row>
    <row r="29" spans="1:2" ht="14.25">
      <c r="A29" s="19"/>
      <c r="B29" s="20" t="s">
        <v>106</v>
      </c>
    </row>
    <row r="30" spans="1:5" ht="15">
      <c r="A30" s="22" t="s">
        <v>94</v>
      </c>
      <c r="B30" s="22" t="s">
        <v>95</v>
      </c>
      <c r="C30" s="22" t="s">
        <v>96</v>
      </c>
      <c r="D30" s="22" t="s">
        <v>97</v>
      </c>
      <c r="E30" s="22" t="s">
        <v>98</v>
      </c>
    </row>
    <row r="31" spans="1:5" ht="12.75">
      <c r="A31" s="18" t="s">
        <v>390</v>
      </c>
      <c r="B31" s="4" t="s">
        <v>106</v>
      </c>
      <c r="C31" s="4" t="s">
        <v>107</v>
      </c>
      <c r="D31" s="4" t="s">
        <v>395</v>
      </c>
      <c r="E31" s="23" t="s">
        <v>405</v>
      </c>
    </row>
    <row r="32" spans="1:5" ht="12.75">
      <c r="A32" s="18" t="s">
        <v>327</v>
      </c>
      <c r="B32" s="4" t="s">
        <v>106</v>
      </c>
      <c r="C32" s="4" t="s">
        <v>146</v>
      </c>
      <c r="D32" s="4" t="s">
        <v>403</v>
      </c>
      <c r="E32" s="23" t="s">
        <v>406</v>
      </c>
    </row>
    <row r="33" spans="1:5" ht="12.75">
      <c r="A33" s="18" t="s">
        <v>397</v>
      </c>
      <c r="B33" s="4" t="s">
        <v>106</v>
      </c>
      <c r="C33" s="4" t="s">
        <v>107</v>
      </c>
      <c r="D33" s="4" t="s">
        <v>357</v>
      </c>
      <c r="E33" s="23" t="s">
        <v>407</v>
      </c>
    </row>
    <row r="38" spans="1:2" ht="18">
      <c r="A38" s="16" t="s">
        <v>120</v>
      </c>
      <c r="B38" s="16"/>
    </row>
    <row r="39" spans="1:3" ht="15">
      <c r="A39" s="22" t="s">
        <v>121</v>
      </c>
      <c r="B39" s="22" t="s">
        <v>122</v>
      </c>
      <c r="C39" s="22" t="s">
        <v>123</v>
      </c>
    </row>
    <row r="40" spans="1:3" ht="12.75">
      <c r="A40" s="4" t="s">
        <v>177</v>
      </c>
      <c r="B40" s="4" t="s">
        <v>128</v>
      </c>
      <c r="C40" s="4" t="s">
        <v>182</v>
      </c>
    </row>
    <row r="41" spans="1:3" ht="12.75">
      <c r="A41" s="4" t="s">
        <v>205</v>
      </c>
      <c r="B41" s="4" t="s">
        <v>128</v>
      </c>
      <c r="C41" s="4" t="s">
        <v>408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D16">
      <selection activeCell="E36" sqref="E36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85.625" style="4" bestFit="1" customWidth="1"/>
    <col min="4" max="4" width="9.25390625" style="4" bestFit="1" customWidth="1"/>
    <col min="5" max="5" width="30.25390625" style="4" bestFit="1" customWidth="1"/>
    <col min="6" max="6" width="32.1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35" t="s">
        <v>335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336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174</v>
      </c>
      <c r="B6" s="21" t="s">
        <v>175</v>
      </c>
      <c r="C6" s="21" t="s">
        <v>176</v>
      </c>
      <c r="D6" s="21" t="str">
        <f>"0,9441"</f>
        <v>0,9441</v>
      </c>
      <c r="E6" s="21" t="s">
        <v>177</v>
      </c>
      <c r="F6" s="21" t="s">
        <v>178</v>
      </c>
      <c r="G6" s="25" t="s">
        <v>20</v>
      </c>
      <c r="H6" s="25" t="s">
        <v>337</v>
      </c>
      <c r="I6" s="24" t="s">
        <v>338</v>
      </c>
      <c r="J6" s="24"/>
      <c r="K6" s="21" t="str">
        <f>"92,5"</f>
        <v>92,5</v>
      </c>
      <c r="L6" s="25" t="str">
        <f>"87,3246"</f>
        <v>87,3246</v>
      </c>
      <c r="M6" s="21" t="s">
        <v>182</v>
      </c>
    </row>
    <row r="8" spans="1:12" ht="15">
      <c r="A8" s="44" t="s">
        <v>183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1" t="s">
        <v>185</v>
      </c>
      <c r="B9" s="21" t="s">
        <v>186</v>
      </c>
      <c r="C9" s="21" t="s">
        <v>187</v>
      </c>
      <c r="D9" s="21" t="str">
        <f>"0,8921"</f>
        <v>0,8921</v>
      </c>
      <c r="E9" s="21" t="s">
        <v>177</v>
      </c>
      <c r="F9" s="21" t="s">
        <v>28</v>
      </c>
      <c r="G9" s="25" t="s">
        <v>54</v>
      </c>
      <c r="H9" s="25" t="s">
        <v>61</v>
      </c>
      <c r="I9" s="25" t="s">
        <v>339</v>
      </c>
      <c r="J9" s="25" t="s">
        <v>29</v>
      </c>
      <c r="K9" s="21" t="str">
        <f>"117,5"</f>
        <v>117,5</v>
      </c>
      <c r="L9" s="25" t="str">
        <f>"195,5035"</f>
        <v>195,5035</v>
      </c>
      <c r="M9" s="21" t="s">
        <v>191</v>
      </c>
    </row>
    <row r="11" spans="1:12" ht="15">
      <c r="A11" s="44" t="s">
        <v>192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21" t="s">
        <v>194</v>
      </c>
      <c r="B12" s="21" t="s">
        <v>195</v>
      </c>
      <c r="C12" s="21" t="s">
        <v>196</v>
      </c>
      <c r="D12" s="21" t="str">
        <f>"0,8015"</f>
        <v>0,8015</v>
      </c>
      <c r="E12" s="21" t="s">
        <v>177</v>
      </c>
      <c r="F12" s="21" t="s">
        <v>178</v>
      </c>
      <c r="G12" s="25" t="s">
        <v>21</v>
      </c>
      <c r="H12" s="25" t="s">
        <v>213</v>
      </c>
      <c r="I12" s="25" t="s">
        <v>338</v>
      </c>
      <c r="J12" s="24"/>
      <c r="K12" s="21" t="str">
        <f>"97,5"</f>
        <v>97,5</v>
      </c>
      <c r="L12" s="25" t="str">
        <f>"78,3856"</f>
        <v>78,3856</v>
      </c>
      <c r="M12" s="21" t="s">
        <v>182</v>
      </c>
    </row>
    <row r="14" spans="1:12" ht="15">
      <c r="A14" s="44" t="s">
        <v>12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ht="12.75">
      <c r="A15" s="21" t="s">
        <v>198</v>
      </c>
      <c r="B15" s="21" t="s">
        <v>199</v>
      </c>
      <c r="C15" s="21" t="s">
        <v>200</v>
      </c>
      <c r="D15" s="21" t="str">
        <f>"0,7670"</f>
        <v>0,7670</v>
      </c>
      <c r="E15" s="21" t="s">
        <v>177</v>
      </c>
      <c r="F15" s="21" t="s">
        <v>178</v>
      </c>
      <c r="G15" s="25" t="s">
        <v>245</v>
      </c>
      <c r="H15" s="25" t="s">
        <v>44</v>
      </c>
      <c r="I15" s="24"/>
      <c r="J15" s="24"/>
      <c r="K15" s="21" t="str">
        <f>"110,0"</f>
        <v>110,0</v>
      </c>
      <c r="L15" s="25" t="str">
        <f>"84,3700"</f>
        <v>84,3700</v>
      </c>
      <c r="M15" s="21" t="s">
        <v>182</v>
      </c>
    </row>
    <row r="17" spans="1:12" ht="15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3" ht="12.75">
      <c r="A18" s="6" t="s">
        <v>219</v>
      </c>
      <c r="B18" s="6" t="s">
        <v>220</v>
      </c>
      <c r="C18" s="6" t="s">
        <v>221</v>
      </c>
      <c r="D18" s="6" t="str">
        <f>"0,7040"</f>
        <v>0,7040</v>
      </c>
      <c r="E18" s="6" t="s">
        <v>205</v>
      </c>
      <c r="F18" s="6" t="s">
        <v>206</v>
      </c>
      <c r="G18" s="8" t="s">
        <v>78</v>
      </c>
      <c r="H18" s="8" t="s">
        <v>340</v>
      </c>
      <c r="I18" s="8" t="s">
        <v>325</v>
      </c>
      <c r="J18" s="7"/>
      <c r="K18" s="6" t="str">
        <f>"200,0"</f>
        <v>200,0</v>
      </c>
      <c r="L18" s="8" t="str">
        <f>"159,1040"</f>
        <v>159,1040</v>
      </c>
      <c r="M18" s="6" t="s">
        <v>208</v>
      </c>
    </row>
    <row r="19" spans="1:13" ht="12.75">
      <c r="A19" s="9" t="s">
        <v>24</v>
      </c>
      <c r="B19" s="9" t="s">
        <v>25</v>
      </c>
      <c r="C19" s="9" t="s">
        <v>26</v>
      </c>
      <c r="D19" s="9" t="str">
        <f>"0,6809"</f>
        <v>0,6809</v>
      </c>
      <c r="E19" s="9" t="s">
        <v>27</v>
      </c>
      <c r="F19" s="9" t="s">
        <v>28</v>
      </c>
      <c r="G19" s="11" t="s">
        <v>324</v>
      </c>
      <c r="H19" s="11" t="s">
        <v>341</v>
      </c>
      <c r="I19" s="11" t="s">
        <v>342</v>
      </c>
      <c r="J19" s="10"/>
      <c r="K19" s="9" t="str">
        <f>"215,0"</f>
        <v>215,0</v>
      </c>
      <c r="L19" s="11" t="str">
        <f>"146,3828"</f>
        <v>146,3828</v>
      </c>
      <c r="M19" s="9" t="s">
        <v>32</v>
      </c>
    </row>
    <row r="20" spans="1:13" ht="12.75">
      <c r="A20" s="12" t="s">
        <v>344</v>
      </c>
      <c r="B20" s="12" t="s">
        <v>345</v>
      </c>
      <c r="C20" s="12" t="s">
        <v>346</v>
      </c>
      <c r="D20" s="12" t="str">
        <f>"0,6947"</f>
        <v>0,6947</v>
      </c>
      <c r="E20" s="12" t="s">
        <v>205</v>
      </c>
      <c r="F20" s="12" t="s">
        <v>206</v>
      </c>
      <c r="G20" s="14" t="s">
        <v>324</v>
      </c>
      <c r="H20" s="14" t="s">
        <v>325</v>
      </c>
      <c r="I20" s="14" t="s">
        <v>347</v>
      </c>
      <c r="J20" s="13"/>
      <c r="K20" s="12" t="str">
        <f>"210,0"</f>
        <v>210,0</v>
      </c>
      <c r="L20" s="14" t="str">
        <f>"145,8851"</f>
        <v>145,8851</v>
      </c>
      <c r="M20" s="12" t="s">
        <v>22</v>
      </c>
    </row>
    <row r="22" spans="1:12" ht="15">
      <c r="A22" s="44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3" ht="12.75">
      <c r="A23" s="6" t="s">
        <v>349</v>
      </c>
      <c r="B23" s="6" t="s">
        <v>350</v>
      </c>
      <c r="C23" s="6" t="s">
        <v>351</v>
      </c>
      <c r="D23" s="6" t="str">
        <f>"0,6349"</f>
        <v>0,6349</v>
      </c>
      <c r="E23" s="6" t="s">
        <v>177</v>
      </c>
      <c r="F23" s="6" t="s">
        <v>178</v>
      </c>
      <c r="G23" s="8" t="s">
        <v>20</v>
      </c>
      <c r="H23" s="8" t="s">
        <v>21</v>
      </c>
      <c r="I23" s="8" t="s">
        <v>338</v>
      </c>
      <c r="J23" s="7"/>
      <c r="K23" s="6" t="str">
        <f>"97,5"</f>
        <v>97,5</v>
      </c>
      <c r="L23" s="8" t="str">
        <f>"76,1464"</f>
        <v>76,1464</v>
      </c>
      <c r="M23" s="6" t="s">
        <v>182</v>
      </c>
    </row>
    <row r="24" spans="1:13" ht="12.75">
      <c r="A24" s="9" t="s">
        <v>353</v>
      </c>
      <c r="B24" s="9" t="s">
        <v>354</v>
      </c>
      <c r="C24" s="9" t="s">
        <v>355</v>
      </c>
      <c r="D24" s="9" t="str">
        <f>"0,6198"</f>
        <v>0,6198</v>
      </c>
      <c r="E24" s="9" t="s">
        <v>37</v>
      </c>
      <c r="F24" s="9" t="s">
        <v>18</v>
      </c>
      <c r="G24" s="11" t="s">
        <v>356</v>
      </c>
      <c r="H24" s="11" t="s">
        <v>357</v>
      </c>
      <c r="I24" s="11" t="s">
        <v>358</v>
      </c>
      <c r="J24" s="10"/>
      <c r="K24" s="9" t="str">
        <f>"247,5"</f>
        <v>247,5</v>
      </c>
      <c r="L24" s="11" t="str">
        <f>"153,4005"</f>
        <v>153,4005</v>
      </c>
      <c r="M24" s="9" t="s">
        <v>22</v>
      </c>
    </row>
    <row r="25" spans="1:13" ht="12.75">
      <c r="A25" s="12" t="s">
        <v>359</v>
      </c>
      <c r="B25" s="12" t="s">
        <v>47</v>
      </c>
      <c r="C25" s="12" t="s">
        <v>48</v>
      </c>
      <c r="D25" s="12" t="str">
        <f>"0,6394"</f>
        <v>0,6394</v>
      </c>
      <c r="E25" s="12" t="s">
        <v>27</v>
      </c>
      <c r="F25" s="12" t="s">
        <v>28</v>
      </c>
      <c r="G25" s="14" t="s">
        <v>54</v>
      </c>
      <c r="H25" s="14" t="s">
        <v>55</v>
      </c>
      <c r="I25" s="14" t="s">
        <v>30</v>
      </c>
      <c r="J25" s="13"/>
      <c r="K25" s="12" t="str">
        <f>"130,0"</f>
        <v>130,0</v>
      </c>
      <c r="L25" s="14" t="str">
        <f>"83,1220"</f>
        <v>83,1220</v>
      </c>
      <c r="M25" s="12" t="s">
        <v>32</v>
      </c>
    </row>
    <row r="27" spans="1:12" ht="1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3" ht="12.75">
      <c r="A28" s="6" t="s">
        <v>360</v>
      </c>
      <c r="B28" s="6" t="s">
        <v>264</v>
      </c>
      <c r="C28" s="6" t="s">
        <v>265</v>
      </c>
      <c r="D28" s="6" t="str">
        <f>"0,5895"</f>
        <v>0,5895</v>
      </c>
      <c r="E28" s="6" t="s">
        <v>37</v>
      </c>
      <c r="F28" s="6" t="s">
        <v>18</v>
      </c>
      <c r="G28" s="8" t="s">
        <v>158</v>
      </c>
      <c r="H28" s="8" t="s">
        <v>361</v>
      </c>
      <c r="I28" s="7" t="s">
        <v>362</v>
      </c>
      <c r="J28" s="7"/>
      <c r="K28" s="6" t="str">
        <f>"270,0"</f>
        <v>270,0</v>
      </c>
      <c r="L28" s="8" t="str">
        <f>"159,1650"</f>
        <v>159,1650</v>
      </c>
      <c r="M28" s="6" t="s">
        <v>22</v>
      </c>
    </row>
    <row r="29" spans="1:13" ht="12.75">
      <c r="A29" s="12" t="s">
        <v>58</v>
      </c>
      <c r="B29" s="12" t="s">
        <v>59</v>
      </c>
      <c r="C29" s="12" t="s">
        <v>60</v>
      </c>
      <c r="D29" s="12" t="str">
        <f>"0,6061"</f>
        <v>0,6061</v>
      </c>
      <c r="E29" s="12" t="s">
        <v>27</v>
      </c>
      <c r="F29" s="12" t="s">
        <v>28</v>
      </c>
      <c r="G29" s="14" t="s">
        <v>227</v>
      </c>
      <c r="H29" s="14" t="s">
        <v>261</v>
      </c>
      <c r="I29" s="14" t="s">
        <v>363</v>
      </c>
      <c r="J29" s="13"/>
      <c r="K29" s="12" t="str">
        <f>"162,5"</f>
        <v>162,5</v>
      </c>
      <c r="L29" s="14" t="str">
        <f>"98,4994"</f>
        <v>98,4994</v>
      </c>
      <c r="M29" s="12" t="s">
        <v>32</v>
      </c>
    </row>
    <row r="31" spans="5:6" ht="15">
      <c r="E31" s="15" t="s">
        <v>87</v>
      </c>
      <c r="F31" s="29" t="s">
        <v>594</v>
      </c>
    </row>
    <row r="32" spans="5:6" ht="15">
      <c r="E32" s="15" t="s">
        <v>88</v>
      </c>
      <c r="F32" s="29" t="s">
        <v>595</v>
      </c>
    </row>
    <row r="33" spans="5:6" ht="15">
      <c r="E33" s="15" t="s">
        <v>89</v>
      </c>
      <c r="F33" s="29" t="s">
        <v>596</v>
      </c>
    </row>
    <row r="34" spans="5:6" ht="15">
      <c r="E34" s="15" t="s">
        <v>90</v>
      </c>
      <c r="F34" s="29" t="s">
        <v>598</v>
      </c>
    </row>
    <row r="35" spans="5:6" ht="15">
      <c r="E35" s="15" t="s">
        <v>90</v>
      </c>
      <c r="F35" s="29" t="s">
        <v>597</v>
      </c>
    </row>
    <row r="36" ht="15">
      <c r="E36" s="15"/>
    </row>
    <row r="37" ht="15">
      <c r="E37" s="15"/>
    </row>
    <row r="39" spans="1:2" ht="18">
      <c r="A39" s="16" t="s">
        <v>91</v>
      </c>
      <c r="B39" s="16"/>
    </row>
    <row r="40" spans="1:2" ht="15">
      <c r="A40" s="17" t="s">
        <v>276</v>
      </c>
      <c r="B40" s="17"/>
    </row>
    <row r="41" spans="1:2" ht="14.25">
      <c r="A41" s="19"/>
      <c r="B41" s="20" t="s">
        <v>277</v>
      </c>
    </row>
    <row r="42" spans="1:5" ht="15">
      <c r="A42" s="22" t="s">
        <v>94</v>
      </c>
      <c r="B42" s="22" t="s">
        <v>95</v>
      </c>
      <c r="C42" s="22" t="s">
        <v>96</v>
      </c>
      <c r="D42" s="22" t="s">
        <v>97</v>
      </c>
      <c r="E42" s="22" t="s">
        <v>98</v>
      </c>
    </row>
    <row r="43" spans="1:5" ht="12.75">
      <c r="A43" s="18" t="s">
        <v>197</v>
      </c>
      <c r="B43" s="4" t="s">
        <v>103</v>
      </c>
      <c r="C43" s="4" t="s">
        <v>100</v>
      </c>
      <c r="D43" s="4" t="s">
        <v>44</v>
      </c>
      <c r="E43" s="23" t="s">
        <v>364</v>
      </c>
    </row>
    <row r="45" spans="1:2" ht="14.25">
      <c r="A45" s="19"/>
      <c r="B45" s="20" t="s">
        <v>106</v>
      </c>
    </row>
    <row r="46" spans="1:5" ht="15">
      <c r="A46" s="22" t="s">
        <v>94</v>
      </c>
      <c r="B46" s="22" t="s">
        <v>95</v>
      </c>
      <c r="C46" s="22" t="s">
        <v>96</v>
      </c>
      <c r="D46" s="22" t="s">
        <v>97</v>
      </c>
      <c r="E46" s="22" t="s">
        <v>98</v>
      </c>
    </row>
    <row r="47" spans="1:5" ht="12.75">
      <c r="A47" s="18" t="s">
        <v>173</v>
      </c>
      <c r="B47" s="4" t="s">
        <v>106</v>
      </c>
      <c r="C47" s="4" t="s">
        <v>279</v>
      </c>
      <c r="D47" s="4" t="s">
        <v>337</v>
      </c>
      <c r="E47" s="23" t="s">
        <v>365</v>
      </c>
    </row>
    <row r="49" spans="1:2" ht="14.25">
      <c r="A49" s="19"/>
      <c r="B49" s="20" t="s">
        <v>115</v>
      </c>
    </row>
    <row r="50" spans="1:5" ht="15">
      <c r="A50" s="22" t="s">
        <v>94</v>
      </c>
      <c r="B50" s="22" t="s">
        <v>95</v>
      </c>
      <c r="C50" s="22" t="s">
        <v>96</v>
      </c>
      <c r="D50" s="22" t="s">
        <v>97</v>
      </c>
      <c r="E50" s="22" t="s">
        <v>98</v>
      </c>
    </row>
    <row r="51" spans="1:5" ht="12.75">
      <c r="A51" s="18" t="s">
        <v>184</v>
      </c>
      <c r="B51" s="4" t="s">
        <v>281</v>
      </c>
      <c r="C51" s="4" t="s">
        <v>282</v>
      </c>
      <c r="D51" s="4" t="s">
        <v>339</v>
      </c>
      <c r="E51" s="23" t="s">
        <v>366</v>
      </c>
    </row>
    <row r="52" spans="1:5" ht="12.75">
      <c r="A52" s="18" t="s">
        <v>193</v>
      </c>
      <c r="B52" s="4" t="s">
        <v>284</v>
      </c>
      <c r="C52" s="4" t="s">
        <v>285</v>
      </c>
      <c r="D52" s="4" t="s">
        <v>338</v>
      </c>
      <c r="E52" s="23" t="s">
        <v>367</v>
      </c>
    </row>
    <row r="55" spans="1:2" ht="15">
      <c r="A55" s="17" t="s">
        <v>92</v>
      </c>
      <c r="B55" s="17"/>
    </row>
    <row r="56" spans="1:2" ht="14.25">
      <c r="A56" s="19"/>
      <c r="B56" s="20" t="s">
        <v>93</v>
      </c>
    </row>
    <row r="57" spans="1:5" ht="15">
      <c r="A57" s="22" t="s">
        <v>94</v>
      </c>
      <c r="B57" s="22" t="s">
        <v>95</v>
      </c>
      <c r="C57" s="22" t="s">
        <v>96</v>
      </c>
      <c r="D57" s="22" t="s">
        <v>97</v>
      </c>
      <c r="E57" s="22" t="s">
        <v>98</v>
      </c>
    </row>
    <row r="58" spans="1:5" ht="12.75">
      <c r="A58" s="18" t="s">
        <v>218</v>
      </c>
      <c r="B58" s="4" t="s">
        <v>287</v>
      </c>
      <c r="C58" s="4" t="s">
        <v>100</v>
      </c>
      <c r="D58" s="4" t="s">
        <v>325</v>
      </c>
      <c r="E58" s="23" t="s">
        <v>368</v>
      </c>
    </row>
    <row r="59" spans="1:5" ht="12.75">
      <c r="A59" s="18" t="s">
        <v>348</v>
      </c>
      <c r="B59" s="4" t="s">
        <v>369</v>
      </c>
      <c r="C59" s="4" t="s">
        <v>104</v>
      </c>
      <c r="D59" s="4" t="s">
        <v>338</v>
      </c>
      <c r="E59" s="23" t="s">
        <v>370</v>
      </c>
    </row>
    <row r="61" spans="1:2" ht="14.25">
      <c r="A61" s="19"/>
      <c r="B61" s="20" t="s">
        <v>106</v>
      </c>
    </row>
    <row r="62" spans="1:5" ht="15">
      <c r="A62" s="22" t="s">
        <v>94</v>
      </c>
      <c r="B62" s="22" t="s">
        <v>95</v>
      </c>
      <c r="C62" s="22" t="s">
        <v>96</v>
      </c>
      <c r="D62" s="22" t="s">
        <v>97</v>
      </c>
      <c r="E62" s="22" t="s">
        <v>98</v>
      </c>
    </row>
    <row r="63" spans="1:5" ht="12.75">
      <c r="A63" s="18" t="s">
        <v>262</v>
      </c>
      <c r="B63" s="4" t="s">
        <v>106</v>
      </c>
      <c r="C63" s="4" t="s">
        <v>112</v>
      </c>
      <c r="D63" s="4" t="s">
        <v>361</v>
      </c>
      <c r="E63" s="23" t="s">
        <v>371</v>
      </c>
    </row>
    <row r="64" spans="1:5" ht="12.75">
      <c r="A64" s="18" t="s">
        <v>352</v>
      </c>
      <c r="B64" s="4" t="s">
        <v>106</v>
      </c>
      <c r="C64" s="4" t="s">
        <v>104</v>
      </c>
      <c r="D64" s="4" t="s">
        <v>358</v>
      </c>
      <c r="E64" s="23" t="s">
        <v>372</v>
      </c>
    </row>
    <row r="65" spans="1:5" ht="12.75">
      <c r="A65" s="18" t="s">
        <v>23</v>
      </c>
      <c r="B65" s="4" t="s">
        <v>106</v>
      </c>
      <c r="C65" s="4" t="s">
        <v>100</v>
      </c>
      <c r="D65" s="4" t="s">
        <v>342</v>
      </c>
      <c r="E65" s="23" t="s">
        <v>373</v>
      </c>
    </row>
    <row r="66" spans="1:5" ht="12.75">
      <c r="A66" s="18" t="s">
        <v>343</v>
      </c>
      <c r="B66" s="4" t="s">
        <v>106</v>
      </c>
      <c r="C66" s="4" t="s">
        <v>100</v>
      </c>
      <c r="D66" s="4" t="s">
        <v>347</v>
      </c>
      <c r="E66" s="23" t="s">
        <v>374</v>
      </c>
    </row>
    <row r="67" spans="1:5" ht="12.75">
      <c r="A67" s="18" t="s">
        <v>57</v>
      </c>
      <c r="B67" s="4" t="s">
        <v>106</v>
      </c>
      <c r="C67" s="4" t="s">
        <v>112</v>
      </c>
      <c r="D67" s="4" t="s">
        <v>363</v>
      </c>
      <c r="E67" s="23" t="s">
        <v>375</v>
      </c>
    </row>
    <row r="68" spans="1:5" ht="12.75">
      <c r="A68" s="18" t="s">
        <v>45</v>
      </c>
      <c r="B68" s="4" t="s">
        <v>106</v>
      </c>
      <c r="C68" s="4" t="s">
        <v>104</v>
      </c>
      <c r="D68" s="4" t="s">
        <v>30</v>
      </c>
      <c r="E68" s="23" t="s">
        <v>376</v>
      </c>
    </row>
    <row r="73" spans="1:2" ht="18">
      <c r="A73" s="16" t="s">
        <v>120</v>
      </c>
      <c r="B73" s="16"/>
    </row>
    <row r="74" spans="1:3" ht="15">
      <c r="A74" s="22" t="s">
        <v>121</v>
      </c>
      <c r="B74" s="22" t="s">
        <v>122</v>
      </c>
      <c r="C74" s="22" t="s">
        <v>123</v>
      </c>
    </row>
    <row r="75" spans="1:3" ht="12.75">
      <c r="A75" s="4" t="s">
        <v>177</v>
      </c>
      <c r="B75" s="4" t="s">
        <v>377</v>
      </c>
      <c r="C75" s="4" t="s">
        <v>378</v>
      </c>
    </row>
    <row r="76" spans="1:3" ht="12.75">
      <c r="A76" s="4" t="s">
        <v>27</v>
      </c>
      <c r="B76" s="4" t="s">
        <v>379</v>
      </c>
      <c r="C76" s="4" t="s">
        <v>380</v>
      </c>
    </row>
    <row r="77" spans="1:3" ht="12.75">
      <c r="A77" s="4" t="s">
        <v>37</v>
      </c>
      <c r="B77" s="4" t="s">
        <v>126</v>
      </c>
      <c r="C77" s="4" t="s">
        <v>381</v>
      </c>
    </row>
    <row r="78" spans="1:3" ht="12.75">
      <c r="A78" s="4" t="s">
        <v>205</v>
      </c>
      <c r="B78" s="4" t="s">
        <v>382</v>
      </c>
      <c r="C78" s="4" t="s">
        <v>383</v>
      </c>
    </row>
  </sheetData>
  <sheetProtection/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A22:L22"/>
    <mergeCell ref="A27:L27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6.625" style="4" bestFit="1" customWidth="1"/>
    <col min="3" max="3" width="18.00390625" style="4" bestFit="1" customWidth="1"/>
    <col min="4" max="4" width="9.25390625" style="4" bestFit="1" customWidth="1"/>
    <col min="5" max="5" width="30.2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7.875" style="4" bestFit="1" customWidth="1"/>
    <col min="14" max="16384" width="9.125" style="3" customWidth="1"/>
  </cols>
  <sheetData>
    <row r="1" spans="1:13" s="2" customFormat="1" ht="28.5" customHeight="1">
      <c r="A1" s="35" t="s">
        <v>315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317</v>
      </c>
      <c r="B6" s="21" t="s">
        <v>318</v>
      </c>
      <c r="C6" s="21" t="s">
        <v>319</v>
      </c>
      <c r="D6" s="21" t="str">
        <f>"0,6540"</f>
        <v>0,6540</v>
      </c>
      <c r="E6" s="21" t="s">
        <v>205</v>
      </c>
      <c r="F6" s="21" t="s">
        <v>206</v>
      </c>
      <c r="G6" s="25" t="s">
        <v>44</v>
      </c>
      <c r="H6" s="25" t="s">
        <v>55</v>
      </c>
      <c r="I6" s="24" t="s">
        <v>29</v>
      </c>
      <c r="J6" s="24"/>
      <c r="K6" s="21" t="str">
        <f>"115,0"</f>
        <v>115,0</v>
      </c>
      <c r="L6" s="25" t="str">
        <f>"88,7478"</f>
        <v>88,7478</v>
      </c>
      <c r="M6" s="21" t="s">
        <v>208</v>
      </c>
    </row>
    <row r="8" spans="1:12" ht="15">
      <c r="A8" s="44" t="s">
        <v>151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1" t="s">
        <v>321</v>
      </c>
      <c r="B9" s="21" t="s">
        <v>322</v>
      </c>
      <c r="C9" s="21" t="s">
        <v>323</v>
      </c>
      <c r="D9" s="21" t="str">
        <f>"0,5375"</f>
        <v>0,5375</v>
      </c>
      <c r="E9" s="21" t="s">
        <v>17</v>
      </c>
      <c r="F9" s="21" t="s">
        <v>206</v>
      </c>
      <c r="G9" s="25" t="s">
        <v>324</v>
      </c>
      <c r="H9" s="24" t="s">
        <v>325</v>
      </c>
      <c r="I9" s="25" t="s">
        <v>325</v>
      </c>
      <c r="J9" s="24"/>
      <c r="K9" s="21" t="str">
        <f>"200,0"</f>
        <v>200,0</v>
      </c>
      <c r="L9" s="25" t="str">
        <f>"107,5000"</f>
        <v>107,5000</v>
      </c>
      <c r="M9" s="21" t="s">
        <v>326</v>
      </c>
    </row>
    <row r="11" spans="1:12" ht="15">
      <c r="A11" s="44" t="s">
        <v>139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21" t="s">
        <v>328</v>
      </c>
      <c r="B12" s="21" t="s">
        <v>329</v>
      </c>
      <c r="C12" s="21" t="s">
        <v>330</v>
      </c>
      <c r="D12" s="21" t="str">
        <f>"0,5303"</f>
        <v>0,5303</v>
      </c>
      <c r="E12" s="21" t="s">
        <v>177</v>
      </c>
      <c r="F12" s="21" t="s">
        <v>178</v>
      </c>
      <c r="G12" s="25" t="s">
        <v>261</v>
      </c>
      <c r="H12" s="25" t="s">
        <v>78</v>
      </c>
      <c r="I12" s="24"/>
      <c r="J12" s="24"/>
      <c r="K12" s="21" t="str">
        <f>"160,0"</f>
        <v>160,0</v>
      </c>
      <c r="L12" s="25" t="str">
        <f>"84,8480"</f>
        <v>84,8480</v>
      </c>
      <c r="M12" s="21" t="s">
        <v>22</v>
      </c>
    </row>
    <row r="14" spans="5:6" ht="15">
      <c r="E14" s="15" t="s">
        <v>87</v>
      </c>
      <c r="F14" s="29" t="s">
        <v>594</v>
      </c>
    </row>
    <row r="15" spans="5:6" ht="15">
      <c r="E15" s="15" t="s">
        <v>88</v>
      </c>
      <c r="F15" s="29" t="s">
        <v>595</v>
      </c>
    </row>
    <row r="16" spans="5:6" ht="15">
      <c r="E16" s="15" t="s">
        <v>89</v>
      </c>
      <c r="F16" s="29" t="s">
        <v>596</v>
      </c>
    </row>
    <row r="17" spans="5:6" ht="15">
      <c r="E17" s="15" t="s">
        <v>90</v>
      </c>
      <c r="F17" s="29" t="s">
        <v>598</v>
      </c>
    </row>
    <row r="18" spans="5:6" ht="15">
      <c r="E18" s="15" t="s">
        <v>90</v>
      </c>
      <c r="F18" s="29" t="s">
        <v>597</v>
      </c>
    </row>
    <row r="19" ht="15">
      <c r="E19" s="15"/>
    </row>
    <row r="20" ht="15">
      <c r="E20" s="15"/>
    </row>
    <row r="22" spans="1:2" ht="18">
      <c r="A22" s="16" t="s">
        <v>91</v>
      </c>
      <c r="B22" s="16"/>
    </row>
    <row r="23" spans="1:2" ht="15">
      <c r="A23" s="17" t="s">
        <v>92</v>
      </c>
      <c r="B23" s="17"/>
    </row>
    <row r="24" spans="1:2" ht="14.25">
      <c r="A24" s="19"/>
      <c r="B24" s="20" t="s">
        <v>93</v>
      </c>
    </row>
    <row r="25" spans="1:5" ht="15">
      <c r="A25" s="22" t="s">
        <v>94</v>
      </c>
      <c r="B25" s="22" t="s">
        <v>95</v>
      </c>
      <c r="C25" s="22" t="s">
        <v>96</v>
      </c>
      <c r="D25" s="22" t="s">
        <v>97</v>
      </c>
      <c r="E25" s="22" t="s">
        <v>98</v>
      </c>
    </row>
    <row r="26" spans="1:5" ht="12.75">
      <c r="A26" s="18" t="s">
        <v>316</v>
      </c>
      <c r="B26" s="4" t="s">
        <v>290</v>
      </c>
      <c r="C26" s="4" t="s">
        <v>104</v>
      </c>
      <c r="D26" s="4" t="s">
        <v>55</v>
      </c>
      <c r="E26" s="23" t="s">
        <v>331</v>
      </c>
    </row>
    <row r="28" spans="1:2" ht="14.25">
      <c r="A28" s="19"/>
      <c r="B28" s="20" t="s">
        <v>106</v>
      </c>
    </row>
    <row r="29" spans="1:5" ht="15">
      <c r="A29" s="22" t="s">
        <v>94</v>
      </c>
      <c r="B29" s="22" t="s">
        <v>95</v>
      </c>
      <c r="C29" s="22" t="s">
        <v>96</v>
      </c>
      <c r="D29" s="22" t="s">
        <v>97</v>
      </c>
      <c r="E29" s="22" t="s">
        <v>98</v>
      </c>
    </row>
    <row r="30" spans="1:5" ht="12.75">
      <c r="A30" s="18" t="s">
        <v>320</v>
      </c>
      <c r="B30" s="4" t="s">
        <v>106</v>
      </c>
      <c r="C30" s="4" t="s">
        <v>159</v>
      </c>
      <c r="D30" s="4" t="s">
        <v>325</v>
      </c>
      <c r="E30" s="23" t="s">
        <v>332</v>
      </c>
    </row>
    <row r="31" spans="1:5" ht="12.75">
      <c r="A31" s="18" t="s">
        <v>327</v>
      </c>
      <c r="B31" s="4" t="s">
        <v>106</v>
      </c>
      <c r="C31" s="4" t="s">
        <v>146</v>
      </c>
      <c r="D31" s="4" t="s">
        <v>78</v>
      </c>
      <c r="E31" s="23" t="s">
        <v>333</v>
      </c>
    </row>
    <row r="36" spans="1:2" ht="18">
      <c r="A36" s="16" t="s">
        <v>120</v>
      </c>
      <c r="B36" s="16"/>
    </row>
    <row r="37" spans="1:3" ht="15">
      <c r="A37" s="22" t="s">
        <v>121</v>
      </c>
      <c r="B37" s="22" t="s">
        <v>122</v>
      </c>
      <c r="C37" s="22" t="s">
        <v>123</v>
      </c>
    </row>
    <row r="38" spans="1:3" ht="12.75">
      <c r="A38" s="4" t="s">
        <v>177</v>
      </c>
      <c r="B38" s="4" t="s">
        <v>128</v>
      </c>
      <c r="C38" s="4" t="s">
        <v>182</v>
      </c>
    </row>
    <row r="39" spans="1:3" ht="12.75">
      <c r="A39" s="4" t="s">
        <v>205</v>
      </c>
      <c r="B39" s="4" t="s">
        <v>128</v>
      </c>
      <c r="C39" s="4" t="s">
        <v>334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05.00390625" style="4" bestFit="1" customWidth="1"/>
    <col min="4" max="4" width="9.25390625" style="4" bestFit="1" customWidth="1"/>
    <col min="5" max="5" width="30.2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39" customHeight="1">
      <c r="A1" s="35" t="s">
        <v>171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174</v>
      </c>
      <c r="B6" s="21" t="s">
        <v>175</v>
      </c>
      <c r="C6" s="21" t="s">
        <v>176</v>
      </c>
      <c r="D6" s="21" t="str">
        <f>"0,9441"</f>
        <v>0,9441</v>
      </c>
      <c r="E6" s="21" t="s">
        <v>177</v>
      </c>
      <c r="F6" s="21" t="s">
        <v>178</v>
      </c>
      <c r="G6" s="25" t="s">
        <v>179</v>
      </c>
      <c r="H6" s="25" t="s">
        <v>180</v>
      </c>
      <c r="I6" s="24" t="s">
        <v>181</v>
      </c>
      <c r="J6" s="24"/>
      <c r="K6" s="21" t="str">
        <f>"45,0"</f>
        <v>45,0</v>
      </c>
      <c r="L6" s="25" t="str">
        <f>"42,4823"</f>
        <v>42,4823</v>
      </c>
      <c r="M6" s="21" t="s">
        <v>182</v>
      </c>
    </row>
    <row r="8" spans="1:12" ht="15">
      <c r="A8" s="44" t="s">
        <v>183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1" t="s">
        <v>185</v>
      </c>
      <c r="B9" s="21" t="s">
        <v>186</v>
      </c>
      <c r="C9" s="21" t="s">
        <v>187</v>
      </c>
      <c r="D9" s="21" t="str">
        <f>"0,8921"</f>
        <v>0,8921</v>
      </c>
      <c r="E9" s="21" t="s">
        <v>177</v>
      </c>
      <c r="F9" s="21" t="s">
        <v>28</v>
      </c>
      <c r="G9" s="25" t="s">
        <v>188</v>
      </c>
      <c r="H9" s="25" t="s">
        <v>189</v>
      </c>
      <c r="I9" s="25" t="s">
        <v>190</v>
      </c>
      <c r="J9" s="24"/>
      <c r="K9" s="21" t="str">
        <f>"65,0"</f>
        <v>65,0</v>
      </c>
      <c r="L9" s="25" t="str">
        <f>"108,1509"</f>
        <v>108,1509</v>
      </c>
      <c r="M9" s="21" t="s">
        <v>191</v>
      </c>
    </row>
    <row r="11" spans="1:12" ht="15">
      <c r="A11" s="44" t="s">
        <v>192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21" t="s">
        <v>194</v>
      </c>
      <c r="B12" s="21" t="s">
        <v>195</v>
      </c>
      <c r="C12" s="21" t="s">
        <v>196</v>
      </c>
      <c r="D12" s="21" t="str">
        <f>"0,8015"</f>
        <v>0,8015</v>
      </c>
      <c r="E12" s="21" t="s">
        <v>177</v>
      </c>
      <c r="F12" s="21" t="s">
        <v>178</v>
      </c>
      <c r="G12" s="25" t="s">
        <v>181</v>
      </c>
      <c r="H12" s="25" t="s">
        <v>188</v>
      </c>
      <c r="I12" s="24" t="s">
        <v>190</v>
      </c>
      <c r="J12" s="24"/>
      <c r="K12" s="21" t="str">
        <f>"60,0"</f>
        <v>60,0</v>
      </c>
      <c r="L12" s="25" t="str">
        <f>"48,2373"</f>
        <v>48,2373</v>
      </c>
      <c r="M12" s="21" t="s">
        <v>182</v>
      </c>
    </row>
    <row r="14" spans="1:12" ht="15">
      <c r="A14" s="44" t="s">
        <v>12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ht="12.75">
      <c r="A15" s="21" t="s">
        <v>198</v>
      </c>
      <c r="B15" s="21" t="s">
        <v>199</v>
      </c>
      <c r="C15" s="21" t="s">
        <v>200</v>
      </c>
      <c r="D15" s="21" t="str">
        <f>"0,7670"</f>
        <v>0,7670</v>
      </c>
      <c r="E15" s="21" t="s">
        <v>177</v>
      </c>
      <c r="F15" s="21" t="s">
        <v>178</v>
      </c>
      <c r="G15" s="25" t="s">
        <v>188</v>
      </c>
      <c r="H15" s="25" t="s">
        <v>189</v>
      </c>
      <c r="I15" s="25" t="s">
        <v>190</v>
      </c>
      <c r="J15" s="24"/>
      <c r="K15" s="21" t="str">
        <f>"65,0"</f>
        <v>65,0</v>
      </c>
      <c r="L15" s="25" t="str">
        <f>"49,8550"</f>
        <v>49,8550</v>
      </c>
      <c r="M15" s="21" t="s">
        <v>182</v>
      </c>
    </row>
    <row r="17" spans="1:12" ht="15">
      <c r="A17" s="44" t="s">
        <v>172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3" ht="12.75">
      <c r="A18" s="21" t="s">
        <v>202</v>
      </c>
      <c r="B18" s="21" t="s">
        <v>203</v>
      </c>
      <c r="C18" s="21" t="s">
        <v>204</v>
      </c>
      <c r="D18" s="21" t="str">
        <f>"0,9277"</f>
        <v>0,9277</v>
      </c>
      <c r="E18" s="21" t="s">
        <v>205</v>
      </c>
      <c r="F18" s="21" t="s">
        <v>206</v>
      </c>
      <c r="G18" s="25" t="s">
        <v>190</v>
      </c>
      <c r="H18" s="24" t="s">
        <v>207</v>
      </c>
      <c r="I18" s="25" t="s">
        <v>207</v>
      </c>
      <c r="J18" s="24"/>
      <c r="K18" s="21" t="str">
        <f>"70,0"</f>
        <v>70,0</v>
      </c>
      <c r="L18" s="25" t="str">
        <f>"73,3811"</f>
        <v>73,3811</v>
      </c>
      <c r="M18" s="21" t="s">
        <v>208</v>
      </c>
    </row>
    <row r="20" spans="1:12" ht="15">
      <c r="A20" s="44" t="s">
        <v>183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ht="12.75">
      <c r="A21" s="21" t="s">
        <v>210</v>
      </c>
      <c r="B21" s="21" t="s">
        <v>211</v>
      </c>
      <c r="C21" s="21" t="s">
        <v>212</v>
      </c>
      <c r="D21" s="21" t="str">
        <f>"0,8220"</f>
        <v>0,8220</v>
      </c>
      <c r="E21" s="21" t="s">
        <v>205</v>
      </c>
      <c r="F21" s="21" t="s">
        <v>206</v>
      </c>
      <c r="G21" s="25" t="s">
        <v>21</v>
      </c>
      <c r="H21" s="25" t="s">
        <v>213</v>
      </c>
      <c r="I21" s="25" t="s">
        <v>43</v>
      </c>
      <c r="J21" s="24"/>
      <c r="K21" s="21" t="str">
        <f>"100,0"</f>
        <v>100,0</v>
      </c>
      <c r="L21" s="25" t="str">
        <f>"88,7814"</f>
        <v>88,7814</v>
      </c>
      <c r="M21" s="21" t="s">
        <v>208</v>
      </c>
    </row>
    <row r="23" spans="1:12" ht="15">
      <c r="A23" s="44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ht="12.75">
      <c r="A24" s="6" t="s">
        <v>215</v>
      </c>
      <c r="B24" s="6" t="s">
        <v>216</v>
      </c>
      <c r="C24" s="6" t="s">
        <v>217</v>
      </c>
      <c r="D24" s="6" t="str">
        <f>"0,7119"</f>
        <v>0,7119</v>
      </c>
      <c r="E24" s="6" t="s">
        <v>177</v>
      </c>
      <c r="F24" s="6" t="s">
        <v>178</v>
      </c>
      <c r="G24" s="7" t="s">
        <v>19</v>
      </c>
      <c r="H24" s="7" t="s">
        <v>19</v>
      </c>
      <c r="I24" s="8" t="s">
        <v>19</v>
      </c>
      <c r="J24" s="7"/>
      <c r="K24" s="6" t="str">
        <f>"80,0"</f>
        <v>80,0</v>
      </c>
      <c r="L24" s="8" t="str">
        <f>"67,2034"</f>
        <v>67,2034</v>
      </c>
      <c r="M24" s="6" t="s">
        <v>182</v>
      </c>
    </row>
    <row r="25" spans="1:13" ht="12.75">
      <c r="A25" s="9" t="s">
        <v>219</v>
      </c>
      <c r="B25" s="9" t="s">
        <v>220</v>
      </c>
      <c r="C25" s="9" t="s">
        <v>221</v>
      </c>
      <c r="D25" s="9" t="str">
        <f>"0,7040"</f>
        <v>0,7040</v>
      </c>
      <c r="E25" s="9" t="s">
        <v>205</v>
      </c>
      <c r="F25" s="9" t="s">
        <v>206</v>
      </c>
      <c r="G25" s="10" t="s">
        <v>213</v>
      </c>
      <c r="H25" s="11" t="s">
        <v>43</v>
      </c>
      <c r="I25" s="11" t="s">
        <v>61</v>
      </c>
      <c r="J25" s="10"/>
      <c r="K25" s="9" t="str">
        <f>"112,5"</f>
        <v>112,5</v>
      </c>
      <c r="L25" s="11" t="str">
        <f>"89,4960"</f>
        <v>89,4960</v>
      </c>
      <c r="M25" s="9" t="s">
        <v>208</v>
      </c>
    </row>
    <row r="26" spans="1:13" ht="12.75">
      <c r="A26" s="9" t="s">
        <v>223</v>
      </c>
      <c r="B26" s="9" t="s">
        <v>224</v>
      </c>
      <c r="C26" s="9" t="s">
        <v>225</v>
      </c>
      <c r="D26" s="9" t="str">
        <f>"0,6935"</f>
        <v>0,6935</v>
      </c>
      <c r="E26" s="9" t="s">
        <v>205</v>
      </c>
      <c r="F26" s="9" t="s">
        <v>206</v>
      </c>
      <c r="G26" s="11" t="s">
        <v>190</v>
      </c>
      <c r="H26" s="11" t="s">
        <v>207</v>
      </c>
      <c r="I26" s="10" t="s">
        <v>19</v>
      </c>
      <c r="J26" s="10"/>
      <c r="K26" s="9" t="str">
        <f>"70,0"</f>
        <v>70,0</v>
      </c>
      <c r="L26" s="11" t="str">
        <f>"52,4269"</f>
        <v>52,4269</v>
      </c>
      <c r="M26" s="9" t="s">
        <v>208</v>
      </c>
    </row>
    <row r="27" spans="1:13" ht="12.75">
      <c r="A27" s="9" t="s">
        <v>226</v>
      </c>
      <c r="B27" s="9" t="s">
        <v>35</v>
      </c>
      <c r="C27" s="9" t="s">
        <v>36</v>
      </c>
      <c r="D27" s="9" t="str">
        <f>"0,6782"</f>
        <v>0,6782</v>
      </c>
      <c r="E27" s="9" t="s">
        <v>37</v>
      </c>
      <c r="F27" s="9" t="s">
        <v>18</v>
      </c>
      <c r="G27" s="11" t="s">
        <v>227</v>
      </c>
      <c r="H27" s="10" t="s">
        <v>144</v>
      </c>
      <c r="I27" s="10" t="s">
        <v>144</v>
      </c>
      <c r="J27" s="10"/>
      <c r="K27" s="9" t="str">
        <f>"140,0"</f>
        <v>140,0</v>
      </c>
      <c r="L27" s="11" t="str">
        <f>"94,9480"</f>
        <v>94,9480</v>
      </c>
      <c r="M27" s="9" t="s">
        <v>22</v>
      </c>
    </row>
    <row r="28" spans="1:13" ht="12.75">
      <c r="A28" s="12" t="s">
        <v>228</v>
      </c>
      <c r="B28" s="12" t="s">
        <v>25</v>
      </c>
      <c r="C28" s="12" t="s">
        <v>26</v>
      </c>
      <c r="D28" s="12" t="str">
        <f>"0,6809"</f>
        <v>0,6809</v>
      </c>
      <c r="E28" s="12" t="s">
        <v>27</v>
      </c>
      <c r="F28" s="12" t="s">
        <v>28</v>
      </c>
      <c r="G28" s="14" t="s">
        <v>30</v>
      </c>
      <c r="H28" s="14" t="s">
        <v>229</v>
      </c>
      <c r="I28" s="13" t="s">
        <v>230</v>
      </c>
      <c r="J28" s="13"/>
      <c r="K28" s="12" t="str">
        <f>"137,5"</f>
        <v>137,5</v>
      </c>
      <c r="L28" s="14" t="str">
        <f>"93,6169"</f>
        <v>93,6169</v>
      </c>
      <c r="M28" s="12" t="s">
        <v>32</v>
      </c>
    </row>
    <row r="30" spans="1:12" ht="15">
      <c r="A30" s="44" t="s">
        <v>38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3" ht="12.75">
      <c r="A31" s="6" t="s">
        <v>232</v>
      </c>
      <c r="B31" s="6" t="s">
        <v>233</v>
      </c>
      <c r="C31" s="6" t="s">
        <v>234</v>
      </c>
      <c r="D31" s="6" t="str">
        <f>"0,6402"</f>
        <v>0,6402</v>
      </c>
      <c r="E31" s="6" t="s">
        <v>205</v>
      </c>
      <c r="F31" s="6" t="s">
        <v>206</v>
      </c>
      <c r="G31" s="8" t="s">
        <v>20</v>
      </c>
      <c r="H31" s="8" t="s">
        <v>21</v>
      </c>
      <c r="I31" s="8" t="s">
        <v>213</v>
      </c>
      <c r="J31" s="7"/>
      <c r="K31" s="6" t="str">
        <f>"95,0"</f>
        <v>95,0</v>
      </c>
      <c r="L31" s="8" t="str">
        <f>"74,8074"</f>
        <v>74,8074</v>
      </c>
      <c r="M31" s="6" t="s">
        <v>208</v>
      </c>
    </row>
    <row r="32" spans="1:13" ht="12.75">
      <c r="A32" s="9" t="s">
        <v>236</v>
      </c>
      <c r="B32" s="9" t="s">
        <v>237</v>
      </c>
      <c r="C32" s="9" t="s">
        <v>234</v>
      </c>
      <c r="D32" s="9" t="str">
        <f>"0,6402"</f>
        <v>0,6402</v>
      </c>
      <c r="E32" s="9" t="s">
        <v>238</v>
      </c>
      <c r="F32" s="9" t="s">
        <v>239</v>
      </c>
      <c r="G32" s="11" t="s">
        <v>56</v>
      </c>
      <c r="H32" s="11" t="s">
        <v>30</v>
      </c>
      <c r="I32" s="10" t="s">
        <v>31</v>
      </c>
      <c r="J32" s="10"/>
      <c r="K32" s="9" t="str">
        <f>"130,0"</f>
        <v>130,0</v>
      </c>
      <c r="L32" s="11" t="str">
        <f>"83,2260"</f>
        <v>83,2260</v>
      </c>
      <c r="M32" s="9" t="s">
        <v>240</v>
      </c>
    </row>
    <row r="33" spans="1:13" ht="12.75">
      <c r="A33" s="12" t="s">
        <v>242</v>
      </c>
      <c r="B33" s="12" t="s">
        <v>243</v>
      </c>
      <c r="C33" s="12" t="s">
        <v>244</v>
      </c>
      <c r="D33" s="12" t="str">
        <f>"0,6502"</f>
        <v>0,6502</v>
      </c>
      <c r="E33" s="12" t="s">
        <v>177</v>
      </c>
      <c r="F33" s="12" t="s">
        <v>178</v>
      </c>
      <c r="G33" s="14" t="s">
        <v>245</v>
      </c>
      <c r="H33" s="14" t="s">
        <v>61</v>
      </c>
      <c r="I33" s="14" t="s">
        <v>29</v>
      </c>
      <c r="J33" s="13"/>
      <c r="K33" s="12" t="str">
        <f>"120,0"</f>
        <v>120,0</v>
      </c>
      <c r="L33" s="14" t="str">
        <f>"78,0180"</f>
        <v>78,0180</v>
      </c>
      <c r="M33" s="12" t="s">
        <v>182</v>
      </c>
    </row>
    <row r="35" spans="1:12" ht="15">
      <c r="A35" s="44" t="s">
        <v>49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3" ht="12.75">
      <c r="A36" s="6" t="s">
        <v>247</v>
      </c>
      <c r="B36" s="6" t="s">
        <v>248</v>
      </c>
      <c r="C36" s="6" t="s">
        <v>249</v>
      </c>
      <c r="D36" s="6" t="str">
        <f>"0,5887"</f>
        <v>0,5887</v>
      </c>
      <c r="E36" s="6" t="s">
        <v>205</v>
      </c>
      <c r="F36" s="6" t="s">
        <v>206</v>
      </c>
      <c r="G36" s="8" t="s">
        <v>188</v>
      </c>
      <c r="H36" s="8" t="s">
        <v>19</v>
      </c>
      <c r="I36" s="7" t="s">
        <v>21</v>
      </c>
      <c r="J36" s="7"/>
      <c r="K36" s="6" t="str">
        <f>"80,0"</f>
        <v>80,0</v>
      </c>
      <c r="L36" s="8" t="str">
        <f>"53,2185"</f>
        <v>53,2185</v>
      </c>
      <c r="M36" s="6" t="s">
        <v>208</v>
      </c>
    </row>
    <row r="37" spans="1:13" ht="12.75">
      <c r="A37" s="9" t="s">
        <v>250</v>
      </c>
      <c r="B37" s="9" t="s">
        <v>251</v>
      </c>
      <c r="C37" s="9" t="s">
        <v>252</v>
      </c>
      <c r="D37" s="9" t="str">
        <f>"0,5960"</f>
        <v>0,5960</v>
      </c>
      <c r="E37" s="9" t="s">
        <v>17</v>
      </c>
      <c r="F37" s="9" t="s">
        <v>18</v>
      </c>
      <c r="G37" s="10" t="s">
        <v>31</v>
      </c>
      <c r="H37" s="10"/>
      <c r="I37" s="10"/>
      <c r="J37" s="10"/>
      <c r="K37" s="9" t="str">
        <f>"0.00"</f>
        <v>0.00</v>
      </c>
      <c r="L37" s="11" t="str">
        <f>"0,0000"</f>
        <v>0,0000</v>
      </c>
      <c r="M37" s="9" t="s">
        <v>22</v>
      </c>
    </row>
    <row r="38" spans="1:13" ht="12.75">
      <c r="A38" s="9" t="s">
        <v>253</v>
      </c>
      <c r="B38" s="9" t="s">
        <v>254</v>
      </c>
      <c r="C38" s="9" t="s">
        <v>255</v>
      </c>
      <c r="D38" s="9" t="str">
        <f>"0,5989"</f>
        <v>0,5989</v>
      </c>
      <c r="E38" s="9" t="s">
        <v>205</v>
      </c>
      <c r="F38" s="9" t="s">
        <v>206</v>
      </c>
      <c r="G38" s="10" t="s">
        <v>256</v>
      </c>
      <c r="H38" s="10" t="s">
        <v>256</v>
      </c>
      <c r="I38" s="10" t="s">
        <v>256</v>
      </c>
      <c r="J38" s="10"/>
      <c r="K38" s="9" t="str">
        <f>"0.00"</f>
        <v>0.00</v>
      </c>
      <c r="L38" s="11" t="str">
        <f>"0,0000"</f>
        <v>0,0000</v>
      </c>
      <c r="M38" s="9" t="s">
        <v>22</v>
      </c>
    </row>
    <row r="39" spans="1:13" ht="12.75">
      <c r="A39" s="9" t="s">
        <v>258</v>
      </c>
      <c r="B39" s="9" t="s">
        <v>259</v>
      </c>
      <c r="C39" s="9" t="s">
        <v>260</v>
      </c>
      <c r="D39" s="9" t="str">
        <f>"0,5937"</f>
        <v>0,5937</v>
      </c>
      <c r="E39" s="9" t="s">
        <v>17</v>
      </c>
      <c r="F39" s="9" t="s">
        <v>18</v>
      </c>
      <c r="G39" s="11" t="s">
        <v>85</v>
      </c>
      <c r="H39" s="11" t="s">
        <v>144</v>
      </c>
      <c r="I39" s="11" t="s">
        <v>261</v>
      </c>
      <c r="J39" s="10"/>
      <c r="K39" s="9" t="str">
        <f>"155,0"</f>
        <v>155,0</v>
      </c>
      <c r="L39" s="11" t="str">
        <f>"92,0235"</f>
        <v>92,0235</v>
      </c>
      <c r="M39" s="9" t="s">
        <v>22</v>
      </c>
    </row>
    <row r="40" spans="1:13" ht="12.75">
      <c r="A40" s="9" t="s">
        <v>263</v>
      </c>
      <c r="B40" s="9" t="s">
        <v>264</v>
      </c>
      <c r="C40" s="9" t="s">
        <v>265</v>
      </c>
      <c r="D40" s="9" t="str">
        <f>"0,5895"</f>
        <v>0,5895</v>
      </c>
      <c r="E40" s="9" t="s">
        <v>37</v>
      </c>
      <c r="F40" s="9" t="s">
        <v>18</v>
      </c>
      <c r="G40" s="11" t="s">
        <v>227</v>
      </c>
      <c r="H40" s="10" t="s">
        <v>144</v>
      </c>
      <c r="I40" s="10" t="s">
        <v>144</v>
      </c>
      <c r="J40" s="10"/>
      <c r="K40" s="9" t="str">
        <f>"140,0"</f>
        <v>140,0</v>
      </c>
      <c r="L40" s="11" t="str">
        <f>"82,5300"</f>
        <v>82,5300</v>
      </c>
      <c r="M40" s="9" t="s">
        <v>22</v>
      </c>
    </row>
    <row r="41" spans="1:13" ht="12.75">
      <c r="A41" s="9" t="s">
        <v>63</v>
      </c>
      <c r="B41" s="9" t="s">
        <v>64</v>
      </c>
      <c r="C41" s="9" t="s">
        <v>65</v>
      </c>
      <c r="D41" s="9" t="str">
        <f>"0,5907"</f>
        <v>0,5907</v>
      </c>
      <c r="E41" s="9" t="s">
        <v>66</v>
      </c>
      <c r="F41" s="9" t="s">
        <v>18</v>
      </c>
      <c r="G41" s="10" t="s">
        <v>30</v>
      </c>
      <c r="H41" s="11" t="s">
        <v>30</v>
      </c>
      <c r="I41" s="11" t="s">
        <v>31</v>
      </c>
      <c r="J41" s="10"/>
      <c r="K41" s="9" t="str">
        <f>"135,0"</f>
        <v>135,0</v>
      </c>
      <c r="L41" s="11" t="str">
        <f>"87,0884"</f>
        <v>87,0884</v>
      </c>
      <c r="M41" s="9" t="s">
        <v>67</v>
      </c>
    </row>
    <row r="42" spans="1:13" ht="12.75">
      <c r="A42" s="12" t="s">
        <v>69</v>
      </c>
      <c r="B42" s="12" t="s">
        <v>70</v>
      </c>
      <c r="C42" s="12" t="s">
        <v>71</v>
      </c>
      <c r="D42" s="12" t="str">
        <f>"0,6053"</f>
        <v>0,6053</v>
      </c>
      <c r="E42" s="12" t="s">
        <v>66</v>
      </c>
      <c r="F42" s="12" t="s">
        <v>18</v>
      </c>
      <c r="G42" s="14" t="s">
        <v>54</v>
      </c>
      <c r="H42" s="14" t="s">
        <v>44</v>
      </c>
      <c r="I42" s="14" t="s">
        <v>55</v>
      </c>
      <c r="J42" s="13"/>
      <c r="K42" s="12" t="str">
        <f>"115,0"</f>
        <v>115,0</v>
      </c>
      <c r="L42" s="14" t="str">
        <f>"89,1624"</f>
        <v>89,1624</v>
      </c>
      <c r="M42" s="12" t="s">
        <v>22</v>
      </c>
    </row>
    <row r="44" spans="1:12" ht="15">
      <c r="A44" s="44" t="s">
        <v>72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3" ht="12.75">
      <c r="A45" s="6" t="s">
        <v>74</v>
      </c>
      <c r="B45" s="6" t="s">
        <v>75</v>
      </c>
      <c r="C45" s="6" t="s">
        <v>76</v>
      </c>
      <c r="D45" s="6" t="str">
        <f>"0,5568"</f>
        <v>0,5568</v>
      </c>
      <c r="E45" s="6" t="s">
        <v>77</v>
      </c>
      <c r="F45" s="6" t="s">
        <v>18</v>
      </c>
      <c r="G45" s="8" t="s">
        <v>266</v>
      </c>
      <c r="H45" s="8" t="s">
        <v>80</v>
      </c>
      <c r="I45" s="8" t="s">
        <v>267</v>
      </c>
      <c r="J45" s="7"/>
      <c r="K45" s="6" t="str">
        <f>"180,0"</f>
        <v>180,0</v>
      </c>
      <c r="L45" s="8" t="str">
        <f>"100,2240"</f>
        <v>100,2240</v>
      </c>
      <c r="M45" s="6" t="s">
        <v>22</v>
      </c>
    </row>
    <row r="46" spans="1:13" ht="12.75">
      <c r="A46" s="12" t="s">
        <v>269</v>
      </c>
      <c r="B46" s="12" t="s">
        <v>270</v>
      </c>
      <c r="C46" s="12" t="s">
        <v>271</v>
      </c>
      <c r="D46" s="12" t="str">
        <f>"0,5578"</f>
        <v>0,5578</v>
      </c>
      <c r="E46" s="12" t="s">
        <v>272</v>
      </c>
      <c r="F46" s="12" t="s">
        <v>273</v>
      </c>
      <c r="G46" s="14" t="s">
        <v>274</v>
      </c>
      <c r="H46" s="14" t="s">
        <v>266</v>
      </c>
      <c r="I46" s="13" t="s">
        <v>275</v>
      </c>
      <c r="J46" s="13"/>
      <c r="K46" s="12" t="str">
        <f>"165,0"</f>
        <v>165,0</v>
      </c>
      <c r="L46" s="14" t="str">
        <f>"92,0370"</f>
        <v>92,0370</v>
      </c>
      <c r="M46" s="12" t="s">
        <v>22</v>
      </c>
    </row>
    <row r="48" spans="5:6" ht="15">
      <c r="E48" s="15" t="s">
        <v>87</v>
      </c>
      <c r="F48" s="29" t="s">
        <v>594</v>
      </c>
    </row>
    <row r="49" spans="5:6" ht="15">
      <c r="E49" s="15" t="s">
        <v>88</v>
      </c>
      <c r="F49" s="29" t="s">
        <v>595</v>
      </c>
    </row>
    <row r="50" spans="5:6" ht="15">
      <c r="E50" s="15" t="s">
        <v>89</v>
      </c>
      <c r="F50" s="29" t="s">
        <v>596</v>
      </c>
    </row>
    <row r="51" spans="5:6" ht="15">
      <c r="E51" s="15" t="s">
        <v>90</v>
      </c>
      <c r="F51" s="29" t="s">
        <v>598</v>
      </c>
    </row>
    <row r="52" spans="5:6" ht="15">
      <c r="E52" s="15" t="s">
        <v>90</v>
      </c>
      <c r="F52" s="29" t="s">
        <v>597</v>
      </c>
    </row>
    <row r="53" ht="15">
      <c r="E53" s="15"/>
    </row>
    <row r="54" ht="15">
      <c r="E54" s="15"/>
    </row>
    <row r="56" spans="1:2" ht="18">
      <c r="A56" s="16" t="s">
        <v>91</v>
      </c>
      <c r="B56" s="16"/>
    </row>
    <row r="57" spans="1:2" ht="15">
      <c r="A57" s="17" t="s">
        <v>276</v>
      </c>
      <c r="B57" s="17"/>
    </row>
    <row r="58" spans="1:2" ht="14.25">
      <c r="A58" s="19"/>
      <c r="B58" s="20" t="s">
        <v>277</v>
      </c>
    </row>
    <row r="59" spans="1:5" ht="15">
      <c r="A59" s="22" t="s">
        <v>94</v>
      </c>
      <c r="B59" s="22" t="s">
        <v>95</v>
      </c>
      <c r="C59" s="22" t="s">
        <v>96</v>
      </c>
      <c r="D59" s="22" t="s">
        <v>97</v>
      </c>
      <c r="E59" s="22" t="s">
        <v>98</v>
      </c>
    </row>
    <row r="60" spans="1:5" ht="12.75">
      <c r="A60" s="18" t="s">
        <v>197</v>
      </c>
      <c r="B60" s="4" t="s">
        <v>103</v>
      </c>
      <c r="C60" s="4" t="s">
        <v>100</v>
      </c>
      <c r="D60" s="4" t="s">
        <v>190</v>
      </c>
      <c r="E60" s="23" t="s">
        <v>278</v>
      </c>
    </row>
    <row r="62" spans="1:2" ht="14.25">
      <c r="A62" s="19"/>
      <c r="B62" s="20" t="s">
        <v>106</v>
      </c>
    </row>
    <row r="63" spans="1:5" ht="15">
      <c r="A63" s="22" t="s">
        <v>94</v>
      </c>
      <c r="B63" s="22" t="s">
        <v>95</v>
      </c>
      <c r="C63" s="22" t="s">
        <v>96</v>
      </c>
      <c r="D63" s="22" t="s">
        <v>97</v>
      </c>
      <c r="E63" s="22" t="s">
        <v>98</v>
      </c>
    </row>
    <row r="64" spans="1:5" ht="12.75">
      <c r="A64" s="18" t="s">
        <v>173</v>
      </c>
      <c r="B64" s="4" t="s">
        <v>106</v>
      </c>
      <c r="C64" s="4" t="s">
        <v>279</v>
      </c>
      <c r="D64" s="4" t="s">
        <v>180</v>
      </c>
      <c r="E64" s="23" t="s">
        <v>280</v>
      </c>
    </row>
    <row r="66" spans="1:2" ht="14.25">
      <c r="A66" s="19"/>
      <c r="B66" s="20" t="s">
        <v>115</v>
      </c>
    </row>
    <row r="67" spans="1:5" ht="15">
      <c r="A67" s="22" t="s">
        <v>94</v>
      </c>
      <c r="B67" s="22" t="s">
        <v>95</v>
      </c>
      <c r="C67" s="22" t="s">
        <v>96</v>
      </c>
      <c r="D67" s="22" t="s">
        <v>97</v>
      </c>
      <c r="E67" s="22" t="s">
        <v>98</v>
      </c>
    </row>
    <row r="68" spans="1:5" ht="12.75">
      <c r="A68" s="18" t="s">
        <v>184</v>
      </c>
      <c r="B68" s="4" t="s">
        <v>281</v>
      </c>
      <c r="C68" s="4" t="s">
        <v>282</v>
      </c>
      <c r="D68" s="4" t="s">
        <v>190</v>
      </c>
      <c r="E68" s="23" t="s">
        <v>283</v>
      </c>
    </row>
    <row r="69" spans="1:5" ht="12.75">
      <c r="A69" s="18" t="s">
        <v>193</v>
      </c>
      <c r="B69" s="4" t="s">
        <v>284</v>
      </c>
      <c r="C69" s="4" t="s">
        <v>285</v>
      </c>
      <c r="D69" s="4" t="s">
        <v>188</v>
      </c>
      <c r="E69" s="23" t="s">
        <v>286</v>
      </c>
    </row>
    <row r="72" spans="1:2" ht="15">
      <c r="A72" s="17" t="s">
        <v>92</v>
      </c>
      <c r="B72" s="17"/>
    </row>
    <row r="73" spans="1:2" ht="14.25">
      <c r="A73" s="19"/>
      <c r="B73" s="20" t="s">
        <v>93</v>
      </c>
    </row>
    <row r="74" spans="1:5" ht="15">
      <c r="A74" s="22" t="s">
        <v>94</v>
      </c>
      <c r="B74" s="22" t="s">
        <v>95</v>
      </c>
      <c r="C74" s="22" t="s">
        <v>96</v>
      </c>
      <c r="D74" s="22" t="s">
        <v>97</v>
      </c>
      <c r="E74" s="22" t="s">
        <v>98</v>
      </c>
    </row>
    <row r="75" spans="1:5" ht="12.75">
      <c r="A75" s="18" t="s">
        <v>218</v>
      </c>
      <c r="B75" s="4" t="s">
        <v>287</v>
      </c>
      <c r="C75" s="4" t="s">
        <v>100</v>
      </c>
      <c r="D75" s="4" t="s">
        <v>61</v>
      </c>
      <c r="E75" s="23" t="s">
        <v>288</v>
      </c>
    </row>
    <row r="76" spans="1:5" ht="12.75">
      <c r="A76" s="18" t="s">
        <v>209</v>
      </c>
      <c r="B76" s="4" t="s">
        <v>287</v>
      </c>
      <c r="C76" s="4" t="s">
        <v>282</v>
      </c>
      <c r="D76" s="4" t="s">
        <v>43</v>
      </c>
      <c r="E76" s="23" t="s">
        <v>289</v>
      </c>
    </row>
    <row r="77" spans="1:5" ht="12.75">
      <c r="A77" s="18" t="s">
        <v>231</v>
      </c>
      <c r="B77" s="4" t="s">
        <v>290</v>
      </c>
      <c r="C77" s="4" t="s">
        <v>104</v>
      </c>
      <c r="D77" s="4" t="s">
        <v>213</v>
      </c>
      <c r="E77" s="23" t="s">
        <v>291</v>
      </c>
    </row>
    <row r="78" spans="1:5" ht="12.75">
      <c r="A78" s="18" t="s">
        <v>201</v>
      </c>
      <c r="B78" s="4" t="s">
        <v>287</v>
      </c>
      <c r="C78" s="4" t="s">
        <v>279</v>
      </c>
      <c r="D78" s="4" t="s">
        <v>207</v>
      </c>
      <c r="E78" s="23" t="s">
        <v>292</v>
      </c>
    </row>
    <row r="79" spans="1:5" ht="12.75">
      <c r="A79" s="18" t="s">
        <v>214</v>
      </c>
      <c r="B79" s="4" t="s">
        <v>290</v>
      </c>
      <c r="C79" s="4" t="s">
        <v>100</v>
      </c>
      <c r="D79" s="4" t="s">
        <v>19</v>
      </c>
      <c r="E79" s="23" t="s">
        <v>293</v>
      </c>
    </row>
    <row r="80" spans="1:5" ht="12.75">
      <c r="A80" s="18" t="s">
        <v>246</v>
      </c>
      <c r="B80" s="4" t="s">
        <v>287</v>
      </c>
      <c r="C80" s="4" t="s">
        <v>112</v>
      </c>
      <c r="D80" s="4" t="s">
        <v>19</v>
      </c>
      <c r="E80" s="23" t="s">
        <v>294</v>
      </c>
    </row>
    <row r="81" spans="1:5" ht="12.75">
      <c r="A81" s="18" t="s">
        <v>222</v>
      </c>
      <c r="B81" s="4" t="s">
        <v>287</v>
      </c>
      <c r="C81" s="4" t="s">
        <v>100</v>
      </c>
      <c r="D81" s="4" t="s">
        <v>207</v>
      </c>
      <c r="E81" s="23" t="s">
        <v>295</v>
      </c>
    </row>
    <row r="83" spans="1:2" ht="14.25">
      <c r="A83" s="19"/>
      <c r="B83" s="20" t="s">
        <v>106</v>
      </c>
    </row>
    <row r="84" spans="1:5" ht="15">
      <c r="A84" s="22" t="s">
        <v>94</v>
      </c>
      <c r="B84" s="22" t="s">
        <v>95</v>
      </c>
      <c r="C84" s="22" t="s">
        <v>96</v>
      </c>
      <c r="D84" s="22" t="s">
        <v>97</v>
      </c>
      <c r="E84" s="22" t="s">
        <v>98</v>
      </c>
    </row>
    <row r="85" spans="1:5" ht="12.75">
      <c r="A85" s="18" t="s">
        <v>73</v>
      </c>
      <c r="B85" s="4" t="s">
        <v>106</v>
      </c>
      <c r="C85" s="4" t="s">
        <v>107</v>
      </c>
      <c r="D85" s="4" t="s">
        <v>267</v>
      </c>
      <c r="E85" s="23" t="s">
        <v>296</v>
      </c>
    </row>
    <row r="86" spans="1:5" ht="12.75">
      <c r="A86" s="18" t="s">
        <v>33</v>
      </c>
      <c r="B86" s="4" t="s">
        <v>106</v>
      </c>
      <c r="C86" s="4" t="s">
        <v>100</v>
      </c>
      <c r="D86" s="4" t="s">
        <v>227</v>
      </c>
      <c r="E86" s="23" t="s">
        <v>297</v>
      </c>
    </row>
    <row r="87" spans="1:5" ht="12.75">
      <c r="A87" s="18" t="s">
        <v>23</v>
      </c>
      <c r="B87" s="4" t="s">
        <v>106</v>
      </c>
      <c r="C87" s="4" t="s">
        <v>100</v>
      </c>
      <c r="D87" s="4" t="s">
        <v>229</v>
      </c>
      <c r="E87" s="23" t="s">
        <v>298</v>
      </c>
    </row>
    <row r="88" spans="1:5" ht="12.75">
      <c r="A88" s="18" t="s">
        <v>268</v>
      </c>
      <c r="B88" s="4" t="s">
        <v>106</v>
      </c>
      <c r="C88" s="4" t="s">
        <v>107</v>
      </c>
      <c r="D88" s="4" t="s">
        <v>266</v>
      </c>
      <c r="E88" s="23" t="s">
        <v>299</v>
      </c>
    </row>
    <row r="89" spans="1:5" ht="12.75">
      <c r="A89" s="18" t="s">
        <v>257</v>
      </c>
      <c r="B89" s="4" t="s">
        <v>106</v>
      </c>
      <c r="C89" s="4" t="s">
        <v>112</v>
      </c>
      <c r="D89" s="4" t="s">
        <v>261</v>
      </c>
      <c r="E89" s="23" t="s">
        <v>300</v>
      </c>
    </row>
    <row r="90" spans="1:5" ht="12.75">
      <c r="A90" s="18" t="s">
        <v>235</v>
      </c>
      <c r="B90" s="4" t="s">
        <v>106</v>
      </c>
      <c r="C90" s="4" t="s">
        <v>104</v>
      </c>
      <c r="D90" s="4" t="s">
        <v>30</v>
      </c>
      <c r="E90" s="23" t="s">
        <v>301</v>
      </c>
    </row>
    <row r="91" spans="1:5" ht="12.75">
      <c r="A91" s="18" t="s">
        <v>262</v>
      </c>
      <c r="B91" s="4" t="s">
        <v>106</v>
      </c>
      <c r="C91" s="4" t="s">
        <v>112</v>
      </c>
      <c r="D91" s="4" t="s">
        <v>227</v>
      </c>
      <c r="E91" s="23" t="s">
        <v>302</v>
      </c>
    </row>
    <row r="92" spans="1:5" ht="12.75">
      <c r="A92" s="18" t="s">
        <v>241</v>
      </c>
      <c r="B92" s="4" t="s">
        <v>106</v>
      </c>
      <c r="C92" s="4" t="s">
        <v>104</v>
      </c>
      <c r="D92" s="4" t="s">
        <v>29</v>
      </c>
      <c r="E92" s="23" t="s">
        <v>303</v>
      </c>
    </row>
    <row r="94" spans="1:2" ht="14.25">
      <c r="A94" s="19"/>
      <c r="B94" s="20" t="s">
        <v>115</v>
      </c>
    </row>
    <row r="95" spans="1:5" ht="15">
      <c r="A95" s="22" t="s">
        <v>94</v>
      </c>
      <c r="B95" s="22" t="s">
        <v>95</v>
      </c>
      <c r="C95" s="22" t="s">
        <v>96</v>
      </c>
      <c r="D95" s="22" t="s">
        <v>97</v>
      </c>
      <c r="E95" s="22" t="s">
        <v>98</v>
      </c>
    </row>
    <row r="96" spans="1:5" ht="12.75">
      <c r="A96" s="18" t="s">
        <v>68</v>
      </c>
      <c r="B96" s="4" t="s">
        <v>116</v>
      </c>
      <c r="C96" s="4" t="s">
        <v>112</v>
      </c>
      <c r="D96" s="4" t="s">
        <v>55</v>
      </c>
      <c r="E96" s="23" t="s">
        <v>304</v>
      </c>
    </row>
    <row r="97" spans="1:5" ht="12.75">
      <c r="A97" s="18" t="s">
        <v>62</v>
      </c>
      <c r="B97" s="4" t="s">
        <v>118</v>
      </c>
      <c r="C97" s="4" t="s">
        <v>112</v>
      </c>
      <c r="D97" s="4" t="s">
        <v>31</v>
      </c>
      <c r="E97" s="23" t="s">
        <v>305</v>
      </c>
    </row>
    <row r="102" spans="1:2" ht="18">
      <c r="A102" s="16" t="s">
        <v>120</v>
      </c>
      <c r="B102" s="16"/>
    </row>
    <row r="103" spans="1:3" ht="15">
      <c r="A103" s="22" t="s">
        <v>121</v>
      </c>
      <c r="B103" s="22" t="s">
        <v>122</v>
      </c>
      <c r="C103" s="22" t="s">
        <v>123</v>
      </c>
    </row>
    <row r="104" spans="1:3" ht="12.75">
      <c r="A104" s="4" t="s">
        <v>177</v>
      </c>
      <c r="B104" s="4" t="s">
        <v>306</v>
      </c>
      <c r="C104" s="4" t="s">
        <v>307</v>
      </c>
    </row>
    <row r="105" spans="1:3" ht="12.75">
      <c r="A105" s="4" t="s">
        <v>205</v>
      </c>
      <c r="B105" s="4" t="s">
        <v>308</v>
      </c>
      <c r="C105" s="4" t="s">
        <v>309</v>
      </c>
    </row>
    <row r="106" spans="1:3" ht="12.75">
      <c r="A106" s="4" t="s">
        <v>66</v>
      </c>
      <c r="B106" s="4" t="s">
        <v>126</v>
      </c>
      <c r="C106" s="4" t="s">
        <v>127</v>
      </c>
    </row>
    <row r="107" spans="1:3" ht="12.75">
      <c r="A107" s="4" t="s">
        <v>37</v>
      </c>
      <c r="B107" s="4" t="s">
        <v>310</v>
      </c>
      <c r="C107" s="4" t="s">
        <v>311</v>
      </c>
    </row>
    <row r="108" spans="1:3" ht="12.75">
      <c r="A108" s="4" t="s">
        <v>238</v>
      </c>
      <c r="B108" s="4" t="s">
        <v>128</v>
      </c>
      <c r="C108" s="4" t="s">
        <v>312</v>
      </c>
    </row>
    <row r="109" spans="1:3" ht="12.75">
      <c r="A109" s="4" t="s">
        <v>77</v>
      </c>
      <c r="B109" s="4" t="s">
        <v>128</v>
      </c>
      <c r="C109" s="4" t="s">
        <v>129</v>
      </c>
    </row>
    <row r="110" spans="1:3" ht="12.75">
      <c r="A110" s="4" t="s">
        <v>27</v>
      </c>
      <c r="B110" s="4" t="s">
        <v>130</v>
      </c>
      <c r="C110" s="4" t="s">
        <v>313</v>
      </c>
    </row>
    <row r="111" spans="1:3" ht="12.75">
      <c r="A111" s="4" t="s">
        <v>272</v>
      </c>
      <c r="B111" s="4" t="s">
        <v>130</v>
      </c>
      <c r="C111" s="4" t="s">
        <v>314</v>
      </c>
    </row>
  </sheetData>
  <sheetProtection/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4:L44"/>
    <mergeCell ref="A14:L14"/>
    <mergeCell ref="A17:L17"/>
    <mergeCell ref="A20:L20"/>
    <mergeCell ref="A23:L23"/>
    <mergeCell ref="A30:L30"/>
    <mergeCell ref="A35:L3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3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9.00390625" style="4" bestFit="1" customWidth="1"/>
    <col min="14" max="16384" width="9.125" style="3" customWidth="1"/>
  </cols>
  <sheetData>
    <row r="1" spans="1:13" s="2" customFormat="1" ht="28.5" customHeight="1">
      <c r="A1" s="35" t="s">
        <v>161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163</v>
      </c>
      <c r="B6" s="21" t="s">
        <v>164</v>
      </c>
      <c r="C6" s="21" t="s">
        <v>165</v>
      </c>
      <c r="D6" s="21" t="str">
        <f>"0,5411"</f>
        <v>0,5411</v>
      </c>
      <c r="E6" s="21" t="s">
        <v>166</v>
      </c>
      <c r="F6" s="21" t="s">
        <v>18</v>
      </c>
      <c r="G6" s="25" t="s">
        <v>56</v>
      </c>
      <c r="H6" s="25" t="s">
        <v>30</v>
      </c>
      <c r="I6" s="24" t="s">
        <v>31</v>
      </c>
      <c r="J6" s="24"/>
      <c r="K6" s="21" t="str">
        <f>"130,0"</f>
        <v>130,0</v>
      </c>
      <c r="L6" s="25" t="str">
        <f>"97,0733"</f>
        <v>97,0733</v>
      </c>
      <c r="M6" s="21" t="s">
        <v>167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115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98</v>
      </c>
    </row>
    <row r="20" spans="1:5" ht="12.75">
      <c r="A20" s="18" t="s">
        <v>162</v>
      </c>
      <c r="B20" s="4" t="s">
        <v>168</v>
      </c>
      <c r="C20" s="4" t="s">
        <v>159</v>
      </c>
      <c r="D20" s="4" t="s">
        <v>30</v>
      </c>
      <c r="E20" s="23" t="s">
        <v>169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166</v>
      </c>
      <c r="B27" s="4" t="s">
        <v>128</v>
      </c>
      <c r="C27" s="4" t="s">
        <v>170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5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153</v>
      </c>
      <c r="B6" s="21" t="s">
        <v>154</v>
      </c>
      <c r="C6" s="21" t="s">
        <v>155</v>
      </c>
      <c r="D6" s="21" t="str">
        <f>"0,5459"</f>
        <v>0,5459</v>
      </c>
      <c r="E6" s="21" t="s">
        <v>17</v>
      </c>
      <c r="F6" s="21" t="s">
        <v>18</v>
      </c>
      <c r="G6" s="25" t="s">
        <v>156</v>
      </c>
      <c r="H6" s="25" t="s">
        <v>157</v>
      </c>
      <c r="I6" s="25" t="s">
        <v>158</v>
      </c>
      <c r="J6" s="24"/>
      <c r="K6" s="21" t="str">
        <f>"250,0"</f>
        <v>250,0</v>
      </c>
      <c r="L6" s="25" t="str">
        <f>"174,8245"</f>
        <v>174,8245</v>
      </c>
      <c r="M6" s="21" t="s">
        <v>22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115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98</v>
      </c>
    </row>
    <row r="20" spans="1:5" ht="12.75">
      <c r="A20" s="18" t="s">
        <v>152</v>
      </c>
      <c r="B20" s="4" t="s">
        <v>116</v>
      </c>
      <c r="C20" s="4" t="s">
        <v>159</v>
      </c>
      <c r="D20" s="4" t="s">
        <v>158</v>
      </c>
      <c r="E20" s="23" t="s">
        <v>160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9.375" style="4" bestFit="1" customWidth="1"/>
    <col min="4" max="4" width="10.625" style="4" bestFit="1" customWidth="1"/>
    <col min="5" max="5" width="22.75390625" style="4" bestFit="1" customWidth="1"/>
    <col min="6" max="6" width="30.25390625" style="4" bestFit="1" customWidth="1"/>
    <col min="7" max="7" width="5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5" t="s">
        <v>585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565</v>
      </c>
      <c r="E3" s="30" t="s">
        <v>4</v>
      </c>
      <c r="F3" s="30" t="s">
        <v>8</v>
      </c>
      <c r="G3" s="30" t="s">
        <v>566</v>
      </c>
      <c r="H3" s="30"/>
      <c r="I3" s="30" t="s">
        <v>440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438</v>
      </c>
      <c r="H4" s="26" t="s">
        <v>439</v>
      </c>
      <c r="I4" s="31"/>
      <c r="J4" s="31"/>
      <c r="K4" s="33"/>
    </row>
    <row r="5" spans="1:10" ht="15">
      <c r="A5" s="34" t="s">
        <v>567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21" t="s">
        <v>353</v>
      </c>
      <c r="B6" s="21" t="s">
        <v>354</v>
      </c>
      <c r="C6" s="21" t="s">
        <v>355</v>
      </c>
      <c r="D6" s="21" t="str">
        <f>"1,0000"</f>
        <v>1,0000</v>
      </c>
      <c r="E6" s="21" t="s">
        <v>37</v>
      </c>
      <c r="F6" s="21" t="s">
        <v>18</v>
      </c>
      <c r="G6" s="25" t="s">
        <v>325</v>
      </c>
      <c r="H6" s="28" t="s">
        <v>586</v>
      </c>
      <c r="I6" s="21" t="str">
        <f>"3200,0"</f>
        <v>3200,0</v>
      </c>
      <c r="J6" s="25" t="str">
        <f>"38,8349"</f>
        <v>38,8349</v>
      </c>
      <c r="K6" s="21" t="s">
        <v>22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106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574</v>
      </c>
    </row>
    <row r="20" spans="1:5" ht="12.75">
      <c r="A20" s="18" t="s">
        <v>352</v>
      </c>
      <c r="B20" s="4" t="s">
        <v>106</v>
      </c>
      <c r="C20" s="4" t="s">
        <v>575</v>
      </c>
      <c r="D20" s="4" t="s">
        <v>587</v>
      </c>
      <c r="E20" s="23" t="s">
        <v>588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37</v>
      </c>
      <c r="B27" s="4" t="s">
        <v>128</v>
      </c>
      <c r="C27" s="4" t="s">
        <v>589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8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35" t="s">
        <v>133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135</v>
      </c>
      <c r="B6" s="21" t="s">
        <v>136</v>
      </c>
      <c r="C6" s="21" t="s">
        <v>137</v>
      </c>
      <c r="D6" s="21" t="str">
        <f>"0,5553"</f>
        <v>0,5553</v>
      </c>
      <c r="E6" s="21" t="s">
        <v>37</v>
      </c>
      <c r="F6" s="21" t="s">
        <v>18</v>
      </c>
      <c r="G6" s="25" t="s">
        <v>43</v>
      </c>
      <c r="H6" s="25" t="s">
        <v>44</v>
      </c>
      <c r="I6" s="25" t="s">
        <v>55</v>
      </c>
      <c r="J6" s="24"/>
      <c r="K6" s="21" t="str">
        <f>"115,0"</f>
        <v>115,0</v>
      </c>
      <c r="L6" s="25" t="str">
        <f>"63,8595"</f>
        <v>63,8595</v>
      </c>
      <c r="M6" s="21" t="s">
        <v>138</v>
      </c>
    </row>
    <row r="8" spans="1:12" ht="15">
      <c r="A8" s="44" t="s">
        <v>139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1" t="s">
        <v>141</v>
      </c>
      <c r="B9" s="21" t="s">
        <v>142</v>
      </c>
      <c r="C9" s="21" t="s">
        <v>143</v>
      </c>
      <c r="D9" s="21" t="str">
        <f>"0,5253"</f>
        <v>0,5253</v>
      </c>
      <c r="E9" s="21" t="s">
        <v>17</v>
      </c>
      <c r="F9" s="21" t="s">
        <v>18</v>
      </c>
      <c r="G9" s="25" t="s">
        <v>144</v>
      </c>
      <c r="H9" s="25" t="s">
        <v>78</v>
      </c>
      <c r="I9" s="24" t="s">
        <v>79</v>
      </c>
      <c r="J9" s="24"/>
      <c r="K9" s="21" t="str">
        <f>"160,0"</f>
        <v>160,0</v>
      </c>
      <c r="L9" s="25" t="str">
        <f>"84,0480"</f>
        <v>84,0480</v>
      </c>
      <c r="M9" s="21" t="s">
        <v>145</v>
      </c>
    </row>
    <row r="11" spans="5:6" ht="15">
      <c r="E11" s="15" t="s">
        <v>87</v>
      </c>
      <c r="F11" s="29" t="s">
        <v>594</v>
      </c>
    </row>
    <row r="12" spans="5:6" ht="15">
      <c r="E12" s="15" t="s">
        <v>88</v>
      </c>
      <c r="F12" s="29" t="s">
        <v>595</v>
      </c>
    </row>
    <row r="13" spans="5:6" ht="15">
      <c r="E13" s="15" t="s">
        <v>89</v>
      </c>
      <c r="F13" s="29" t="s">
        <v>596</v>
      </c>
    </row>
    <row r="14" spans="5:6" ht="15">
      <c r="E14" s="15" t="s">
        <v>90</v>
      </c>
      <c r="F14" s="29" t="s">
        <v>598</v>
      </c>
    </row>
    <row r="15" spans="5:6" ht="15">
      <c r="E15" s="15" t="s">
        <v>90</v>
      </c>
      <c r="F15" s="29" t="s">
        <v>597</v>
      </c>
    </row>
    <row r="16" ht="15">
      <c r="E16" s="15"/>
    </row>
    <row r="17" ht="15">
      <c r="E17" s="15"/>
    </row>
    <row r="19" spans="1:2" ht="18">
      <c r="A19" s="16" t="s">
        <v>91</v>
      </c>
      <c r="B19" s="16"/>
    </row>
    <row r="20" spans="1:2" ht="15">
      <c r="A20" s="17" t="s">
        <v>92</v>
      </c>
      <c r="B20" s="17"/>
    </row>
    <row r="21" spans="1:2" ht="14.25">
      <c r="A21" s="19"/>
      <c r="B21" s="20" t="s">
        <v>106</v>
      </c>
    </row>
    <row r="22" spans="1:5" ht="15">
      <c r="A22" s="22" t="s">
        <v>94</v>
      </c>
      <c r="B22" s="22" t="s">
        <v>95</v>
      </c>
      <c r="C22" s="22" t="s">
        <v>96</v>
      </c>
      <c r="D22" s="22" t="s">
        <v>97</v>
      </c>
      <c r="E22" s="22" t="s">
        <v>98</v>
      </c>
    </row>
    <row r="23" spans="1:5" ht="12.75">
      <c r="A23" s="18" t="s">
        <v>140</v>
      </c>
      <c r="B23" s="4" t="s">
        <v>106</v>
      </c>
      <c r="C23" s="4" t="s">
        <v>146</v>
      </c>
      <c r="D23" s="4" t="s">
        <v>78</v>
      </c>
      <c r="E23" s="23" t="s">
        <v>147</v>
      </c>
    </row>
    <row r="24" spans="1:5" ht="12.75">
      <c r="A24" s="18" t="s">
        <v>134</v>
      </c>
      <c r="B24" s="4" t="s">
        <v>106</v>
      </c>
      <c r="C24" s="4" t="s">
        <v>107</v>
      </c>
      <c r="D24" s="4" t="s">
        <v>55</v>
      </c>
      <c r="E24" s="23" t="s">
        <v>148</v>
      </c>
    </row>
    <row r="29" spans="1:2" ht="18">
      <c r="A29" s="16" t="s">
        <v>120</v>
      </c>
      <c r="B29" s="16"/>
    </row>
    <row r="30" spans="1:3" ht="15">
      <c r="A30" s="22" t="s">
        <v>121</v>
      </c>
      <c r="B30" s="22" t="s">
        <v>122</v>
      </c>
      <c r="C30" s="22" t="s">
        <v>123</v>
      </c>
    </row>
    <row r="31" spans="1:3" ht="12.75">
      <c r="A31" s="4" t="s">
        <v>37</v>
      </c>
      <c r="B31" s="4" t="s">
        <v>128</v>
      </c>
      <c r="C31" s="4" t="s">
        <v>149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D13">
      <selection activeCell="E29" sqref="E2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80.8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11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6" t="s">
        <v>14</v>
      </c>
      <c r="B6" s="6" t="s">
        <v>15</v>
      </c>
      <c r="C6" s="6" t="s">
        <v>16</v>
      </c>
      <c r="D6" s="6" t="str">
        <f>"0,6730"</f>
        <v>0,6730</v>
      </c>
      <c r="E6" s="6" t="s">
        <v>17</v>
      </c>
      <c r="F6" s="6" t="s">
        <v>18</v>
      </c>
      <c r="G6" s="7" t="s">
        <v>19</v>
      </c>
      <c r="H6" s="8" t="s">
        <v>20</v>
      </c>
      <c r="I6" s="8" t="s">
        <v>21</v>
      </c>
      <c r="J6" s="7"/>
      <c r="K6" s="6" t="str">
        <f>"90,0"</f>
        <v>90,0</v>
      </c>
      <c r="L6" s="8" t="str">
        <f>"64,2042"</f>
        <v>64,2042</v>
      </c>
      <c r="M6" s="6" t="s">
        <v>22</v>
      </c>
    </row>
    <row r="7" spans="1:13" ht="12.75">
      <c r="A7" s="9" t="s">
        <v>24</v>
      </c>
      <c r="B7" s="9" t="s">
        <v>25</v>
      </c>
      <c r="C7" s="9" t="s">
        <v>26</v>
      </c>
      <c r="D7" s="9" t="str">
        <f>"0,6809"</f>
        <v>0,6809</v>
      </c>
      <c r="E7" s="9" t="s">
        <v>27</v>
      </c>
      <c r="F7" s="9" t="s">
        <v>28</v>
      </c>
      <c r="G7" s="11" t="s">
        <v>29</v>
      </c>
      <c r="H7" s="11" t="s">
        <v>30</v>
      </c>
      <c r="I7" s="10" t="s">
        <v>31</v>
      </c>
      <c r="J7" s="10"/>
      <c r="K7" s="9" t="str">
        <f>"130,0"</f>
        <v>130,0</v>
      </c>
      <c r="L7" s="11" t="str">
        <f>"88,5105"</f>
        <v>88,5105</v>
      </c>
      <c r="M7" s="9" t="s">
        <v>32</v>
      </c>
    </row>
    <row r="8" spans="1:13" ht="12.75">
      <c r="A8" s="12" t="s">
        <v>34</v>
      </c>
      <c r="B8" s="12" t="s">
        <v>35</v>
      </c>
      <c r="C8" s="12" t="s">
        <v>36</v>
      </c>
      <c r="D8" s="12" t="str">
        <f>"0,6782"</f>
        <v>0,6782</v>
      </c>
      <c r="E8" s="12" t="s">
        <v>37</v>
      </c>
      <c r="F8" s="12" t="s">
        <v>18</v>
      </c>
      <c r="G8" s="14" t="s">
        <v>30</v>
      </c>
      <c r="H8" s="13" t="s">
        <v>31</v>
      </c>
      <c r="I8" s="13" t="s">
        <v>31</v>
      </c>
      <c r="J8" s="13"/>
      <c r="K8" s="12" t="str">
        <f>"130,0"</f>
        <v>130,0</v>
      </c>
      <c r="L8" s="14" t="str">
        <f>"88,1660"</f>
        <v>88,1660</v>
      </c>
      <c r="M8" s="12" t="s">
        <v>22</v>
      </c>
    </row>
    <row r="10" spans="1:12" ht="15">
      <c r="A10" s="44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3" ht="12.75">
      <c r="A11" s="6" t="s">
        <v>40</v>
      </c>
      <c r="B11" s="6" t="s">
        <v>41</v>
      </c>
      <c r="C11" s="6" t="s">
        <v>42</v>
      </c>
      <c r="D11" s="6" t="str">
        <f>"0,6265"</f>
        <v>0,6265</v>
      </c>
      <c r="E11" s="6" t="s">
        <v>27</v>
      </c>
      <c r="F11" s="6" t="s">
        <v>28</v>
      </c>
      <c r="G11" s="8" t="s">
        <v>43</v>
      </c>
      <c r="H11" s="8" t="s">
        <v>44</v>
      </c>
      <c r="I11" s="7" t="s">
        <v>29</v>
      </c>
      <c r="J11" s="7"/>
      <c r="K11" s="6" t="str">
        <f>"110,0"</f>
        <v>110,0</v>
      </c>
      <c r="L11" s="8" t="str">
        <f>"70,2933"</f>
        <v>70,2933</v>
      </c>
      <c r="M11" s="6" t="s">
        <v>32</v>
      </c>
    </row>
    <row r="12" spans="1:13" ht="12.75">
      <c r="A12" s="12" t="s">
        <v>46</v>
      </c>
      <c r="B12" s="12" t="s">
        <v>47</v>
      </c>
      <c r="C12" s="12" t="s">
        <v>48</v>
      </c>
      <c r="D12" s="12" t="str">
        <f>"0,6394"</f>
        <v>0,6394</v>
      </c>
      <c r="E12" s="12" t="s">
        <v>27</v>
      </c>
      <c r="F12" s="12" t="s">
        <v>28</v>
      </c>
      <c r="G12" s="13" t="s">
        <v>43</v>
      </c>
      <c r="H12" s="13" t="s">
        <v>43</v>
      </c>
      <c r="I12" s="13"/>
      <c r="J12" s="13"/>
      <c r="K12" s="12" t="str">
        <f>"0.00"</f>
        <v>0.00</v>
      </c>
      <c r="L12" s="14" t="str">
        <f>"0,0000"</f>
        <v>0,0000</v>
      </c>
      <c r="M12" s="12" t="s">
        <v>32</v>
      </c>
    </row>
    <row r="14" spans="1:12" ht="15">
      <c r="A14" s="44" t="s">
        <v>49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ht="12.75">
      <c r="A15" s="6" t="s">
        <v>51</v>
      </c>
      <c r="B15" s="6" t="s">
        <v>52</v>
      </c>
      <c r="C15" s="6" t="s">
        <v>53</v>
      </c>
      <c r="D15" s="6" t="str">
        <f>"0,5956"</f>
        <v>0,5956</v>
      </c>
      <c r="E15" s="6" t="s">
        <v>27</v>
      </c>
      <c r="F15" s="6" t="s">
        <v>28</v>
      </c>
      <c r="G15" s="8" t="s">
        <v>54</v>
      </c>
      <c r="H15" s="8" t="s">
        <v>55</v>
      </c>
      <c r="I15" s="7" t="s">
        <v>56</v>
      </c>
      <c r="J15" s="7"/>
      <c r="K15" s="6" t="str">
        <f>"115,0"</f>
        <v>115,0</v>
      </c>
      <c r="L15" s="8" t="str">
        <f>"68,4940"</f>
        <v>68,4940</v>
      </c>
      <c r="M15" s="6" t="s">
        <v>32</v>
      </c>
    </row>
    <row r="16" spans="1:13" ht="12.75">
      <c r="A16" s="9" t="s">
        <v>58</v>
      </c>
      <c r="B16" s="9" t="s">
        <v>59</v>
      </c>
      <c r="C16" s="9" t="s">
        <v>60</v>
      </c>
      <c r="D16" s="9" t="str">
        <f>"0,6061"</f>
        <v>0,6061</v>
      </c>
      <c r="E16" s="9" t="s">
        <v>27</v>
      </c>
      <c r="F16" s="9" t="s">
        <v>28</v>
      </c>
      <c r="G16" s="11" t="s">
        <v>54</v>
      </c>
      <c r="H16" s="10" t="s">
        <v>61</v>
      </c>
      <c r="I16" s="10" t="s">
        <v>61</v>
      </c>
      <c r="J16" s="10"/>
      <c r="K16" s="9" t="str">
        <f>"105,0"</f>
        <v>105,0</v>
      </c>
      <c r="L16" s="11" t="str">
        <f>"63,6457"</f>
        <v>63,6457</v>
      </c>
      <c r="M16" s="9" t="s">
        <v>32</v>
      </c>
    </row>
    <row r="17" spans="1:13" ht="12.75">
      <c r="A17" s="9" t="s">
        <v>63</v>
      </c>
      <c r="B17" s="9" t="s">
        <v>64</v>
      </c>
      <c r="C17" s="9" t="s">
        <v>65</v>
      </c>
      <c r="D17" s="9" t="str">
        <f>"0,5907"</f>
        <v>0,5907</v>
      </c>
      <c r="E17" s="9" t="s">
        <v>66</v>
      </c>
      <c r="F17" s="9" t="s">
        <v>18</v>
      </c>
      <c r="G17" s="10" t="s">
        <v>56</v>
      </c>
      <c r="H17" s="10" t="s">
        <v>30</v>
      </c>
      <c r="I17" s="11" t="s">
        <v>30</v>
      </c>
      <c r="J17" s="10"/>
      <c r="K17" s="9" t="str">
        <f>"130,0"</f>
        <v>130,0</v>
      </c>
      <c r="L17" s="11" t="str">
        <f>"83,8629"</f>
        <v>83,8629</v>
      </c>
      <c r="M17" s="9" t="s">
        <v>67</v>
      </c>
    </row>
    <row r="18" spans="1:13" ht="12.75">
      <c r="A18" s="12" t="s">
        <v>69</v>
      </c>
      <c r="B18" s="12" t="s">
        <v>70</v>
      </c>
      <c r="C18" s="12" t="s">
        <v>71</v>
      </c>
      <c r="D18" s="12" t="str">
        <f>"0,6053"</f>
        <v>0,6053</v>
      </c>
      <c r="E18" s="12" t="s">
        <v>66</v>
      </c>
      <c r="F18" s="12" t="s">
        <v>18</v>
      </c>
      <c r="G18" s="14" t="s">
        <v>44</v>
      </c>
      <c r="H18" s="13" t="s">
        <v>55</v>
      </c>
      <c r="I18" s="13" t="s">
        <v>56</v>
      </c>
      <c r="J18" s="13"/>
      <c r="K18" s="12" t="str">
        <f>"110,0"</f>
        <v>110,0</v>
      </c>
      <c r="L18" s="14" t="str">
        <f>"85,2858"</f>
        <v>85,2858</v>
      </c>
      <c r="M18" s="12" t="s">
        <v>22</v>
      </c>
    </row>
    <row r="20" spans="1:12" ht="15">
      <c r="A20" s="44" t="s">
        <v>72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ht="12.75">
      <c r="A21" s="6" t="s">
        <v>74</v>
      </c>
      <c r="B21" s="6" t="s">
        <v>75</v>
      </c>
      <c r="C21" s="6" t="s">
        <v>76</v>
      </c>
      <c r="D21" s="6" t="str">
        <f>"0,5568"</f>
        <v>0,5568</v>
      </c>
      <c r="E21" s="6" t="s">
        <v>77</v>
      </c>
      <c r="F21" s="6" t="s">
        <v>18</v>
      </c>
      <c r="G21" s="8" t="s">
        <v>78</v>
      </c>
      <c r="H21" s="8" t="s">
        <v>79</v>
      </c>
      <c r="I21" s="7" t="s">
        <v>80</v>
      </c>
      <c r="J21" s="7"/>
      <c r="K21" s="6" t="str">
        <f>"170,0"</f>
        <v>170,0</v>
      </c>
      <c r="L21" s="8" t="str">
        <f>"94,6560"</f>
        <v>94,6560</v>
      </c>
      <c r="M21" s="6" t="s">
        <v>22</v>
      </c>
    </row>
    <row r="22" spans="1:13" ht="12.75">
      <c r="A22" s="12" t="s">
        <v>82</v>
      </c>
      <c r="B22" s="12" t="s">
        <v>83</v>
      </c>
      <c r="C22" s="12" t="s">
        <v>84</v>
      </c>
      <c r="D22" s="12" t="str">
        <f>"0,5710"</f>
        <v>0,5710</v>
      </c>
      <c r="E22" s="12" t="s">
        <v>27</v>
      </c>
      <c r="F22" s="12" t="s">
        <v>28</v>
      </c>
      <c r="G22" s="14" t="s">
        <v>85</v>
      </c>
      <c r="H22" s="14" t="s">
        <v>86</v>
      </c>
      <c r="I22" s="13" t="s">
        <v>78</v>
      </c>
      <c r="J22" s="13"/>
      <c r="K22" s="12" t="str">
        <f>"152,5"</f>
        <v>152,5</v>
      </c>
      <c r="L22" s="14" t="str">
        <f>"87,0775"</f>
        <v>87,0775</v>
      </c>
      <c r="M22" s="12" t="s">
        <v>22</v>
      </c>
    </row>
    <row r="24" spans="5:6" ht="15">
      <c r="E24" s="15" t="s">
        <v>87</v>
      </c>
      <c r="F24" s="29" t="s">
        <v>594</v>
      </c>
    </row>
    <row r="25" spans="5:6" ht="15">
      <c r="E25" s="15" t="s">
        <v>88</v>
      </c>
      <c r="F25" s="29" t="s">
        <v>595</v>
      </c>
    </row>
    <row r="26" spans="5:6" ht="15">
      <c r="E26" s="15" t="s">
        <v>89</v>
      </c>
      <c r="F26" s="29" t="s">
        <v>596</v>
      </c>
    </row>
    <row r="27" spans="5:6" ht="15">
      <c r="E27" s="15" t="s">
        <v>90</v>
      </c>
      <c r="F27" s="29" t="s">
        <v>598</v>
      </c>
    </row>
    <row r="28" spans="5:6" ht="15">
      <c r="E28" s="15" t="s">
        <v>90</v>
      </c>
      <c r="F28" s="29" t="s">
        <v>597</v>
      </c>
    </row>
    <row r="29" ht="15">
      <c r="E29" s="15"/>
    </row>
    <row r="30" ht="15">
      <c r="E30" s="15"/>
    </row>
    <row r="32" spans="1:2" ht="18">
      <c r="A32" s="16" t="s">
        <v>91</v>
      </c>
      <c r="B32" s="16"/>
    </row>
    <row r="33" spans="1:2" ht="15">
      <c r="A33" s="17" t="s">
        <v>92</v>
      </c>
      <c r="B33" s="17"/>
    </row>
    <row r="34" spans="1:2" ht="14.25">
      <c r="A34" s="19"/>
      <c r="B34" s="20" t="s">
        <v>93</v>
      </c>
    </row>
    <row r="35" spans="1:5" ht="15">
      <c r="A35" s="22" t="s">
        <v>94</v>
      </c>
      <c r="B35" s="22" t="s">
        <v>95</v>
      </c>
      <c r="C35" s="22" t="s">
        <v>96</v>
      </c>
      <c r="D35" s="22" t="s">
        <v>97</v>
      </c>
      <c r="E35" s="22" t="s">
        <v>98</v>
      </c>
    </row>
    <row r="36" spans="1:5" ht="12.75">
      <c r="A36" s="18" t="s">
        <v>13</v>
      </c>
      <c r="B36" s="4" t="s">
        <v>99</v>
      </c>
      <c r="C36" s="4" t="s">
        <v>100</v>
      </c>
      <c r="D36" s="4" t="s">
        <v>21</v>
      </c>
      <c r="E36" s="23" t="s">
        <v>101</v>
      </c>
    </row>
    <row r="38" spans="1:2" ht="14.25">
      <c r="A38" s="19"/>
      <c r="B38" s="20" t="s">
        <v>102</v>
      </c>
    </row>
    <row r="39" spans="1:5" ht="15">
      <c r="A39" s="22" t="s">
        <v>94</v>
      </c>
      <c r="B39" s="22" t="s">
        <v>95</v>
      </c>
      <c r="C39" s="22" t="s">
        <v>96</v>
      </c>
      <c r="D39" s="22" t="s">
        <v>97</v>
      </c>
      <c r="E39" s="22" t="s">
        <v>98</v>
      </c>
    </row>
    <row r="40" spans="1:5" ht="12.75">
      <c r="A40" s="18" t="s">
        <v>39</v>
      </c>
      <c r="B40" s="4" t="s">
        <v>103</v>
      </c>
      <c r="C40" s="4" t="s">
        <v>104</v>
      </c>
      <c r="D40" s="4" t="s">
        <v>44</v>
      </c>
      <c r="E40" s="23" t="s">
        <v>105</v>
      </c>
    </row>
    <row r="42" spans="1:2" ht="14.25">
      <c r="A42" s="19"/>
      <c r="B42" s="20" t="s">
        <v>106</v>
      </c>
    </row>
    <row r="43" spans="1:5" ht="15">
      <c r="A43" s="22" t="s">
        <v>94</v>
      </c>
      <c r="B43" s="22" t="s">
        <v>95</v>
      </c>
      <c r="C43" s="22" t="s">
        <v>96</v>
      </c>
      <c r="D43" s="22" t="s">
        <v>97</v>
      </c>
      <c r="E43" s="22" t="s">
        <v>98</v>
      </c>
    </row>
    <row r="44" spans="1:5" ht="12.75">
      <c r="A44" s="18" t="s">
        <v>73</v>
      </c>
      <c r="B44" s="4" t="s">
        <v>106</v>
      </c>
      <c r="C44" s="4" t="s">
        <v>107</v>
      </c>
      <c r="D44" s="4" t="s">
        <v>79</v>
      </c>
      <c r="E44" s="23" t="s">
        <v>108</v>
      </c>
    </row>
    <row r="45" spans="1:5" ht="12.75">
      <c r="A45" s="18" t="s">
        <v>23</v>
      </c>
      <c r="B45" s="4" t="s">
        <v>106</v>
      </c>
      <c r="C45" s="4" t="s">
        <v>100</v>
      </c>
      <c r="D45" s="4" t="s">
        <v>30</v>
      </c>
      <c r="E45" s="23" t="s">
        <v>109</v>
      </c>
    </row>
    <row r="46" spans="1:5" ht="12.75">
      <c r="A46" s="18" t="s">
        <v>33</v>
      </c>
      <c r="B46" s="4" t="s">
        <v>106</v>
      </c>
      <c r="C46" s="4" t="s">
        <v>100</v>
      </c>
      <c r="D46" s="4" t="s">
        <v>30</v>
      </c>
      <c r="E46" s="23" t="s">
        <v>110</v>
      </c>
    </row>
    <row r="47" spans="1:5" ht="12.75">
      <c r="A47" s="18" t="s">
        <v>81</v>
      </c>
      <c r="B47" s="4" t="s">
        <v>106</v>
      </c>
      <c r="C47" s="4" t="s">
        <v>107</v>
      </c>
      <c r="D47" s="4" t="s">
        <v>86</v>
      </c>
      <c r="E47" s="23" t="s">
        <v>111</v>
      </c>
    </row>
    <row r="48" spans="1:5" ht="12.75">
      <c r="A48" s="18" t="s">
        <v>50</v>
      </c>
      <c r="B48" s="4" t="s">
        <v>106</v>
      </c>
      <c r="C48" s="4" t="s">
        <v>112</v>
      </c>
      <c r="D48" s="4" t="s">
        <v>55</v>
      </c>
      <c r="E48" s="23" t="s">
        <v>113</v>
      </c>
    </row>
    <row r="49" spans="1:5" ht="12.75">
      <c r="A49" s="18" t="s">
        <v>57</v>
      </c>
      <c r="B49" s="4" t="s">
        <v>106</v>
      </c>
      <c r="C49" s="4" t="s">
        <v>112</v>
      </c>
      <c r="D49" s="4" t="s">
        <v>54</v>
      </c>
      <c r="E49" s="23" t="s">
        <v>114</v>
      </c>
    </row>
    <row r="51" spans="1:2" ht="14.25">
      <c r="A51" s="19"/>
      <c r="B51" s="20" t="s">
        <v>115</v>
      </c>
    </row>
    <row r="52" spans="1:5" ht="15">
      <c r="A52" s="22" t="s">
        <v>94</v>
      </c>
      <c r="B52" s="22" t="s">
        <v>95</v>
      </c>
      <c r="C52" s="22" t="s">
        <v>96</v>
      </c>
      <c r="D52" s="22" t="s">
        <v>97</v>
      </c>
      <c r="E52" s="22" t="s">
        <v>98</v>
      </c>
    </row>
    <row r="53" spans="1:5" ht="12.75">
      <c r="A53" s="18" t="s">
        <v>68</v>
      </c>
      <c r="B53" s="4" t="s">
        <v>116</v>
      </c>
      <c r="C53" s="4" t="s">
        <v>112</v>
      </c>
      <c r="D53" s="4" t="s">
        <v>44</v>
      </c>
      <c r="E53" s="23" t="s">
        <v>117</v>
      </c>
    </row>
    <row r="54" spans="1:5" ht="12.75">
      <c r="A54" s="18" t="s">
        <v>62</v>
      </c>
      <c r="B54" s="4" t="s">
        <v>118</v>
      </c>
      <c r="C54" s="4" t="s">
        <v>112</v>
      </c>
      <c r="D54" s="4" t="s">
        <v>30</v>
      </c>
      <c r="E54" s="23" t="s">
        <v>119</v>
      </c>
    </row>
    <row r="59" spans="1:2" ht="18">
      <c r="A59" s="16" t="s">
        <v>120</v>
      </c>
      <c r="B59" s="16"/>
    </row>
    <row r="60" spans="1:3" ht="15">
      <c r="A60" s="22" t="s">
        <v>121</v>
      </c>
      <c r="B60" s="22" t="s">
        <v>122</v>
      </c>
      <c r="C60" s="22" t="s">
        <v>123</v>
      </c>
    </row>
    <row r="61" spans="1:3" ht="12.75">
      <c r="A61" s="4" t="s">
        <v>27</v>
      </c>
      <c r="B61" s="4" t="s">
        <v>124</v>
      </c>
      <c r="C61" s="4" t="s">
        <v>125</v>
      </c>
    </row>
    <row r="62" spans="1:3" ht="12.75">
      <c r="A62" s="4" t="s">
        <v>66</v>
      </c>
      <c r="B62" s="4" t="s">
        <v>126</v>
      </c>
      <c r="C62" s="4" t="s">
        <v>127</v>
      </c>
    </row>
    <row r="63" spans="1:3" ht="12.75">
      <c r="A63" s="4" t="s">
        <v>77</v>
      </c>
      <c r="B63" s="4" t="s">
        <v>128</v>
      </c>
      <c r="C63" s="4" t="s">
        <v>129</v>
      </c>
    </row>
    <row r="64" spans="1:3" ht="12.75">
      <c r="A64" s="4" t="s">
        <v>37</v>
      </c>
      <c r="B64" s="4" t="s">
        <v>130</v>
      </c>
      <c r="C64" s="4" t="s">
        <v>131</v>
      </c>
    </row>
  </sheetData>
  <sheetProtection/>
  <mergeCells count="15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10:L10"/>
    <mergeCell ref="A14:L14"/>
    <mergeCell ref="A20:L20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875" style="4" bestFit="1" customWidth="1"/>
    <col min="4" max="4" width="10.625" style="4" bestFit="1" customWidth="1"/>
    <col min="5" max="5" width="30.25390625" style="4" bestFit="1" customWidth="1"/>
    <col min="6" max="6" width="24.75390625" style="4" bestFit="1" customWidth="1"/>
    <col min="7" max="7" width="5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5" t="s">
        <v>579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565</v>
      </c>
      <c r="E3" s="30" t="s">
        <v>4</v>
      </c>
      <c r="F3" s="30" t="s">
        <v>8</v>
      </c>
      <c r="G3" s="30" t="s">
        <v>566</v>
      </c>
      <c r="H3" s="30"/>
      <c r="I3" s="30" t="s">
        <v>440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438</v>
      </c>
      <c r="H4" s="26" t="s">
        <v>439</v>
      </c>
      <c r="I4" s="31"/>
      <c r="J4" s="31"/>
      <c r="K4" s="33"/>
    </row>
    <row r="5" spans="1:10" ht="15">
      <c r="A5" s="34" t="s">
        <v>567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21" t="s">
        <v>497</v>
      </c>
      <c r="B6" s="21" t="s">
        <v>580</v>
      </c>
      <c r="C6" s="21" t="s">
        <v>499</v>
      </c>
      <c r="D6" s="21" t="str">
        <f>"1,0000"</f>
        <v>1,0000</v>
      </c>
      <c r="E6" s="21" t="s">
        <v>177</v>
      </c>
      <c r="F6" s="21" t="s">
        <v>178</v>
      </c>
      <c r="G6" s="25" t="s">
        <v>144</v>
      </c>
      <c r="H6" s="28" t="s">
        <v>581</v>
      </c>
      <c r="I6" s="21" t="str">
        <f>"3000,0"</f>
        <v>3000,0</v>
      </c>
      <c r="J6" s="25" t="str">
        <f>"38,0469"</f>
        <v>38,0469</v>
      </c>
      <c r="K6" s="21" t="s">
        <v>22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92</v>
      </c>
      <c r="B17" s="17"/>
    </row>
    <row r="18" spans="1:2" ht="14.25">
      <c r="A18" s="19"/>
      <c r="B18" s="20" t="s">
        <v>115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574</v>
      </c>
    </row>
    <row r="20" spans="1:5" ht="12.75">
      <c r="A20" s="18" t="s">
        <v>496</v>
      </c>
      <c r="B20" s="4" t="s">
        <v>118</v>
      </c>
      <c r="C20" s="4" t="s">
        <v>575</v>
      </c>
      <c r="D20" s="4" t="s">
        <v>582</v>
      </c>
      <c r="E20" s="23" t="s">
        <v>583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177</v>
      </c>
      <c r="B27" s="4" t="s">
        <v>128</v>
      </c>
      <c r="C27" s="4" t="s">
        <v>584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625" style="4" bestFit="1" customWidth="1"/>
    <col min="4" max="4" width="10.625" style="4" bestFit="1" customWidth="1"/>
    <col min="5" max="5" width="30.25390625" style="4" bestFit="1" customWidth="1"/>
    <col min="6" max="6" width="29.00390625" style="4" bestFit="1" customWidth="1"/>
    <col min="7" max="7" width="4.625" style="3" bestFit="1" customWidth="1"/>
    <col min="8" max="8" width="4.625" style="27" bestFit="1" customWidth="1"/>
    <col min="9" max="9" width="7.875" style="4" bestFit="1" customWidth="1"/>
    <col min="10" max="10" width="7.625" style="3" bestFit="1" customWidth="1"/>
    <col min="11" max="11" width="21.625" style="4" bestFit="1" customWidth="1"/>
    <col min="12" max="16384" width="9.125" style="3" customWidth="1"/>
  </cols>
  <sheetData>
    <row r="1" spans="1:11" s="2" customFormat="1" ht="28.5" customHeight="1">
      <c r="A1" s="35" t="s">
        <v>564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3" t="s">
        <v>6</v>
      </c>
      <c r="C3" s="43" t="s">
        <v>7</v>
      </c>
      <c r="D3" s="30" t="s">
        <v>565</v>
      </c>
      <c r="E3" s="30" t="s">
        <v>4</v>
      </c>
      <c r="F3" s="30" t="s">
        <v>8</v>
      </c>
      <c r="G3" s="30" t="s">
        <v>566</v>
      </c>
      <c r="H3" s="30"/>
      <c r="I3" s="30" t="s">
        <v>440</v>
      </c>
      <c r="J3" s="30" t="s">
        <v>3</v>
      </c>
      <c r="K3" s="32" t="s">
        <v>2</v>
      </c>
    </row>
    <row r="4" spans="1:11" s="1" customFormat="1" ht="21" customHeight="1" thickBot="1">
      <c r="A4" s="42"/>
      <c r="B4" s="31"/>
      <c r="C4" s="31"/>
      <c r="D4" s="31"/>
      <c r="E4" s="31"/>
      <c r="F4" s="31"/>
      <c r="G4" s="5" t="s">
        <v>438</v>
      </c>
      <c r="H4" s="26" t="s">
        <v>439</v>
      </c>
      <c r="I4" s="31"/>
      <c r="J4" s="31"/>
      <c r="K4" s="33"/>
    </row>
    <row r="5" spans="1:10" ht="15">
      <c r="A5" s="34" t="s">
        <v>567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2.75">
      <c r="A6" s="21" t="s">
        <v>569</v>
      </c>
      <c r="B6" s="21" t="s">
        <v>570</v>
      </c>
      <c r="C6" s="21" t="s">
        <v>571</v>
      </c>
      <c r="D6" s="21" t="str">
        <f>"1,0000"</f>
        <v>1,0000</v>
      </c>
      <c r="E6" s="21" t="s">
        <v>177</v>
      </c>
      <c r="F6" s="21" t="s">
        <v>428</v>
      </c>
      <c r="G6" s="25" t="s">
        <v>423</v>
      </c>
      <c r="H6" s="28" t="s">
        <v>572</v>
      </c>
      <c r="I6" s="21" t="str">
        <f>"2025,0"</f>
        <v>2025,0</v>
      </c>
      <c r="J6" s="25" t="str">
        <f>"42,3197"</f>
        <v>42,3197</v>
      </c>
      <c r="K6" s="21" t="s">
        <v>573</v>
      </c>
    </row>
    <row r="8" spans="5:6" ht="15">
      <c r="E8" s="15" t="s">
        <v>87</v>
      </c>
      <c r="F8" s="29" t="s">
        <v>594</v>
      </c>
    </row>
    <row r="9" spans="5:6" ht="15">
      <c r="E9" s="15" t="s">
        <v>88</v>
      </c>
      <c r="F9" s="29" t="s">
        <v>595</v>
      </c>
    </row>
    <row r="10" spans="5:6" ht="15">
      <c r="E10" s="15" t="s">
        <v>89</v>
      </c>
      <c r="F10" s="29" t="s">
        <v>596</v>
      </c>
    </row>
    <row r="11" spans="5:6" ht="15">
      <c r="E11" s="15" t="s">
        <v>90</v>
      </c>
      <c r="F11" s="29" t="s">
        <v>598</v>
      </c>
    </row>
    <row r="12" spans="5:6" ht="15">
      <c r="E12" s="15" t="s">
        <v>90</v>
      </c>
      <c r="F12" s="29" t="s">
        <v>597</v>
      </c>
    </row>
    <row r="13" ht="15">
      <c r="E13" s="15"/>
    </row>
    <row r="14" ht="15">
      <c r="E14" s="15"/>
    </row>
    <row r="16" spans="1:2" ht="18">
      <c r="A16" s="16" t="s">
        <v>91</v>
      </c>
      <c r="B16" s="16"/>
    </row>
    <row r="17" spans="1:2" ht="15">
      <c r="A17" s="17" t="s">
        <v>276</v>
      </c>
      <c r="B17" s="17"/>
    </row>
    <row r="18" spans="1:2" ht="14.25">
      <c r="A18" s="19"/>
      <c r="B18" s="20" t="s">
        <v>106</v>
      </c>
    </row>
    <row r="19" spans="1:5" ht="15">
      <c r="A19" s="22" t="s">
        <v>94</v>
      </c>
      <c r="B19" s="22" t="s">
        <v>95</v>
      </c>
      <c r="C19" s="22" t="s">
        <v>96</v>
      </c>
      <c r="D19" s="22" t="s">
        <v>97</v>
      </c>
      <c r="E19" s="22" t="s">
        <v>574</v>
      </c>
    </row>
    <row r="20" spans="1:5" ht="12.75">
      <c r="A20" s="18" t="s">
        <v>568</v>
      </c>
      <c r="B20" s="4" t="s">
        <v>106</v>
      </c>
      <c r="C20" s="4" t="s">
        <v>575</v>
      </c>
      <c r="D20" s="4" t="s">
        <v>576</v>
      </c>
      <c r="E20" s="23" t="s">
        <v>577</v>
      </c>
    </row>
    <row r="25" spans="1:2" ht="18">
      <c r="A25" s="16" t="s">
        <v>120</v>
      </c>
      <c r="B25" s="16"/>
    </row>
    <row r="26" spans="1:3" ht="15">
      <c r="A26" s="22" t="s">
        <v>121</v>
      </c>
      <c r="B26" s="22" t="s">
        <v>122</v>
      </c>
      <c r="C26" s="22" t="s">
        <v>123</v>
      </c>
    </row>
    <row r="27" spans="1:3" ht="12.75">
      <c r="A27" s="4" t="s">
        <v>177</v>
      </c>
      <c r="B27" s="4" t="s">
        <v>128</v>
      </c>
      <c r="C27" s="4" t="s">
        <v>578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4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6.875" style="4" bestFit="1" customWidth="1"/>
    <col min="18" max="16384" width="9.125" style="3" customWidth="1"/>
  </cols>
  <sheetData>
    <row r="1" spans="1:17" s="2" customFormat="1" ht="28.5" customHeight="1">
      <c r="A1" s="35" t="s">
        <v>562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451</v>
      </c>
      <c r="H3" s="30"/>
      <c r="I3" s="30"/>
      <c r="J3" s="30"/>
      <c r="K3" s="30" t="s">
        <v>471</v>
      </c>
      <c r="L3" s="30"/>
      <c r="M3" s="30"/>
      <c r="N3" s="30"/>
      <c r="O3" s="30" t="s">
        <v>1</v>
      </c>
      <c r="P3" s="30" t="s">
        <v>3</v>
      </c>
      <c r="Q3" s="32" t="s">
        <v>2</v>
      </c>
    </row>
    <row r="4" spans="1:17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1"/>
      <c r="P4" s="31"/>
      <c r="Q4" s="33"/>
    </row>
    <row r="5" spans="1:16" ht="1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2.75">
      <c r="A6" s="21" t="s">
        <v>460</v>
      </c>
      <c r="B6" s="21" t="s">
        <v>461</v>
      </c>
      <c r="C6" s="21" t="s">
        <v>244</v>
      </c>
      <c r="D6" s="21" t="str">
        <f>"0,6502"</f>
        <v>0,6502</v>
      </c>
      <c r="E6" s="21" t="s">
        <v>37</v>
      </c>
      <c r="F6" s="21" t="s">
        <v>18</v>
      </c>
      <c r="G6" s="25" t="s">
        <v>411</v>
      </c>
      <c r="H6" s="25" t="s">
        <v>188</v>
      </c>
      <c r="I6" s="24" t="s">
        <v>189</v>
      </c>
      <c r="J6" s="24"/>
      <c r="K6" s="25" t="s">
        <v>411</v>
      </c>
      <c r="L6" s="24" t="s">
        <v>188</v>
      </c>
      <c r="M6" s="25" t="s">
        <v>188</v>
      </c>
      <c r="N6" s="24"/>
      <c r="O6" s="21" t="str">
        <f>"120,0"</f>
        <v>120,0</v>
      </c>
      <c r="P6" s="25" t="str">
        <f>"78,0180"</f>
        <v>78,0180</v>
      </c>
      <c r="Q6" s="21" t="s">
        <v>138</v>
      </c>
    </row>
    <row r="8" spans="1:16" ht="15">
      <c r="A8" s="44" t="s">
        <v>49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7" ht="12.75">
      <c r="A9" s="21" t="s">
        <v>463</v>
      </c>
      <c r="B9" s="21" t="s">
        <v>464</v>
      </c>
      <c r="C9" s="21" t="s">
        <v>465</v>
      </c>
      <c r="D9" s="21" t="str">
        <f>"0,5897"</f>
        <v>0,5897</v>
      </c>
      <c r="E9" s="21" t="s">
        <v>37</v>
      </c>
      <c r="F9" s="21" t="s">
        <v>18</v>
      </c>
      <c r="G9" s="25" t="s">
        <v>19</v>
      </c>
      <c r="H9" s="25" t="s">
        <v>466</v>
      </c>
      <c r="I9" s="25" t="s">
        <v>21</v>
      </c>
      <c r="J9" s="24"/>
      <c r="K9" s="25" t="s">
        <v>188</v>
      </c>
      <c r="L9" s="25" t="s">
        <v>189</v>
      </c>
      <c r="M9" s="24" t="s">
        <v>190</v>
      </c>
      <c r="N9" s="24"/>
      <c r="O9" s="21" t="str">
        <f>"152,5"</f>
        <v>152,5</v>
      </c>
      <c r="P9" s="25" t="str">
        <f>"94,2459"</f>
        <v>94,2459</v>
      </c>
      <c r="Q9" s="21" t="s">
        <v>138</v>
      </c>
    </row>
    <row r="11" spans="5:6" ht="15">
      <c r="E11" s="15" t="s">
        <v>87</v>
      </c>
      <c r="F11" s="29" t="s">
        <v>594</v>
      </c>
    </row>
    <row r="12" spans="5:6" ht="15">
      <c r="E12" s="15" t="s">
        <v>88</v>
      </c>
      <c r="F12" s="29" t="s">
        <v>595</v>
      </c>
    </row>
    <row r="13" spans="5:6" ht="15">
      <c r="E13" s="15" t="s">
        <v>89</v>
      </c>
      <c r="F13" s="29" t="s">
        <v>596</v>
      </c>
    </row>
    <row r="14" spans="5:6" ht="15">
      <c r="E14" s="15" t="s">
        <v>90</v>
      </c>
      <c r="F14" s="29" t="s">
        <v>598</v>
      </c>
    </row>
    <row r="15" spans="5:6" ht="15">
      <c r="E15" s="15" t="s">
        <v>90</v>
      </c>
      <c r="F15" s="29" t="s">
        <v>597</v>
      </c>
    </row>
    <row r="16" ht="15">
      <c r="E16" s="15"/>
    </row>
    <row r="17" ht="15">
      <c r="E17" s="15"/>
    </row>
    <row r="19" spans="1:2" ht="18">
      <c r="A19" s="16" t="s">
        <v>91</v>
      </c>
      <c r="B19" s="16"/>
    </row>
    <row r="20" spans="1:2" ht="15">
      <c r="A20" s="17" t="s">
        <v>92</v>
      </c>
      <c r="B20" s="17"/>
    </row>
    <row r="21" spans="1:2" ht="14.25">
      <c r="A21" s="19"/>
      <c r="B21" s="20" t="s">
        <v>102</v>
      </c>
    </row>
    <row r="22" spans="1:5" ht="15">
      <c r="A22" s="22" t="s">
        <v>94</v>
      </c>
      <c r="B22" s="22" t="s">
        <v>95</v>
      </c>
      <c r="C22" s="22" t="s">
        <v>96</v>
      </c>
      <c r="D22" s="22" t="s">
        <v>97</v>
      </c>
      <c r="E22" s="22" t="s">
        <v>98</v>
      </c>
    </row>
    <row r="23" spans="1:5" ht="12.75">
      <c r="A23" s="18" t="s">
        <v>459</v>
      </c>
      <c r="B23" s="4" t="s">
        <v>103</v>
      </c>
      <c r="C23" s="4" t="s">
        <v>104</v>
      </c>
      <c r="D23" s="4" t="s">
        <v>29</v>
      </c>
      <c r="E23" s="23" t="s">
        <v>303</v>
      </c>
    </row>
    <row r="25" spans="1:2" ht="14.25">
      <c r="A25" s="19"/>
      <c r="B25" s="20" t="s">
        <v>115</v>
      </c>
    </row>
    <row r="26" spans="1:5" ht="15">
      <c r="A26" s="22" t="s">
        <v>94</v>
      </c>
      <c r="B26" s="22" t="s">
        <v>95</v>
      </c>
      <c r="C26" s="22" t="s">
        <v>96</v>
      </c>
      <c r="D26" s="22" t="s">
        <v>97</v>
      </c>
      <c r="E26" s="22" t="s">
        <v>98</v>
      </c>
    </row>
    <row r="27" spans="1:5" ht="12.75">
      <c r="A27" s="18" t="s">
        <v>462</v>
      </c>
      <c r="B27" s="4" t="s">
        <v>118</v>
      </c>
      <c r="C27" s="4" t="s">
        <v>112</v>
      </c>
      <c r="D27" s="4" t="s">
        <v>86</v>
      </c>
      <c r="E27" s="23" t="s">
        <v>563</v>
      </c>
    </row>
    <row r="32" spans="1:2" ht="18">
      <c r="A32" s="16" t="s">
        <v>120</v>
      </c>
      <c r="B32" s="16"/>
    </row>
    <row r="33" spans="1:3" ht="15">
      <c r="A33" s="22" t="s">
        <v>121</v>
      </c>
      <c r="B33" s="22" t="s">
        <v>122</v>
      </c>
      <c r="C33" s="22" t="s">
        <v>123</v>
      </c>
    </row>
    <row r="34" spans="1:3" ht="12.75">
      <c r="A34" s="4" t="s">
        <v>37</v>
      </c>
      <c r="B34" s="4" t="s">
        <v>126</v>
      </c>
      <c r="C34" s="4" t="s">
        <v>469</v>
      </c>
    </row>
  </sheetData>
  <sheetProtection/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32.25390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6.875" style="4" bestFit="1" customWidth="1"/>
    <col min="18" max="16384" width="9.125" style="3" customWidth="1"/>
  </cols>
  <sheetData>
    <row r="1" spans="1:17" s="2" customFormat="1" ht="28.5" customHeight="1">
      <c r="A1" s="35" t="s">
        <v>557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451</v>
      </c>
      <c r="H3" s="30"/>
      <c r="I3" s="30"/>
      <c r="J3" s="30"/>
      <c r="K3" s="30" t="s">
        <v>471</v>
      </c>
      <c r="L3" s="30"/>
      <c r="M3" s="30"/>
      <c r="N3" s="30"/>
      <c r="O3" s="30" t="s">
        <v>1</v>
      </c>
      <c r="P3" s="30" t="s">
        <v>3</v>
      </c>
      <c r="Q3" s="32" t="s">
        <v>2</v>
      </c>
    </row>
    <row r="4" spans="1:17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1"/>
      <c r="P4" s="31"/>
      <c r="Q4" s="33"/>
    </row>
    <row r="5" spans="1:16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2.75">
      <c r="A6" s="21" t="s">
        <v>453</v>
      </c>
      <c r="B6" s="21" t="s">
        <v>454</v>
      </c>
      <c r="C6" s="21" t="s">
        <v>455</v>
      </c>
      <c r="D6" s="21" t="str">
        <f>"0,6694"</f>
        <v>0,6694</v>
      </c>
      <c r="E6" s="21" t="s">
        <v>37</v>
      </c>
      <c r="F6" s="21" t="s">
        <v>18</v>
      </c>
      <c r="G6" s="25" t="s">
        <v>188</v>
      </c>
      <c r="H6" s="25" t="s">
        <v>190</v>
      </c>
      <c r="I6" s="25" t="s">
        <v>207</v>
      </c>
      <c r="J6" s="24"/>
      <c r="K6" s="25" t="s">
        <v>411</v>
      </c>
      <c r="L6" s="25" t="s">
        <v>188</v>
      </c>
      <c r="M6" s="24" t="s">
        <v>189</v>
      </c>
      <c r="N6" s="24"/>
      <c r="O6" s="21" t="str">
        <f>"130,0"</f>
        <v>130,0</v>
      </c>
      <c r="P6" s="25" t="str">
        <f>"87,0220"</f>
        <v>87,0220</v>
      </c>
      <c r="Q6" s="21" t="s">
        <v>131</v>
      </c>
    </row>
    <row r="8" spans="1:16" ht="15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7" ht="12.75">
      <c r="A9" s="21" t="s">
        <v>491</v>
      </c>
      <c r="B9" s="21" t="s">
        <v>492</v>
      </c>
      <c r="C9" s="21" t="s">
        <v>493</v>
      </c>
      <c r="D9" s="21" t="str">
        <f>"0,6329"</f>
        <v>0,6329</v>
      </c>
      <c r="E9" s="21" t="s">
        <v>37</v>
      </c>
      <c r="F9" s="21" t="s">
        <v>18</v>
      </c>
      <c r="G9" s="25" t="s">
        <v>207</v>
      </c>
      <c r="H9" s="24" t="s">
        <v>19</v>
      </c>
      <c r="I9" s="25" t="s">
        <v>19</v>
      </c>
      <c r="J9" s="24"/>
      <c r="K9" s="25" t="s">
        <v>207</v>
      </c>
      <c r="L9" s="25" t="s">
        <v>423</v>
      </c>
      <c r="M9" s="25" t="s">
        <v>494</v>
      </c>
      <c r="N9" s="24"/>
      <c r="O9" s="21" t="str">
        <f>"157,5"</f>
        <v>157,5</v>
      </c>
      <c r="P9" s="25" t="str">
        <f>"107,6563"</f>
        <v>107,6563</v>
      </c>
      <c r="Q9" s="21" t="s">
        <v>138</v>
      </c>
    </row>
    <row r="11" spans="1:16" ht="15">
      <c r="A11" s="4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7" ht="12.75">
      <c r="A12" s="21" t="s">
        <v>501</v>
      </c>
      <c r="B12" s="21" t="s">
        <v>502</v>
      </c>
      <c r="C12" s="21" t="s">
        <v>503</v>
      </c>
      <c r="D12" s="21" t="str">
        <f>"0,5903"</f>
        <v>0,5903</v>
      </c>
      <c r="E12" s="21" t="s">
        <v>17</v>
      </c>
      <c r="F12" s="21" t="s">
        <v>504</v>
      </c>
      <c r="G12" s="25" t="s">
        <v>20</v>
      </c>
      <c r="H12" s="25" t="s">
        <v>466</v>
      </c>
      <c r="I12" s="24" t="s">
        <v>337</v>
      </c>
      <c r="J12" s="24"/>
      <c r="K12" s="25" t="s">
        <v>207</v>
      </c>
      <c r="L12" s="25" t="s">
        <v>423</v>
      </c>
      <c r="M12" s="25" t="s">
        <v>494</v>
      </c>
      <c r="N12" s="24"/>
      <c r="O12" s="21" t="str">
        <f>"165,0"</f>
        <v>165,0</v>
      </c>
      <c r="P12" s="25" t="str">
        <f>"97,3995"</f>
        <v>97,3995</v>
      </c>
      <c r="Q12" s="21" t="s">
        <v>22</v>
      </c>
    </row>
    <row r="14" spans="5:6" ht="15">
      <c r="E14" s="15" t="s">
        <v>87</v>
      </c>
      <c r="F14" s="29" t="s">
        <v>594</v>
      </c>
    </row>
    <row r="15" spans="5:6" ht="15">
      <c r="E15" s="15" t="s">
        <v>88</v>
      </c>
      <c r="F15" s="29" t="s">
        <v>595</v>
      </c>
    </row>
    <row r="16" spans="5:6" ht="15">
      <c r="E16" s="15" t="s">
        <v>89</v>
      </c>
      <c r="F16" s="29" t="s">
        <v>596</v>
      </c>
    </row>
    <row r="17" spans="5:6" ht="15">
      <c r="E17" s="15" t="s">
        <v>90</v>
      </c>
      <c r="F17" s="29" t="s">
        <v>598</v>
      </c>
    </row>
    <row r="18" spans="5:6" ht="15">
      <c r="E18" s="15" t="s">
        <v>90</v>
      </c>
      <c r="F18" s="29" t="s">
        <v>597</v>
      </c>
    </row>
    <row r="19" ht="15">
      <c r="E19" s="15"/>
    </row>
    <row r="20" ht="15">
      <c r="E20" s="15"/>
    </row>
    <row r="22" spans="1:2" ht="18">
      <c r="A22" s="16" t="s">
        <v>91</v>
      </c>
      <c r="B22" s="16"/>
    </row>
    <row r="23" spans="1:2" ht="15">
      <c r="A23" s="17" t="s">
        <v>92</v>
      </c>
      <c r="B23" s="17"/>
    </row>
    <row r="24" spans="1:2" ht="14.25">
      <c r="A24" s="19"/>
      <c r="B24" s="20" t="s">
        <v>93</v>
      </c>
    </row>
    <row r="25" spans="1:5" ht="15">
      <c r="A25" s="22" t="s">
        <v>94</v>
      </c>
      <c r="B25" s="22" t="s">
        <v>95</v>
      </c>
      <c r="C25" s="22" t="s">
        <v>96</v>
      </c>
      <c r="D25" s="22" t="s">
        <v>97</v>
      </c>
      <c r="E25" s="22" t="s">
        <v>98</v>
      </c>
    </row>
    <row r="26" spans="1:5" ht="12.75">
      <c r="A26" s="18" t="s">
        <v>490</v>
      </c>
      <c r="B26" s="4" t="s">
        <v>287</v>
      </c>
      <c r="C26" s="4" t="s">
        <v>104</v>
      </c>
      <c r="D26" s="4" t="s">
        <v>274</v>
      </c>
      <c r="E26" s="23" t="s">
        <v>558</v>
      </c>
    </row>
    <row r="28" spans="1:2" ht="14.25">
      <c r="A28" s="19"/>
      <c r="B28" s="20" t="s">
        <v>106</v>
      </c>
    </row>
    <row r="29" spans="1:5" ht="15">
      <c r="A29" s="22" t="s">
        <v>94</v>
      </c>
      <c r="B29" s="22" t="s">
        <v>95</v>
      </c>
      <c r="C29" s="22" t="s">
        <v>96</v>
      </c>
      <c r="D29" s="22" t="s">
        <v>97</v>
      </c>
      <c r="E29" s="22" t="s">
        <v>98</v>
      </c>
    </row>
    <row r="30" spans="1:5" ht="12.75">
      <c r="A30" s="18" t="s">
        <v>500</v>
      </c>
      <c r="B30" s="4" t="s">
        <v>106</v>
      </c>
      <c r="C30" s="4" t="s">
        <v>112</v>
      </c>
      <c r="D30" s="4" t="s">
        <v>266</v>
      </c>
      <c r="E30" s="23" t="s">
        <v>559</v>
      </c>
    </row>
    <row r="31" spans="1:5" ht="12.75">
      <c r="A31" s="18" t="s">
        <v>452</v>
      </c>
      <c r="B31" s="4" t="s">
        <v>106</v>
      </c>
      <c r="C31" s="4" t="s">
        <v>100</v>
      </c>
      <c r="D31" s="4" t="s">
        <v>30</v>
      </c>
      <c r="E31" s="23" t="s">
        <v>560</v>
      </c>
    </row>
    <row r="36" spans="1:2" ht="18">
      <c r="A36" s="16" t="s">
        <v>120</v>
      </c>
      <c r="B36" s="16"/>
    </row>
    <row r="37" spans="1:3" ht="15">
      <c r="A37" s="22" t="s">
        <v>121</v>
      </c>
      <c r="B37" s="22" t="s">
        <v>122</v>
      </c>
      <c r="C37" s="22" t="s">
        <v>123</v>
      </c>
    </row>
    <row r="38" spans="1:3" ht="12.75">
      <c r="A38" s="4" t="s">
        <v>37</v>
      </c>
      <c r="B38" s="4" t="s">
        <v>126</v>
      </c>
      <c r="C38" s="4" t="s">
        <v>561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D1">
      <selection activeCell="E20" sqref="E2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9.3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35" t="s">
        <v>537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471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538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540</v>
      </c>
      <c r="B6" s="21" t="s">
        <v>541</v>
      </c>
      <c r="C6" s="21" t="s">
        <v>542</v>
      </c>
      <c r="D6" s="21" t="str">
        <f>"1,3133"</f>
        <v>1,3133</v>
      </c>
      <c r="E6" s="21" t="s">
        <v>37</v>
      </c>
      <c r="F6" s="21" t="s">
        <v>18</v>
      </c>
      <c r="G6" s="25" t="s">
        <v>543</v>
      </c>
      <c r="H6" s="25" t="s">
        <v>544</v>
      </c>
      <c r="I6" s="25" t="s">
        <v>545</v>
      </c>
      <c r="J6" s="24"/>
      <c r="K6" s="21" t="str">
        <f>"15,0"</f>
        <v>15,0</v>
      </c>
      <c r="L6" s="25" t="str">
        <f>"24,2304"</f>
        <v>24,2304</v>
      </c>
      <c r="M6" s="21" t="s">
        <v>138</v>
      </c>
    </row>
    <row r="8" spans="1:12" ht="15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1" t="s">
        <v>460</v>
      </c>
      <c r="B9" s="21" t="s">
        <v>461</v>
      </c>
      <c r="C9" s="21" t="s">
        <v>244</v>
      </c>
      <c r="D9" s="21" t="str">
        <f>"0,6502"</f>
        <v>0,6502</v>
      </c>
      <c r="E9" s="21" t="s">
        <v>37</v>
      </c>
      <c r="F9" s="21" t="s">
        <v>18</v>
      </c>
      <c r="G9" s="25" t="s">
        <v>411</v>
      </c>
      <c r="H9" s="24" t="s">
        <v>188</v>
      </c>
      <c r="I9" s="25" t="s">
        <v>188</v>
      </c>
      <c r="J9" s="24"/>
      <c r="K9" s="21" t="str">
        <f>"60,0"</f>
        <v>60,0</v>
      </c>
      <c r="L9" s="25" t="str">
        <f>"39,0090"</f>
        <v>39,0090</v>
      </c>
      <c r="M9" s="21" t="s">
        <v>138</v>
      </c>
    </row>
    <row r="11" spans="1:12" ht="15">
      <c r="A11" s="4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6" t="s">
        <v>547</v>
      </c>
      <c r="B12" s="6" t="s">
        <v>548</v>
      </c>
      <c r="C12" s="6" t="s">
        <v>549</v>
      </c>
      <c r="D12" s="6" t="str">
        <f>"0,6045"</f>
        <v>0,6045</v>
      </c>
      <c r="E12" s="6" t="s">
        <v>37</v>
      </c>
      <c r="F12" s="6" t="s">
        <v>18</v>
      </c>
      <c r="G12" s="8" t="s">
        <v>207</v>
      </c>
      <c r="H12" s="8" t="s">
        <v>423</v>
      </c>
      <c r="I12" s="8" t="s">
        <v>494</v>
      </c>
      <c r="J12" s="7"/>
      <c r="K12" s="6" t="str">
        <f>"77,5"</f>
        <v>77,5</v>
      </c>
      <c r="L12" s="8" t="str">
        <f>"46,8487"</f>
        <v>46,8487</v>
      </c>
      <c r="M12" s="6" t="s">
        <v>550</v>
      </c>
    </row>
    <row r="13" spans="1:13" ht="12.75">
      <c r="A13" s="12" t="s">
        <v>463</v>
      </c>
      <c r="B13" s="12" t="s">
        <v>464</v>
      </c>
      <c r="C13" s="12" t="s">
        <v>465</v>
      </c>
      <c r="D13" s="12" t="str">
        <f>"0,5897"</f>
        <v>0,5897</v>
      </c>
      <c r="E13" s="12" t="s">
        <v>37</v>
      </c>
      <c r="F13" s="12" t="s">
        <v>18</v>
      </c>
      <c r="G13" s="14" t="s">
        <v>188</v>
      </c>
      <c r="H13" s="14" t="s">
        <v>189</v>
      </c>
      <c r="I13" s="13" t="s">
        <v>190</v>
      </c>
      <c r="J13" s="13"/>
      <c r="K13" s="12" t="str">
        <f>"62,5"</f>
        <v>62,5</v>
      </c>
      <c r="L13" s="14" t="str">
        <f>"38,6253"</f>
        <v>38,6253</v>
      </c>
      <c r="M13" s="12" t="s">
        <v>138</v>
      </c>
    </row>
    <row r="15" spans="5:6" ht="15">
      <c r="E15" s="15" t="s">
        <v>87</v>
      </c>
      <c r="F15" s="29" t="s">
        <v>594</v>
      </c>
    </row>
    <row r="16" spans="5:6" ht="15">
      <c r="E16" s="15" t="s">
        <v>88</v>
      </c>
      <c r="F16" s="29" t="s">
        <v>595</v>
      </c>
    </row>
    <row r="17" spans="5:6" ht="15">
      <c r="E17" s="15" t="s">
        <v>89</v>
      </c>
      <c r="F17" s="29" t="s">
        <v>596</v>
      </c>
    </row>
    <row r="18" spans="5:6" ht="15">
      <c r="E18" s="15" t="s">
        <v>90</v>
      </c>
      <c r="F18" s="29" t="s">
        <v>598</v>
      </c>
    </row>
    <row r="19" spans="5:6" ht="15">
      <c r="E19" s="15" t="s">
        <v>90</v>
      </c>
      <c r="F19" s="29" t="s">
        <v>597</v>
      </c>
    </row>
    <row r="20" ht="15">
      <c r="E20" s="15"/>
    </row>
    <row r="21" ht="15">
      <c r="E21" s="15"/>
    </row>
    <row r="23" spans="1:2" ht="18">
      <c r="A23" s="16" t="s">
        <v>91</v>
      </c>
      <c r="B23" s="16"/>
    </row>
    <row r="24" spans="1:2" ht="15">
      <c r="A24" s="17" t="s">
        <v>92</v>
      </c>
      <c r="B24" s="17"/>
    </row>
    <row r="25" spans="1:2" ht="14.25">
      <c r="A25" s="19"/>
      <c r="B25" s="20" t="s">
        <v>93</v>
      </c>
    </row>
    <row r="26" spans="1:5" ht="15">
      <c r="A26" s="22" t="s">
        <v>94</v>
      </c>
      <c r="B26" s="22" t="s">
        <v>95</v>
      </c>
      <c r="C26" s="22" t="s">
        <v>96</v>
      </c>
      <c r="D26" s="22" t="s">
        <v>97</v>
      </c>
      <c r="E26" s="22" t="s">
        <v>98</v>
      </c>
    </row>
    <row r="27" spans="1:5" ht="12.75">
      <c r="A27" s="18" t="s">
        <v>539</v>
      </c>
      <c r="B27" s="4" t="s">
        <v>369</v>
      </c>
      <c r="C27" s="4" t="s">
        <v>551</v>
      </c>
      <c r="D27" s="4" t="s">
        <v>545</v>
      </c>
      <c r="E27" s="23" t="s">
        <v>552</v>
      </c>
    </row>
    <row r="29" spans="1:2" ht="14.25">
      <c r="A29" s="19"/>
      <c r="B29" s="20" t="s">
        <v>102</v>
      </c>
    </row>
    <row r="30" spans="1:5" ht="15">
      <c r="A30" s="22" t="s">
        <v>94</v>
      </c>
      <c r="B30" s="22" t="s">
        <v>95</v>
      </c>
      <c r="C30" s="22" t="s">
        <v>96</v>
      </c>
      <c r="D30" s="22" t="s">
        <v>97</v>
      </c>
      <c r="E30" s="22" t="s">
        <v>98</v>
      </c>
    </row>
    <row r="31" spans="1:5" ht="12.75">
      <c r="A31" s="18" t="s">
        <v>459</v>
      </c>
      <c r="B31" s="4" t="s">
        <v>103</v>
      </c>
      <c r="C31" s="4" t="s">
        <v>104</v>
      </c>
      <c r="D31" s="4" t="s">
        <v>188</v>
      </c>
      <c r="E31" s="23" t="s">
        <v>467</v>
      </c>
    </row>
    <row r="33" spans="1:2" ht="14.25">
      <c r="A33" s="19"/>
      <c r="B33" s="20" t="s">
        <v>106</v>
      </c>
    </row>
    <row r="34" spans="1:5" ht="15">
      <c r="A34" s="22" t="s">
        <v>94</v>
      </c>
      <c r="B34" s="22" t="s">
        <v>95</v>
      </c>
      <c r="C34" s="22" t="s">
        <v>96</v>
      </c>
      <c r="D34" s="22" t="s">
        <v>97</v>
      </c>
      <c r="E34" s="22" t="s">
        <v>98</v>
      </c>
    </row>
    <row r="35" spans="1:5" ht="12.75">
      <c r="A35" s="18" t="s">
        <v>546</v>
      </c>
      <c r="B35" s="4" t="s">
        <v>106</v>
      </c>
      <c r="C35" s="4" t="s">
        <v>112</v>
      </c>
      <c r="D35" s="4" t="s">
        <v>494</v>
      </c>
      <c r="E35" s="23" t="s">
        <v>553</v>
      </c>
    </row>
    <row r="37" spans="1:2" ht="14.25">
      <c r="A37" s="19"/>
      <c r="B37" s="20" t="s">
        <v>115</v>
      </c>
    </row>
    <row r="38" spans="1:5" ht="15">
      <c r="A38" s="22" t="s">
        <v>94</v>
      </c>
      <c r="B38" s="22" t="s">
        <v>95</v>
      </c>
      <c r="C38" s="22" t="s">
        <v>96</v>
      </c>
      <c r="D38" s="22" t="s">
        <v>97</v>
      </c>
      <c r="E38" s="22" t="s">
        <v>98</v>
      </c>
    </row>
    <row r="39" spans="1:5" ht="12.75">
      <c r="A39" s="18" t="s">
        <v>462</v>
      </c>
      <c r="B39" s="4" t="s">
        <v>118</v>
      </c>
      <c r="C39" s="4" t="s">
        <v>112</v>
      </c>
      <c r="D39" s="4" t="s">
        <v>189</v>
      </c>
      <c r="E39" s="23" t="s">
        <v>554</v>
      </c>
    </row>
    <row r="44" spans="1:2" ht="18">
      <c r="A44" s="16" t="s">
        <v>120</v>
      </c>
      <c r="B44" s="16"/>
    </row>
    <row r="45" spans="1:3" ht="15">
      <c r="A45" s="22" t="s">
        <v>121</v>
      </c>
      <c r="B45" s="22" t="s">
        <v>122</v>
      </c>
      <c r="C45" s="22" t="s">
        <v>123</v>
      </c>
    </row>
    <row r="46" spans="1:3" ht="12.75">
      <c r="A46" s="4" t="s">
        <v>37</v>
      </c>
      <c r="B46" s="4" t="s">
        <v>555</v>
      </c>
      <c r="C46" s="4" t="s">
        <v>556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D19">
      <selection activeCell="E35" sqref="E3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7.625" style="4" bestFit="1" customWidth="1"/>
    <col min="4" max="4" width="9.25390625" style="4" bestFit="1" customWidth="1"/>
    <col min="5" max="5" width="30.25390625" style="4" bestFit="1" customWidth="1"/>
    <col min="6" max="6" width="34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9.125" style="4" bestFit="1" customWidth="1"/>
    <col min="14" max="16384" width="9.125" style="3" customWidth="1"/>
  </cols>
  <sheetData>
    <row r="1" spans="1:13" s="2" customFormat="1" ht="28.5" customHeight="1">
      <c r="A1" s="35" t="s">
        <v>470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471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192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473</v>
      </c>
      <c r="B6" s="21" t="s">
        <v>474</v>
      </c>
      <c r="C6" s="21" t="s">
        <v>475</v>
      </c>
      <c r="D6" s="21" t="str">
        <f>"0,7503"</f>
        <v>0,7503</v>
      </c>
      <c r="E6" s="21" t="s">
        <v>177</v>
      </c>
      <c r="F6" s="21" t="s">
        <v>428</v>
      </c>
      <c r="G6" s="24" t="s">
        <v>476</v>
      </c>
      <c r="H6" s="24" t="s">
        <v>476</v>
      </c>
      <c r="I6" s="25" t="s">
        <v>476</v>
      </c>
      <c r="J6" s="24"/>
      <c r="K6" s="21" t="str">
        <f>"40,0"</f>
        <v>40,0</v>
      </c>
      <c r="L6" s="25" t="str">
        <f>"33,9136"</f>
        <v>33,9136</v>
      </c>
      <c r="M6" s="21" t="s">
        <v>477</v>
      </c>
    </row>
    <row r="8" spans="1:12" ht="15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6" t="s">
        <v>215</v>
      </c>
      <c r="B9" s="6" t="s">
        <v>216</v>
      </c>
      <c r="C9" s="6" t="s">
        <v>217</v>
      </c>
      <c r="D9" s="6" t="str">
        <f>"0,7119"</f>
        <v>0,7119</v>
      </c>
      <c r="E9" s="6" t="s">
        <v>177</v>
      </c>
      <c r="F9" s="6" t="s">
        <v>178</v>
      </c>
      <c r="G9" s="7" t="s">
        <v>476</v>
      </c>
      <c r="H9" s="7" t="s">
        <v>476</v>
      </c>
      <c r="I9" s="8" t="s">
        <v>476</v>
      </c>
      <c r="J9" s="7"/>
      <c r="K9" s="6" t="str">
        <f>"40,0"</f>
        <v>40,0</v>
      </c>
      <c r="L9" s="8" t="str">
        <f>"33,6017"</f>
        <v>33,6017</v>
      </c>
      <c r="M9" s="6" t="s">
        <v>182</v>
      </c>
    </row>
    <row r="10" spans="1:13" ht="12.75">
      <c r="A10" s="9" t="s">
        <v>14</v>
      </c>
      <c r="B10" s="9" t="s">
        <v>15</v>
      </c>
      <c r="C10" s="9" t="s">
        <v>16</v>
      </c>
      <c r="D10" s="9" t="str">
        <f>"0,6730"</f>
        <v>0,6730</v>
      </c>
      <c r="E10" s="9" t="s">
        <v>17</v>
      </c>
      <c r="F10" s="9" t="s">
        <v>18</v>
      </c>
      <c r="G10" s="11" t="s">
        <v>478</v>
      </c>
      <c r="H10" s="11" t="s">
        <v>411</v>
      </c>
      <c r="I10" s="10" t="s">
        <v>188</v>
      </c>
      <c r="J10" s="10"/>
      <c r="K10" s="9" t="str">
        <f>"57,5"</f>
        <v>57,5</v>
      </c>
      <c r="L10" s="11" t="str">
        <f>"41,0193"</f>
        <v>41,0193</v>
      </c>
      <c r="M10" s="9" t="s">
        <v>22</v>
      </c>
    </row>
    <row r="11" spans="1:13" ht="12.75">
      <c r="A11" s="9" t="s">
        <v>480</v>
      </c>
      <c r="B11" s="9" t="s">
        <v>481</v>
      </c>
      <c r="C11" s="9" t="s">
        <v>482</v>
      </c>
      <c r="D11" s="9" t="str">
        <f>"0,6733"</f>
        <v>0,6733</v>
      </c>
      <c r="E11" s="9" t="s">
        <v>17</v>
      </c>
      <c r="F11" s="9" t="s">
        <v>18</v>
      </c>
      <c r="G11" s="11" t="s">
        <v>180</v>
      </c>
      <c r="H11" s="10" t="s">
        <v>478</v>
      </c>
      <c r="I11" s="11" t="s">
        <v>478</v>
      </c>
      <c r="J11" s="10"/>
      <c r="K11" s="9" t="str">
        <f>"52,5"</f>
        <v>52,5</v>
      </c>
      <c r="L11" s="11" t="str">
        <f>"37,4719"</f>
        <v>37,4719</v>
      </c>
      <c r="M11" s="9" t="s">
        <v>22</v>
      </c>
    </row>
    <row r="12" spans="1:13" ht="12.75">
      <c r="A12" s="9" t="s">
        <v>484</v>
      </c>
      <c r="B12" s="9" t="s">
        <v>485</v>
      </c>
      <c r="C12" s="9" t="s">
        <v>486</v>
      </c>
      <c r="D12" s="9" t="str">
        <f>"0,6726"</f>
        <v>0,6726</v>
      </c>
      <c r="E12" s="9" t="s">
        <v>487</v>
      </c>
      <c r="F12" s="9" t="s">
        <v>488</v>
      </c>
      <c r="G12" s="10" t="s">
        <v>180</v>
      </c>
      <c r="H12" s="10" t="s">
        <v>180</v>
      </c>
      <c r="I12" s="11" t="s">
        <v>180</v>
      </c>
      <c r="J12" s="10"/>
      <c r="K12" s="9" t="str">
        <f>"45,0"</f>
        <v>45,0</v>
      </c>
      <c r="L12" s="11" t="str">
        <f>"32,0854"</f>
        <v>32,0854</v>
      </c>
      <c r="M12" s="9" t="s">
        <v>22</v>
      </c>
    </row>
    <row r="13" spans="1:13" ht="12.75">
      <c r="A13" s="9" t="s">
        <v>226</v>
      </c>
      <c r="B13" s="9" t="s">
        <v>35</v>
      </c>
      <c r="C13" s="9" t="s">
        <v>36</v>
      </c>
      <c r="D13" s="9" t="str">
        <f>"0,6782"</f>
        <v>0,6782</v>
      </c>
      <c r="E13" s="9" t="s">
        <v>37</v>
      </c>
      <c r="F13" s="9" t="s">
        <v>18</v>
      </c>
      <c r="G13" s="11" t="s">
        <v>411</v>
      </c>
      <c r="H13" s="11" t="s">
        <v>189</v>
      </c>
      <c r="I13" s="10" t="s">
        <v>190</v>
      </c>
      <c r="J13" s="10"/>
      <c r="K13" s="9" t="str">
        <f>"62,5"</f>
        <v>62,5</v>
      </c>
      <c r="L13" s="11" t="str">
        <f>"42,3875"</f>
        <v>42,3875</v>
      </c>
      <c r="M13" s="9" t="s">
        <v>22</v>
      </c>
    </row>
    <row r="14" spans="1:13" ht="12.75">
      <c r="A14" s="12" t="s">
        <v>489</v>
      </c>
      <c r="B14" s="12" t="s">
        <v>454</v>
      </c>
      <c r="C14" s="12" t="s">
        <v>455</v>
      </c>
      <c r="D14" s="12" t="str">
        <f>"0,6694"</f>
        <v>0,6694</v>
      </c>
      <c r="E14" s="12" t="s">
        <v>37</v>
      </c>
      <c r="F14" s="12" t="s">
        <v>18</v>
      </c>
      <c r="G14" s="14" t="s">
        <v>411</v>
      </c>
      <c r="H14" s="14" t="s">
        <v>188</v>
      </c>
      <c r="I14" s="13" t="s">
        <v>189</v>
      </c>
      <c r="J14" s="13"/>
      <c r="K14" s="12" t="str">
        <f>"60,0"</f>
        <v>60,0</v>
      </c>
      <c r="L14" s="14" t="str">
        <f>"40,1640"</f>
        <v>40,1640</v>
      </c>
      <c r="M14" s="12" t="s">
        <v>131</v>
      </c>
    </row>
    <row r="16" spans="1:12" ht="15">
      <c r="A16" s="44" t="s">
        <v>38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3" ht="12.75">
      <c r="A17" s="6" t="s">
        <v>491</v>
      </c>
      <c r="B17" s="6" t="s">
        <v>492</v>
      </c>
      <c r="C17" s="6" t="s">
        <v>493</v>
      </c>
      <c r="D17" s="6" t="str">
        <f>"0,6329"</f>
        <v>0,6329</v>
      </c>
      <c r="E17" s="6" t="s">
        <v>37</v>
      </c>
      <c r="F17" s="6" t="s">
        <v>18</v>
      </c>
      <c r="G17" s="8" t="s">
        <v>207</v>
      </c>
      <c r="H17" s="8" t="s">
        <v>423</v>
      </c>
      <c r="I17" s="8" t="s">
        <v>494</v>
      </c>
      <c r="J17" s="7"/>
      <c r="K17" s="6" t="str">
        <f>"77,5"</f>
        <v>77,5</v>
      </c>
      <c r="L17" s="8" t="str">
        <f>"52,9737"</f>
        <v>52,9737</v>
      </c>
      <c r="M17" s="6" t="s">
        <v>138</v>
      </c>
    </row>
    <row r="18" spans="1:13" ht="12.75">
      <c r="A18" s="9" t="s">
        <v>40</v>
      </c>
      <c r="B18" s="9" t="s">
        <v>41</v>
      </c>
      <c r="C18" s="9" t="s">
        <v>42</v>
      </c>
      <c r="D18" s="9" t="str">
        <f>"0,6265"</f>
        <v>0,6265</v>
      </c>
      <c r="E18" s="9" t="s">
        <v>27</v>
      </c>
      <c r="F18" s="9" t="s">
        <v>28</v>
      </c>
      <c r="G18" s="11" t="s">
        <v>476</v>
      </c>
      <c r="H18" s="11" t="s">
        <v>495</v>
      </c>
      <c r="I18" s="10" t="s">
        <v>181</v>
      </c>
      <c r="J18" s="10"/>
      <c r="K18" s="9" t="str">
        <f>"47,5"</f>
        <v>47,5</v>
      </c>
      <c r="L18" s="11" t="str">
        <f>"30,3539"</f>
        <v>30,3539</v>
      </c>
      <c r="M18" s="9" t="s">
        <v>32</v>
      </c>
    </row>
    <row r="19" spans="1:13" ht="12.75">
      <c r="A19" s="9" t="s">
        <v>497</v>
      </c>
      <c r="B19" s="9" t="s">
        <v>498</v>
      </c>
      <c r="C19" s="9" t="s">
        <v>499</v>
      </c>
      <c r="D19" s="9" t="str">
        <f>"0,6396"</f>
        <v>0,6396</v>
      </c>
      <c r="E19" s="9" t="s">
        <v>177</v>
      </c>
      <c r="F19" s="9" t="s">
        <v>178</v>
      </c>
      <c r="G19" s="11" t="s">
        <v>495</v>
      </c>
      <c r="H19" s="11" t="s">
        <v>181</v>
      </c>
      <c r="I19" s="10" t="s">
        <v>189</v>
      </c>
      <c r="J19" s="10"/>
      <c r="K19" s="9" t="str">
        <f>"55,0"</f>
        <v>55,0</v>
      </c>
      <c r="L19" s="11" t="str">
        <f>"35,1807"</f>
        <v>35,1807</v>
      </c>
      <c r="M19" s="9" t="s">
        <v>22</v>
      </c>
    </row>
    <row r="20" spans="1:13" ht="12.75">
      <c r="A20" s="12" t="s">
        <v>242</v>
      </c>
      <c r="B20" s="12" t="s">
        <v>243</v>
      </c>
      <c r="C20" s="12" t="s">
        <v>244</v>
      </c>
      <c r="D20" s="12" t="str">
        <f>"0,6502"</f>
        <v>0,6502</v>
      </c>
      <c r="E20" s="12" t="s">
        <v>177</v>
      </c>
      <c r="F20" s="12" t="s">
        <v>178</v>
      </c>
      <c r="G20" s="14" t="s">
        <v>495</v>
      </c>
      <c r="H20" s="13" t="s">
        <v>181</v>
      </c>
      <c r="I20" s="13"/>
      <c r="J20" s="13"/>
      <c r="K20" s="12" t="str">
        <f>"47,5"</f>
        <v>47,5</v>
      </c>
      <c r="L20" s="14" t="str">
        <f>"30,8821"</f>
        <v>30,8821</v>
      </c>
      <c r="M20" s="12" t="s">
        <v>182</v>
      </c>
    </row>
    <row r="22" spans="1:12" ht="15">
      <c r="A22" s="44" t="s">
        <v>49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3" ht="12.75">
      <c r="A23" s="21" t="s">
        <v>501</v>
      </c>
      <c r="B23" s="21" t="s">
        <v>502</v>
      </c>
      <c r="C23" s="21" t="s">
        <v>503</v>
      </c>
      <c r="D23" s="21" t="str">
        <f>"0,5903"</f>
        <v>0,5903</v>
      </c>
      <c r="E23" s="21" t="s">
        <v>17</v>
      </c>
      <c r="F23" s="21" t="s">
        <v>504</v>
      </c>
      <c r="G23" s="25" t="s">
        <v>207</v>
      </c>
      <c r="H23" s="25" t="s">
        <v>423</v>
      </c>
      <c r="I23" s="25" t="s">
        <v>494</v>
      </c>
      <c r="J23" s="24"/>
      <c r="K23" s="21" t="str">
        <f>"77,5"</f>
        <v>77,5</v>
      </c>
      <c r="L23" s="25" t="str">
        <f>"45,7483"</f>
        <v>45,7483</v>
      </c>
      <c r="M23" s="21" t="s">
        <v>22</v>
      </c>
    </row>
    <row r="25" spans="1:12" ht="15">
      <c r="A25" s="44" t="s">
        <v>72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3" ht="12.75">
      <c r="A26" s="6" t="s">
        <v>74</v>
      </c>
      <c r="B26" s="6" t="s">
        <v>75</v>
      </c>
      <c r="C26" s="6" t="s">
        <v>76</v>
      </c>
      <c r="D26" s="6" t="str">
        <f>"0,5568"</f>
        <v>0,5568</v>
      </c>
      <c r="E26" s="6" t="s">
        <v>77</v>
      </c>
      <c r="F26" s="6" t="s">
        <v>18</v>
      </c>
      <c r="G26" s="8" t="s">
        <v>190</v>
      </c>
      <c r="H26" s="8" t="s">
        <v>207</v>
      </c>
      <c r="I26" s="7" t="s">
        <v>423</v>
      </c>
      <c r="J26" s="7"/>
      <c r="K26" s="6" t="str">
        <f>"70,0"</f>
        <v>70,0</v>
      </c>
      <c r="L26" s="8" t="str">
        <f>"38,9760"</f>
        <v>38,9760</v>
      </c>
      <c r="M26" s="6" t="s">
        <v>22</v>
      </c>
    </row>
    <row r="27" spans="1:13" ht="12.75">
      <c r="A27" s="9" t="s">
        <v>82</v>
      </c>
      <c r="B27" s="9" t="s">
        <v>83</v>
      </c>
      <c r="C27" s="9" t="s">
        <v>84</v>
      </c>
      <c r="D27" s="9" t="str">
        <f>"0,5710"</f>
        <v>0,5710</v>
      </c>
      <c r="E27" s="9" t="s">
        <v>27</v>
      </c>
      <c r="F27" s="9" t="s">
        <v>28</v>
      </c>
      <c r="G27" s="11" t="s">
        <v>181</v>
      </c>
      <c r="H27" s="11" t="s">
        <v>505</v>
      </c>
      <c r="I27" s="10" t="s">
        <v>19</v>
      </c>
      <c r="J27" s="10"/>
      <c r="K27" s="9" t="str">
        <f>"67,5"</f>
        <v>67,5</v>
      </c>
      <c r="L27" s="11" t="str">
        <f>"38,5425"</f>
        <v>38,5425</v>
      </c>
      <c r="M27" s="9" t="s">
        <v>22</v>
      </c>
    </row>
    <row r="28" spans="1:13" ht="12.75">
      <c r="A28" s="12" t="s">
        <v>507</v>
      </c>
      <c r="B28" s="12" t="s">
        <v>508</v>
      </c>
      <c r="C28" s="12" t="s">
        <v>509</v>
      </c>
      <c r="D28" s="12" t="str">
        <f>"0,5565"</f>
        <v>0,5565</v>
      </c>
      <c r="E28" s="12" t="s">
        <v>510</v>
      </c>
      <c r="F28" s="12" t="s">
        <v>511</v>
      </c>
      <c r="G28" s="14" t="s">
        <v>207</v>
      </c>
      <c r="H28" s="14" t="s">
        <v>512</v>
      </c>
      <c r="I28" s="13" t="s">
        <v>423</v>
      </c>
      <c r="J28" s="13"/>
      <c r="K28" s="12" t="str">
        <f>"72,5"</f>
        <v>72,5</v>
      </c>
      <c r="L28" s="14" t="str">
        <f>"42,2829"</f>
        <v>42,2829</v>
      </c>
      <c r="M28" s="12" t="s">
        <v>513</v>
      </c>
    </row>
    <row r="30" spans="5:6" ht="15">
      <c r="E30" s="15" t="s">
        <v>87</v>
      </c>
      <c r="F30" s="29" t="s">
        <v>594</v>
      </c>
    </row>
    <row r="31" spans="5:6" ht="15">
      <c r="E31" s="15" t="s">
        <v>88</v>
      </c>
      <c r="F31" s="29" t="s">
        <v>595</v>
      </c>
    </row>
    <row r="32" spans="5:6" ht="15">
      <c r="E32" s="15" t="s">
        <v>89</v>
      </c>
      <c r="F32" s="29" t="s">
        <v>596</v>
      </c>
    </row>
    <row r="33" spans="5:6" ht="15">
      <c r="E33" s="15" t="s">
        <v>90</v>
      </c>
      <c r="F33" s="29" t="s">
        <v>598</v>
      </c>
    </row>
    <row r="34" spans="5:6" ht="15">
      <c r="E34" s="15" t="s">
        <v>90</v>
      </c>
      <c r="F34" s="29" t="s">
        <v>597</v>
      </c>
    </row>
    <row r="35" ht="15">
      <c r="E35" s="15"/>
    </row>
    <row r="36" ht="15">
      <c r="E36" s="15"/>
    </row>
    <row r="38" spans="1:2" ht="18">
      <c r="A38" s="16" t="s">
        <v>91</v>
      </c>
      <c r="B38" s="16"/>
    </row>
    <row r="39" spans="1:2" ht="15">
      <c r="A39" s="17" t="s">
        <v>92</v>
      </c>
      <c r="B39" s="17"/>
    </row>
    <row r="40" spans="1:2" ht="14.25">
      <c r="A40" s="19"/>
      <c r="B40" s="20" t="s">
        <v>93</v>
      </c>
    </row>
    <row r="41" spans="1:5" ht="15">
      <c r="A41" s="22" t="s">
        <v>94</v>
      </c>
      <c r="B41" s="22" t="s">
        <v>95</v>
      </c>
      <c r="C41" s="22" t="s">
        <v>96</v>
      </c>
      <c r="D41" s="22" t="s">
        <v>97</v>
      </c>
      <c r="E41" s="22" t="s">
        <v>98</v>
      </c>
    </row>
    <row r="42" spans="1:5" ht="12.75">
      <c r="A42" s="18" t="s">
        <v>490</v>
      </c>
      <c r="B42" s="4" t="s">
        <v>287</v>
      </c>
      <c r="C42" s="4" t="s">
        <v>104</v>
      </c>
      <c r="D42" s="4" t="s">
        <v>494</v>
      </c>
      <c r="E42" s="23" t="s">
        <v>514</v>
      </c>
    </row>
    <row r="43" spans="1:5" ht="12.75">
      <c r="A43" s="18" t="s">
        <v>13</v>
      </c>
      <c r="B43" s="4" t="s">
        <v>99</v>
      </c>
      <c r="C43" s="4" t="s">
        <v>100</v>
      </c>
      <c r="D43" s="4" t="s">
        <v>411</v>
      </c>
      <c r="E43" s="23" t="s">
        <v>515</v>
      </c>
    </row>
    <row r="44" spans="1:5" ht="12.75">
      <c r="A44" s="18" t="s">
        <v>479</v>
      </c>
      <c r="B44" s="4" t="s">
        <v>99</v>
      </c>
      <c r="C44" s="4" t="s">
        <v>100</v>
      </c>
      <c r="D44" s="4" t="s">
        <v>478</v>
      </c>
      <c r="E44" s="23" t="s">
        <v>516</v>
      </c>
    </row>
    <row r="45" spans="1:5" ht="12.75">
      <c r="A45" s="18" t="s">
        <v>472</v>
      </c>
      <c r="B45" s="4" t="s">
        <v>287</v>
      </c>
      <c r="C45" s="4" t="s">
        <v>285</v>
      </c>
      <c r="D45" s="4" t="s">
        <v>476</v>
      </c>
      <c r="E45" s="23" t="s">
        <v>517</v>
      </c>
    </row>
    <row r="46" spans="1:5" ht="12.75">
      <c r="A46" s="18" t="s">
        <v>214</v>
      </c>
      <c r="B46" s="4" t="s">
        <v>290</v>
      </c>
      <c r="C46" s="4" t="s">
        <v>100</v>
      </c>
      <c r="D46" s="4" t="s">
        <v>476</v>
      </c>
      <c r="E46" s="23" t="s">
        <v>518</v>
      </c>
    </row>
    <row r="47" spans="1:5" ht="12.75">
      <c r="A47" s="18" t="s">
        <v>483</v>
      </c>
      <c r="B47" s="4" t="s">
        <v>99</v>
      </c>
      <c r="C47" s="4" t="s">
        <v>100</v>
      </c>
      <c r="D47" s="4" t="s">
        <v>180</v>
      </c>
      <c r="E47" s="23" t="s">
        <v>519</v>
      </c>
    </row>
    <row r="49" spans="1:2" ht="14.25">
      <c r="A49" s="19"/>
      <c r="B49" s="20" t="s">
        <v>102</v>
      </c>
    </row>
    <row r="50" spans="1:5" ht="15">
      <c r="A50" s="22" t="s">
        <v>94</v>
      </c>
      <c r="B50" s="22" t="s">
        <v>95</v>
      </c>
      <c r="C50" s="22" t="s">
        <v>96</v>
      </c>
      <c r="D50" s="22" t="s">
        <v>97</v>
      </c>
      <c r="E50" s="22" t="s">
        <v>98</v>
      </c>
    </row>
    <row r="51" spans="1:5" ht="12.75">
      <c r="A51" s="18" t="s">
        <v>39</v>
      </c>
      <c r="B51" s="4" t="s">
        <v>103</v>
      </c>
      <c r="C51" s="4" t="s">
        <v>104</v>
      </c>
      <c r="D51" s="4" t="s">
        <v>495</v>
      </c>
      <c r="E51" s="23" t="s">
        <v>520</v>
      </c>
    </row>
    <row r="53" spans="1:2" ht="14.25">
      <c r="A53" s="19"/>
      <c r="B53" s="20" t="s">
        <v>106</v>
      </c>
    </row>
    <row r="54" spans="1:5" ht="15">
      <c r="A54" s="22" t="s">
        <v>94</v>
      </c>
      <c r="B54" s="22" t="s">
        <v>95</v>
      </c>
      <c r="C54" s="22" t="s">
        <v>96</v>
      </c>
      <c r="D54" s="22" t="s">
        <v>97</v>
      </c>
      <c r="E54" s="22" t="s">
        <v>98</v>
      </c>
    </row>
    <row r="55" spans="1:5" ht="12.75">
      <c r="A55" s="18" t="s">
        <v>500</v>
      </c>
      <c r="B55" s="4" t="s">
        <v>106</v>
      </c>
      <c r="C55" s="4" t="s">
        <v>112</v>
      </c>
      <c r="D55" s="4" t="s">
        <v>494</v>
      </c>
      <c r="E55" s="23" t="s">
        <v>521</v>
      </c>
    </row>
    <row r="56" spans="1:5" ht="12.75">
      <c r="A56" s="18" t="s">
        <v>33</v>
      </c>
      <c r="B56" s="4" t="s">
        <v>106</v>
      </c>
      <c r="C56" s="4" t="s">
        <v>100</v>
      </c>
      <c r="D56" s="4" t="s">
        <v>189</v>
      </c>
      <c r="E56" s="23" t="s">
        <v>522</v>
      </c>
    </row>
    <row r="57" spans="1:5" ht="12.75">
      <c r="A57" s="18" t="s">
        <v>452</v>
      </c>
      <c r="B57" s="4" t="s">
        <v>106</v>
      </c>
      <c r="C57" s="4" t="s">
        <v>100</v>
      </c>
      <c r="D57" s="4" t="s">
        <v>188</v>
      </c>
      <c r="E57" s="23" t="s">
        <v>523</v>
      </c>
    </row>
    <row r="58" spans="1:5" ht="12.75">
      <c r="A58" s="18" t="s">
        <v>73</v>
      </c>
      <c r="B58" s="4" t="s">
        <v>106</v>
      </c>
      <c r="C58" s="4" t="s">
        <v>107</v>
      </c>
      <c r="D58" s="4" t="s">
        <v>207</v>
      </c>
      <c r="E58" s="23" t="s">
        <v>524</v>
      </c>
    </row>
    <row r="59" spans="1:5" ht="12.75">
      <c r="A59" s="18" t="s">
        <v>81</v>
      </c>
      <c r="B59" s="4" t="s">
        <v>106</v>
      </c>
      <c r="C59" s="4" t="s">
        <v>107</v>
      </c>
      <c r="D59" s="4" t="s">
        <v>505</v>
      </c>
      <c r="E59" s="23" t="s">
        <v>525</v>
      </c>
    </row>
    <row r="60" spans="1:5" ht="12.75">
      <c r="A60" s="18" t="s">
        <v>496</v>
      </c>
      <c r="B60" s="4" t="s">
        <v>106</v>
      </c>
      <c r="C60" s="4" t="s">
        <v>104</v>
      </c>
      <c r="D60" s="4" t="s">
        <v>181</v>
      </c>
      <c r="E60" s="23" t="s">
        <v>526</v>
      </c>
    </row>
    <row r="61" spans="1:5" ht="12.75">
      <c r="A61" s="18" t="s">
        <v>241</v>
      </c>
      <c r="B61" s="4" t="s">
        <v>106</v>
      </c>
      <c r="C61" s="4" t="s">
        <v>104</v>
      </c>
      <c r="D61" s="4" t="s">
        <v>495</v>
      </c>
      <c r="E61" s="23" t="s">
        <v>527</v>
      </c>
    </row>
    <row r="63" spans="1:2" ht="14.25">
      <c r="A63" s="19"/>
      <c r="B63" s="20" t="s">
        <v>115</v>
      </c>
    </row>
    <row r="64" spans="1:5" ht="15">
      <c r="A64" s="22" t="s">
        <v>94</v>
      </c>
      <c r="B64" s="22" t="s">
        <v>95</v>
      </c>
      <c r="C64" s="22" t="s">
        <v>96</v>
      </c>
      <c r="D64" s="22" t="s">
        <v>97</v>
      </c>
      <c r="E64" s="22" t="s">
        <v>98</v>
      </c>
    </row>
    <row r="65" spans="1:5" ht="12.75">
      <c r="A65" s="18" t="s">
        <v>506</v>
      </c>
      <c r="B65" s="4" t="s">
        <v>118</v>
      </c>
      <c r="C65" s="4" t="s">
        <v>107</v>
      </c>
      <c r="D65" s="4" t="s">
        <v>512</v>
      </c>
      <c r="E65" s="23" t="s">
        <v>528</v>
      </c>
    </row>
    <row r="70" spans="1:2" ht="18">
      <c r="A70" s="16" t="s">
        <v>120</v>
      </c>
      <c r="B70" s="16"/>
    </row>
    <row r="71" spans="1:3" ht="15">
      <c r="A71" s="22" t="s">
        <v>121</v>
      </c>
      <c r="B71" s="22" t="s">
        <v>122</v>
      </c>
      <c r="C71" s="22" t="s">
        <v>123</v>
      </c>
    </row>
    <row r="72" spans="1:3" ht="12.75">
      <c r="A72" s="4" t="s">
        <v>177</v>
      </c>
      <c r="B72" s="4" t="s">
        <v>529</v>
      </c>
      <c r="C72" s="4" t="s">
        <v>530</v>
      </c>
    </row>
    <row r="73" spans="1:3" ht="12.75">
      <c r="A73" s="4" t="s">
        <v>37</v>
      </c>
      <c r="B73" s="4" t="s">
        <v>531</v>
      </c>
      <c r="C73" s="4" t="s">
        <v>532</v>
      </c>
    </row>
    <row r="74" spans="1:3" ht="12.75">
      <c r="A74" s="4" t="s">
        <v>27</v>
      </c>
      <c r="B74" s="4" t="s">
        <v>382</v>
      </c>
      <c r="C74" s="4" t="s">
        <v>533</v>
      </c>
    </row>
    <row r="75" spans="1:3" ht="12.75">
      <c r="A75" s="4" t="s">
        <v>77</v>
      </c>
      <c r="B75" s="4" t="s">
        <v>128</v>
      </c>
      <c r="C75" s="4" t="s">
        <v>129</v>
      </c>
    </row>
    <row r="76" spans="1:3" ht="12.75">
      <c r="A76" s="4" t="s">
        <v>510</v>
      </c>
      <c r="B76" s="4" t="s">
        <v>128</v>
      </c>
      <c r="C76" s="4" t="s">
        <v>534</v>
      </c>
    </row>
    <row r="77" spans="1:3" ht="12.75">
      <c r="A77" s="4" t="s">
        <v>487</v>
      </c>
      <c r="B77" s="4" t="s">
        <v>535</v>
      </c>
      <c r="C77" s="4" t="s">
        <v>536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22:L22"/>
    <mergeCell ref="A25:L25"/>
    <mergeCell ref="K3:K4"/>
    <mergeCell ref="L3:L4"/>
    <mergeCell ref="M3:M4"/>
    <mergeCell ref="A5:L5"/>
    <mergeCell ref="A8:L8"/>
    <mergeCell ref="A16:L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4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35" t="s">
        <v>458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1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6</v>
      </c>
      <c r="C3" s="43" t="s">
        <v>7</v>
      </c>
      <c r="D3" s="30" t="s">
        <v>10</v>
      </c>
      <c r="E3" s="30" t="s">
        <v>4</v>
      </c>
      <c r="F3" s="30" t="s">
        <v>8</v>
      </c>
      <c r="G3" s="30" t="s">
        <v>451</v>
      </c>
      <c r="H3" s="30"/>
      <c r="I3" s="30"/>
      <c r="J3" s="30"/>
      <c r="K3" s="30" t="s">
        <v>132</v>
      </c>
      <c r="L3" s="30" t="s">
        <v>3</v>
      </c>
      <c r="M3" s="32" t="s">
        <v>2</v>
      </c>
    </row>
    <row r="4" spans="1:13" s="1" customFormat="1" ht="21" customHeight="1" thickBot="1">
      <c r="A4" s="42"/>
      <c r="B4" s="31"/>
      <c r="C4" s="31"/>
      <c r="D4" s="31"/>
      <c r="E4" s="31"/>
      <c r="F4" s="31"/>
      <c r="G4" s="5">
        <v>1</v>
      </c>
      <c r="H4" s="5">
        <v>2</v>
      </c>
      <c r="I4" s="5">
        <v>3</v>
      </c>
      <c r="J4" s="5" t="s">
        <v>5</v>
      </c>
      <c r="K4" s="31"/>
      <c r="L4" s="31"/>
      <c r="M4" s="33"/>
    </row>
    <row r="5" spans="1:12" ht="1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21" t="s">
        <v>460</v>
      </c>
      <c r="B6" s="21" t="s">
        <v>461</v>
      </c>
      <c r="C6" s="21" t="s">
        <v>244</v>
      </c>
      <c r="D6" s="21" t="str">
        <f>"0,6502"</f>
        <v>0,6502</v>
      </c>
      <c r="E6" s="21" t="s">
        <v>37</v>
      </c>
      <c r="F6" s="21" t="s">
        <v>18</v>
      </c>
      <c r="G6" s="25" t="s">
        <v>411</v>
      </c>
      <c r="H6" s="25" t="s">
        <v>188</v>
      </c>
      <c r="I6" s="24" t="s">
        <v>189</v>
      </c>
      <c r="J6" s="24"/>
      <c r="K6" s="21" t="str">
        <f>"60,0"</f>
        <v>60,0</v>
      </c>
      <c r="L6" s="25" t="str">
        <f>"39,0090"</f>
        <v>39,0090</v>
      </c>
      <c r="M6" s="21" t="s">
        <v>138</v>
      </c>
    </row>
    <row r="8" spans="1:12" ht="15">
      <c r="A8" s="44" t="s">
        <v>49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1" t="s">
        <v>463</v>
      </c>
      <c r="B9" s="21" t="s">
        <v>464</v>
      </c>
      <c r="C9" s="21" t="s">
        <v>465</v>
      </c>
      <c r="D9" s="21" t="str">
        <f>"0,5897"</f>
        <v>0,5897</v>
      </c>
      <c r="E9" s="21" t="s">
        <v>37</v>
      </c>
      <c r="F9" s="21" t="s">
        <v>18</v>
      </c>
      <c r="G9" s="25" t="s">
        <v>19</v>
      </c>
      <c r="H9" s="25" t="s">
        <v>466</v>
      </c>
      <c r="I9" s="25" t="s">
        <v>21</v>
      </c>
      <c r="J9" s="24"/>
      <c r="K9" s="21" t="str">
        <f>"90,0"</f>
        <v>90,0</v>
      </c>
      <c r="L9" s="25" t="str">
        <f>"55,6205"</f>
        <v>55,6205</v>
      </c>
      <c r="M9" s="21" t="s">
        <v>138</v>
      </c>
    </row>
    <row r="11" spans="5:6" ht="15">
      <c r="E11" s="15" t="s">
        <v>87</v>
      </c>
      <c r="F11" s="29" t="s">
        <v>594</v>
      </c>
    </row>
    <row r="12" spans="5:6" ht="15">
      <c r="E12" s="15" t="s">
        <v>88</v>
      </c>
      <c r="F12" s="29" t="s">
        <v>595</v>
      </c>
    </row>
    <row r="13" spans="5:6" ht="15">
      <c r="E13" s="15" t="s">
        <v>89</v>
      </c>
      <c r="F13" s="29" t="s">
        <v>596</v>
      </c>
    </row>
    <row r="14" spans="5:6" ht="15">
      <c r="E14" s="15" t="s">
        <v>90</v>
      </c>
      <c r="F14" s="29" t="s">
        <v>598</v>
      </c>
    </row>
    <row r="15" spans="5:6" ht="15">
      <c r="E15" s="15" t="s">
        <v>90</v>
      </c>
      <c r="F15" s="29" t="s">
        <v>597</v>
      </c>
    </row>
    <row r="16" ht="15">
      <c r="E16" s="15"/>
    </row>
    <row r="17" ht="15">
      <c r="E17" s="15"/>
    </row>
    <row r="19" spans="1:2" ht="18">
      <c r="A19" s="16" t="s">
        <v>91</v>
      </c>
      <c r="B19" s="16"/>
    </row>
    <row r="20" spans="1:2" ht="15">
      <c r="A20" s="17" t="s">
        <v>92</v>
      </c>
      <c r="B20" s="17"/>
    </row>
    <row r="21" spans="1:2" ht="14.25">
      <c r="A21" s="19"/>
      <c r="B21" s="20" t="s">
        <v>102</v>
      </c>
    </row>
    <row r="22" spans="1:5" ht="15">
      <c r="A22" s="22" t="s">
        <v>94</v>
      </c>
      <c r="B22" s="22" t="s">
        <v>95</v>
      </c>
      <c r="C22" s="22" t="s">
        <v>96</v>
      </c>
      <c r="D22" s="22" t="s">
        <v>97</v>
      </c>
      <c r="E22" s="22" t="s">
        <v>98</v>
      </c>
    </row>
    <row r="23" spans="1:5" ht="12.75">
      <c r="A23" s="18" t="s">
        <v>459</v>
      </c>
      <c r="B23" s="4" t="s">
        <v>103</v>
      </c>
      <c r="C23" s="4" t="s">
        <v>104</v>
      </c>
      <c r="D23" s="4" t="s">
        <v>188</v>
      </c>
      <c r="E23" s="23" t="s">
        <v>467</v>
      </c>
    </row>
    <row r="25" spans="1:2" ht="14.25">
      <c r="A25" s="19"/>
      <c r="B25" s="20" t="s">
        <v>115</v>
      </c>
    </row>
    <row r="26" spans="1:5" ht="15">
      <c r="A26" s="22" t="s">
        <v>94</v>
      </c>
      <c r="B26" s="22" t="s">
        <v>95</v>
      </c>
      <c r="C26" s="22" t="s">
        <v>96</v>
      </c>
      <c r="D26" s="22" t="s">
        <v>97</v>
      </c>
      <c r="E26" s="22" t="s">
        <v>98</v>
      </c>
    </row>
    <row r="27" spans="1:5" ht="12.75">
      <c r="A27" s="18" t="s">
        <v>462</v>
      </c>
      <c r="B27" s="4" t="s">
        <v>118</v>
      </c>
      <c r="C27" s="4" t="s">
        <v>112</v>
      </c>
      <c r="D27" s="4" t="s">
        <v>21</v>
      </c>
      <c r="E27" s="23" t="s">
        <v>468</v>
      </c>
    </row>
    <row r="32" spans="1:2" ht="18">
      <c r="A32" s="16" t="s">
        <v>120</v>
      </c>
      <c r="B32" s="16"/>
    </row>
    <row r="33" spans="1:3" ht="15">
      <c r="A33" s="22" t="s">
        <v>121</v>
      </c>
      <c r="B33" s="22" t="s">
        <v>122</v>
      </c>
      <c r="C33" s="22" t="s">
        <v>123</v>
      </c>
    </row>
    <row r="34" spans="1:3" ht="12.75">
      <c r="A34" s="4" t="s">
        <v>37</v>
      </c>
      <c r="B34" s="4" t="s">
        <v>126</v>
      </c>
      <c r="C34" s="4" t="s">
        <v>469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2019-12-16T16:40:54Z</dcterms:modified>
  <cp:category/>
  <cp:version/>
  <cp:contentType/>
  <cp:contentStatus/>
</cp:coreProperties>
</file>