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0\Протоколы 2020\"/>
    </mc:Choice>
  </mc:AlternateContent>
  <bookViews>
    <workbookView xWindow="0" yWindow="0" windowWidth="28800" windowHeight="12300" firstSheet="25" activeTab="27"/>
  </bookViews>
  <sheets>
    <sheet name="Пауэрспорт Профессионалы" sheetId="43" r:id="rId1"/>
    <sheet name="Пауэрспорт Любители" sheetId="42" r:id="rId2"/>
    <sheet name="Бицепс Профессионалы" sheetId="41" r:id="rId3"/>
    <sheet name="Бицепс Любители" sheetId="40" r:id="rId4"/>
    <sheet name="Жим стоя Профессионалы" sheetId="39" r:id="rId5"/>
    <sheet name="Жим стоя Любители" sheetId="38" r:id="rId6"/>
    <sheet name="Русская тяга проф. 200 кг." sheetId="37" r:id="rId7"/>
    <sheet name="Русская тяга проф 150 кг." sheetId="35" r:id="rId8"/>
    <sheet name="РБ Проф 50 кг." sheetId="36" r:id="rId9"/>
    <sheet name="Русская тяга люб. 75 кг." sheetId="34" r:id="rId10"/>
    <sheet name="РЖ любители 55 кг." sheetId="31" r:id="rId11"/>
    <sheet name="РЖ Проф 75 кг." sheetId="30" r:id="rId12"/>
    <sheet name="РЖ Проф 55 кг." sheetId="29" r:id="rId13"/>
    <sheet name="Любители В.Ж. м.повт. 1_2" sheetId="28" r:id="rId14"/>
    <sheet name="Люб. народный жим 1_2 вес" sheetId="25" r:id="rId15"/>
    <sheet name="Люб. народный жим 1 вес" sheetId="24" r:id="rId16"/>
    <sheet name="ПРО. ЖД" sheetId="23" r:id="rId17"/>
    <sheet name="Двоеборье проф." sheetId="22" r:id="rId18"/>
    <sheet name="Люб. ЖД" sheetId="21" r:id="rId19"/>
    <sheet name="Двоеборье люб" sheetId="20" r:id="rId20"/>
    <sheet name="Люб. присед б.э." sheetId="19" r:id="rId21"/>
    <sheet name="ПРО тяга б.э." sheetId="18" r:id="rId22"/>
    <sheet name="Люб. тяга б.э." sheetId="17" r:id="rId23"/>
    <sheet name="ПРО жим софт мн.петельная" sheetId="16" r:id="rId24"/>
    <sheet name="Люб. жим софт мн.петельная" sheetId="15" r:id="rId25"/>
    <sheet name="Люб. жим 1 петельная" sheetId="13" r:id="rId26"/>
    <sheet name="ПРО жим б.э." sheetId="12" r:id="rId27"/>
    <sheet name="Люб. жим б.э." sheetId="11" r:id="rId28"/>
    <sheet name="СОВ жим" sheetId="10" r:id="rId29"/>
    <sheet name="ПРО Военный жим класс." sheetId="9" r:id="rId30"/>
    <sheet name="Люб. Военный жим класс." sheetId="8" r:id="rId31"/>
    <sheet name="ПРО ПЛ. б.э." sheetId="7" r:id="rId32"/>
    <sheet name="Люб. ПЛ. б.э." sheetId="6" r:id="rId33"/>
    <sheet name="Люб. ПЛ. 1.петельная софт" sheetId="5" r:id="rId34"/>
  </sheets>
  <definedNames>
    <definedName name="_FilterDatabase" localSheetId="33" hidden="1">'Люб. ПЛ. 1.петельная софт'!$A$1:$S$3</definedName>
  </definedNames>
  <calcPr calcId="162913" refMode="R1C1"/>
</workbook>
</file>

<file path=xl/calcChain.xml><?xml version="1.0" encoding="utf-8"?>
<calcChain xmlns="http://schemas.openxmlformats.org/spreadsheetml/2006/main">
  <c r="D6" i="35" l="1"/>
  <c r="D5" i="35"/>
  <c r="P6" i="43"/>
  <c r="O6" i="43"/>
  <c r="D6" i="43"/>
  <c r="P10" i="42"/>
  <c r="O10" i="42"/>
  <c r="D10" i="42"/>
  <c r="P9" i="42"/>
  <c r="O9" i="42"/>
  <c r="D9" i="42"/>
  <c r="P6" i="42"/>
  <c r="O6" i="42"/>
  <c r="D6" i="42"/>
  <c r="L11" i="41"/>
  <c r="K11" i="41"/>
  <c r="D11" i="41"/>
  <c r="L10" i="41"/>
  <c r="K10" i="41"/>
  <c r="D10" i="41"/>
  <c r="L7" i="41"/>
  <c r="K7" i="41"/>
  <c r="D7" i="41"/>
  <c r="L6" i="41"/>
  <c r="K6" i="41"/>
  <c r="D6" i="41"/>
  <c r="L41" i="40"/>
  <c r="K41" i="40"/>
  <c r="D41" i="40"/>
  <c r="L40" i="40"/>
  <c r="K40" i="40"/>
  <c r="D40" i="40"/>
  <c r="L39" i="40"/>
  <c r="K39" i="40"/>
  <c r="D39" i="40"/>
  <c r="L38" i="40"/>
  <c r="K38" i="40"/>
  <c r="D38" i="40"/>
  <c r="L35" i="40"/>
  <c r="K35" i="40"/>
  <c r="D35" i="40"/>
  <c r="L34" i="40"/>
  <c r="K34" i="40"/>
  <c r="D34" i="40"/>
  <c r="L31" i="40"/>
  <c r="K31" i="40"/>
  <c r="D31" i="40"/>
  <c r="L30" i="40"/>
  <c r="K30" i="40"/>
  <c r="D30" i="40"/>
  <c r="L29" i="40"/>
  <c r="K29" i="40"/>
  <c r="D29" i="40"/>
  <c r="L28" i="40"/>
  <c r="K28" i="40"/>
  <c r="D28" i="40"/>
  <c r="L27" i="40"/>
  <c r="K27" i="40"/>
  <c r="D27" i="40"/>
  <c r="L24" i="40"/>
  <c r="K24" i="40"/>
  <c r="D24" i="40"/>
  <c r="L23" i="40"/>
  <c r="K23" i="40"/>
  <c r="D23" i="40"/>
  <c r="L22" i="40"/>
  <c r="K22" i="40"/>
  <c r="D22" i="40"/>
  <c r="L21" i="40"/>
  <c r="K21" i="40"/>
  <c r="D21" i="40"/>
  <c r="L20" i="40"/>
  <c r="K20" i="40"/>
  <c r="D20" i="40"/>
  <c r="L17" i="40"/>
  <c r="K17" i="40"/>
  <c r="D17" i="40"/>
  <c r="L16" i="40"/>
  <c r="K16" i="40"/>
  <c r="D16" i="40"/>
  <c r="L15" i="40"/>
  <c r="K15" i="40"/>
  <c r="D15" i="40"/>
  <c r="L12" i="40"/>
  <c r="K12" i="40"/>
  <c r="D12" i="40"/>
  <c r="L9" i="40"/>
  <c r="K9" i="40"/>
  <c r="D9" i="40"/>
  <c r="L6" i="40"/>
  <c r="K6" i="40"/>
  <c r="D6" i="40"/>
  <c r="L6" i="39"/>
  <c r="K6" i="39"/>
  <c r="D6" i="39"/>
  <c r="L6" i="38"/>
  <c r="K6" i="38"/>
  <c r="D6" i="38"/>
  <c r="J6" i="37"/>
  <c r="I6" i="37"/>
  <c r="D6" i="37"/>
  <c r="J6" i="36"/>
  <c r="I6" i="36"/>
  <c r="D6" i="36"/>
  <c r="J7" i="34"/>
  <c r="I7" i="34"/>
  <c r="D7" i="34"/>
  <c r="J6" i="34"/>
  <c r="I6" i="34"/>
  <c r="D6" i="34"/>
  <c r="J7" i="31"/>
  <c r="I7" i="31"/>
  <c r="D7" i="31"/>
  <c r="J6" i="31"/>
  <c r="I6" i="31"/>
  <c r="D6" i="31"/>
  <c r="J6" i="30"/>
  <c r="I6" i="30"/>
  <c r="D6" i="30"/>
  <c r="J6" i="29"/>
  <c r="I6" i="29"/>
  <c r="D6" i="29"/>
  <c r="J6" i="28"/>
  <c r="I6" i="28"/>
  <c r="D6" i="28"/>
  <c r="J9" i="25"/>
  <c r="I9" i="25"/>
  <c r="D9" i="25"/>
  <c r="J6" i="25"/>
  <c r="I6" i="25"/>
  <c r="D6" i="25"/>
  <c r="J13" i="24"/>
  <c r="I13" i="24"/>
  <c r="D13" i="24"/>
  <c r="J10" i="24"/>
  <c r="I10" i="24"/>
  <c r="D10" i="24"/>
  <c r="J9" i="24"/>
  <c r="I9" i="24"/>
  <c r="D9" i="24"/>
  <c r="J6" i="24"/>
  <c r="I6" i="24"/>
  <c r="D6" i="24"/>
  <c r="D6" i="23"/>
  <c r="P6" i="22"/>
  <c r="O6" i="22"/>
  <c r="D6" i="22"/>
  <c r="D12" i="21"/>
  <c r="D9" i="21"/>
  <c r="D6" i="21"/>
  <c r="P23" i="20"/>
  <c r="O23" i="20"/>
  <c r="D23" i="20"/>
  <c r="P20" i="20"/>
  <c r="O20" i="20"/>
  <c r="D20" i="20"/>
  <c r="P17" i="20"/>
  <c r="O17" i="20"/>
  <c r="D17" i="20"/>
  <c r="P14" i="20"/>
  <c r="O14" i="20"/>
  <c r="D14" i="20"/>
  <c r="P13" i="20"/>
  <c r="O13" i="20"/>
  <c r="D13" i="20"/>
  <c r="P10" i="20"/>
  <c r="O10" i="20"/>
  <c r="D10" i="20"/>
  <c r="P9" i="20"/>
  <c r="O9" i="20"/>
  <c r="D9" i="20"/>
  <c r="P6" i="20"/>
  <c r="O6" i="20"/>
  <c r="D6" i="20"/>
  <c r="L16" i="19"/>
  <c r="K16" i="19"/>
  <c r="D16" i="19"/>
  <c r="L13" i="19"/>
  <c r="K13" i="19"/>
  <c r="D13" i="19"/>
  <c r="L10" i="19"/>
  <c r="K10" i="19"/>
  <c r="D10" i="19"/>
  <c r="L9" i="19"/>
  <c r="K9" i="19"/>
  <c r="D9" i="19"/>
  <c r="L6" i="19"/>
  <c r="K6" i="19"/>
  <c r="D6" i="19"/>
  <c r="L16" i="18"/>
  <c r="K16" i="18"/>
  <c r="D16" i="18"/>
  <c r="L13" i="18"/>
  <c r="K13" i="18"/>
  <c r="D13" i="18"/>
  <c r="L10" i="18"/>
  <c r="K10" i="18"/>
  <c r="D10" i="18"/>
  <c r="L9" i="18"/>
  <c r="K9" i="18"/>
  <c r="D9" i="18"/>
  <c r="L6" i="18"/>
  <c r="K6" i="18"/>
  <c r="D6" i="18"/>
  <c r="L38" i="17"/>
  <c r="K38" i="17"/>
  <c r="D38" i="17"/>
  <c r="L37" i="17"/>
  <c r="K37" i="17"/>
  <c r="D37" i="17"/>
  <c r="L34" i="17"/>
  <c r="K34" i="17"/>
  <c r="D34" i="17"/>
  <c r="L33" i="17"/>
  <c r="K33" i="17"/>
  <c r="D33" i="17"/>
  <c r="L32" i="17"/>
  <c r="K32" i="17"/>
  <c r="D32" i="17"/>
  <c r="L31" i="17"/>
  <c r="K31" i="17"/>
  <c r="D31" i="17"/>
  <c r="L28" i="17"/>
  <c r="K28" i="17"/>
  <c r="D28" i="17"/>
  <c r="L27" i="17"/>
  <c r="K27" i="17"/>
  <c r="D27" i="17"/>
  <c r="L26" i="17"/>
  <c r="K26" i="17"/>
  <c r="D26" i="17"/>
  <c r="L25" i="17"/>
  <c r="K25" i="17"/>
  <c r="D25" i="17"/>
  <c r="L22" i="17"/>
  <c r="K22" i="17"/>
  <c r="D22" i="17"/>
  <c r="L19" i="17"/>
  <c r="K19" i="17"/>
  <c r="D19" i="17"/>
  <c r="L16" i="17"/>
  <c r="K16" i="17"/>
  <c r="D16" i="17"/>
  <c r="L13" i="17"/>
  <c r="K13" i="17"/>
  <c r="D13" i="17"/>
  <c r="L12" i="17"/>
  <c r="K12" i="17"/>
  <c r="D12" i="17"/>
  <c r="L9" i="17"/>
  <c r="K9" i="17"/>
  <c r="D9" i="17"/>
  <c r="L6" i="17"/>
  <c r="K6" i="17"/>
  <c r="D6" i="17"/>
  <c r="L10" i="16"/>
  <c r="K10" i="16"/>
  <c r="D10" i="16"/>
  <c r="L7" i="16"/>
  <c r="K7" i="16"/>
  <c r="D7" i="16"/>
  <c r="L6" i="16"/>
  <c r="K6" i="16"/>
  <c r="D6" i="16"/>
  <c r="L13" i="15"/>
  <c r="K13" i="15"/>
  <c r="D13" i="15"/>
  <c r="L10" i="15"/>
  <c r="K10" i="15"/>
  <c r="D10" i="15"/>
  <c r="L9" i="15"/>
  <c r="K9" i="15"/>
  <c r="D9" i="15"/>
  <c r="L6" i="15"/>
  <c r="K6" i="15"/>
  <c r="D6" i="15"/>
  <c r="L6" i="13"/>
  <c r="K6" i="13"/>
  <c r="D6" i="13"/>
  <c r="L22" i="12"/>
  <c r="K22" i="12"/>
  <c r="D22" i="12"/>
  <c r="L19" i="12"/>
  <c r="K19" i="12"/>
  <c r="D19" i="12"/>
  <c r="L16" i="12"/>
  <c r="K16" i="12"/>
  <c r="D16" i="12"/>
  <c r="L15" i="12"/>
  <c r="K15" i="12"/>
  <c r="D15" i="12"/>
  <c r="L12" i="12"/>
  <c r="K12" i="12"/>
  <c r="D12" i="12"/>
  <c r="L9" i="12"/>
  <c r="K9" i="12"/>
  <c r="D9" i="12"/>
  <c r="L6" i="12"/>
  <c r="K6" i="12"/>
  <c r="D6" i="12"/>
  <c r="L63" i="11"/>
  <c r="K63" i="11"/>
  <c r="D63" i="11"/>
  <c r="L62" i="11"/>
  <c r="K62" i="11"/>
  <c r="D62" i="11"/>
  <c r="L59" i="11"/>
  <c r="K59" i="11"/>
  <c r="D59" i="11"/>
  <c r="L58" i="11"/>
  <c r="K58" i="11"/>
  <c r="D58" i="11"/>
  <c r="L57" i="11"/>
  <c r="K57" i="11"/>
  <c r="D57" i="11"/>
  <c r="L56" i="11"/>
  <c r="K56" i="11"/>
  <c r="D56" i="11"/>
  <c r="L53" i="11"/>
  <c r="K53" i="11"/>
  <c r="D53" i="11"/>
  <c r="L50" i="11"/>
  <c r="K50" i="11"/>
  <c r="D50" i="11"/>
  <c r="L49" i="11"/>
  <c r="K49" i="11"/>
  <c r="D49" i="11"/>
  <c r="L48" i="11"/>
  <c r="K48" i="11"/>
  <c r="D48" i="11"/>
  <c r="L47" i="11"/>
  <c r="K47" i="11"/>
  <c r="D47" i="11"/>
  <c r="L44" i="11"/>
  <c r="K44" i="11"/>
  <c r="D44" i="11"/>
  <c r="L43" i="11"/>
  <c r="K43" i="11"/>
  <c r="D43" i="11"/>
  <c r="L42" i="11"/>
  <c r="K42" i="11"/>
  <c r="D42" i="11"/>
  <c r="L41" i="11"/>
  <c r="K41" i="11"/>
  <c r="D41" i="11"/>
  <c r="L40" i="11"/>
  <c r="K40" i="11"/>
  <c r="D40" i="11"/>
  <c r="L39" i="11"/>
  <c r="K39" i="11"/>
  <c r="D39" i="11"/>
  <c r="L36" i="11"/>
  <c r="K36" i="11"/>
  <c r="D36" i="11"/>
  <c r="L35" i="11"/>
  <c r="K35" i="11"/>
  <c r="D35" i="11"/>
  <c r="L34" i="11"/>
  <c r="K34" i="11"/>
  <c r="D34" i="11"/>
  <c r="L33" i="11"/>
  <c r="K33" i="11"/>
  <c r="D33" i="11"/>
  <c r="L32" i="11"/>
  <c r="K32" i="11"/>
  <c r="D32" i="11"/>
  <c r="L29" i="11"/>
  <c r="K29" i="11"/>
  <c r="D29" i="11"/>
  <c r="L26" i="11"/>
  <c r="K26" i="11"/>
  <c r="D26" i="11"/>
  <c r="L23" i="11"/>
  <c r="K23" i="11"/>
  <c r="D23" i="11"/>
  <c r="L22" i="11"/>
  <c r="K22" i="11"/>
  <c r="D22" i="11"/>
  <c r="L19" i="11"/>
  <c r="K19" i="11"/>
  <c r="D19" i="11"/>
  <c r="L18" i="11"/>
  <c r="K18" i="11"/>
  <c r="D18" i="11"/>
  <c r="L17" i="11"/>
  <c r="K17" i="11"/>
  <c r="D17" i="11"/>
  <c r="L14" i="11"/>
  <c r="K14" i="11"/>
  <c r="D14" i="11"/>
  <c r="L13" i="11"/>
  <c r="K13" i="11"/>
  <c r="D13" i="11"/>
  <c r="L10" i="11"/>
  <c r="K10" i="11"/>
  <c r="D10" i="11"/>
  <c r="L9" i="11"/>
  <c r="K9" i="11"/>
  <c r="D9" i="11"/>
  <c r="L6" i="11"/>
  <c r="K6" i="11"/>
  <c r="D6" i="11"/>
  <c r="L12" i="10"/>
  <c r="K12" i="10"/>
  <c r="D12" i="10"/>
  <c r="L9" i="10"/>
  <c r="K9" i="10"/>
  <c r="D9" i="10"/>
  <c r="L6" i="10"/>
  <c r="K6" i="10"/>
  <c r="D6" i="10"/>
  <c r="L6" i="9"/>
  <c r="K6" i="9"/>
  <c r="D6" i="9"/>
  <c r="L12" i="8"/>
  <c r="K12" i="8"/>
  <c r="D12" i="8"/>
  <c r="L11" i="8"/>
  <c r="K11" i="8"/>
  <c r="D11" i="8"/>
  <c r="L10" i="8"/>
  <c r="K10" i="8"/>
  <c r="D10" i="8"/>
  <c r="L9" i="8"/>
  <c r="K9" i="8"/>
  <c r="D9" i="8"/>
  <c r="L6" i="8"/>
  <c r="K6" i="8"/>
  <c r="D6" i="8"/>
  <c r="T16" i="7"/>
  <c r="S16" i="7"/>
  <c r="D16" i="7"/>
  <c r="T15" i="7"/>
  <c r="S15" i="7"/>
  <c r="D15" i="7"/>
  <c r="T12" i="7"/>
  <c r="S12" i="7"/>
  <c r="D12" i="7"/>
  <c r="T9" i="7"/>
  <c r="S9" i="7"/>
  <c r="D9" i="7"/>
  <c r="T6" i="7"/>
  <c r="S6" i="7"/>
  <c r="D6" i="7"/>
  <c r="T27" i="6"/>
  <c r="S27" i="6"/>
  <c r="D27" i="6"/>
  <c r="T24" i="6"/>
  <c r="S24" i="6"/>
  <c r="D24" i="6"/>
  <c r="T23" i="6"/>
  <c r="S23" i="6"/>
  <c r="D23" i="6"/>
  <c r="T20" i="6"/>
  <c r="S20" i="6"/>
  <c r="D20" i="6"/>
  <c r="T17" i="6"/>
  <c r="S17" i="6"/>
  <c r="D17" i="6"/>
  <c r="T16" i="6"/>
  <c r="S16" i="6"/>
  <c r="D16" i="6"/>
  <c r="T15" i="6"/>
  <c r="S15" i="6"/>
  <c r="D15" i="6"/>
  <c r="T12" i="6"/>
  <c r="S12" i="6"/>
  <c r="D12" i="6"/>
  <c r="T9" i="6"/>
  <c r="S9" i="6"/>
  <c r="D9" i="6"/>
  <c r="T6" i="6"/>
  <c r="S6" i="6"/>
  <c r="D6" i="6"/>
  <c r="T6" i="5"/>
  <c r="S6" i="5"/>
  <c r="D6" i="5"/>
</calcChain>
</file>

<file path=xl/sharedStrings.xml><?xml version="1.0" encoding="utf-8"?>
<sst xmlns="http://schemas.openxmlformats.org/spreadsheetml/2006/main" count="3630" uniqueCount="878">
  <si>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</si>
  <si>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</si>
  <si>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</si>
  <si>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</si>
  <si>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</si>
  <si>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</si>
  <si>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</si>
  <si>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</si>
  <si>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</si>
  <si>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</si>
  <si>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</si>
  <si>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Shv/Mel</t>
  </si>
  <si>
    <t>Приседание</t>
  </si>
  <si>
    <t>Жим лёжа</t>
  </si>
  <si>
    <t>Становая тяга</t>
  </si>
  <si>
    <t>ВЕСОВАЯ КАТЕГОРИЯ   56</t>
  </si>
  <si>
    <t>Анищенко Артем</t>
  </si>
  <si>
    <t>1. Анищенко Артем</t>
  </si>
  <si>
    <t>Юноши 0-13 (27.11.2007)/12</t>
  </si>
  <si>
    <t>55,00</t>
  </si>
  <si>
    <t xml:space="preserve">Спарта </t>
  </si>
  <si>
    <t xml:space="preserve">Белгород/Белгородская область </t>
  </si>
  <si>
    <t>70,0</t>
  </si>
  <si>
    <t>75,0</t>
  </si>
  <si>
    <t>77,5</t>
  </si>
  <si>
    <t>47,5</t>
  </si>
  <si>
    <t>50,0</t>
  </si>
  <si>
    <t>52,5</t>
  </si>
  <si>
    <t>85,0</t>
  </si>
  <si>
    <t>90,0</t>
  </si>
  <si>
    <t>95,0</t>
  </si>
  <si>
    <t xml:space="preserve">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</si>
  <si>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</si>
  <si>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</si>
  <si>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</si>
  <si>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</si>
  <si>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</si>
  <si>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</si>
  <si>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</si>
  <si>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Юноши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</si>
  <si>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</si>
  <si>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</si>
  <si>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</si>
  <si>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</si>
  <si>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</si>
  <si>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Юноши 0-13 </t>
  </si>
  <si>
    <t>56</t>
  </si>
  <si>
    <t>222,5</t>
  </si>
  <si>
    <t>244,2276</t>
  </si>
  <si>
    <t>Исмаилова Элина</t>
  </si>
  <si>
    <t>1. Исмаилова Элина</t>
  </si>
  <si>
    <t>Девушки 18 - 19 (31.01.2002)/18</t>
  </si>
  <si>
    <t>56,00</t>
  </si>
  <si>
    <t xml:space="preserve">Лично </t>
  </si>
  <si>
    <t>75,0o</t>
  </si>
  <si>
    <t>80,0o</t>
  </si>
  <si>
    <t>35,0o</t>
  </si>
  <si>
    <t>40,0o</t>
  </si>
  <si>
    <t>45,0</t>
  </si>
  <si>
    <t>85,0o</t>
  </si>
  <si>
    <t>ВЕСОВАЯ КАТЕГОРИЯ   60</t>
  </si>
  <si>
    <t>Карпова Екатерина</t>
  </si>
  <si>
    <t>1. Карпова Екатерина</t>
  </si>
  <si>
    <t>Открытая (13.03.1987)/33</t>
  </si>
  <si>
    <t>59,90</t>
  </si>
  <si>
    <t xml:space="preserve">Стальное Звено </t>
  </si>
  <si>
    <t xml:space="preserve">Воронеж/Воронежская область </t>
  </si>
  <si>
    <t>100,0</t>
  </si>
  <si>
    <t>105,0</t>
  </si>
  <si>
    <t>110,0</t>
  </si>
  <si>
    <t>120,0</t>
  </si>
  <si>
    <t>Тишкин Кирилл</t>
  </si>
  <si>
    <t>1. Тишкин Кирилл</t>
  </si>
  <si>
    <t>Юноши 0-13 (25.07.2008)/12</t>
  </si>
  <si>
    <t>52,20</t>
  </si>
  <si>
    <t xml:space="preserve">Россошь </t>
  </si>
  <si>
    <t xml:space="preserve">Россошь/Воронежская область </t>
  </si>
  <si>
    <t>30,0</t>
  </si>
  <si>
    <t>35,0</t>
  </si>
  <si>
    <t>42,5</t>
  </si>
  <si>
    <t>55,0</t>
  </si>
  <si>
    <t>60,0</t>
  </si>
  <si>
    <t>ВЕСОВАЯ КАТЕГОРИЯ   82.5</t>
  </si>
  <si>
    <t>Киреев Виталий</t>
  </si>
  <si>
    <t>1. Киреев Виталий</t>
  </si>
  <si>
    <t>Юноши 0-13 (12.04.2007)/13</t>
  </si>
  <si>
    <t>81,10</t>
  </si>
  <si>
    <t>62,5</t>
  </si>
  <si>
    <t>65,0</t>
  </si>
  <si>
    <t>87,5</t>
  </si>
  <si>
    <t>Шкляр Станислав</t>
  </si>
  <si>
    <t>1. Шкляр Станислав</t>
  </si>
  <si>
    <t>Юноши 16 - 17 (21.04.2003)/17</t>
  </si>
  <si>
    <t>82,50</t>
  </si>
  <si>
    <t xml:space="preserve">Академия Силы </t>
  </si>
  <si>
    <t xml:space="preserve">Курчатов/Курская область </t>
  </si>
  <si>
    <t>117,5</t>
  </si>
  <si>
    <t>115,0</t>
  </si>
  <si>
    <t>125,0</t>
  </si>
  <si>
    <t>Шевченко Роман</t>
  </si>
  <si>
    <t>1. Шевченко Роман</t>
  </si>
  <si>
    <t>Мастера 40 - 44 (18.10.1977)/43</t>
  </si>
  <si>
    <t>79,00</t>
  </si>
  <si>
    <t>175,0</t>
  </si>
  <si>
    <t>180,0</t>
  </si>
  <si>
    <t>185,0</t>
  </si>
  <si>
    <t>ВЕСОВАЯ КАТЕГОРИЯ   90</t>
  </si>
  <si>
    <t>Воронковский Дмитрий</t>
  </si>
  <si>
    <t>1. Воронковский Дмитрий</t>
  </si>
  <si>
    <t>Открытая (24.01.1996)/24</t>
  </si>
  <si>
    <t>87,50</t>
  </si>
  <si>
    <t>155,0</t>
  </si>
  <si>
    <t>165,0</t>
  </si>
  <si>
    <t>122,5</t>
  </si>
  <si>
    <t>127,5</t>
  </si>
  <si>
    <t>145,0</t>
  </si>
  <si>
    <t>152,5</t>
  </si>
  <si>
    <t>160,0</t>
  </si>
  <si>
    <t>ВЕСОВАЯ КАТЕГОРИЯ   100</t>
  </si>
  <si>
    <t>Яковлев Кирилл</t>
  </si>
  <si>
    <t>1. Яковлев Кирилл</t>
  </si>
  <si>
    <t>Юноши 14-15 (03.10.2006)/14</t>
  </si>
  <si>
    <t>96,00</t>
  </si>
  <si>
    <t>112,5</t>
  </si>
  <si>
    <t>67,5</t>
  </si>
  <si>
    <t>72,5</t>
  </si>
  <si>
    <t>Ярыжев Амерхан</t>
  </si>
  <si>
    <t>1. Ярыжев Амерхан</t>
  </si>
  <si>
    <t>Мастера 40 - 44 (22.01.1979)/41</t>
  </si>
  <si>
    <t>93,00</t>
  </si>
  <si>
    <t xml:space="preserve">Карабулак/Ингушетия </t>
  </si>
  <si>
    <t>200,0</t>
  </si>
  <si>
    <t>210,0</t>
  </si>
  <si>
    <t>215,0</t>
  </si>
  <si>
    <t>170,0</t>
  </si>
  <si>
    <t>220,0</t>
  </si>
  <si>
    <t>230,0</t>
  </si>
  <si>
    <t>ВЕСОВАЯ КАТЕГОРИЯ   110</t>
  </si>
  <si>
    <t>Манаков Валерий</t>
  </si>
  <si>
    <t>1. Манаков Валерий</t>
  </si>
  <si>
    <t>Открытая (09.06.1995)/25</t>
  </si>
  <si>
    <t>106,00</t>
  </si>
  <si>
    <t>132,5</t>
  </si>
  <si>
    <t>135,0</t>
  </si>
  <si>
    <t xml:space="preserve">Женщины </t>
  </si>
  <si>
    <t xml:space="preserve">Девушки </t>
  </si>
  <si>
    <t xml:space="preserve">Юноши 18 - 19 </t>
  </si>
  <si>
    <t>205,0</t>
  </si>
  <si>
    <t>198,2645</t>
  </si>
  <si>
    <t xml:space="preserve">Открытая </t>
  </si>
  <si>
    <t>60</t>
  </si>
  <si>
    <t>277,5</t>
  </si>
  <si>
    <t>239,2466</t>
  </si>
  <si>
    <t xml:space="preserve">Юноши 14-15 </t>
  </si>
  <si>
    <t>100</t>
  </si>
  <si>
    <t>312,5</t>
  </si>
  <si>
    <t>217,0950</t>
  </si>
  <si>
    <t xml:space="preserve">Юноши 16 - 17 </t>
  </si>
  <si>
    <t>82.5</t>
  </si>
  <si>
    <t>305,0</t>
  </si>
  <si>
    <t>203,9974</t>
  </si>
  <si>
    <t>147,5</t>
  </si>
  <si>
    <t>171,8639</t>
  </si>
  <si>
    <t>192,5</t>
  </si>
  <si>
    <t>148,4106</t>
  </si>
  <si>
    <t>110</t>
  </si>
  <si>
    <t>527,5</t>
  </si>
  <si>
    <t>285,9578</t>
  </si>
  <si>
    <t>90</t>
  </si>
  <si>
    <t>452,5</t>
  </si>
  <si>
    <t>269,5090</t>
  </si>
  <si>
    <t xml:space="preserve">Мастера </t>
  </si>
  <si>
    <t xml:space="preserve">Мастера 40 - 44 </t>
  </si>
  <si>
    <t>605,0</t>
  </si>
  <si>
    <t>348,5545</t>
  </si>
  <si>
    <t>420,0</t>
  </si>
  <si>
    <t>273,1253</t>
  </si>
  <si>
    <t>Ледовских Анна</t>
  </si>
  <si>
    <t>1. Ледовских Анна</t>
  </si>
  <si>
    <t>Открытая (17.10.1989)/31</t>
  </si>
  <si>
    <t>59,00</t>
  </si>
  <si>
    <t xml:space="preserve">Сталь Белогорья </t>
  </si>
  <si>
    <t>80,0</t>
  </si>
  <si>
    <t>40,0</t>
  </si>
  <si>
    <t>Беглов Юрий</t>
  </si>
  <si>
    <t>1. Беглов Юрий</t>
  </si>
  <si>
    <t>Открытая (06.05.1965)/55</t>
  </si>
  <si>
    <t>79,10</t>
  </si>
  <si>
    <t>190,0</t>
  </si>
  <si>
    <t>245,0</t>
  </si>
  <si>
    <t>Осипов Михаил</t>
  </si>
  <si>
    <t>1. Осипов Михаил</t>
  </si>
  <si>
    <t>Открытая (17.06.1981)/39</t>
  </si>
  <si>
    <t>89,90</t>
  </si>
  <si>
    <t>195,0</t>
  </si>
  <si>
    <t>130,0</t>
  </si>
  <si>
    <t>137,5</t>
  </si>
  <si>
    <t>142,5</t>
  </si>
  <si>
    <t>240,0</t>
  </si>
  <si>
    <t>250,0</t>
  </si>
  <si>
    <t>Коныхов Игорь</t>
  </si>
  <si>
    <t>1. Коныхов Игорь</t>
  </si>
  <si>
    <t>Открытая (20.12.1970)/49</t>
  </si>
  <si>
    <t>99,90</t>
  </si>
  <si>
    <t>140,0</t>
  </si>
  <si>
    <t>150,0</t>
  </si>
  <si>
    <t>260,0</t>
  </si>
  <si>
    <t>280,0</t>
  </si>
  <si>
    <t>Мастера 45 - 49 (20.12.1970)/49</t>
  </si>
  <si>
    <t>237,5</t>
  </si>
  <si>
    <t>207,3731</t>
  </si>
  <si>
    <t>560,0</t>
  </si>
  <si>
    <t>357,3920</t>
  </si>
  <si>
    <t>625,0</t>
  </si>
  <si>
    <t>346,4375</t>
  </si>
  <si>
    <t>587,5</t>
  </si>
  <si>
    <t>344,0987</t>
  </si>
  <si>
    <t xml:space="preserve">Мастера 45 - 49 </t>
  </si>
  <si>
    <t>396,3245</t>
  </si>
  <si>
    <t>ВЕСОВАЯ КАТЕГОРИЯ   75</t>
  </si>
  <si>
    <t>Зубарев Андрей</t>
  </si>
  <si>
    <t>1. Зубарев Андрей</t>
  </si>
  <si>
    <t>Открытая (06.01.1985)/35</t>
  </si>
  <si>
    <t>75,00</t>
  </si>
  <si>
    <t>Разуваев Роман</t>
  </si>
  <si>
    <t>1. Разуваев Роман</t>
  </si>
  <si>
    <t>Открытая (15.02.1975)/45</t>
  </si>
  <si>
    <t>84,20</t>
  </si>
  <si>
    <t xml:space="preserve">Губкин/Белгородская область </t>
  </si>
  <si>
    <t>Мастера 45 - 49 (15.02.1975)/45</t>
  </si>
  <si>
    <t>Мамонов Юрий</t>
  </si>
  <si>
    <t>1. Мамонов Юрий</t>
  </si>
  <si>
    <t>Мастера 50 - 54 (07.04.1966)/54</t>
  </si>
  <si>
    <t>86,10</t>
  </si>
  <si>
    <t xml:space="preserve">Железный союз </t>
  </si>
  <si>
    <t>Лузин Сергей</t>
  </si>
  <si>
    <t>1. Лузин Сергей</t>
  </si>
  <si>
    <t>Мастера 65 - 69 (30.04.1954)/66</t>
  </si>
  <si>
    <t>88,50</t>
  </si>
  <si>
    <t xml:space="preserve">Пермь/Пермский край </t>
  </si>
  <si>
    <t xml:space="preserve">Результат </t>
  </si>
  <si>
    <t>75</t>
  </si>
  <si>
    <t>91,3687</t>
  </si>
  <si>
    <t>82,4445</t>
  </si>
  <si>
    <t xml:space="preserve">Мастера 65 - 69 </t>
  </si>
  <si>
    <t>139,8070</t>
  </si>
  <si>
    <t xml:space="preserve">Мастера 50 - 54 </t>
  </si>
  <si>
    <t>92,0453</t>
  </si>
  <si>
    <t>86,4018</t>
  </si>
  <si>
    <t>Результат</t>
  </si>
  <si>
    <t>Малышев Евгений</t>
  </si>
  <si>
    <t>1. Малышев Евгений</t>
  </si>
  <si>
    <t>Мастера 45 - 49 (02.12.1972)/47</t>
  </si>
  <si>
    <t>85,00</t>
  </si>
  <si>
    <t xml:space="preserve">Курск/Курская область </t>
  </si>
  <si>
    <t>92,7829</t>
  </si>
  <si>
    <t>ВЕСОВАЯ КАТЕГОРИЯ   67.5</t>
  </si>
  <si>
    <t>Шипилов Алексей</t>
  </si>
  <si>
    <t>1. Шипилов Алексей</t>
  </si>
  <si>
    <t>Юноши 16 - 17 (02.07.2003)/17</t>
  </si>
  <si>
    <t>62,00</t>
  </si>
  <si>
    <t>50,0o</t>
  </si>
  <si>
    <t>55,0o</t>
  </si>
  <si>
    <t>Акатов Игорь</t>
  </si>
  <si>
    <t>1. Акатов Игорь</t>
  </si>
  <si>
    <t>Мастера 60 - 64 (02.11.1960)/60</t>
  </si>
  <si>
    <t>82,40</t>
  </si>
  <si>
    <t>107,5</t>
  </si>
  <si>
    <t>Богомолов Вадим</t>
  </si>
  <si>
    <t>1. Богомолов Вадим</t>
  </si>
  <si>
    <t>Мастера 55 - 59 (20.12.1963)/56</t>
  </si>
  <si>
    <t>106,50</t>
  </si>
  <si>
    <t xml:space="preserve">Ferrum </t>
  </si>
  <si>
    <t>67.5</t>
  </si>
  <si>
    <t>46,7122</t>
  </si>
  <si>
    <t xml:space="preserve">Мастера 60 - 64 </t>
  </si>
  <si>
    <t>109,6039</t>
  </si>
  <si>
    <t xml:space="preserve">Мастера 55 - 59 </t>
  </si>
  <si>
    <t>104,4980</t>
  </si>
  <si>
    <t>ВЕСОВАЯ КАТЕГОРИЯ   48</t>
  </si>
  <si>
    <t>Комардина Анастасия</t>
  </si>
  <si>
    <t>1. Комардина Анастасия</t>
  </si>
  <si>
    <t>Юниорки 20 - 23 (25.02.2000)/20</t>
  </si>
  <si>
    <t>46,60</t>
  </si>
  <si>
    <t>37,5</t>
  </si>
  <si>
    <t>ВЕСОВАЯ КАТЕГОРИЯ   52</t>
  </si>
  <si>
    <t>Макеева Наталья</t>
  </si>
  <si>
    <t>1. Макеева Наталья</t>
  </si>
  <si>
    <t>Открытая (10.11.1985)/35</t>
  </si>
  <si>
    <t>51,30</t>
  </si>
  <si>
    <t>Шевченко Екатерина</t>
  </si>
  <si>
    <t>2. Шевченко Екатерина</t>
  </si>
  <si>
    <t>Открытая (07.07.1990)/30</t>
  </si>
  <si>
    <t>49,50</t>
  </si>
  <si>
    <t>57,5</t>
  </si>
  <si>
    <t>Гриднева Марта</t>
  </si>
  <si>
    <t>1. Гриднева Марта</t>
  </si>
  <si>
    <t>Девушки 14-15 (21.03.2006)/14</t>
  </si>
  <si>
    <t>52,90</t>
  </si>
  <si>
    <t xml:space="preserve">F-Gym </t>
  </si>
  <si>
    <t xml:space="preserve">Старый Оскол/Белгородская область </t>
  </si>
  <si>
    <t>Гостева Валентина</t>
  </si>
  <si>
    <t>1. Гостева Валентина</t>
  </si>
  <si>
    <t>Открытая (07.08.1955)/65</t>
  </si>
  <si>
    <t>53,00</t>
  </si>
  <si>
    <t>Кельина Татьяна</t>
  </si>
  <si>
    <t>1. Кельина Татьяна</t>
  </si>
  <si>
    <t>Открытая (25.03.1985)/35</t>
  </si>
  <si>
    <t>60,90</t>
  </si>
  <si>
    <t>Дудакова Анастасия</t>
  </si>
  <si>
    <t>2. Дудакова Анастасия</t>
  </si>
  <si>
    <t>Открытая (27.12.1995)/24</t>
  </si>
  <si>
    <t>64,00</t>
  </si>
  <si>
    <t>Скляр Елена</t>
  </si>
  <si>
    <t>1. Скляр Елена</t>
  </si>
  <si>
    <t>Мастера 40 - 44 (10.02.1978)/42</t>
  </si>
  <si>
    <t>66,00</t>
  </si>
  <si>
    <t>Румянцев Олег</t>
  </si>
  <si>
    <t>1. Румянцев Олег</t>
  </si>
  <si>
    <t>Юноши 0-13 (25.08.2009)/11</t>
  </si>
  <si>
    <t>39,30</t>
  </si>
  <si>
    <t>Пышьев Вадим</t>
  </si>
  <si>
    <t>1. Пышьев Вадим</t>
  </si>
  <si>
    <t>Юноши 16 - 17 (06.06.2003)/17</t>
  </si>
  <si>
    <t>50,30</t>
  </si>
  <si>
    <t xml:space="preserve">Валуйки/Белгородская область </t>
  </si>
  <si>
    <t>Воротнев Дмитрий</t>
  </si>
  <si>
    <t>1. Воротнев Дмитрий</t>
  </si>
  <si>
    <t>Юноши 16 - 17 (25.06.2003)/17</t>
  </si>
  <si>
    <t>59,45</t>
  </si>
  <si>
    <t>Петренко Александр</t>
  </si>
  <si>
    <t>1. Петренко Александр</t>
  </si>
  <si>
    <t>Юноши 14-15 (25.09.2006)/14</t>
  </si>
  <si>
    <t>68,30</t>
  </si>
  <si>
    <t>Статив Илья</t>
  </si>
  <si>
    <t>2. Статив Илья</t>
  </si>
  <si>
    <t>Открытая (09.02.1991)/29</t>
  </si>
  <si>
    <t>74,70</t>
  </si>
  <si>
    <t>Рудычев Сергей</t>
  </si>
  <si>
    <t>1. Рудычев Сергей</t>
  </si>
  <si>
    <t>Мастера 45 - 49 (08.06.1974)/46</t>
  </si>
  <si>
    <t>72,60</t>
  </si>
  <si>
    <t xml:space="preserve">Валуйки </t>
  </si>
  <si>
    <t>Чеботарев Виталий</t>
  </si>
  <si>
    <t>1. Чеботарев Виталий</t>
  </si>
  <si>
    <t>Мастера 60 - 64 (02.09.1960)/60</t>
  </si>
  <si>
    <t>73,30</t>
  </si>
  <si>
    <t>Рябикин Артем</t>
  </si>
  <si>
    <t>1. Рябикин Артем</t>
  </si>
  <si>
    <t>Юниоры 20 - 23 (09.11.1999)/21</t>
  </si>
  <si>
    <t>81,40</t>
  </si>
  <si>
    <t>Медведев Илья</t>
  </si>
  <si>
    <t>1. Медведев Илья</t>
  </si>
  <si>
    <t>Открытая (16.07.1994)/26</t>
  </si>
  <si>
    <t>Окорков Константин</t>
  </si>
  <si>
    <t>2. Окорков Константин</t>
  </si>
  <si>
    <t>Открытая (10.05.1993)/27</t>
  </si>
  <si>
    <t>80,10</t>
  </si>
  <si>
    <t xml:space="preserve">Сталь </t>
  </si>
  <si>
    <t xml:space="preserve">Брянск/Брянская область </t>
  </si>
  <si>
    <t>Коваль Александр</t>
  </si>
  <si>
    <t>1. Коваль Александр</t>
  </si>
  <si>
    <t>Мастера 45 - 49 (30.08.1975)/45</t>
  </si>
  <si>
    <t>80,65</t>
  </si>
  <si>
    <t>Шерман Дмитрий</t>
  </si>
  <si>
    <t>1. Шерман Дмитрий</t>
  </si>
  <si>
    <t>Мастера 55 - 59 (28.05.1964)/56</t>
  </si>
  <si>
    <t>80,20</t>
  </si>
  <si>
    <t>Пузанок Павел</t>
  </si>
  <si>
    <t>1. Пузанок Павел</t>
  </si>
  <si>
    <t>Открытая (09.07.1985)/35</t>
  </si>
  <si>
    <t>87,30</t>
  </si>
  <si>
    <t>167,5</t>
  </si>
  <si>
    <t>177,5</t>
  </si>
  <si>
    <t>182,5</t>
  </si>
  <si>
    <t>Антошкин Алексей</t>
  </si>
  <si>
    <t>2. Антошкин Алексей</t>
  </si>
  <si>
    <t>Открытая (15.11.1992)/28</t>
  </si>
  <si>
    <t>Дюба Юрий</t>
  </si>
  <si>
    <t>1. Дюба Юрий</t>
  </si>
  <si>
    <t>Открытая (21.12.1986)/33</t>
  </si>
  <si>
    <t>93,20</t>
  </si>
  <si>
    <t xml:space="preserve">Олимп </t>
  </si>
  <si>
    <t>Лютый Алексей</t>
  </si>
  <si>
    <t>1. Лютый Алексей</t>
  </si>
  <si>
    <t>Юноши 18 - 19 (06.03.2001)/19</t>
  </si>
  <si>
    <t>107,80</t>
  </si>
  <si>
    <t>Ильченко Евгений</t>
  </si>
  <si>
    <t>1. Ильченко Евгений</t>
  </si>
  <si>
    <t>Открытая (11.02.1981)/39</t>
  </si>
  <si>
    <t>109,80</t>
  </si>
  <si>
    <t>Галуцких Михаил</t>
  </si>
  <si>
    <t>2. Галуцких Михаил</t>
  </si>
  <si>
    <t>Открытая (06.12.1987)/32</t>
  </si>
  <si>
    <t>110,00</t>
  </si>
  <si>
    <t xml:space="preserve">Шебекино/Белгородская область </t>
  </si>
  <si>
    <t>Меркулов Виталий</t>
  </si>
  <si>
    <t>3. Меркулов Виталий</t>
  </si>
  <si>
    <t>Открытая (11.06.1990)/30</t>
  </si>
  <si>
    <t>108,30</t>
  </si>
  <si>
    <t>162,5</t>
  </si>
  <si>
    <t>ВЕСОВАЯ КАТЕГОРИЯ   125</t>
  </si>
  <si>
    <t>Борисов Николай</t>
  </si>
  <si>
    <t>1. Борисов Николай</t>
  </si>
  <si>
    <t>Юниоры 20 - 23 (03.12.1996)/23</t>
  </si>
  <si>
    <t>114,50</t>
  </si>
  <si>
    <t>Евдокимов Евгений</t>
  </si>
  <si>
    <t>1. Евдокимов Евгений</t>
  </si>
  <si>
    <t>Открытая (14.11.1997)/23</t>
  </si>
  <si>
    <t>121,90</t>
  </si>
  <si>
    <t>202,5</t>
  </si>
  <si>
    <t>207,5</t>
  </si>
  <si>
    <t>52,9008</t>
  </si>
  <si>
    <t xml:space="preserve">Юниорки </t>
  </si>
  <si>
    <t xml:space="preserve">Юниоры 20 - 23 </t>
  </si>
  <si>
    <t>48</t>
  </si>
  <si>
    <t>40,9155</t>
  </si>
  <si>
    <t>52</t>
  </si>
  <si>
    <t>68,6070</t>
  </si>
  <si>
    <t>63,7688</t>
  </si>
  <si>
    <t>59,1129</t>
  </si>
  <si>
    <t>58,0175</t>
  </si>
  <si>
    <t>57,2580</t>
  </si>
  <si>
    <t>46,0833</t>
  </si>
  <si>
    <t>106,8660</t>
  </si>
  <si>
    <t>106,3498</t>
  </si>
  <si>
    <t>100,9570</t>
  </si>
  <si>
    <t>66,2632</t>
  </si>
  <si>
    <t>60,5760</t>
  </si>
  <si>
    <t>40,7813</t>
  </si>
  <si>
    <t>36,6208</t>
  </si>
  <si>
    <t xml:space="preserve">Юниоры </t>
  </si>
  <si>
    <t>125</t>
  </si>
  <si>
    <t>85,0880</t>
  </si>
  <si>
    <t>70,1362</t>
  </si>
  <si>
    <t>108,8612</t>
  </si>
  <si>
    <t>106,3125</t>
  </si>
  <si>
    <t>102,1845</t>
  </si>
  <si>
    <t>99,6750</t>
  </si>
  <si>
    <t>97,9478</t>
  </si>
  <si>
    <t>93,8875</t>
  </si>
  <si>
    <t>93,2790</t>
  </si>
  <si>
    <t>90,7835</t>
  </si>
  <si>
    <t>90,2155</t>
  </si>
  <si>
    <t>83,1865</t>
  </si>
  <si>
    <t>79,9920</t>
  </si>
  <si>
    <t>117,4516</t>
  </si>
  <si>
    <t>116,8830</t>
  </si>
  <si>
    <t>92,3236</t>
  </si>
  <si>
    <t>91,2019</t>
  </si>
  <si>
    <t>87,4870</t>
  </si>
  <si>
    <t>Демидов Иван</t>
  </si>
  <si>
    <t>1. Демидов Иван</t>
  </si>
  <si>
    <t>Юноши 14-15 (08.02.2005)/15</t>
  </si>
  <si>
    <t>50,50</t>
  </si>
  <si>
    <t>Нагорных Дмитрий</t>
  </si>
  <si>
    <t>1. Нагорных Дмитрий</t>
  </si>
  <si>
    <t>Открытая (10.11.1989)/31</t>
  </si>
  <si>
    <t>77,70</t>
  </si>
  <si>
    <t>Глазко Вадим</t>
  </si>
  <si>
    <t>1. Глазко Вадим</t>
  </si>
  <si>
    <t>Открытая (13.06.1994)/26</t>
  </si>
  <si>
    <t>88,30</t>
  </si>
  <si>
    <t>Пелин Артем</t>
  </si>
  <si>
    <t>1. Пелин Артем</t>
  </si>
  <si>
    <t>Открытая (28.01.1982)/38</t>
  </si>
  <si>
    <t>109,10</t>
  </si>
  <si>
    <t>Бондаренко Евгений</t>
  </si>
  <si>
    <t>2. Бондаренко Евгений</t>
  </si>
  <si>
    <t>Открытая (26.01.1990)/30</t>
  </si>
  <si>
    <t>107,50</t>
  </si>
  <si>
    <t xml:space="preserve">Алексеевка/Белгородская область </t>
  </si>
  <si>
    <t>197,5</t>
  </si>
  <si>
    <t>Дальниковский Дмитрий</t>
  </si>
  <si>
    <t>1. Дальниковский Дмитрий</t>
  </si>
  <si>
    <t>Открытая (12.10.1982)/38</t>
  </si>
  <si>
    <t>124,00</t>
  </si>
  <si>
    <t>ВЕСОВАЯ КАТЕГОРИЯ   140</t>
  </si>
  <si>
    <t>Сарычев Тимур</t>
  </si>
  <si>
    <t>1. Сарычев Тимур</t>
  </si>
  <si>
    <t>Открытая (19.03.1990)/30</t>
  </si>
  <si>
    <t>137,50</t>
  </si>
  <si>
    <t>58,1091</t>
  </si>
  <si>
    <t>140</t>
  </si>
  <si>
    <t>126,5625</t>
  </si>
  <si>
    <t>107,5200</t>
  </si>
  <si>
    <t>105,2610</t>
  </si>
  <si>
    <t>100,6740</t>
  </si>
  <si>
    <t>84,8900</t>
  </si>
  <si>
    <t>75,9873</t>
  </si>
  <si>
    <t>Елисеева Татьяна</t>
  </si>
  <si>
    <t>1. Елисеева Татьяна</t>
  </si>
  <si>
    <t>Открытая (12.06.1985)/35</t>
  </si>
  <si>
    <t>52,00</t>
  </si>
  <si>
    <t>53,3142</t>
  </si>
  <si>
    <t>Карпачев Андрей</t>
  </si>
  <si>
    <t>1. Карпачев Андрей</t>
  </si>
  <si>
    <t>Открытая (26.02.1986)/34</t>
  </si>
  <si>
    <t>82,00</t>
  </si>
  <si>
    <t>Карпачев Михаил</t>
  </si>
  <si>
    <t>1. Карпачев Михаил</t>
  </si>
  <si>
    <t>Открытая (11.11.1959)/61</t>
  </si>
  <si>
    <t>99,70</t>
  </si>
  <si>
    <t>Калакуцкий Руслан</t>
  </si>
  <si>
    <t>1. Калакуцкий Руслан</t>
  </si>
  <si>
    <t>Мастера 40 - 44 (22.04.1979)/41</t>
  </si>
  <si>
    <t>100,00</t>
  </si>
  <si>
    <t>270,0</t>
  </si>
  <si>
    <t>Виноходов Сергей</t>
  </si>
  <si>
    <t>1. Виноходов Сергей</t>
  </si>
  <si>
    <t>Открытая (17.09.1982)/38</t>
  </si>
  <si>
    <t>125,00</t>
  </si>
  <si>
    <t>330,0</t>
  </si>
  <si>
    <t>345,0</t>
  </si>
  <si>
    <t>179,7450</t>
  </si>
  <si>
    <t>136,8180</t>
  </si>
  <si>
    <t>108,1860</t>
  </si>
  <si>
    <t>155,5854</t>
  </si>
  <si>
    <t>Громов Сергей</t>
  </si>
  <si>
    <t>1. Громов Сергей</t>
  </si>
  <si>
    <t>Мастера 50 - 54 (02.09.1966)/54</t>
  </si>
  <si>
    <t>105,00</t>
  </si>
  <si>
    <t>230,0o</t>
  </si>
  <si>
    <t>250,0o</t>
  </si>
  <si>
    <t>270,0o</t>
  </si>
  <si>
    <t xml:space="preserve">Самост </t>
  </si>
  <si>
    <t>Ващук Андрей</t>
  </si>
  <si>
    <t>1. Ващук Андрей</t>
  </si>
  <si>
    <t>Мастера 60 - 64 (28.06.1960)/60</t>
  </si>
  <si>
    <t>Чеботарев Роман</t>
  </si>
  <si>
    <t>1. Чеботарев Роман</t>
  </si>
  <si>
    <t>Открытая (17.05.1983)/37</t>
  </si>
  <si>
    <t>115,00</t>
  </si>
  <si>
    <t>300,0</t>
  </si>
  <si>
    <t>148,7920</t>
  </si>
  <si>
    <t>195,2427</t>
  </si>
  <si>
    <t>165,4615</t>
  </si>
  <si>
    <t>1. Шевченко Екатерина</t>
  </si>
  <si>
    <t>Мастера 65 - 69 (07.08.1955)/65</t>
  </si>
  <si>
    <t>Сергеева Анна</t>
  </si>
  <si>
    <t>1. Сергеева Анна</t>
  </si>
  <si>
    <t>Открытая (28.04.1992)/28</t>
  </si>
  <si>
    <t>59,30</t>
  </si>
  <si>
    <t>2. Карпова Екатерина</t>
  </si>
  <si>
    <t>Кочетова Светлана</t>
  </si>
  <si>
    <t>1. Кочетова Светлана</t>
  </si>
  <si>
    <t>Открытая (14.02.1991)/29</t>
  </si>
  <si>
    <t>Щербинина Елена</t>
  </si>
  <si>
    <t>1. Щербинина Елена</t>
  </si>
  <si>
    <t>Мастера 55 - 59 (04.11.1961)/59</t>
  </si>
  <si>
    <t>72,00</t>
  </si>
  <si>
    <t>Прыгов Дмитрий</t>
  </si>
  <si>
    <t>1. Прыгов Дмитрий</t>
  </si>
  <si>
    <t>Открытая (06.03.1985)/35</t>
  </si>
  <si>
    <t>81,70</t>
  </si>
  <si>
    <t>187,5</t>
  </si>
  <si>
    <t>Третьяков Игорь</t>
  </si>
  <si>
    <t>2. Третьяков Игорь</t>
  </si>
  <si>
    <t>Открытая (29.03.1995)/25</t>
  </si>
  <si>
    <t>80,30</t>
  </si>
  <si>
    <t>217,5</t>
  </si>
  <si>
    <t>Грачев Дмитрий</t>
  </si>
  <si>
    <t>1. Грачев Дмитрий</t>
  </si>
  <si>
    <t>Мастера 40 - 44 (23.04.1980)/40</t>
  </si>
  <si>
    <t xml:space="preserve">Строитель/Белгородская область </t>
  </si>
  <si>
    <t>Стеблевский Алексей</t>
  </si>
  <si>
    <t>1. Стеблевский Алексей</t>
  </si>
  <si>
    <t>Юниоры 20 - 23 (24.01.1998)/22</t>
  </si>
  <si>
    <t>87,40</t>
  </si>
  <si>
    <t xml:space="preserve">Атлет-зал "Варяг" </t>
  </si>
  <si>
    <t xml:space="preserve">Петропавловск-Камчатский/Камчатский край </t>
  </si>
  <si>
    <t>225,0</t>
  </si>
  <si>
    <t>235,0</t>
  </si>
  <si>
    <t>Семеренко Вадим</t>
  </si>
  <si>
    <t>1. Семеренко Вадим</t>
  </si>
  <si>
    <t>Открытая (04.07.1999)/21</t>
  </si>
  <si>
    <t>88,80</t>
  </si>
  <si>
    <t>Король Игорь</t>
  </si>
  <si>
    <t>1. Король Игорь</t>
  </si>
  <si>
    <t>Мастера 55 - 59 (08.11.1964)/56</t>
  </si>
  <si>
    <t>89,10</t>
  </si>
  <si>
    <t>Лукьянчиков Владимир</t>
  </si>
  <si>
    <t>1. Лукьянчиков Владимир</t>
  </si>
  <si>
    <t>Мастера 60 - 64 (23.12.1959)/60</t>
  </si>
  <si>
    <t>86,60</t>
  </si>
  <si>
    <t>172,5</t>
  </si>
  <si>
    <t>1. Меркулов Виталий</t>
  </si>
  <si>
    <t>2. Манаков Валерий</t>
  </si>
  <si>
    <t>142,9740</t>
  </si>
  <si>
    <t>113,0285</t>
  </si>
  <si>
    <t>103,4580</t>
  </si>
  <si>
    <t>100,9000</t>
  </si>
  <si>
    <t>210,7094</t>
  </si>
  <si>
    <t>159,5815</t>
  </si>
  <si>
    <t>69,9107</t>
  </si>
  <si>
    <t>57,8223</t>
  </si>
  <si>
    <t>141,4606</t>
  </si>
  <si>
    <t>145,4220</t>
  </si>
  <si>
    <t>124,7000</t>
  </si>
  <si>
    <t>123,9210</t>
  </si>
  <si>
    <t>119,9280</t>
  </si>
  <si>
    <t>116,5515</t>
  </si>
  <si>
    <t>170,1156</t>
  </si>
  <si>
    <t>143,1616</t>
  </si>
  <si>
    <t>118,1610</t>
  </si>
  <si>
    <t>Долматов Борис</t>
  </si>
  <si>
    <t>1. Долматов Борис</t>
  </si>
  <si>
    <t>Мастера 75 - 79 (04.08.1945)/75</t>
  </si>
  <si>
    <t>65,30</t>
  </si>
  <si>
    <t xml:space="preserve">Калининград/Калининградская область </t>
  </si>
  <si>
    <t>140,0o</t>
  </si>
  <si>
    <t>150,0o</t>
  </si>
  <si>
    <t>Хазыков Руслан</t>
  </si>
  <si>
    <t>1. Хазыков Руслан</t>
  </si>
  <si>
    <t>Открытая (27.02.1985)/35</t>
  </si>
  <si>
    <t>84,70</t>
  </si>
  <si>
    <t>Немчинов Александр</t>
  </si>
  <si>
    <t>1. Немчинов Александр</t>
  </si>
  <si>
    <t>Мастера 65 - 69 (10.11.1951)/69</t>
  </si>
  <si>
    <t>90,00</t>
  </si>
  <si>
    <t>1. Бондаренко Евгений</t>
  </si>
  <si>
    <t>290,0</t>
  </si>
  <si>
    <t>Бондарев Иван</t>
  </si>
  <si>
    <t>1. Бондарев Иван</t>
  </si>
  <si>
    <t>Открытая (09.09.1992)/28</t>
  </si>
  <si>
    <t>123,50</t>
  </si>
  <si>
    <t>156,5420</t>
  </si>
  <si>
    <t>146,4680</t>
  </si>
  <si>
    <t>121,6600</t>
  </si>
  <si>
    <t>281,6932</t>
  </si>
  <si>
    <t xml:space="preserve">Мастера 75 - 79 </t>
  </si>
  <si>
    <t>233,7438</t>
  </si>
  <si>
    <t>78,1542</t>
  </si>
  <si>
    <t>73,5728</t>
  </si>
  <si>
    <t>61,1719</t>
  </si>
  <si>
    <t>53,9675</t>
  </si>
  <si>
    <t>98,2740</t>
  </si>
  <si>
    <t>1. Дудакова Анастасия</t>
  </si>
  <si>
    <t>92,5</t>
  </si>
  <si>
    <t>97,5</t>
  </si>
  <si>
    <t>102,5</t>
  </si>
  <si>
    <t>1. Статив Илья</t>
  </si>
  <si>
    <t>167,0025</t>
  </si>
  <si>
    <t>157,5</t>
  </si>
  <si>
    <t>158,9175</t>
  </si>
  <si>
    <t>148,8014</t>
  </si>
  <si>
    <t>320,6448</t>
  </si>
  <si>
    <t>128,2318</t>
  </si>
  <si>
    <t>437,5</t>
  </si>
  <si>
    <t>235,6375</t>
  </si>
  <si>
    <t>340,0</t>
  </si>
  <si>
    <t>211,9900</t>
  </si>
  <si>
    <t>295,0</t>
  </si>
  <si>
    <t>196,6470</t>
  </si>
  <si>
    <t>Мн.повт. жим</t>
  </si>
  <si>
    <t>62,0</t>
  </si>
  <si>
    <t>8,0</t>
  </si>
  <si>
    <t>Томинг Сергей</t>
  </si>
  <si>
    <t>1. Томинг Сергей</t>
  </si>
  <si>
    <t>Мастера 50 - 54 (09.12.1968)/51</t>
  </si>
  <si>
    <t>71,30</t>
  </si>
  <si>
    <t xml:space="preserve">Фитнес Хаус </t>
  </si>
  <si>
    <t xml:space="preserve">Санкт Петербург/Ленинградская </t>
  </si>
  <si>
    <t>72,0</t>
  </si>
  <si>
    <t>21,0</t>
  </si>
  <si>
    <t>12,0</t>
  </si>
  <si>
    <t>Shv/Mel /Залуцкий</t>
  </si>
  <si>
    <t>1283,5190</t>
  </si>
  <si>
    <t>1717,3411</t>
  </si>
  <si>
    <t>1431,5631</t>
  </si>
  <si>
    <t>Shv/Mel/Залуцкий</t>
  </si>
  <si>
    <t>485,0</t>
  </si>
  <si>
    <t>261,8030</t>
  </si>
  <si>
    <t>Персианов Дмитрий</t>
  </si>
  <si>
    <t>1. Персианов Дмитрий</t>
  </si>
  <si>
    <t>Открытая (03.10.1991)/29</t>
  </si>
  <si>
    <t>89,00</t>
  </si>
  <si>
    <t xml:space="preserve">Липецк/Липецкая область </t>
  </si>
  <si>
    <t>31,0</t>
  </si>
  <si>
    <t>212,5</t>
  </si>
  <si>
    <t>2152,8279</t>
  </si>
  <si>
    <t>НАП Н.Ж.</t>
  </si>
  <si>
    <t>Народный жим</t>
  </si>
  <si>
    <t>Жданов Антон</t>
  </si>
  <si>
    <t>1. Жданов Антон</t>
  </si>
  <si>
    <t>Открытая (04.08.1987)/33</t>
  </si>
  <si>
    <t>81,65</t>
  </si>
  <si>
    <t>82,5</t>
  </si>
  <si>
    <t>25,0</t>
  </si>
  <si>
    <t>32,0</t>
  </si>
  <si>
    <t xml:space="preserve">НАП Н.Ж. </t>
  </si>
  <si>
    <t>500,0</t>
  </si>
  <si>
    <t>474,1500</t>
  </si>
  <si>
    <t>3040,0</t>
  </si>
  <si>
    <t>2158,7040</t>
  </si>
  <si>
    <t>2062,5</t>
  </si>
  <si>
    <t>1576,1624</t>
  </si>
  <si>
    <t>1604,8313</t>
  </si>
  <si>
    <t>Тоннаж</t>
  </si>
  <si>
    <t>20,0</t>
  </si>
  <si>
    <t>86,0</t>
  </si>
  <si>
    <t>51,0</t>
  </si>
  <si>
    <t>1720,0</t>
  </si>
  <si>
    <t>2275,9040</t>
  </si>
  <si>
    <t>2295,0</t>
  </si>
  <si>
    <t>1665,7109</t>
  </si>
  <si>
    <t>Атлетизм</t>
  </si>
  <si>
    <t>Русский жим</t>
  </si>
  <si>
    <t>ВЕСОВАЯ КАТЕГОРИЯ   All</t>
  </si>
  <si>
    <t>34,0</t>
  </si>
  <si>
    <t xml:space="preserve">Атлетизм </t>
  </si>
  <si>
    <t>All</t>
  </si>
  <si>
    <t>1870,0</t>
  </si>
  <si>
    <t>24,0669</t>
  </si>
  <si>
    <t>Киян Андрей</t>
  </si>
  <si>
    <t>1. Киян Андрей</t>
  </si>
  <si>
    <t>Открытая (17.06.1974)/46</t>
  </si>
  <si>
    <t>92,80</t>
  </si>
  <si>
    <t>6375,0</t>
  </si>
  <si>
    <t>68,6961</t>
  </si>
  <si>
    <t>Соколов Артем</t>
  </si>
  <si>
    <t>1. Соколов Артем</t>
  </si>
  <si>
    <t>Открытая (04.09.1985)/35</t>
  </si>
  <si>
    <t>89,30</t>
  </si>
  <si>
    <t>Борзиков Александр</t>
  </si>
  <si>
    <t>1. Борзиков Александр</t>
  </si>
  <si>
    <t>Мастера 55 - 59 (08.05.1964)/56</t>
  </si>
  <si>
    <t>66,0</t>
  </si>
  <si>
    <t>4125,0</t>
  </si>
  <si>
    <t>46,1926</t>
  </si>
  <si>
    <t>3630,0</t>
  </si>
  <si>
    <t>40,6494</t>
  </si>
  <si>
    <t>Русская становая</t>
  </si>
  <si>
    <t>Ляхова Полина</t>
  </si>
  <si>
    <t>2. Ляхова Полина</t>
  </si>
  <si>
    <t>Открытая (22.06.1993)/27</t>
  </si>
  <si>
    <t>63,00</t>
  </si>
  <si>
    <t>2550,0</t>
  </si>
  <si>
    <t>42,5709</t>
  </si>
  <si>
    <t>1875,0</t>
  </si>
  <si>
    <t>29,7619</t>
  </si>
  <si>
    <t>Подъем на бицепс мн.повт.</t>
  </si>
  <si>
    <t>Рядинский Денис</t>
  </si>
  <si>
    <t>1. Рядинский Денис</t>
  </si>
  <si>
    <t>Открытая (06.07.1985)/35</t>
  </si>
  <si>
    <t>80,60</t>
  </si>
  <si>
    <t>1700,0</t>
  </si>
  <si>
    <t>21,0918</t>
  </si>
  <si>
    <t>16,0</t>
  </si>
  <si>
    <t>28,0</t>
  </si>
  <si>
    <t>Кузнецов Юрий</t>
  </si>
  <si>
    <t>1. Кузнецов Юрий</t>
  </si>
  <si>
    <t>Мастера 55 - 59 (17.07.1961)/59</t>
  </si>
  <si>
    <t>85,70</t>
  </si>
  <si>
    <t>3200,0</t>
  </si>
  <si>
    <t>37,7804</t>
  </si>
  <si>
    <t>5600,0</t>
  </si>
  <si>
    <t>65,8823</t>
  </si>
  <si>
    <t>4000,0</t>
  </si>
  <si>
    <t>46,6744</t>
  </si>
  <si>
    <t>Жим стоя</t>
  </si>
  <si>
    <t>59,6500</t>
  </si>
  <si>
    <t>Трофимов Дмитрий</t>
  </si>
  <si>
    <t>1. Трофимов Дмитрий</t>
  </si>
  <si>
    <t>Мастера 45 - 49 (18.02.1974)/46</t>
  </si>
  <si>
    <t>58,1528</t>
  </si>
  <si>
    <t>Подъем на бицепс</t>
  </si>
  <si>
    <t>27,5</t>
  </si>
  <si>
    <t>32,5</t>
  </si>
  <si>
    <t>15,0</t>
  </si>
  <si>
    <t>22,5</t>
  </si>
  <si>
    <t>Тимофеев Владислав</t>
  </si>
  <si>
    <t>1. Тимофеев Владислав</t>
  </si>
  <si>
    <t>Открытая (02.05.1994)/26</t>
  </si>
  <si>
    <t>73,20</t>
  </si>
  <si>
    <t>72,5o</t>
  </si>
  <si>
    <t>77,5o</t>
  </si>
  <si>
    <t>3. Зубарев Андрей</t>
  </si>
  <si>
    <t>2. Шерман Дмитрий</t>
  </si>
  <si>
    <t>Открытая (28.05.1964)/56</t>
  </si>
  <si>
    <t>Осетров Евгений</t>
  </si>
  <si>
    <t>3. Осетров Евгений</t>
  </si>
  <si>
    <t>Открытая (03.03.1996)/24</t>
  </si>
  <si>
    <t>78,55</t>
  </si>
  <si>
    <t>4. Жданов Антон</t>
  </si>
  <si>
    <t>-. Девятко Сергей</t>
  </si>
  <si>
    <t>Открытая (24.08.1976)/44</t>
  </si>
  <si>
    <t>87,10</t>
  </si>
  <si>
    <t>Коровяковский Владимир</t>
  </si>
  <si>
    <t>1. Коровяковский Владимир</t>
  </si>
  <si>
    <t>Открытая (08.11.1986)/34</t>
  </si>
  <si>
    <t>95,00</t>
  </si>
  <si>
    <t>-. Ярыжев Амерхан</t>
  </si>
  <si>
    <t>2. Меркулов Виталий</t>
  </si>
  <si>
    <t>3. Галуцких Михаил</t>
  </si>
  <si>
    <t>34,3035</t>
  </si>
  <si>
    <t>23,3819</t>
  </si>
  <si>
    <t>32,3072</t>
  </si>
  <si>
    <t>52,4985</t>
  </si>
  <si>
    <t>51,9337</t>
  </si>
  <si>
    <t>46,9613</t>
  </si>
  <si>
    <t>46,6620</t>
  </si>
  <si>
    <t>45,7810</t>
  </si>
  <si>
    <t>44,0045</t>
  </si>
  <si>
    <t>43,1925</t>
  </si>
  <si>
    <t>41,0670</t>
  </si>
  <si>
    <t>40,2375</t>
  </si>
  <si>
    <t>40,0937</t>
  </si>
  <si>
    <t>39,6968</t>
  </si>
  <si>
    <t>38,9875</t>
  </si>
  <si>
    <t>38,0705</t>
  </si>
  <si>
    <t>58,7258</t>
  </si>
  <si>
    <t>56,1193</t>
  </si>
  <si>
    <t>54,2398</t>
  </si>
  <si>
    <t>37,8957</t>
  </si>
  <si>
    <t>Рядинский Данила</t>
  </si>
  <si>
    <t>1. Рядинский Данила</t>
  </si>
  <si>
    <t>Юноши 0-13 (01.12.2009)/10</t>
  </si>
  <si>
    <t>29,90</t>
  </si>
  <si>
    <t>17,5</t>
  </si>
  <si>
    <t>Грачев Николай</t>
  </si>
  <si>
    <t>1. Грачев Николай</t>
  </si>
  <si>
    <t>Мастера 60 - 64 (16.04.1956)/64</t>
  </si>
  <si>
    <t>50,00</t>
  </si>
  <si>
    <t>36,0</t>
  </si>
  <si>
    <t>2. Малышев Евгений</t>
  </si>
  <si>
    <t>28,2688</t>
  </si>
  <si>
    <t>66,9117</t>
  </si>
  <si>
    <t>44,0075</t>
  </si>
  <si>
    <t>43,0778</t>
  </si>
  <si>
    <t>2. Осетров Евгений</t>
  </si>
  <si>
    <t>93,0300</t>
  </si>
  <si>
    <t>82,6535</t>
  </si>
  <si>
    <t>76,9800</t>
  </si>
  <si>
    <t>102,1603</t>
  </si>
  <si>
    <t>150</t>
  </si>
  <si>
    <t>2400</t>
  </si>
  <si>
    <t>4200</t>
  </si>
  <si>
    <t>28,335</t>
  </si>
  <si>
    <t>49,411</t>
  </si>
  <si>
    <t>211</t>
  </si>
  <si>
    <t>83</t>
  </si>
  <si>
    <t>143,5</t>
  </si>
  <si>
    <t>132</t>
  </si>
  <si>
    <t>Кубок России по пауэрлифтингу и силовым видам спорта "Богатыри Руси III"
Любители пауэрлифтинг в однопетельной софт экипировке
Белгород 20 - 22 ноября 2020 г.</t>
  </si>
  <si>
    <t>Кубок России по пауэрлифтингу и силовым видам спорта "Богатыри Руси III"
Любители пауэрлифтинг без экипировки
Белгород 20 - 22 ноября 2020 г.</t>
  </si>
  <si>
    <t>Кубок России по пауэрлифтингу и силовым видам спорта "Богатыри Руси III"
ПРО пауэрлифтинг без экипировки
Белгород 20 - 22 ноября 2020 г.</t>
  </si>
  <si>
    <t>Кубок России по пауэрлифтингу и силовым видам спорта "Богатыри Руси III"
Любители военный жим классический
Белгород 20 - 22 ноября 2020 г.</t>
  </si>
  <si>
    <t>Кубок России по пауэрлифтингу и силовым видам спорта                            "Богатыри Руси III" 
ПРО военный жим классический
Белгород 20 - 22 ноября 2020 г.</t>
  </si>
  <si>
    <t>Кубок России по пауэрлифтингу и силовым видам спорта "Богатыри Руси III"
СОВ жим лежа
Белгород 20 - 22 ноября 2020 г.</t>
  </si>
  <si>
    <t>Кубок России по пауэрлифтингу и силовым видам спорта "Богатыри Руси III"
Любители жим лежа без экипировки
Белгород 20 - 22 ноября 2020 г.</t>
  </si>
  <si>
    <t>Кубок России по пауэрлифтингу и силовым видам спорта "Богатыри Руси III"
ПРО жим лежа без экипировки
Белгород 20 - 22 ноября 2020 г.</t>
  </si>
  <si>
    <t>Кубок России по пауэрлифтингу и силовым видам спорта "Богатыри Руси III" 
Любители жим лежа в Софт экипировка однопетельная
Белгород 20 - 22 ноября 2020 г.</t>
  </si>
  <si>
    <t>Кубок России по пауэрлифтингу и силовым видам спорта                   "Богатыри Руси III" 
Любители жим лежа в Софт экипировка многопетельная
Белгород 20 - 22 ноября 2020 г.</t>
  </si>
  <si>
    <t>Кубок России по пауэрлифтингу и силовым видам спорта "Богатыри Руси III" 
ПРО жим лежа в Софт экипировка многопетельная
Белгород 20 - 22 ноября 2020 г.</t>
  </si>
  <si>
    <t>Кубок России по пауэрлифтингу и силовым видам спорта "Богатыри Руси III" 
Любители становая тяга без экипировки
Белгород 20 - 22 ноября 2020 г.</t>
  </si>
  <si>
    <t>Кубок России по пауэрлифтингу и силовым видам спорта "Богатыри Руси III" 
ПРО становая тяга без экипировки
Белгород 20 - 22 ноября 2020 г.</t>
  </si>
  <si>
    <t>Кубок России по пауэрлифтингу и силовым видам спорта "Богатыри Руси III" 
Любители присед без экипировки
Белгород 20 - 22 ноября 2020 г.</t>
  </si>
  <si>
    <t>Кубок России по пауэрлифтингу и силовым видам спорта "Богатыри Руси III"  
Силовое двоеборье любители
Белгород 20 - 22 ноября 2020 г.</t>
  </si>
  <si>
    <t>Кубок России по пауэрлифтингу и силовым видам спорта "Богатыри Руси III" 
Любители жимовое двоеборье
Белгород 20 - 22 ноября 2020 г.</t>
  </si>
  <si>
    <t>Кубок России по пауэрлифтингу и силовым видам спорта "Богатыри Руси III"  
Силовое двоеборье профессионалы
Белгород 20 - 22 ноября 2020 г.</t>
  </si>
  <si>
    <t>Кубок России по пауэрлифтингу и силовым видам спорта "Богатыри Руси III" 
ПРО жимовое двоеборье
Белгород 20 - 22 ноября 2020 г.</t>
  </si>
  <si>
    <t>Кубок России по пауэрлифтингу и силовым видам спорта "Богатыри Руси III" 
Любители народный жим (1 вес)
Белгород 20 ноября 2020 г.</t>
  </si>
  <si>
    <t>Кубок России по пауэрлифтингу и силовым видам спорта "Богатыри Руси III" 
Любители народный жим (1/2 вес)
Белгород 20 ноября 2020 г.</t>
  </si>
  <si>
    <t>Кубок России по пауэрлифтингу и силовым видам спорта             "Богатыри Руси III" 
Любители Военный жим многоповторный 1\2
Белгород 20 ноября 2020 г.</t>
  </si>
  <si>
    <t>Кубок России по пауэрлифтингу и силовым видам спорта            "Богатыри Руси III"
Русский жим профессионалы 55 кг.
Белгород 20 ноября 2020 г.</t>
  </si>
  <si>
    <t>Кубок России по пауэрлифтингу и силовым видам спорта             "Богатыри Руси III" 
Русский жим профессионалы 75 кг.
Белгород 20 ноября 2020 г.</t>
  </si>
  <si>
    <t>Кубок России по пауэрлифтингу и силовым видам спорта                          "Богатыри Руси III" 
Русский жим любители 55 кг.
Белгород/Белгородская область 20 ноября 2020 г.</t>
  </si>
  <si>
    <t>Кубок России по пауэрлифтингу и силовым видам спорта "Богатыри Руси III" 
Русская станова тяга любители 75 кг.
Белгород 20 ноября 2020 г.</t>
  </si>
  <si>
    <t>Кубок России по пауэрлифтингу и силовым видам спорта "Богатыри Руси III" 
Русский бицепс профессионалы 50 кг.
Белгород 20 - 22 ноября 2020 г.</t>
  </si>
  <si>
    <r>
      <t xml:space="preserve">Кубок России по пауэрлифтингу и силовым видам спорта             "Богатыри Руси III" 
Русская станова тяга профессионалы 150 кг.
Белгород </t>
    </r>
    <r>
      <rPr>
        <sz val="24"/>
        <rFont val="Arial Cyr"/>
        <charset val="204"/>
      </rPr>
      <t>20 - 22</t>
    </r>
    <r>
      <rPr>
        <b/>
        <sz val="24"/>
        <rFont val="Arial Cyr"/>
        <charset val="204"/>
      </rPr>
      <t xml:space="preserve"> ноября 2020 г.</t>
    </r>
  </si>
  <si>
    <t>Кубок России по пауэрлифтингу и силовым видам спорта "Богатыри Руси III" 
Русская станова тяга профессионалы 200 кг.
Белгород 20 - 22 ноября 2020 г.</t>
  </si>
  <si>
    <t>Кубок России по пауэрлифтингу и силовым видам спорта "Богатыри Руси III" 
Одиночный жим штанги стоя Любители
Белгород 20 - 22 ноября 2020 г.</t>
  </si>
  <si>
    <t>Кубок России по пауэрлифтингу и силовым видам спорта "Богатыри Руси III" 
Одиночный жим штанги стоя Профессионалы
Белгород 20 - 22 ноября 2020 г.</t>
  </si>
  <si>
    <t>Кубок России по пауэрлифтингу и силовым видам спорта "Богатыри Руси III" 
Одиночный подъём штанги на бицепс Любители
Белгород 20 - 22 ноября 2020 г.</t>
  </si>
  <si>
    <t>Кубок России по пауэрлифтингу и силовым видам спорта "Богатыри Руси III" 
Одиночный подъём штанги на бицепс Профессионалы
Белгород 20 - 22 ноября 2020 г.</t>
  </si>
  <si>
    <t>Кубок России по пауэрлифтингу и силовым видам спорта "Богатыри Руси III"
Пауэрспорт Любители
Белгород 20 - 22 ноября 2020 г.</t>
  </si>
  <si>
    <t>Кубок России по пауэрлифтингу и силовым видам спорта "Богатыри Руси III" 
Пауэрспорт Профессионалы
Белгород 20 - 22 ноября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</si>
</sst>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sz val="24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O3" sqref="O3:O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4.5703125" style="3" customWidth="1"/>
    <col min="10" max="10" width="4.85546875" style="3" customWidth="1"/>
    <col min="11" max="13" width="4.5703125" style="3" customWidth="1"/>
    <col min="14" max="14" width="6.85546875" style="3" customWidth="1"/>
    <col min="15" max="15" width="7.85546875" style="10" bestFit="1" customWidth="1"/>
    <col min="16" max="16" width="8.5703125" style="2" bestFit="1" customWidth="1"/>
    <col min="17" max="17" width="8.85546875" style="4" bestFit="1" customWidth="1"/>
    <col min="18" max="16384" width="9.140625" style="3"/>
  </cols>
  <sheetData>
    <row r="1" spans="1:17" s="2" customFormat="1" ht="29.1" customHeight="1" x14ac:dyDescent="0.2">
      <c r="A1" s="42" t="s">
        <v>877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17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7"/>
    </row>
    <row r="3" spans="1:17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760</v>
      </c>
      <c r="H3" s="36"/>
      <c r="I3" s="36"/>
      <c r="J3" s="36"/>
      <c r="K3" s="36" t="s">
        <v>766</v>
      </c>
      <c r="L3" s="36"/>
      <c r="M3" s="36"/>
      <c r="N3" s="36"/>
      <c r="O3" s="36" t="s">
        <v>1</v>
      </c>
      <c r="P3" s="36" t="s">
        <v>3</v>
      </c>
      <c r="Q3" s="38" t="s">
        <v>2</v>
      </c>
    </row>
    <row r="4" spans="1:17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37"/>
      <c r="P4" s="37"/>
      <c r="Q4" s="39"/>
    </row>
    <row r="5" spans="1:17" ht="15" x14ac:dyDescent="0.2">
      <c r="A5" s="40" t="s">
        <v>106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7" x14ac:dyDescent="0.2">
      <c r="A6" s="6" t="s">
        <v>763</v>
      </c>
      <c r="B6" s="6" t="s">
        <v>764</v>
      </c>
      <c r="C6" s="6" t="s">
        <v>723</v>
      </c>
      <c r="D6" s="6" t="str">
        <f>"0,5881"</f>
        <v>0,5881</v>
      </c>
      <c r="E6" s="6" t="s">
        <v>181</v>
      </c>
      <c r="F6" s="6" t="s">
        <v>21</v>
      </c>
      <c r="G6" s="7" t="s">
        <v>182</v>
      </c>
      <c r="H6" s="7" t="s">
        <v>29</v>
      </c>
      <c r="I6" s="7" t="s">
        <v>638</v>
      </c>
      <c r="J6" s="8"/>
      <c r="K6" s="7" t="s">
        <v>88</v>
      </c>
      <c r="L6" s="7" t="s">
        <v>22</v>
      </c>
      <c r="M6" s="8" t="s">
        <v>23</v>
      </c>
      <c r="N6" s="8"/>
      <c r="O6" s="11" t="str">
        <f>"162,5"</f>
        <v>162,5</v>
      </c>
      <c r="P6" s="12" t="str">
        <f>"102,1603"</f>
        <v>102,1603</v>
      </c>
      <c r="Q6" s="6" t="s">
        <v>31</v>
      </c>
    </row>
    <row r="8" spans="1:17" ht="15" x14ac:dyDescent="0.2">
      <c r="E8" s="9" t="s">
        <v>32</v>
      </c>
    </row>
    <row r="9" spans="1:17" ht="15" x14ac:dyDescent="0.2">
      <c r="E9" s="9" t="s">
        <v>33</v>
      </c>
    </row>
    <row r="10" spans="1:17" ht="15" x14ac:dyDescent="0.2">
      <c r="E10" s="9" t="s">
        <v>34</v>
      </c>
    </row>
    <row r="11" spans="1:17" ht="15" x14ac:dyDescent="0.2">
      <c r="E11" s="9" t="s">
        <v>35</v>
      </c>
    </row>
    <row r="12" spans="1:17" ht="15" x14ac:dyDescent="0.2">
      <c r="E12" s="9" t="s">
        <v>35</v>
      </c>
    </row>
    <row r="13" spans="1:17" ht="15" x14ac:dyDescent="0.2">
      <c r="E13" s="9" t="s">
        <v>36</v>
      </c>
    </row>
    <row r="14" spans="1:17" ht="15" x14ac:dyDescent="0.2">
      <c r="E14" s="9"/>
    </row>
    <row r="16" spans="1:17" ht="18" x14ac:dyDescent="0.25">
      <c r="A16" s="13" t="s">
        <v>37</v>
      </c>
      <c r="B16" s="13"/>
    </row>
    <row r="17" spans="1:5" ht="15" x14ac:dyDescent="0.2">
      <c r="A17" s="14" t="s">
        <v>38</v>
      </c>
      <c r="B17" s="14"/>
    </row>
    <row r="18" spans="1:5" ht="14.25" x14ac:dyDescent="0.2">
      <c r="A18" s="16"/>
      <c r="B18" s="17" t="s">
        <v>171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43</v>
      </c>
      <c r="E19" s="18" t="s">
        <v>44</v>
      </c>
    </row>
    <row r="20" spans="1:5" x14ac:dyDescent="0.2">
      <c r="A20" s="15" t="s">
        <v>762</v>
      </c>
      <c r="B20" s="4" t="s">
        <v>217</v>
      </c>
      <c r="C20" s="4" t="s">
        <v>168</v>
      </c>
      <c r="D20" s="4" t="s">
        <v>400</v>
      </c>
      <c r="E20" s="10" t="s">
        <v>834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" style="4" bestFit="1" customWidth="1"/>
    <col min="7" max="7" width="5" style="3" customWidth="1"/>
    <col min="8" max="8" width="20.425781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2" t="s">
        <v>868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101.25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706</v>
      </c>
      <c r="E3" s="36" t="s">
        <v>4</v>
      </c>
      <c r="F3" s="36" t="s">
        <v>7</v>
      </c>
      <c r="G3" s="36" t="s">
        <v>732</v>
      </c>
      <c r="H3" s="36"/>
      <c r="I3" s="36" t="s">
        <v>698</v>
      </c>
      <c r="J3" s="36" t="s">
        <v>3</v>
      </c>
      <c r="K3" s="38" t="s">
        <v>2</v>
      </c>
    </row>
    <row r="4" spans="1:11" s="1" customFormat="1" ht="21" customHeight="1" thickBot="1" x14ac:dyDescent="0.25">
      <c r="A4" s="49"/>
      <c r="B4" s="37"/>
      <c r="C4" s="37"/>
      <c r="D4" s="37"/>
      <c r="E4" s="37"/>
      <c r="F4" s="37"/>
      <c r="G4" s="5" t="s">
        <v>8</v>
      </c>
      <c r="H4" s="5" t="s">
        <v>9</v>
      </c>
      <c r="I4" s="37"/>
      <c r="J4" s="37"/>
      <c r="K4" s="39"/>
    </row>
    <row r="5" spans="1:11" ht="15" x14ac:dyDescent="0.2">
      <c r="A5" s="40" t="s">
        <v>708</v>
      </c>
      <c r="B5" s="41"/>
      <c r="C5" s="41"/>
      <c r="D5" s="41"/>
      <c r="E5" s="41"/>
      <c r="F5" s="41"/>
      <c r="G5" s="41"/>
      <c r="H5" s="41"/>
    </row>
    <row r="6" spans="1:11" x14ac:dyDescent="0.2">
      <c r="A6" s="19" t="s">
        <v>62</v>
      </c>
      <c r="B6" s="19" t="s">
        <v>63</v>
      </c>
      <c r="C6" s="19" t="s">
        <v>64</v>
      </c>
      <c r="D6" s="19" t="str">
        <f>"1,0000"</f>
        <v>1,0000</v>
      </c>
      <c r="E6" s="19" t="s">
        <v>65</v>
      </c>
      <c r="F6" s="19" t="s">
        <v>66</v>
      </c>
      <c r="G6" s="20" t="s">
        <v>23</v>
      </c>
      <c r="H6" s="20" t="s">
        <v>709</v>
      </c>
      <c r="I6" s="28" t="str">
        <f>"2550,0"</f>
        <v>2550,0</v>
      </c>
      <c r="J6" s="29" t="str">
        <f>"42,5709"</f>
        <v>42,5709</v>
      </c>
      <c r="K6" s="19" t="s">
        <v>31</v>
      </c>
    </row>
    <row r="7" spans="1:11" x14ac:dyDescent="0.2">
      <c r="A7" s="25" t="s">
        <v>734</v>
      </c>
      <c r="B7" s="25" t="s">
        <v>735</v>
      </c>
      <c r="C7" s="25" t="s">
        <v>736</v>
      </c>
      <c r="D7" s="25" t="str">
        <f>"1,0000"</f>
        <v>1,0000</v>
      </c>
      <c r="E7" s="25" t="s">
        <v>94</v>
      </c>
      <c r="F7" s="25" t="s">
        <v>95</v>
      </c>
      <c r="G7" s="26" t="s">
        <v>23</v>
      </c>
      <c r="H7" s="26" t="s">
        <v>688</v>
      </c>
      <c r="I7" s="32" t="str">
        <f>"1875,0"</f>
        <v>1875,0</v>
      </c>
      <c r="J7" s="33" t="str">
        <f>"29,7619"</f>
        <v>29,7619</v>
      </c>
      <c r="K7" s="25" t="s">
        <v>31</v>
      </c>
    </row>
    <row r="9" spans="1:11" ht="15" x14ac:dyDescent="0.2">
      <c r="E9" s="9" t="s">
        <v>32</v>
      </c>
    </row>
    <row r="10" spans="1:11" ht="15" x14ac:dyDescent="0.2">
      <c r="E10" s="9" t="s">
        <v>33</v>
      </c>
    </row>
    <row r="11" spans="1:11" ht="15" x14ac:dyDescent="0.2">
      <c r="E11" s="9" t="s">
        <v>34</v>
      </c>
    </row>
    <row r="12" spans="1:11" ht="15" x14ac:dyDescent="0.2">
      <c r="E12" s="9" t="s">
        <v>35</v>
      </c>
    </row>
    <row r="13" spans="1:11" ht="15" x14ac:dyDescent="0.2">
      <c r="E13" s="9" t="s">
        <v>35</v>
      </c>
    </row>
    <row r="14" spans="1:11" ht="15" x14ac:dyDescent="0.2">
      <c r="E14" s="9" t="s">
        <v>36</v>
      </c>
    </row>
    <row r="15" spans="1:11" ht="15" x14ac:dyDescent="0.2">
      <c r="E15" s="9"/>
    </row>
    <row r="17" spans="1:5" ht="18" x14ac:dyDescent="0.25">
      <c r="A17" s="13" t="s">
        <v>37</v>
      </c>
      <c r="B17" s="13"/>
    </row>
    <row r="18" spans="1:5" ht="15" x14ac:dyDescent="0.2">
      <c r="A18" s="14" t="s">
        <v>144</v>
      </c>
      <c r="B18" s="14"/>
    </row>
    <row r="19" spans="1:5" ht="14.25" x14ac:dyDescent="0.2">
      <c r="A19" s="16"/>
      <c r="B19" s="17" t="s">
        <v>149</v>
      </c>
    </row>
    <row r="20" spans="1:5" ht="15" x14ac:dyDescent="0.2">
      <c r="A20" s="18" t="s">
        <v>40</v>
      </c>
      <c r="B20" s="18" t="s">
        <v>41</v>
      </c>
      <c r="C20" s="18" t="s">
        <v>42</v>
      </c>
      <c r="D20" s="18" t="s">
        <v>240</v>
      </c>
      <c r="E20" s="18" t="s">
        <v>710</v>
      </c>
    </row>
    <row r="21" spans="1:5" x14ac:dyDescent="0.2">
      <c r="A21" s="15" t="s">
        <v>61</v>
      </c>
      <c r="B21" s="4" t="s">
        <v>149</v>
      </c>
      <c r="C21" s="4" t="s">
        <v>711</v>
      </c>
      <c r="D21" s="4" t="s">
        <v>737</v>
      </c>
      <c r="E21" s="10" t="s">
        <v>738</v>
      </c>
    </row>
    <row r="22" spans="1:5" x14ac:dyDescent="0.2">
      <c r="A22" s="15" t="s">
        <v>733</v>
      </c>
      <c r="B22" s="4" t="s">
        <v>149</v>
      </c>
      <c r="C22" s="4" t="s">
        <v>711</v>
      </c>
      <c r="D22" s="4" t="s">
        <v>739</v>
      </c>
      <c r="E22" s="10" t="s">
        <v>740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2" t="s">
        <v>867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706</v>
      </c>
      <c r="E3" s="36" t="s">
        <v>4</v>
      </c>
      <c r="F3" s="36" t="s">
        <v>7</v>
      </c>
      <c r="G3" s="36" t="s">
        <v>707</v>
      </c>
      <c r="H3" s="36"/>
      <c r="I3" s="36" t="s">
        <v>698</v>
      </c>
      <c r="J3" s="36" t="s">
        <v>3</v>
      </c>
      <c r="K3" s="38" t="s">
        <v>2</v>
      </c>
    </row>
    <row r="4" spans="1:11" s="1" customFormat="1" ht="21" customHeight="1" thickBot="1" x14ac:dyDescent="0.25">
      <c r="A4" s="49"/>
      <c r="B4" s="37"/>
      <c r="C4" s="37"/>
      <c r="D4" s="37"/>
      <c r="E4" s="37"/>
      <c r="F4" s="37"/>
      <c r="G4" s="5" t="s">
        <v>8</v>
      </c>
      <c r="H4" s="5" t="s">
        <v>9</v>
      </c>
      <c r="I4" s="37"/>
      <c r="J4" s="37"/>
      <c r="K4" s="39"/>
    </row>
    <row r="5" spans="1:11" ht="15" x14ac:dyDescent="0.2">
      <c r="A5" s="40" t="s">
        <v>708</v>
      </c>
      <c r="B5" s="41"/>
      <c r="C5" s="41"/>
      <c r="D5" s="41"/>
      <c r="E5" s="41"/>
      <c r="F5" s="41"/>
      <c r="G5" s="41"/>
      <c r="H5" s="41"/>
    </row>
    <row r="6" spans="1:11" x14ac:dyDescent="0.2">
      <c r="A6" s="19" t="s">
        <v>721</v>
      </c>
      <c r="B6" s="19" t="s">
        <v>722</v>
      </c>
      <c r="C6" s="19" t="s">
        <v>723</v>
      </c>
      <c r="D6" s="19" t="str">
        <f>"1,0000"</f>
        <v>1,0000</v>
      </c>
      <c r="E6" s="19" t="s">
        <v>53</v>
      </c>
      <c r="F6" s="19" t="s">
        <v>21</v>
      </c>
      <c r="G6" s="20" t="s">
        <v>80</v>
      </c>
      <c r="H6" s="20" t="s">
        <v>23</v>
      </c>
      <c r="I6" s="28" t="str">
        <f>"4125,0"</f>
        <v>4125,0</v>
      </c>
      <c r="J6" s="29" t="str">
        <f>"46,1926"</f>
        <v>46,1926</v>
      </c>
      <c r="K6" s="19" t="s">
        <v>31</v>
      </c>
    </row>
    <row r="7" spans="1:11" x14ac:dyDescent="0.2">
      <c r="A7" s="25" t="s">
        <v>725</v>
      </c>
      <c r="B7" s="25" t="s">
        <v>726</v>
      </c>
      <c r="C7" s="25" t="s">
        <v>723</v>
      </c>
      <c r="D7" s="25" t="str">
        <f>"1,0000"</f>
        <v>1,0000</v>
      </c>
      <c r="E7" s="25" t="s">
        <v>65</v>
      </c>
      <c r="F7" s="25" t="s">
        <v>66</v>
      </c>
      <c r="G7" s="26" t="s">
        <v>80</v>
      </c>
      <c r="H7" s="26" t="s">
        <v>727</v>
      </c>
      <c r="I7" s="32" t="str">
        <f>"3630,0"</f>
        <v>3630,0</v>
      </c>
      <c r="J7" s="33" t="str">
        <f>"40,6494"</f>
        <v>40,6494</v>
      </c>
      <c r="K7" s="25" t="s">
        <v>31</v>
      </c>
    </row>
    <row r="9" spans="1:11" ht="15" x14ac:dyDescent="0.2">
      <c r="E9" s="9" t="s">
        <v>32</v>
      </c>
    </row>
    <row r="10" spans="1:11" ht="15" x14ac:dyDescent="0.2">
      <c r="E10" s="9" t="s">
        <v>33</v>
      </c>
    </row>
    <row r="11" spans="1:11" ht="15" x14ac:dyDescent="0.2">
      <c r="E11" s="9" t="s">
        <v>34</v>
      </c>
    </row>
    <row r="12" spans="1:11" ht="15" x14ac:dyDescent="0.2">
      <c r="E12" s="9" t="s">
        <v>35</v>
      </c>
    </row>
    <row r="13" spans="1:11" ht="15" x14ac:dyDescent="0.2">
      <c r="E13" s="9" t="s">
        <v>35</v>
      </c>
    </row>
    <row r="14" spans="1:11" ht="15" x14ac:dyDescent="0.2">
      <c r="E14" s="9" t="s">
        <v>36</v>
      </c>
    </row>
    <row r="15" spans="1:11" ht="15" x14ac:dyDescent="0.2">
      <c r="E15" s="9"/>
    </row>
    <row r="17" spans="1:5" ht="18" x14ac:dyDescent="0.25">
      <c r="A17" s="13" t="s">
        <v>37</v>
      </c>
      <c r="B17" s="13"/>
    </row>
    <row r="18" spans="1:5" ht="15" x14ac:dyDescent="0.2">
      <c r="A18" s="14" t="s">
        <v>38</v>
      </c>
      <c r="B18" s="14"/>
    </row>
    <row r="19" spans="1:5" ht="14.25" x14ac:dyDescent="0.2">
      <c r="A19" s="16"/>
      <c r="B19" s="17" t="s">
        <v>149</v>
      </c>
    </row>
    <row r="20" spans="1:5" ht="15" x14ac:dyDescent="0.2">
      <c r="A20" s="18" t="s">
        <v>40</v>
      </c>
      <c r="B20" s="18" t="s">
        <v>41</v>
      </c>
      <c r="C20" s="18" t="s">
        <v>42</v>
      </c>
      <c r="D20" s="18" t="s">
        <v>240</v>
      </c>
      <c r="E20" s="18" t="s">
        <v>710</v>
      </c>
    </row>
    <row r="21" spans="1:5" x14ac:dyDescent="0.2">
      <c r="A21" s="15" t="s">
        <v>720</v>
      </c>
      <c r="B21" s="4" t="s">
        <v>149</v>
      </c>
      <c r="C21" s="4" t="s">
        <v>711</v>
      </c>
      <c r="D21" s="4" t="s">
        <v>728</v>
      </c>
      <c r="E21" s="10" t="s">
        <v>729</v>
      </c>
    </row>
    <row r="23" spans="1:5" ht="14.25" x14ac:dyDescent="0.2">
      <c r="A23" s="16"/>
      <c r="B23" s="17" t="s">
        <v>171</v>
      </c>
    </row>
    <row r="24" spans="1:5" ht="15" x14ac:dyDescent="0.2">
      <c r="A24" s="18" t="s">
        <v>40</v>
      </c>
      <c r="B24" s="18" t="s">
        <v>41</v>
      </c>
      <c r="C24" s="18" t="s">
        <v>42</v>
      </c>
      <c r="D24" s="18" t="s">
        <v>240</v>
      </c>
      <c r="E24" s="18" t="s">
        <v>710</v>
      </c>
    </row>
    <row r="25" spans="1:5" x14ac:dyDescent="0.2">
      <c r="A25" s="15" t="s">
        <v>724</v>
      </c>
      <c r="B25" s="4" t="s">
        <v>277</v>
      </c>
      <c r="C25" s="4" t="s">
        <v>711</v>
      </c>
      <c r="D25" s="4" t="s">
        <v>730</v>
      </c>
      <c r="E25" s="10" t="s">
        <v>731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2" t="s">
        <v>866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99.75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706</v>
      </c>
      <c r="E3" s="36" t="s">
        <v>4</v>
      </c>
      <c r="F3" s="36" t="s">
        <v>7</v>
      </c>
      <c r="G3" s="36" t="s">
        <v>707</v>
      </c>
      <c r="H3" s="36"/>
      <c r="I3" s="36" t="s">
        <v>698</v>
      </c>
      <c r="J3" s="36" t="s">
        <v>3</v>
      </c>
      <c r="K3" s="38" t="s">
        <v>2</v>
      </c>
    </row>
    <row r="4" spans="1:11" s="1" customFormat="1" ht="21" customHeight="1" thickBot="1" x14ac:dyDescent="0.25">
      <c r="A4" s="49"/>
      <c r="B4" s="37"/>
      <c r="C4" s="37"/>
      <c r="D4" s="37"/>
      <c r="E4" s="37"/>
      <c r="F4" s="37"/>
      <c r="G4" s="5" t="s">
        <v>8</v>
      </c>
      <c r="H4" s="5" t="s">
        <v>9</v>
      </c>
      <c r="I4" s="37"/>
      <c r="J4" s="37"/>
      <c r="K4" s="39"/>
    </row>
    <row r="5" spans="1:11" ht="15" x14ac:dyDescent="0.2">
      <c r="A5" s="40" t="s">
        <v>708</v>
      </c>
      <c r="B5" s="41"/>
      <c r="C5" s="41"/>
      <c r="D5" s="41"/>
      <c r="E5" s="41"/>
      <c r="F5" s="41"/>
      <c r="G5" s="41"/>
      <c r="H5" s="41"/>
    </row>
    <row r="6" spans="1:11" x14ac:dyDescent="0.2">
      <c r="A6" s="6" t="s">
        <v>715</v>
      </c>
      <c r="B6" s="6" t="s">
        <v>716</v>
      </c>
      <c r="C6" s="6" t="s">
        <v>717</v>
      </c>
      <c r="D6" s="6" t="str">
        <f>"1,0000"</f>
        <v>1,0000</v>
      </c>
      <c r="E6" s="6" t="s">
        <v>65</v>
      </c>
      <c r="F6" s="6" t="s">
        <v>66</v>
      </c>
      <c r="G6" s="7" t="s">
        <v>23</v>
      </c>
      <c r="H6" s="7" t="s">
        <v>28</v>
      </c>
      <c r="I6" s="11" t="str">
        <f>"6375,0"</f>
        <v>6375,0</v>
      </c>
      <c r="J6" s="12" t="str">
        <f>"68,6961"</f>
        <v>68,6961</v>
      </c>
      <c r="K6" s="6" t="s">
        <v>31</v>
      </c>
    </row>
    <row r="8" spans="1:11" ht="15" x14ac:dyDescent="0.2">
      <c r="E8" s="9" t="s">
        <v>32</v>
      </c>
    </row>
    <row r="9" spans="1:11" ht="15" x14ac:dyDescent="0.2">
      <c r="E9" s="9" t="s">
        <v>33</v>
      </c>
    </row>
    <row r="10" spans="1:11" ht="15" x14ac:dyDescent="0.2">
      <c r="E10" s="9" t="s">
        <v>34</v>
      </c>
    </row>
    <row r="11" spans="1:11" ht="15" x14ac:dyDescent="0.2">
      <c r="E11" s="9" t="s">
        <v>35</v>
      </c>
    </row>
    <row r="12" spans="1:11" ht="15" x14ac:dyDescent="0.2">
      <c r="E12" s="9" t="s">
        <v>35</v>
      </c>
    </row>
    <row r="13" spans="1:11" ht="15" x14ac:dyDescent="0.2">
      <c r="E13" s="9" t="s">
        <v>36</v>
      </c>
    </row>
    <row r="14" spans="1:11" ht="15" x14ac:dyDescent="0.2">
      <c r="E14" s="9"/>
    </row>
    <row r="16" spans="1:11" ht="18" x14ac:dyDescent="0.25">
      <c r="A16" s="13" t="s">
        <v>37</v>
      </c>
      <c r="B16" s="13"/>
    </row>
    <row r="17" spans="1:5" ht="15" x14ac:dyDescent="0.2">
      <c r="A17" s="14" t="s">
        <v>38</v>
      </c>
      <c r="B17" s="14"/>
    </row>
    <row r="18" spans="1:5" ht="14.25" x14ac:dyDescent="0.2">
      <c r="A18" s="16"/>
      <c r="B18" s="17" t="s">
        <v>149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240</v>
      </c>
      <c r="E19" s="18" t="s">
        <v>710</v>
      </c>
    </row>
    <row r="20" spans="1:5" x14ac:dyDescent="0.2">
      <c r="A20" s="15" t="s">
        <v>714</v>
      </c>
      <c r="B20" s="4" t="s">
        <v>149</v>
      </c>
      <c r="C20" s="4" t="s">
        <v>711</v>
      </c>
      <c r="D20" s="4" t="s">
        <v>718</v>
      </c>
      <c r="E20" s="10" t="s">
        <v>719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710937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2" t="s">
        <v>865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97.5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706</v>
      </c>
      <c r="E3" s="36" t="s">
        <v>4</v>
      </c>
      <c r="F3" s="36" t="s">
        <v>7</v>
      </c>
      <c r="G3" s="36" t="s">
        <v>707</v>
      </c>
      <c r="H3" s="36"/>
      <c r="I3" s="36" t="s">
        <v>698</v>
      </c>
      <c r="J3" s="36" t="s">
        <v>3</v>
      </c>
      <c r="K3" s="38" t="s">
        <v>2</v>
      </c>
    </row>
    <row r="4" spans="1:11" s="1" customFormat="1" ht="21" customHeight="1" thickBot="1" x14ac:dyDescent="0.25">
      <c r="A4" s="49"/>
      <c r="B4" s="37"/>
      <c r="C4" s="37"/>
      <c r="D4" s="37"/>
      <c r="E4" s="37"/>
      <c r="F4" s="37"/>
      <c r="G4" s="5" t="s">
        <v>8</v>
      </c>
      <c r="H4" s="5" t="s">
        <v>9</v>
      </c>
      <c r="I4" s="37"/>
      <c r="J4" s="37"/>
      <c r="K4" s="39"/>
    </row>
    <row r="5" spans="1:11" ht="15" x14ac:dyDescent="0.2">
      <c r="A5" s="40" t="s">
        <v>708</v>
      </c>
      <c r="B5" s="41"/>
      <c r="C5" s="41"/>
      <c r="D5" s="41"/>
      <c r="E5" s="41"/>
      <c r="F5" s="41"/>
      <c r="G5" s="41"/>
      <c r="H5" s="41"/>
    </row>
    <row r="6" spans="1:11" x14ac:dyDescent="0.2">
      <c r="A6" s="6" t="s">
        <v>456</v>
      </c>
      <c r="B6" s="6" t="s">
        <v>457</v>
      </c>
      <c r="C6" s="6" t="s">
        <v>458</v>
      </c>
      <c r="D6" s="6" t="str">
        <f>"1,0000"</f>
        <v>1,0000</v>
      </c>
      <c r="E6" s="6" t="s">
        <v>94</v>
      </c>
      <c r="F6" s="6" t="s">
        <v>95</v>
      </c>
      <c r="G6" s="7" t="s">
        <v>80</v>
      </c>
      <c r="H6" s="7" t="s">
        <v>709</v>
      </c>
      <c r="I6" s="11" t="str">
        <f>"1870,0"</f>
        <v>1870,0</v>
      </c>
      <c r="J6" s="12" t="str">
        <f>"24,0669"</f>
        <v>24,0669</v>
      </c>
      <c r="K6" s="6" t="s">
        <v>31</v>
      </c>
    </row>
    <row r="8" spans="1:11" ht="15" x14ac:dyDescent="0.2">
      <c r="E8" s="9" t="s">
        <v>32</v>
      </c>
    </row>
    <row r="9" spans="1:11" ht="15" x14ac:dyDescent="0.2">
      <c r="E9" s="9" t="s">
        <v>33</v>
      </c>
    </row>
    <row r="10" spans="1:11" ht="15" x14ac:dyDescent="0.2">
      <c r="E10" s="9" t="s">
        <v>34</v>
      </c>
    </row>
    <row r="11" spans="1:11" ht="15" x14ac:dyDescent="0.2">
      <c r="E11" s="9" t="s">
        <v>35</v>
      </c>
    </row>
    <row r="12" spans="1:11" ht="15" x14ac:dyDescent="0.2">
      <c r="E12" s="9" t="s">
        <v>35</v>
      </c>
    </row>
    <row r="13" spans="1:11" ht="15" x14ac:dyDescent="0.2">
      <c r="E13" s="9" t="s">
        <v>36</v>
      </c>
    </row>
    <row r="14" spans="1:11" ht="15" x14ac:dyDescent="0.2">
      <c r="E14" s="9"/>
    </row>
    <row r="16" spans="1:11" ht="18" x14ac:dyDescent="0.25">
      <c r="A16" s="13" t="s">
        <v>37</v>
      </c>
      <c r="B16" s="13"/>
    </row>
    <row r="17" spans="1:5" ht="15" x14ac:dyDescent="0.2">
      <c r="A17" s="14" t="s">
        <v>38</v>
      </c>
      <c r="B17" s="14"/>
    </row>
    <row r="18" spans="1:5" ht="14.25" x14ac:dyDescent="0.2">
      <c r="A18" s="16"/>
      <c r="B18" s="17" t="s">
        <v>149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240</v>
      </c>
      <c r="E19" s="18" t="s">
        <v>710</v>
      </c>
    </row>
    <row r="20" spans="1:5" x14ac:dyDescent="0.2">
      <c r="A20" s="15" t="s">
        <v>455</v>
      </c>
      <c r="B20" s="4" t="s">
        <v>149</v>
      </c>
      <c r="C20" s="4" t="s">
        <v>711</v>
      </c>
      <c r="D20" s="4" t="s">
        <v>712</v>
      </c>
      <c r="E20" s="10" t="s">
        <v>713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0.8554687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2" t="s">
        <v>864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101.25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681</v>
      </c>
      <c r="E3" s="36" t="s">
        <v>4</v>
      </c>
      <c r="F3" s="36" t="s">
        <v>7</v>
      </c>
      <c r="G3" s="36" t="s">
        <v>654</v>
      </c>
      <c r="H3" s="36"/>
      <c r="I3" s="36" t="s">
        <v>698</v>
      </c>
      <c r="J3" s="36" t="s">
        <v>3</v>
      </c>
      <c r="K3" s="38" t="s">
        <v>2</v>
      </c>
    </row>
    <row r="4" spans="1:11" s="1" customFormat="1" ht="21" customHeight="1" thickBot="1" x14ac:dyDescent="0.25">
      <c r="A4" s="49"/>
      <c r="B4" s="37"/>
      <c r="C4" s="37"/>
      <c r="D4" s="37"/>
      <c r="E4" s="37"/>
      <c r="F4" s="37"/>
      <c r="G4" s="5" t="s">
        <v>8</v>
      </c>
      <c r="H4" s="5" t="s">
        <v>9</v>
      </c>
      <c r="I4" s="37"/>
      <c r="J4" s="37"/>
      <c r="K4" s="39"/>
    </row>
    <row r="5" spans="1:11" ht="15" x14ac:dyDescent="0.2">
      <c r="A5" s="40" t="s">
        <v>106</v>
      </c>
      <c r="B5" s="41"/>
      <c r="C5" s="41"/>
      <c r="D5" s="41"/>
      <c r="E5" s="41"/>
      <c r="F5" s="41"/>
      <c r="G5" s="41"/>
      <c r="H5" s="41"/>
    </row>
    <row r="6" spans="1:11" x14ac:dyDescent="0.2">
      <c r="A6" s="6" t="s">
        <v>236</v>
      </c>
      <c r="B6" s="6" t="s">
        <v>237</v>
      </c>
      <c r="C6" s="6" t="s">
        <v>238</v>
      </c>
      <c r="D6" s="6" t="str">
        <f>"0,7258"</f>
        <v>0,7258</v>
      </c>
      <c r="E6" s="6" t="s">
        <v>65</v>
      </c>
      <c r="F6" s="6" t="s">
        <v>239</v>
      </c>
      <c r="G6" s="7" t="s">
        <v>58</v>
      </c>
      <c r="H6" s="7" t="s">
        <v>701</v>
      </c>
      <c r="I6" s="11" t="str">
        <f>"2295,0"</f>
        <v>2295,0</v>
      </c>
      <c r="J6" s="12" t="str">
        <f>"1665,7109"</f>
        <v>1665,7109</v>
      </c>
      <c r="K6" s="6" t="s">
        <v>31</v>
      </c>
    </row>
    <row r="8" spans="1:11" ht="15" x14ac:dyDescent="0.2">
      <c r="E8" s="9" t="s">
        <v>32</v>
      </c>
    </row>
    <row r="9" spans="1:11" ht="15" x14ac:dyDescent="0.2">
      <c r="E9" s="9" t="s">
        <v>33</v>
      </c>
    </row>
    <row r="10" spans="1:11" ht="15" x14ac:dyDescent="0.2">
      <c r="E10" s="9" t="s">
        <v>34</v>
      </c>
    </row>
    <row r="11" spans="1:11" ht="15" x14ac:dyDescent="0.2">
      <c r="E11" s="9" t="s">
        <v>35</v>
      </c>
    </row>
    <row r="12" spans="1:11" ht="15" x14ac:dyDescent="0.2">
      <c r="E12" s="9" t="s">
        <v>35</v>
      </c>
    </row>
    <row r="13" spans="1:11" ht="15" x14ac:dyDescent="0.2">
      <c r="E13" s="9" t="s">
        <v>36</v>
      </c>
    </row>
    <row r="14" spans="1:11" ht="15" x14ac:dyDescent="0.2">
      <c r="E14" s="9"/>
    </row>
    <row r="16" spans="1:11" ht="18" x14ac:dyDescent="0.25">
      <c r="A16" s="13" t="s">
        <v>37</v>
      </c>
      <c r="B16" s="13"/>
    </row>
    <row r="17" spans="1:5" ht="15" x14ac:dyDescent="0.2">
      <c r="A17" s="14" t="s">
        <v>38</v>
      </c>
      <c r="B17" s="14"/>
    </row>
    <row r="18" spans="1:5" ht="14.25" x14ac:dyDescent="0.2">
      <c r="A18" s="16"/>
      <c r="B18" s="17" t="s">
        <v>171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240</v>
      </c>
      <c r="E19" s="18" t="s">
        <v>690</v>
      </c>
    </row>
    <row r="20" spans="1:5" x14ac:dyDescent="0.2">
      <c r="A20" s="15" t="s">
        <v>235</v>
      </c>
      <c r="B20" s="4" t="s">
        <v>244</v>
      </c>
      <c r="C20" s="4" t="s">
        <v>168</v>
      </c>
      <c r="D20" s="4" t="s">
        <v>704</v>
      </c>
      <c r="E20" s="10" t="s">
        <v>705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4.4257812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2" t="s">
        <v>863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681</v>
      </c>
      <c r="E3" s="36" t="s">
        <v>4</v>
      </c>
      <c r="F3" s="36" t="s">
        <v>7</v>
      </c>
      <c r="G3" s="36" t="s">
        <v>682</v>
      </c>
      <c r="H3" s="36"/>
      <c r="I3" s="36" t="s">
        <v>698</v>
      </c>
      <c r="J3" s="36" t="s">
        <v>3</v>
      </c>
      <c r="K3" s="38" t="s">
        <v>2</v>
      </c>
    </row>
    <row r="4" spans="1:11" s="1" customFormat="1" ht="21" customHeight="1" thickBot="1" x14ac:dyDescent="0.25">
      <c r="A4" s="49"/>
      <c r="B4" s="37"/>
      <c r="C4" s="37"/>
      <c r="D4" s="37"/>
      <c r="E4" s="37"/>
      <c r="F4" s="37"/>
      <c r="G4" s="5" t="s">
        <v>8</v>
      </c>
      <c r="H4" s="5" t="s">
        <v>9</v>
      </c>
      <c r="I4" s="37"/>
      <c r="J4" s="37"/>
      <c r="K4" s="39"/>
    </row>
    <row r="5" spans="1:11" ht="15" x14ac:dyDescent="0.2">
      <c r="A5" s="40" t="s">
        <v>285</v>
      </c>
      <c r="B5" s="41"/>
      <c r="C5" s="41"/>
      <c r="D5" s="41"/>
      <c r="E5" s="41"/>
      <c r="F5" s="41"/>
      <c r="G5" s="41"/>
      <c r="H5" s="41"/>
    </row>
    <row r="6" spans="1:11" x14ac:dyDescent="0.2">
      <c r="A6" s="6" t="s">
        <v>318</v>
      </c>
      <c r="B6" s="6" t="s">
        <v>319</v>
      </c>
      <c r="C6" s="6" t="s">
        <v>320</v>
      </c>
      <c r="D6" s="6" t="str">
        <f>"1,3232"</f>
        <v>1,3232</v>
      </c>
      <c r="E6" s="6" t="s">
        <v>299</v>
      </c>
      <c r="F6" s="6" t="s">
        <v>300</v>
      </c>
      <c r="G6" s="7" t="s">
        <v>699</v>
      </c>
      <c r="H6" s="7" t="s">
        <v>700</v>
      </c>
      <c r="I6" s="11" t="str">
        <f>"1720,0"</f>
        <v>1720,0</v>
      </c>
      <c r="J6" s="12" t="str">
        <f>"2275,9040"</f>
        <v>2275,9040</v>
      </c>
      <c r="K6" s="6" t="s">
        <v>31</v>
      </c>
    </row>
    <row r="8" spans="1:11" ht="15" x14ac:dyDescent="0.2">
      <c r="A8" s="51" t="s">
        <v>106</v>
      </c>
      <c r="B8" s="51"/>
      <c r="C8" s="51"/>
      <c r="D8" s="51"/>
      <c r="E8" s="51"/>
      <c r="F8" s="51"/>
      <c r="G8" s="51"/>
      <c r="H8" s="51"/>
    </row>
    <row r="9" spans="1:11" x14ac:dyDescent="0.2">
      <c r="A9" s="6" t="s">
        <v>236</v>
      </c>
      <c r="B9" s="6" t="s">
        <v>237</v>
      </c>
      <c r="C9" s="6" t="s">
        <v>238</v>
      </c>
      <c r="D9" s="6" t="str">
        <f>"0,7258"</f>
        <v>0,7258</v>
      </c>
      <c r="E9" s="6" t="s">
        <v>65</v>
      </c>
      <c r="F9" s="6" t="s">
        <v>239</v>
      </c>
      <c r="G9" s="7" t="s">
        <v>58</v>
      </c>
      <c r="H9" s="7" t="s">
        <v>701</v>
      </c>
      <c r="I9" s="11" t="str">
        <f>"2295,0"</f>
        <v>2295,0</v>
      </c>
      <c r="J9" s="12" t="str">
        <f>"1665,7109"</f>
        <v>1665,7109</v>
      </c>
      <c r="K9" s="6" t="s">
        <v>31</v>
      </c>
    </row>
    <row r="11" spans="1:11" ht="15" x14ac:dyDescent="0.2">
      <c r="E11" s="9" t="s">
        <v>32</v>
      </c>
    </row>
    <row r="12" spans="1:11" ht="15" x14ac:dyDescent="0.2">
      <c r="E12" s="9" t="s">
        <v>33</v>
      </c>
    </row>
    <row r="13" spans="1:11" ht="15" x14ac:dyDescent="0.2">
      <c r="E13" s="9" t="s">
        <v>34</v>
      </c>
    </row>
    <row r="14" spans="1:11" ht="15" x14ac:dyDescent="0.2">
      <c r="E14" s="9" t="s">
        <v>35</v>
      </c>
    </row>
    <row r="15" spans="1:11" ht="15" x14ac:dyDescent="0.2">
      <c r="E15" s="9" t="s">
        <v>35</v>
      </c>
    </row>
    <row r="16" spans="1:11" ht="15" x14ac:dyDescent="0.2">
      <c r="E16" s="9" t="s">
        <v>36</v>
      </c>
    </row>
    <row r="17" spans="1:5" ht="15" x14ac:dyDescent="0.2">
      <c r="E17" s="9"/>
    </row>
    <row r="19" spans="1:5" ht="18" x14ac:dyDescent="0.25">
      <c r="A19" s="13" t="s">
        <v>37</v>
      </c>
      <c r="B19" s="13"/>
    </row>
    <row r="20" spans="1:5" ht="15" x14ac:dyDescent="0.2">
      <c r="A20" s="14" t="s">
        <v>38</v>
      </c>
      <c r="B20" s="14"/>
    </row>
    <row r="21" spans="1:5" ht="14.25" x14ac:dyDescent="0.2">
      <c r="A21" s="16"/>
      <c r="B21" s="17" t="s">
        <v>39</v>
      </c>
    </row>
    <row r="22" spans="1:5" ht="15" x14ac:dyDescent="0.2">
      <c r="A22" s="18" t="s">
        <v>40</v>
      </c>
      <c r="B22" s="18" t="s">
        <v>41</v>
      </c>
      <c r="C22" s="18" t="s">
        <v>42</v>
      </c>
      <c r="D22" s="18" t="s">
        <v>240</v>
      </c>
      <c r="E22" s="18" t="s">
        <v>690</v>
      </c>
    </row>
    <row r="23" spans="1:5" x14ac:dyDescent="0.2">
      <c r="A23" s="15" t="s">
        <v>317</v>
      </c>
      <c r="B23" s="4" t="s">
        <v>45</v>
      </c>
      <c r="C23" s="4" t="s">
        <v>417</v>
      </c>
      <c r="D23" s="4" t="s">
        <v>702</v>
      </c>
      <c r="E23" s="10" t="s">
        <v>703</v>
      </c>
    </row>
    <row r="25" spans="1:5" ht="14.25" x14ac:dyDescent="0.2">
      <c r="A25" s="16"/>
      <c r="B25" s="17" t="s">
        <v>171</v>
      </c>
    </row>
    <row r="26" spans="1:5" ht="15" x14ac:dyDescent="0.2">
      <c r="A26" s="18" t="s">
        <v>40</v>
      </c>
      <c r="B26" s="18" t="s">
        <v>41</v>
      </c>
      <c r="C26" s="18" t="s">
        <v>42</v>
      </c>
      <c r="D26" s="18" t="s">
        <v>240</v>
      </c>
      <c r="E26" s="18" t="s">
        <v>690</v>
      </c>
    </row>
    <row r="27" spans="1:5" x14ac:dyDescent="0.2">
      <c r="A27" s="15" t="s">
        <v>235</v>
      </c>
      <c r="B27" s="4" t="s">
        <v>244</v>
      </c>
      <c r="C27" s="4" t="s">
        <v>168</v>
      </c>
      <c r="D27" s="4" t="s">
        <v>704</v>
      </c>
      <c r="E27" s="10" t="s">
        <v>705</v>
      </c>
    </row>
  </sheetData>
  <mergeCells count="13">
    <mergeCell ref="A8:H8"/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4.4257812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2" t="s">
        <v>862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681</v>
      </c>
      <c r="E3" s="36" t="s">
        <v>4</v>
      </c>
      <c r="F3" s="36" t="s">
        <v>7</v>
      </c>
      <c r="G3" s="36" t="s">
        <v>682</v>
      </c>
      <c r="H3" s="36"/>
      <c r="I3" s="36" t="s">
        <v>698</v>
      </c>
      <c r="J3" s="36" t="s">
        <v>3</v>
      </c>
      <c r="K3" s="38" t="s">
        <v>2</v>
      </c>
    </row>
    <row r="4" spans="1:11" s="1" customFormat="1" ht="21" customHeight="1" thickBot="1" x14ac:dyDescent="0.25">
      <c r="A4" s="49"/>
      <c r="B4" s="37"/>
      <c r="C4" s="37"/>
      <c r="D4" s="37"/>
      <c r="E4" s="37"/>
      <c r="F4" s="37"/>
      <c r="G4" s="5" t="s">
        <v>8</v>
      </c>
      <c r="H4" s="5" t="s">
        <v>9</v>
      </c>
      <c r="I4" s="37"/>
      <c r="J4" s="37"/>
      <c r="K4" s="39"/>
    </row>
    <row r="5" spans="1:11" ht="15" x14ac:dyDescent="0.2">
      <c r="A5" s="40" t="s">
        <v>256</v>
      </c>
      <c r="B5" s="41"/>
      <c r="C5" s="41"/>
      <c r="D5" s="41"/>
      <c r="E5" s="41"/>
      <c r="F5" s="41"/>
      <c r="G5" s="41"/>
      <c r="H5" s="41"/>
    </row>
    <row r="6" spans="1:11" x14ac:dyDescent="0.2">
      <c r="A6" s="6" t="s">
        <v>306</v>
      </c>
      <c r="B6" s="6" t="s">
        <v>307</v>
      </c>
      <c r="C6" s="6" t="s">
        <v>308</v>
      </c>
      <c r="D6" s="6" t="str">
        <f>"0,9483"</f>
        <v>0,9483</v>
      </c>
      <c r="E6" s="6" t="s">
        <v>94</v>
      </c>
      <c r="F6" s="6" t="s">
        <v>95</v>
      </c>
      <c r="G6" s="7" t="s">
        <v>87</v>
      </c>
      <c r="H6" s="7" t="s">
        <v>656</v>
      </c>
      <c r="I6" s="11" t="str">
        <f>"500,0"</f>
        <v>500,0</v>
      </c>
      <c r="J6" s="12" t="str">
        <f>"474,1500"</f>
        <v>474,1500</v>
      </c>
      <c r="K6" s="6" t="s">
        <v>31</v>
      </c>
    </row>
    <row r="8" spans="1:11" ht="15" x14ac:dyDescent="0.2">
      <c r="A8" s="51" t="s">
        <v>82</v>
      </c>
      <c r="B8" s="51"/>
      <c r="C8" s="51"/>
      <c r="D8" s="51"/>
      <c r="E8" s="51"/>
      <c r="F8" s="51"/>
      <c r="G8" s="51"/>
      <c r="H8" s="51"/>
    </row>
    <row r="9" spans="1:11" x14ac:dyDescent="0.2">
      <c r="A9" s="19" t="s">
        <v>684</v>
      </c>
      <c r="B9" s="19" t="s">
        <v>685</v>
      </c>
      <c r="C9" s="19" t="s">
        <v>686</v>
      </c>
      <c r="D9" s="19" t="str">
        <f>"0,7642"</f>
        <v>0,7642</v>
      </c>
      <c r="E9" s="19" t="s">
        <v>382</v>
      </c>
      <c r="F9" s="19" t="s">
        <v>300</v>
      </c>
      <c r="G9" s="20" t="s">
        <v>687</v>
      </c>
      <c r="H9" s="20" t="s">
        <v>688</v>
      </c>
      <c r="I9" s="28" t="str">
        <f>"2062,5"</f>
        <v>2062,5</v>
      </c>
      <c r="J9" s="29" t="str">
        <f>"1576,1624"</f>
        <v>1576,1624</v>
      </c>
      <c r="K9" s="19" t="s">
        <v>31</v>
      </c>
    </row>
    <row r="10" spans="1:11" x14ac:dyDescent="0.2">
      <c r="A10" s="25" t="s">
        <v>365</v>
      </c>
      <c r="B10" s="25" t="s">
        <v>366</v>
      </c>
      <c r="C10" s="25" t="s">
        <v>367</v>
      </c>
      <c r="D10" s="25" t="str">
        <f>"0,7781"</f>
        <v>0,7781</v>
      </c>
      <c r="E10" s="25" t="s">
        <v>358</v>
      </c>
      <c r="F10" s="25" t="s">
        <v>359</v>
      </c>
      <c r="G10" s="26" t="s">
        <v>687</v>
      </c>
      <c r="H10" s="26" t="s">
        <v>688</v>
      </c>
      <c r="I10" s="32" t="str">
        <f>"2062,5"</f>
        <v>2062,5</v>
      </c>
      <c r="J10" s="33" t="str">
        <f>"1604,8313"</f>
        <v>1604,8313</v>
      </c>
      <c r="K10" s="25" t="s">
        <v>31</v>
      </c>
    </row>
    <row r="12" spans="1:11" ht="15" x14ac:dyDescent="0.2">
      <c r="A12" s="51" t="s">
        <v>118</v>
      </c>
      <c r="B12" s="51"/>
      <c r="C12" s="51"/>
      <c r="D12" s="51"/>
      <c r="E12" s="51"/>
      <c r="F12" s="51"/>
      <c r="G12" s="51"/>
      <c r="H12" s="51"/>
    </row>
    <row r="13" spans="1:11" x14ac:dyDescent="0.2">
      <c r="A13" s="6" t="s">
        <v>379</v>
      </c>
      <c r="B13" s="6" t="s">
        <v>380</v>
      </c>
      <c r="C13" s="6" t="s">
        <v>381</v>
      </c>
      <c r="D13" s="6" t="str">
        <f>"0,7101"</f>
        <v>0,7101</v>
      </c>
      <c r="E13" s="6" t="s">
        <v>382</v>
      </c>
      <c r="F13" s="6" t="s">
        <v>300</v>
      </c>
      <c r="G13" s="7" t="s">
        <v>30</v>
      </c>
      <c r="H13" s="7" t="s">
        <v>689</v>
      </c>
      <c r="I13" s="11" t="str">
        <f>"3040,0"</f>
        <v>3040,0</v>
      </c>
      <c r="J13" s="12" t="str">
        <f>"2158,7040"</f>
        <v>2158,7040</v>
      </c>
      <c r="K13" s="6" t="s">
        <v>31</v>
      </c>
    </row>
    <row r="15" spans="1:11" ht="15" x14ac:dyDescent="0.2">
      <c r="E15" s="9" t="s">
        <v>32</v>
      </c>
    </row>
    <row r="16" spans="1:11" ht="15" x14ac:dyDescent="0.2">
      <c r="E16" s="9" t="s">
        <v>33</v>
      </c>
    </row>
    <row r="17" spans="1:5" ht="15" x14ac:dyDescent="0.2">
      <c r="E17" s="9" t="s">
        <v>34</v>
      </c>
    </row>
    <row r="18" spans="1:5" ht="15" x14ac:dyDescent="0.2">
      <c r="E18" s="9" t="s">
        <v>35</v>
      </c>
    </row>
    <row r="19" spans="1:5" ht="15" x14ac:dyDescent="0.2">
      <c r="E19" s="9" t="s">
        <v>35</v>
      </c>
    </row>
    <row r="20" spans="1:5" ht="15" x14ac:dyDescent="0.2">
      <c r="E20" s="9" t="s">
        <v>36</v>
      </c>
    </row>
    <row r="21" spans="1:5" ht="15" x14ac:dyDescent="0.2">
      <c r="E21" s="9"/>
    </row>
    <row r="23" spans="1:5" ht="18" x14ac:dyDescent="0.25">
      <c r="A23" s="13" t="s">
        <v>37</v>
      </c>
      <c r="B23" s="13"/>
    </row>
    <row r="24" spans="1:5" ht="15" x14ac:dyDescent="0.2">
      <c r="A24" s="14" t="s">
        <v>144</v>
      </c>
      <c r="B24" s="14"/>
    </row>
    <row r="25" spans="1:5" ht="14.25" x14ac:dyDescent="0.2">
      <c r="A25" s="16"/>
      <c r="B25" s="17" t="s">
        <v>149</v>
      </c>
    </row>
    <row r="26" spans="1:5" ht="15" x14ac:dyDescent="0.2">
      <c r="A26" s="18" t="s">
        <v>40</v>
      </c>
      <c r="B26" s="18" t="s">
        <v>41</v>
      </c>
      <c r="C26" s="18" t="s">
        <v>42</v>
      </c>
      <c r="D26" s="18" t="s">
        <v>240</v>
      </c>
      <c r="E26" s="18" t="s">
        <v>690</v>
      </c>
    </row>
    <row r="27" spans="1:5" x14ac:dyDescent="0.2">
      <c r="A27" s="15" t="s">
        <v>305</v>
      </c>
      <c r="B27" s="4" t="s">
        <v>149</v>
      </c>
      <c r="C27" s="4" t="s">
        <v>273</v>
      </c>
      <c r="D27" s="4" t="s">
        <v>691</v>
      </c>
      <c r="E27" s="10" t="s">
        <v>692</v>
      </c>
    </row>
    <row r="30" spans="1:5" ht="15" x14ac:dyDescent="0.2">
      <c r="A30" s="14" t="s">
        <v>38</v>
      </c>
      <c r="B30" s="14"/>
    </row>
    <row r="31" spans="1:5" ht="14.25" x14ac:dyDescent="0.2">
      <c r="A31" s="16"/>
      <c r="B31" s="17" t="s">
        <v>149</v>
      </c>
    </row>
    <row r="32" spans="1:5" ht="15" x14ac:dyDescent="0.2">
      <c r="A32" s="18" t="s">
        <v>40</v>
      </c>
      <c r="B32" s="18" t="s">
        <v>41</v>
      </c>
      <c r="C32" s="18" t="s">
        <v>42</v>
      </c>
      <c r="D32" s="18" t="s">
        <v>240</v>
      </c>
      <c r="E32" s="18" t="s">
        <v>690</v>
      </c>
    </row>
    <row r="33" spans="1:5" x14ac:dyDescent="0.2">
      <c r="A33" s="15" t="s">
        <v>378</v>
      </c>
      <c r="B33" s="4" t="s">
        <v>149</v>
      </c>
      <c r="C33" s="4" t="s">
        <v>154</v>
      </c>
      <c r="D33" s="4" t="s">
        <v>693</v>
      </c>
      <c r="E33" s="10" t="s">
        <v>694</v>
      </c>
    </row>
    <row r="34" spans="1:5" x14ac:dyDescent="0.2">
      <c r="A34" s="15" t="s">
        <v>683</v>
      </c>
      <c r="B34" s="4" t="s">
        <v>149</v>
      </c>
      <c r="C34" s="4" t="s">
        <v>158</v>
      </c>
      <c r="D34" s="4" t="s">
        <v>695</v>
      </c>
      <c r="E34" s="10" t="s">
        <v>696</v>
      </c>
    </row>
    <row r="36" spans="1:5" ht="14.25" x14ac:dyDescent="0.2">
      <c r="A36" s="16"/>
      <c r="B36" s="17" t="s">
        <v>171</v>
      </c>
    </row>
    <row r="37" spans="1:5" ht="15" x14ac:dyDescent="0.2">
      <c r="A37" s="18" t="s">
        <v>40</v>
      </c>
      <c r="B37" s="18" t="s">
        <v>41</v>
      </c>
      <c r="C37" s="18" t="s">
        <v>42</v>
      </c>
      <c r="D37" s="18" t="s">
        <v>240</v>
      </c>
      <c r="E37" s="18" t="s">
        <v>690</v>
      </c>
    </row>
    <row r="38" spans="1:5" x14ac:dyDescent="0.2">
      <c r="A38" s="15" t="s">
        <v>364</v>
      </c>
      <c r="B38" s="4" t="s">
        <v>277</v>
      </c>
      <c r="C38" s="4" t="s">
        <v>158</v>
      </c>
      <c r="D38" s="4" t="s">
        <v>695</v>
      </c>
      <c r="E38" s="10" t="s">
        <v>697</v>
      </c>
    </row>
  </sheetData>
  <mergeCells count="14">
    <mergeCell ref="A8:H8"/>
    <mergeCell ref="A12:H12"/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sqref="A1:N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4.140625" style="4" bestFit="1" customWidth="1"/>
    <col min="7" max="9" width="5.5703125" style="3" customWidth="1"/>
    <col min="10" max="10" width="4.85546875" style="3" customWidth="1"/>
    <col min="11" max="11" width="5" style="3" customWidth="1"/>
    <col min="12" max="12" width="10.42578125" style="3" customWidth="1"/>
    <col min="13" max="13" width="7.85546875" style="10" bestFit="1" customWidth="1"/>
    <col min="14" max="14" width="8.85546875" style="4" bestFit="1" customWidth="1"/>
    <col min="15" max="16384" width="9.140625" style="3"/>
  </cols>
  <sheetData>
    <row r="1" spans="1:14" s="2" customFormat="1" ht="29.1" customHeight="1" x14ac:dyDescent="0.2">
      <c r="A1" s="42" t="s">
        <v>861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4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</row>
    <row r="3" spans="1:14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670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654</v>
      </c>
      <c r="L3" s="36"/>
      <c r="M3" s="36" t="s">
        <v>1</v>
      </c>
      <c r="N3" s="38" t="s">
        <v>2</v>
      </c>
    </row>
    <row r="4" spans="1:14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 t="s">
        <v>8</v>
      </c>
      <c r="L4" s="5" t="s">
        <v>9</v>
      </c>
      <c r="M4" s="37"/>
      <c r="N4" s="39"/>
    </row>
    <row r="5" spans="1:14" ht="15" x14ac:dyDescent="0.2">
      <c r="A5" s="40" t="s">
        <v>106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4" x14ac:dyDescent="0.2">
      <c r="A6" s="6" t="s">
        <v>674</v>
      </c>
      <c r="B6" s="6" t="s">
        <v>675</v>
      </c>
      <c r="C6" s="6" t="s">
        <v>676</v>
      </c>
      <c r="D6" s="6" t="str">
        <f>"0,5893"</f>
        <v>0,5893</v>
      </c>
      <c r="E6" s="6" t="s">
        <v>53</v>
      </c>
      <c r="F6" s="6" t="s">
        <v>677</v>
      </c>
      <c r="G6" s="7" t="s">
        <v>112</v>
      </c>
      <c r="H6" s="7" t="s">
        <v>103</v>
      </c>
      <c r="I6" s="7" t="s">
        <v>104</v>
      </c>
      <c r="J6" s="8"/>
      <c r="K6" s="7" t="s">
        <v>29</v>
      </c>
      <c r="L6" s="7" t="s">
        <v>678</v>
      </c>
      <c r="M6" s="11" t="s">
        <v>840</v>
      </c>
      <c r="N6" s="6" t="s">
        <v>31</v>
      </c>
    </row>
    <row r="8" spans="1:14" ht="15" x14ac:dyDescent="0.2">
      <c r="E8" s="9" t="s">
        <v>32</v>
      </c>
    </row>
    <row r="9" spans="1:14" ht="15" x14ac:dyDescent="0.2">
      <c r="E9" s="9" t="s">
        <v>33</v>
      </c>
    </row>
    <row r="10" spans="1:14" ht="15" x14ac:dyDescent="0.2">
      <c r="E10" s="9" t="s">
        <v>34</v>
      </c>
    </row>
    <row r="11" spans="1:14" ht="15" x14ac:dyDescent="0.2">
      <c r="E11" s="9" t="s">
        <v>35</v>
      </c>
    </row>
    <row r="12" spans="1:14" ht="15" x14ac:dyDescent="0.2">
      <c r="E12" s="9" t="s">
        <v>35</v>
      </c>
    </row>
    <row r="13" spans="1:14" ht="15" x14ac:dyDescent="0.2">
      <c r="E13" s="9" t="s">
        <v>36</v>
      </c>
    </row>
    <row r="14" spans="1:14" ht="15" x14ac:dyDescent="0.2">
      <c r="E14" s="9"/>
    </row>
    <row r="16" spans="1:14" ht="18" x14ac:dyDescent="0.25">
      <c r="A16" s="13" t="s">
        <v>37</v>
      </c>
      <c r="B16" s="13"/>
    </row>
    <row r="17" spans="1:5" ht="15" x14ac:dyDescent="0.2">
      <c r="A17" s="14" t="s">
        <v>38</v>
      </c>
      <c r="B17" s="14"/>
    </row>
    <row r="18" spans="1:5" ht="14.25" x14ac:dyDescent="0.2">
      <c r="A18" s="16"/>
      <c r="B18" s="17" t="s">
        <v>149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43</v>
      </c>
      <c r="E19" s="18" t="s">
        <v>666</v>
      </c>
    </row>
    <row r="20" spans="1:5" x14ac:dyDescent="0.2">
      <c r="A20" s="15" t="s">
        <v>673</v>
      </c>
      <c r="B20" s="4" t="s">
        <v>149</v>
      </c>
      <c r="C20" s="4" t="s">
        <v>168</v>
      </c>
      <c r="D20" s="4" t="s">
        <v>679</v>
      </c>
      <c r="E20" s="10" t="s">
        <v>680</v>
      </c>
    </row>
  </sheetData>
  <mergeCells count="12">
    <mergeCell ref="K3:L3"/>
    <mergeCell ref="M3:M4"/>
    <mergeCell ref="N3:N4"/>
    <mergeCell ref="A5:L5"/>
    <mergeCell ref="A1:N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sqref="A1:Q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2.140625" style="4" bestFit="1" customWidth="1"/>
    <col min="7" max="9" width="5.5703125" style="3" customWidth="1"/>
    <col min="10" max="10" width="4.85546875" style="3" customWidth="1"/>
    <col min="11" max="12" width="5.5703125" style="3" customWidth="1"/>
    <col min="13" max="13" width="2.140625" style="3" customWidth="1"/>
    <col min="14" max="14" width="4.85546875" style="3" customWidth="1"/>
    <col min="15" max="15" width="7.85546875" style="10" bestFit="1" customWidth="1"/>
    <col min="16" max="16" width="8.5703125" style="2" bestFit="1" customWidth="1"/>
    <col min="17" max="17" width="8.85546875" style="4" bestFit="1" customWidth="1"/>
    <col min="18" max="16384" width="9.140625" style="3"/>
  </cols>
  <sheetData>
    <row r="1" spans="1:17" s="2" customFormat="1" ht="29.1" customHeight="1" x14ac:dyDescent="0.2">
      <c r="A1" s="42" t="s">
        <v>860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17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7"/>
    </row>
    <row r="3" spans="1:17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14</v>
      </c>
      <c r="L3" s="36"/>
      <c r="M3" s="36"/>
      <c r="N3" s="36"/>
      <c r="O3" s="36" t="s">
        <v>1</v>
      </c>
      <c r="P3" s="36" t="s">
        <v>3</v>
      </c>
      <c r="Q3" s="38" t="s">
        <v>2</v>
      </c>
    </row>
    <row r="4" spans="1:17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37"/>
      <c r="P4" s="37"/>
      <c r="Q4" s="39"/>
    </row>
    <row r="5" spans="1:17" ht="15" x14ac:dyDescent="0.2">
      <c r="A5" s="40" t="s">
        <v>137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7" x14ac:dyDescent="0.2">
      <c r="A6" s="6" t="s">
        <v>620</v>
      </c>
      <c r="B6" s="6" t="s">
        <v>469</v>
      </c>
      <c r="C6" s="6" t="s">
        <v>470</v>
      </c>
      <c r="D6" s="6" t="str">
        <f>"0,5398"</f>
        <v>0,5398</v>
      </c>
      <c r="E6" s="6" t="s">
        <v>94</v>
      </c>
      <c r="F6" s="6" t="s">
        <v>471</v>
      </c>
      <c r="G6" s="7" t="s">
        <v>188</v>
      </c>
      <c r="H6" s="7" t="s">
        <v>194</v>
      </c>
      <c r="I6" s="8" t="s">
        <v>472</v>
      </c>
      <c r="J6" s="8"/>
      <c r="K6" s="7" t="s">
        <v>621</v>
      </c>
      <c r="L6" s="8" t="s">
        <v>533</v>
      </c>
      <c r="M6" s="8"/>
      <c r="N6" s="8"/>
      <c r="O6" s="11" t="str">
        <f>"485,0"</f>
        <v>485,0</v>
      </c>
      <c r="P6" s="12" t="str">
        <f>"261,8030"</f>
        <v>261,8030</v>
      </c>
      <c r="Q6" s="6" t="s">
        <v>31</v>
      </c>
    </row>
    <row r="8" spans="1:17" ht="15" x14ac:dyDescent="0.2">
      <c r="E8" s="9" t="s">
        <v>32</v>
      </c>
    </row>
    <row r="9" spans="1:17" ht="15" x14ac:dyDescent="0.2">
      <c r="E9" s="9" t="s">
        <v>33</v>
      </c>
    </row>
    <row r="10" spans="1:17" ht="15" x14ac:dyDescent="0.2">
      <c r="E10" s="9" t="s">
        <v>34</v>
      </c>
    </row>
    <row r="11" spans="1:17" ht="15" x14ac:dyDescent="0.2">
      <c r="E11" s="9" t="s">
        <v>35</v>
      </c>
    </row>
    <row r="12" spans="1:17" ht="15" x14ac:dyDescent="0.2">
      <c r="E12" s="9" t="s">
        <v>35</v>
      </c>
    </row>
    <row r="13" spans="1:17" ht="15" x14ac:dyDescent="0.2">
      <c r="E13" s="9" t="s">
        <v>36</v>
      </c>
    </row>
    <row r="14" spans="1:17" ht="15" x14ac:dyDescent="0.2">
      <c r="E14" s="9"/>
    </row>
    <row r="16" spans="1:17" ht="18" x14ac:dyDescent="0.25">
      <c r="A16" s="13" t="s">
        <v>37</v>
      </c>
      <c r="B16" s="13"/>
    </row>
    <row r="17" spans="1:5" ht="15" x14ac:dyDescent="0.2">
      <c r="A17" s="14" t="s">
        <v>38</v>
      </c>
      <c r="B17" s="14"/>
    </row>
    <row r="18" spans="1:5" ht="14.25" x14ac:dyDescent="0.2">
      <c r="A18" s="16"/>
      <c r="B18" s="17" t="s">
        <v>149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43</v>
      </c>
      <c r="E19" s="18" t="s">
        <v>44</v>
      </c>
    </row>
    <row r="20" spans="1:5" x14ac:dyDescent="0.2">
      <c r="A20" s="15" t="s">
        <v>467</v>
      </c>
      <c r="B20" s="4" t="s">
        <v>149</v>
      </c>
      <c r="C20" s="4" t="s">
        <v>165</v>
      </c>
      <c r="D20" s="4" t="s">
        <v>671</v>
      </c>
      <c r="E20" s="10" t="s">
        <v>672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N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0" style="4" bestFit="1" customWidth="1"/>
    <col min="7" max="9" width="5.5703125" style="3" customWidth="1"/>
    <col min="10" max="10" width="4.85546875" style="3" customWidth="1"/>
    <col min="11" max="11" width="5" style="3" customWidth="1"/>
    <col min="12" max="12" width="10.42578125" style="3" customWidth="1"/>
    <col min="13" max="13" width="7.85546875" style="10" bestFit="1" customWidth="1"/>
    <col min="14" max="14" width="8.85546875" style="4" bestFit="1" customWidth="1"/>
    <col min="15" max="16384" width="9.140625" style="3"/>
  </cols>
  <sheetData>
    <row r="1" spans="1:14" s="2" customFormat="1" ht="29.1" customHeight="1" x14ac:dyDescent="0.2">
      <c r="A1" s="42" t="s">
        <v>859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4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</row>
    <row r="3" spans="1:14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670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654</v>
      </c>
      <c r="L3" s="36"/>
      <c r="M3" s="36" t="s">
        <v>1</v>
      </c>
      <c r="N3" s="38" t="s">
        <v>2</v>
      </c>
    </row>
    <row r="4" spans="1:14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 t="s">
        <v>8</v>
      </c>
      <c r="L4" s="5" t="s">
        <v>9</v>
      </c>
      <c r="M4" s="37"/>
      <c r="N4" s="39"/>
    </row>
    <row r="5" spans="1:14" ht="15" x14ac:dyDescent="0.2">
      <c r="A5" s="40" t="s">
        <v>256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4" x14ac:dyDescent="0.2">
      <c r="A6" s="6" t="s">
        <v>306</v>
      </c>
      <c r="B6" s="6" t="s">
        <v>307</v>
      </c>
      <c r="C6" s="6" t="s">
        <v>308</v>
      </c>
      <c r="D6" s="6" t="str">
        <f>"0,8503"</f>
        <v>0,8503</v>
      </c>
      <c r="E6" s="6" t="s">
        <v>94</v>
      </c>
      <c r="F6" s="6" t="s">
        <v>95</v>
      </c>
      <c r="G6" s="7" t="s">
        <v>22</v>
      </c>
      <c r="H6" s="7" t="s">
        <v>23</v>
      </c>
      <c r="I6" s="8" t="s">
        <v>24</v>
      </c>
      <c r="J6" s="8"/>
      <c r="K6" s="7" t="s">
        <v>655</v>
      </c>
      <c r="L6" s="7" t="s">
        <v>656</v>
      </c>
      <c r="M6" s="11" t="s">
        <v>841</v>
      </c>
      <c r="N6" s="6" t="s">
        <v>31</v>
      </c>
    </row>
    <row r="8" spans="1:14" ht="15" x14ac:dyDescent="0.2">
      <c r="A8" s="51" t="s">
        <v>219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4" x14ac:dyDescent="0.2">
      <c r="A9" s="6" t="s">
        <v>658</v>
      </c>
      <c r="B9" s="6" t="s">
        <v>659</v>
      </c>
      <c r="C9" s="6" t="s">
        <v>660</v>
      </c>
      <c r="D9" s="6" t="str">
        <f>"0,6923"</f>
        <v>0,6923</v>
      </c>
      <c r="E9" s="6" t="s">
        <v>661</v>
      </c>
      <c r="F9" s="6" t="s">
        <v>662</v>
      </c>
      <c r="G9" s="7" t="s">
        <v>97</v>
      </c>
      <c r="H9" s="7" t="s">
        <v>70</v>
      </c>
      <c r="I9" s="7" t="s">
        <v>113</v>
      </c>
      <c r="J9" s="8"/>
      <c r="K9" s="7" t="s">
        <v>663</v>
      </c>
      <c r="L9" s="7" t="s">
        <v>664</v>
      </c>
      <c r="M9" s="11" t="s">
        <v>842</v>
      </c>
      <c r="N9" s="6" t="s">
        <v>31</v>
      </c>
    </row>
    <row r="11" spans="1:14" ht="15" x14ac:dyDescent="0.2">
      <c r="A11" s="51" t="s">
        <v>106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1:14" x14ac:dyDescent="0.2">
      <c r="A12" s="6" t="s">
        <v>236</v>
      </c>
      <c r="B12" s="6" t="s">
        <v>237</v>
      </c>
      <c r="C12" s="6" t="s">
        <v>238</v>
      </c>
      <c r="D12" s="6" t="str">
        <f>"0,5914"</f>
        <v>0,5914</v>
      </c>
      <c r="E12" s="6" t="s">
        <v>65</v>
      </c>
      <c r="F12" s="6" t="s">
        <v>239</v>
      </c>
      <c r="G12" s="7" t="s">
        <v>68</v>
      </c>
      <c r="H12" s="7" t="s">
        <v>97</v>
      </c>
      <c r="I12" s="7" t="s">
        <v>70</v>
      </c>
      <c r="J12" s="8"/>
      <c r="K12" s="7" t="s">
        <v>29</v>
      </c>
      <c r="L12" s="7" t="s">
        <v>665</v>
      </c>
      <c r="M12" s="11" t="s">
        <v>843</v>
      </c>
      <c r="N12" s="6" t="s">
        <v>31</v>
      </c>
    </row>
    <row r="14" spans="1:14" ht="15" x14ac:dyDescent="0.2">
      <c r="E14" s="9" t="s">
        <v>32</v>
      </c>
    </row>
    <row r="15" spans="1:14" ht="15" x14ac:dyDescent="0.2">
      <c r="E15" s="9" t="s">
        <v>33</v>
      </c>
    </row>
    <row r="16" spans="1:14" ht="15" x14ac:dyDescent="0.2">
      <c r="E16" s="9" t="s">
        <v>34</v>
      </c>
    </row>
    <row r="17" spans="1:5" ht="15" x14ac:dyDescent="0.2">
      <c r="E17" s="9" t="s">
        <v>35</v>
      </c>
    </row>
    <row r="18" spans="1:5" ht="15" x14ac:dyDescent="0.2">
      <c r="E18" s="9" t="s">
        <v>35</v>
      </c>
    </row>
    <row r="19" spans="1:5" ht="15" x14ac:dyDescent="0.2">
      <c r="E19" s="9" t="s">
        <v>36</v>
      </c>
    </row>
    <row r="20" spans="1:5" ht="15" x14ac:dyDescent="0.2">
      <c r="E20" s="9"/>
    </row>
    <row r="22" spans="1:5" ht="18" x14ac:dyDescent="0.25">
      <c r="A22" s="13" t="s">
        <v>37</v>
      </c>
      <c r="B22" s="13"/>
    </row>
    <row r="23" spans="1:5" ht="15" x14ac:dyDescent="0.2">
      <c r="A23" s="14" t="s">
        <v>144</v>
      </c>
      <c r="B23" s="14"/>
    </row>
    <row r="24" spans="1:5" ht="14.25" x14ac:dyDescent="0.2">
      <c r="A24" s="16"/>
      <c r="B24" s="17" t="s">
        <v>149</v>
      </c>
    </row>
    <row r="25" spans="1:5" ht="15" x14ac:dyDescent="0.2">
      <c r="A25" s="18" t="s">
        <v>40</v>
      </c>
      <c r="B25" s="18" t="s">
        <v>41</v>
      </c>
      <c r="C25" s="18" t="s">
        <v>42</v>
      </c>
      <c r="D25" s="18" t="s">
        <v>43</v>
      </c>
      <c r="E25" s="18" t="s">
        <v>666</v>
      </c>
    </row>
    <row r="26" spans="1:5" x14ac:dyDescent="0.2">
      <c r="A26" s="15" t="s">
        <v>305</v>
      </c>
      <c r="B26" s="4" t="s">
        <v>149</v>
      </c>
      <c r="C26" s="4" t="s">
        <v>273</v>
      </c>
      <c r="D26" s="4" t="s">
        <v>28</v>
      </c>
      <c r="E26" s="10" t="s">
        <v>667</v>
      </c>
    </row>
    <row r="29" spans="1:5" ht="15" x14ac:dyDescent="0.2">
      <c r="A29" s="14" t="s">
        <v>38</v>
      </c>
      <c r="B29" s="14"/>
    </row>
    <row r="30" spans="1:5" ht="14.25" x14ac:dyDescent="0.2">
      <c r="A30" s="16"/>
      <c r="B30" s="17" t="s">
        <v>171</v>
      </c>
    </row>
    <row r="31" spans="1:5" ht="15" x14ac:dyDescent="0.2">
      <c r="A31" s="18" t="s">
        <v>40</v>
      </c>
      <c r="B31" s="18" t="s">
        <v>41</v>
      </c>
      <c r="C31" s="18" t="s">
        <v>42</v>
      </c>
      <c r="D31" s="18" t="s">
        <v>43</v>
      </c>
      <c r="E31" s="18" t="s">
        <v>666</v>
      </c>
    </row>
    <row r="32" spans="1:5" x14ac:dyDescent="0.2">
      <c r="A32" s="15" t="s">
        <v>657</v>
      </c>
      <c r="B32" s="4" t="s">
        <v>246</v>
      </c>
      <c r="C32" s="4" t="s">
        <v>241</v>
      </c>
      <c r="D32" s="4" t="s">
        <v>115</v>
      </c>
      <c r="E32" s="10" t="s">
        <v>668</v>
      </c>
    </row>
    <row r="33" spans="1:5" x14ac:dyDescent="0.2">
      <c r="A33" s="15" t="s">
        <v>235</v>
      </c>
      <c r="B33" s="4" t="s">
        <v>244</v>
      </c>
      <c r="C33" s="4" t="s">
        <v>168</v>
      </c>
      <c r="D33" s="4" t="s">
        <v>142</v>
      </c>
      <c r="E33" s="10" t="s">
        <v>669</v>
      </c>
    </row>
  </sheetData>
  <mergeCells count="14">
    <mergeCell ref="A8:L8"/>
    <mergeCell ref="A11:L11"/>
    <mergeCell ref="K3:L3"/>
    <mergeCell ref="M3:M4"/>
    <mergeCell ref="N3:N4"/>
    <mergeCell ref="A5:L5"/>
    <mergeCell ref="A1:N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sqref="A1:Q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4.42578125" style="4" bestFit="1" customWidth="1"/>
    <col min="7" max="9" width="4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5" width="7.85546875" style="10" bestFit="1" customWidth="1"/>
    <col min="16" max="16" width="7.5703125" style="2" bestFit="1" customWidth="1"/>
    <col min="17" max="17" width="8.85546875" style="4" bestFit="1" customWidth="1"/>
    <col min="18" max="16384" width="9.140625" style="3"/>
  </cols>
  <sheetData>
    <row r="1" spans="1:17" s="2" customFormat="1" ht="29.1" customHeight="1" x14ac:dyDescent="0.2">
      <c r="A1" s="42" t="s">
        <v>876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17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7"/>
    </row>
    <row r="3" spans="1:17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760</v>
      </c>
      <c r="H3" s="36"/>
      <c r="I3" s="36"/>
      <c r="J3" s="36"/>
      <c r="K3" s="36" t="s">
        <v>766</v>
      </c>
      <c r="L3" s="36"/>
      <c r="M3" s="36"/>
      <c r="N3" s="36"/>
      <c r="O3" s="36" t="s">
        <v>1</v>
      </c>
      <c r="P3" s="36" t="s">
        <v>3</v>
      </c>
      <c r="Q3" s="38" t="s">
        <v>2</v>
      </c>
    </row>
    <row r="4" spans="1:17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37"/>
      <c r="P4" s="37"/>
      <c r="Q4" s="39"/>
    </row>
    <row r="5" spans="1:17" ht="15" x14ac:dyDescent="0.2">
      <c r="A5" s="40" t="s">
        <v>219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7" x14ac:dyDescent="0.2">
      <c r="A6" s="6" t="s">
        <v>221</v>
      </c>
      <c r="B6" s="6" t="s">
        <v>222</v>
      </c>
      <c r="C6" s="6" t="s">
        <v>223</v>
      </c>
      <c r="D6" s="6" t="str">
        <f>"0,6645"</f>
        <v>0,6645</v>
      </c>
      <c r="E6" s="6" t="s">
        <v>181</v>
      </c>
      <c r="F6" s="6" t="s">
        <v>21</v>
      </c>
      <c r="G6" s="7" t="s">
        <v>81</v>
      </c>
      <c r="H6" s="7" t="s">
        <v>124</v>
      </c>
      <c r="I6" s="7" t="s">
        <v>23</v>
      </c>
      <c r="J6" s="8"/>
      <c r="K6" s="7" t="s">
        <v>88</v>
      </c>
      <c r="L6" s="8" t="s">
        <v>22</v>
      </c>
      <c r="M6" s="8" t="s">
        <v>22</v>
      </c>
      <c r="N6" s="8"/>
      <c r="O6" s="11" t="str">
        <f>"140,0"</f>
        <v>140,0</v>
      </c>
      <c r="P6" s="12" t="str">
        <f>"93,0300"</f>
        <v>93,0300</v>
      </c>
      <c r="Q6" s="6" t="s">
        <v>31</v>
      </c>
    </row>
    <row r="8" spans="1:17" ht="15" x14ac:dyDescent="0.2">
      <c r="A8" s="51" t="s">
        <v>82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7" x14ac:dyDescent="0.2">
      <c r="A9" s="19" t="s">
        <v>684</v>
      </c>
      <c r="B9" s="19" t="s">
        <v>685</v>
      </c>
      <c r="C9" s="19" t="s">
        <v>686</v>
      </c>
      <c r="D9" s="19" t="str">
        <f>"0,6238"</f>
        <v>0,6238</v>
      </c>
      <c r="E9" s="19" t="s">
        <v>382</v>
      </c>
      <c r="F9" s="19" t="s">
        <v>300</v>
      </c>
      <c r="G9" s="20" t="s">
        <v>88</v>
      </c>
      <c r="H9" s="20" t="s">
        <v>22</v>
      </c>
      <c r="I9" s="21"/>
      <c r="J9" s="21"/>
      <c r="K9" s="20" t="s">
        <v>294</v>
      </c>
      <c r="L9" s="20" t="s">
        <v>81</v>
      </c>
      <c r="M9" s="20" t="s">
        <v>87</v>
      </c>
      <c r="N9" s="21"/>
      <c r="O9" s="28" t="str">
        <f>"132,5"</f>
        <v>132,5</v>
      </c>
      <c r="P9" s="29" t="str">
        <f>"82,6535"</f>
        <v>82,6535</v>
      </c>
      <c r="Q9" s="19" t="s">
        <v>31</v>
      </c>
    </row>
    <row r="10" spans="1:17" x14ac:dyDescent="0.2">
      <c r="A10" s="25" t="s">
        <v>830</v>
      </c>
      <c r="B10" s="25" t="s">
        <v>782</v>
      </c>
      <c r="C10" s="25" t="s">
        <v>783</v>
      </c>
      <c r="D10" s="25" t="str">
        <f>"0,6415"</f>
        <v>0,6415</v>
      </c>
      <c r="E10" s="25" t="s">
        <v>181</v>
      </c>
      <c r="F10" s="25" t="s">
        <v>21</v>
      </c>
      <c r="G10" s="26" t="s">
        <v>294</v>
      </c>
      <c r="H10" s="27" t="s">
        <v>81</v>
      </c>
      <c r="I10" s="27" t="s">
        <v>81</v>
      </c>
      <c r="J10" s="27"/>
      <c r="K10" s="26" t="s">
        <v>87</v>
      </c>
      <c r="L10" s="27" t="s">
        <v>88</v>
      </c>
      <c r="M10" s="27" t="s">
        <v>88</v>
      </c>
      <c r="N10" s="27"/>
      <c r="O10" s="32" t="str">
        <f>"120,0"</f>
        <v>120,0</v>
      </c>
      <c r="P10" s="33" t="str">
        <f>"76,9800"</f>
        <v>76,9800</v>
      </c>
      <c r="Q10" s="25" t="s">
        <v>31</v>
      </c>
    </row>
    <row r="12" spans="1:17" ht="15" x14ac:dyDescent="0.2">
      <c r="E12" s="9" t="s">
        <v>32</v>
      </c>
    </row>
    <row r="13" spans="1:17" ht="15" x14ac:dyDescent="0.2">
      <c r="E13" s="9" t="s">
        <v>33</v>
      </c>
    </row>
    <row r="14" spans="1:17" ht="15" x14ac:dyDescent="0.2">
      <c r="E14" s="9" t="s">
        <v>34</v>
      </c>
    </row>
    <row r="15" spans="1:17" ht="15" x14ac:dyDescent="0.2">
      <c r="E15" s="9" t="s">
        <v>35</v>
      </c>
    </row>
    <row r="16" spans="1:17" ht="15" x14ac:dyDescent="0.2">
      <c r="E16" s="9" t="s">
        <v>35</v>
      </c>
    </row>
    <row r="17" spans="1:5" ht="15" x14ac:dyDescent="0.2">
      <c r="E17" s="9" t="s">
        <v>36</v>
      </c>
    </row>
    <row r="18" spans="1:5" ht="15" x14ac:dyDescent="0.2">
      <c r="E18" s="9"/>
    </row>
    <row r="20" spans="1:5" ht="18" x14ac:dyDescent="0.25">
      <c r="A20" s="13" t="s">
        <v>37</v>
      </c>
      <c r="B20" s="13"/>
    </row>
    <row r="21" spans="1:5" ht="15" x14ac:dyDescent="0.2">
      <c r="A21" s="14" t="s">
        <v>38</v>
      </c>
      <c r="B21" s="14"/>
    </row>
    <row r="22" spans="1:5" ht="14.25" x14ac:dyDescent="0.2">
      <c r="A22" s="16"/>
      <c r="B22" s="17" t="s">
        <v>149</v>
      </c>
    </row>
    <row r="23" spans="1:5" ht="15" x14ac:dyDescent="0.2">
      <c r="A23" s="18" t="s">
        <v>40</v>
      </c>
      <c r="B23" s="18" t="s">
        <v>41</v>
      </c>
      <c r="C23" s="18" t="s">
        <v>42</v>
      </c>
      <c r="D23" s="18" t="s">
        <v>43</v>
      </c>
      <c r="E23" s="18" t="s">
        <v>44</v>
      </c>
    </row>
    <row r="24" spans="1:5" x14ac:dyDescent="0.2">
      <c r="A24" s="15" t="s">
        <v>220</v>
      </c>
      <c r="B24" s="4" t="s">
        <v>149</v>
      </c>
      <c r="C24" s="4" t="s">
        <v>241</v>
      </c>
      <c r="D24" s="4" t="s">
        <v>204</v>
      </c>
      <c r="E24" s="10" t="s">
        <v>831</v>
      </c>
    </row>
    <row r="25" spans="1:5" x14ac:dyDescent="0.2">
      <c r="A25" s="15" t="s">
        <v>683</v>
      </c>
      <c r="B25" s="4" t="s">
        <v>149</v>
      </c>
      <c r="C25" s="4" t="s">
        <v>158</v>
      </c>
      <c r="D25" s="4" t="s">
        <v>142</v>
      </c>
      <c r="E25" s="10" t="s">
        <v>832</v>
      </c>
    </row>
    <row r="26" spans="1:5" x14ac:dyDescent="0.2">
      <c r="A26" s="15" t="s">
        <v>780</v>
      </c>
      <c r="B26" s="4" t="s">
        <v>149</v>
      </c>
      <c r="C26" s="4" t="s">
        <v>158</v>
      </c>
      <c r="D26" s="4" t="s">
        <v>70</v>
      </c>
      <c r="E26" s="10" t="s">
        <v>833</v>
      </c>
    </row>
  </sheetData>
  <mergeCells count="14">
    <mergeCell ref="A8:N8"/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Q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4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10" bestFit="1" customWidth="1"/>
    <col min="16" max="16" width="8.5703125" style="2" bestFit="1" customWidth="1"/>
    <col min="17" max="17" width="8.85546875" style="4" bestFit="1" customWidth="1"/>
    <col min="18" max="16384" width="9.140625" style="3"/>
  </cols>
  <sheetData>
    <row r="1" spans="1:17" s="2" customFormat="1" ht="29.1" customHeight="1" x14ac:dyDescent="0.2">
      <c r="A1" s="42" t="s">
        <v>858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17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7"/>
    </row>
    <row r="3" spans="1:17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14</v>
      </c>
      <c r="L3" s="36"/>
      <c r="M3" s="36"/>
      <c r="N3" s="36"/>
      <c r="O3" s="36" t="s">
        <v>1</v>
      </c>
      <c r="P3" s="36" t="s">
        <v>3</v>
      </c>
      <c r="Q3" s="38" t="s">
        <v>2</v>
      </c>
    </row>
    <row r="4" spans="1:17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37"/>
      <c r="P4" s="37"/>
      <c r="Q4" s="39"/>
    </row>
    <row r="5" spans="1:17" ht="15" x14ac:dyDescent="0.2">
      <c r="A5" s="40" t="s">
        <v>285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7" x14ac:dyDescent="0.2">
      <c r="A6" s="6" t="s">
        <v>537</v>
      </c>
      <c r="B6" s="6" t="s">
        <v>292</v>
      </c>
      <c r="C6" s="6" t="s">
        <v>293</v>
      </c>
      <c r="D6" s="6" t="str">
        <f>"1,0090"</f>
        <v>1,0090</v>
      </c>
      <c r="E6" s="6" t="s">
        <v>94</v>
      </c>
      <c r="F6" s="6" t="s">
        <v>95</v>
      </c>
      <c r="G6" s="7" t="s">
        <v>80</v>
      </c>
      <c r="H6" s="8" t="s">
        <v>294</v>
      </c>
      <c r="I6" s="7" t="s">
        <v>294</v>
      </c>
      <c r="J6" s="8"/>
      <c r="K6" s="7" t="s">
        <v>67</v>
      </c>
      <c r="L6" s="8" t="s">
        <v>267</v>
      </c>
      <c r="M6" s="8" t="s">
        <v>267</v>
      </c>
      <c r="N6" s="8"/>
      <c r="O6" s="11" t="str">
        <f>"157,5"</f>
        <v>157,5</v>
      </c>
      <c r="P6" s="12" t="str">
        <f>"158,9175"</f>
        <v>158,9175</v>
      </c>
      <c r="Q6" s="6" t="s">
        <v>31</v>
      </c>
    </row>
    <row r="8" spans="1:17" ht="15" x14ac:dyDescent="0.2">
      <c r="A8" s="51" t="s">
        <v>15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7" x14ac:dyDescent="0.2">
      <c r="A9" s="19" t="s">
        <v>302</v>
      </c>
      <c r="B9" s="19" t="s">
        <v>303</v>
      </c>
      <c r="C9" s="19" t="s">
        <v>304</v>
      </c>
      <c r="D9" s="19" t="str">
        <f>"0,9543"</f>
        <v>0,9543</v>
      </c>
      <c r="E9" s="19" t="s">
        <v>94</v>
      </c>
      <c r="F9" s="19" t="s">
        <v>254</v>
      </c>
      <c r="G9" s="20" t="s">
        <v>80</v>
      </c>
      <c r="H9" s="20" t="s">
        <v>81</v>
      </c>
      <c r="I9" s="21" t="s">
        <v>88</v>
      </c>
      <c r="J9" s="21"/>
      <c r="K9" s="20" t="s">
        <v>68</v>
      </c>
      <c r="L9" s="20" t="s">
        <v>69</v>
      </c>
      <c r="M9" s="20" t="s">
        <v>97</v>
      </c>
      <c r="N9" s="21"/>
      <c r="O9" s="28" t="str">
        <f>"175,0"</f>
        <v>175,0</v>
      </c>
      <c r="P9" s="29" t="str">
        <f>"167,0025"</f>
        <v>167,0025</v>
      </c>
      <c r="Q9" s="19" t="s">
        <v>31</v>
      </c>
    </row>
    <row r="10" spans="1:17" x14ac:dyDescent="0.2">
      <c r="A10" s="25" t="s">
        <v>302</v>
      </c>
      <c r="B10" s="25" t="s">
        <v>538</v>
      </c>
      <c r="C10" s="25" t="s">
        <v>304</v>
      </c>
      <c r="D10" s="25" t="str">
        <f>"0,9543"</f>
        <v>0,9543</v>
      </c>
      <c r="E10" s="25" t="s">
        <v>94</v>
      </c>
      <c r="F10" s="25" t="s">
        <v>254</v>
      </c>
      <c r="G10" s="26" t="s">
        <v>80</v>
      </c>
      <c r="H10" s="26" t="s">
        <v>81</v>
      </c>
      <c r="I10" s="27" t="s">
        <v>88</v>
      </c>
      <c r="J10" s="27"/>
      <c r="K10" s="26" t="s">
        <v>68</v>
      </c>
      <c r="L10" s="26" t="s">
        <v>69</v>
      </c>
      <c r="M10" s="26" t="s">
        <v>97</v>
      </c>
      <c r="N10" s="27"/>
      <c r="O10" s="32" t="str">
        <f>"175,0"</f>
        <v>175,0</v>
      </c>
      <c r="P10" s="33" t="str">
        <f>"320,6448"</f>
        <v>320,6448</v>
      </c>
      <c r="Q10" s="25" t="s">
        <v>31</v>
      </c>
    </row>
    <row r="12" spans="1:17" ht="15" x14ac:dyDescent="0.2">
      <c r="A12" s="51" t="s">
        <v>256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r="13" spans="1:17" x14ac:dyDescent="0.2">
      <c r="A13" s="19" t="s">
        <v>637</v>
      </c>
      <c r="B13" s="19" t="s">
        <v>311</v>
      </c>
      <c r="C13" s="19" t="s">
        <v>312</v>
      </c>
      <c r="D13" s="19" t="str">
        <f>"0,8153"</f>
        <v>0,8153</v>
      </c>
      <c r="E13" s="19" t="s">
        <v>94</v>
      </c>
      <c r="F13" s="19" t="s">
        <v>95</v>
      </c>
      <c r="G13" s="20" t="s">
        <v>124</v>
      </c>
      <c r="H13" s="20" t="s">
        <v>22</v>
      </c>
      <c r="I13" s="20" t="s">
        <v>125</v>
      </c>
      <c r="J13" s="21"/>
      <c r="K13" s="20" t="s">
        <v>68</v>
      </c>
      <c r="L13" s="20" t="s">
        <v>69</v>
      </c>
      <c r="M13" s="21" t="s">
        <v>97</v>
      </c>
      <c r="N13" s="21"/>
      <c r="O13" s="28" t="str">
        <f>"182,5"</f>
        <v>182,5</v>
      </c>
      <c r="P13" s="29" t="str">
        <f>"148,8014"</f>
        <v>148,8014</v>
      </c>
      <c r="Q13" s="19" t="s">
        <v>31</v>
      </c>
    </row>
    <row r="14" spans="1:17" x14ac:dyDescent="0.2">
      <c r="A14" s="25" t="s">
        <v>314</v>
      </c>
      <c r="B14" s="25" t="s">
        <v>315</v>
      </c>
      <c r="C14" s="25" t="s">
        <v>316</v>
      </c>
      <c r="D14" s="25" t="str">
        <f>"0,7943"</f>
        <v>0,7943</v>
      </c>
      <c r="E14" s="25" t="s">
        <v>94</v>
      </c>
      <c r="F14" s="25" t="s">
        <v>95</v>
      </c>
      <c r="G14" s="26" t="s">
        <v>294</v>
      </c>
      <c r="H14" s="27" t="s">
        <v>87</v>
      </c>
      <c r="I14" s="27" t="s">
        <v>87</v>
      </c>
      <c r="J14" s="27"/>
      <c r="K14" s="26" t="s">
        <v>638</v>
      </c>
      <c r="L14" s="26" t="s">
        <v>639</v>
      </c>
      <c r="M14" s="26" t="s">
        <v>640</v>
      </c>
      <c r="N14" s="27"/>
      <c r="O14" s="32" t="str">
        <f>"160,0"</f>
        <v>160,0</v>
      </c>
      <c r="P14" s="33" t="str">
        <f>"128,2318"</f>
        <v>128,2318</v>
      </c>
      <c r="Q14" s="25" t="s">
        <v>31</v>
      </c>
    </row>
    <row r="16" spans="1:17" ht="15" x14ac:dyDescent="0.2">
      <c r="A16" s="51" t="s">
        <v>219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7" x14ac:dyDescent="0.2">
      <c r="A17" s="6" t="s">
        <v>641</v>
      </c>
      <c r="B17" s="6" t="s">
        <v>336</v>
      </c>
      <c r="C17" s="6" t="s">
        <v>337</v>
      </c>
      <c r="D17" s="6" t="str">
        <f>"0,6666"</f>
        <v>0,6666</v>
      </c>
      <c r="E17" s="6" t="s">
        <v>94</v>
      </c>
      <c r="F17" s="6" t="s">
        <v>95</v>
      </c>
      <c r="G17" s="8" t="s">
        <v>69</v>
      </c>
      <c r="H17" s="7" t="s">
        <v>97</v>
      </c>
      <c r="I17" s="7" t="s">
        <v>70</v>
      </c>
      <c r="J17" s="8"/>
      <c r="K17" s="7" t="s">
        <v>134</v>
      </c>
      <c r="L17" s="7" t="s">
        <v>103</v>
      </c>
      <c r="M17" s="8" t="s">
        <v>373</v>
      </c>
      <c r="N17" s="8"/>
      <c r="O17" s="11" t="str">
        <f>"295,0"</f>
        <v>295,0</v>
      </c>
      <c r="P17" s="12" t="str">
        <f>"196,6470"</f>
        <v>196,6470</v>
      </c>
      <c r="Q17" s="6" t="s">
        <v>31</v>
      </c>
    </row>
    <row r="19" spans="1:17" ht="15" x14ac:dyDescent="0.2">
      <c r="A19" s="51" t="s">
        <v>82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1:17" x14ac:dyDescent="0.2">
      <c r="A20" s="6" t="s">
        <v>552</v>
      </c>
      <c r="B20" s="6" t="s">
        <v>553</v>
      </c>
      <c r="C20" s="6" t="s">
        <v>554</v>
      </c>
      <c r="D20" s="6" t="str">
        <f>"0,6235"</f>
        <v>0,6235</v>
      </c>
      <c r="E20" s="6" t="s">
        <v>94</v>
      </c>
      <c r="F20" s="6" t="s">
        <v>95</v>
      </c>
      <c r="G20" s="7" t="s">
        <v>195</v>
      </c>
      <c r="H20" s="7" t="s">
        <v>196</v>
      </c>
      <c r="I20" s="7" t="s">
        <v>204</v>
      </c>
      <c r="J20" s="8"/>
      <c r="K20" s="7" t="s">
        <v>555</v>
      </c>
      <c r="L20" s="7" t="s">
        <v>163</v>
      </c>
      <c r="M20" s="7" t="s">
        <v>131</v>
      </c>
      <c r="N20" s="8"/>
      <c r="O20" s="11" t="str">
        <f>"340,0"</f>
        <v>340,0</v>
      </c>
      <c r="P20" s="12" t="str">
        <f>"211,9900"</f>
        <v>211,9900</v>
      </c>
      <c r="Q20" s="6" t="s">
        <v>31</v>
      </c>
    </row>
    <row r="22" spans="1:17" ht="15" x14ac:dyDescent="0.2">
      <c r="A22" s="51" t="s">
        <v>137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1:17" x14ac:dyDescent="0.2">
      <c r="A23" s="6" t="s">
        <v>586</v>
      </c>
      <c r="B23" s="6" t="s">
        <v>398</v>
      </c>
      <c r="C23" s="6" t="s">
        <v>399</v>
      </c>
      <c r="D23" s="6" t="str">
        <f>"0,5386"</f>
        <v>0,5386</v>
      </c>
      <c r="E23" s="6" t="s">
        <v>94</v>
      </c>
      <c r="F23" s="6" t="s">
        <v>95</v>
      </c>
      <c r="G23" s="7" t="s">
        <v>400</v>
      </c>
      <c r="H23" s="7" t="s">
        <v>372</v>
      </c>
      <c r="I23" s="8" t="s">
        <v>134</v>
      </c>
      <c r="J23" s="8"/>
      <c r="K23" s="7" t="s">
        <v>206</v>
      </c>
      <c r="L23" s="7" t="s">
        <v>507</v>
      </c>
      <c r="M23" s="8" t="s">
        <v>151</v>
      </c>
      <c r="N23" s="8"/>
      <c r="O23" s="11" t="str">
        <f>"437,5"</f>
        <v>437,5</v>
      </c>
      <c r="P23" s="12" t="str">
        <f>"235,6375"</f>
        <v>235,6375</v>
      </c>
      <c r="Q23" s="6" t="s">
        <v>31</v>
      </c>
    </row>
    <row r="25" spans="1:17" ht="15" x14ac:dyDescent="0.2">
      <c r="E25" s="9" t="s">
        <v>32</v>
      </c>
    </row>
    <row r="26" spans="1:17" ht="15" x14ac:dyDescent="0.2">
      <c r="E26" s="9" t="s">
        <v>33</v>
      </c>
    </row>
    <row r="27" spans="1:17" ht="15" x14ac:dyDescent="0.2">
      <c r="E27" s="9" t="s">
        <v>34</v>
      </c>
    </row>
    <row r="28" spans="1:17" ht="15" x14ac:dyDescent="0.2">
      <c r="E28" s="9" t="s">
        <v>35</v>
      </c>
    </row>
    <row r="29" spans="1:17" ht="15" x14ac:dyDescent="0.2">
      <c r="E29" s="9" t="s">
        <v>35</v>
      </c>
    </row>
    <row r="30" spans="1:17" ht="15" x14ac:dyDescent="0.2">
      <c r="E30" s="9" t="s">
        <v>36</v>
      </c>
    </row>
    <row r="31" spans="1:17" ht="15" x14ac:dyDescent="0.2">
      <c r="E31" s="9"/>
    </row>
    <row r="33" spans="1:5" ht="18" x14ac:dyDescent="0.25">
      <c r="A33" s="13" t="s">
        <v>37</v>
      </c>
      <c r="B33" s="13"/>
    </row>
    <row r="34" spans="1:5" ht="15" x14ac:dyDescent="0.2">
      <c r="A34" s="14" t="s">
        <v>144</v>
      </c>
      <c r="B34" s="14"/>
    </row>
    <row r="35" spans="1:5" ht="14.25" x14ac:dyDescent="0.2">
      <c r="A35" s="16"/>
      <c r="B35" s="17" t="s">
        <v>149</v>
      </c>
    </row>
    <row r="36" spans="1:5" ht="15" x14ac:dyDescent="0.2">
      <c r="A36" s="18" t="s">
        <v>40</v>
      </c>
      <c r="B36" s="18" t="s">
        <v>41</v>
      </c>
      <c r="C36" s="18" t="s">
        <v>42</v>
      </c>
      <c r="D36" s="18" t="s">
        <v>43</v>
      </c>
      <c r="E36" s="18" t="s">
        <v>44</v>
      </c>
    </row>
    <row r="37" spans="1:5" x14ac:dyDescent="0.2">
      <c r="A37" s="15" t="s">
        <v>301</v>
      </c>
      <c r="B37" s="4" t="s">
        <v>149</v>
      </c>
      <c r="C37" s="4" t="s">
        <v>46</v>
      </c>
      <c r="D37" s="4" t="s">
        <v>103</v>
      </c>
      <c r="E37" s="10" t="s">
        <v>642</v>
      </c>
    </row>
    <row r="38" spans="1:5" x14ac:dyDescent="0.2">
      <c r="A38" s="15" t="s">
        <v>290</v>
      </c>
      <c r="B38" s="4" t="s">
        <v>149</v>
      </c>
      <c r="C38" s="4" t="s">
        <v>417</v>
      </c>
      <c r="D38" s="4" t="s">
        <v>643</v>
      </c>
      <c r="E38" s="10" t="s">
        <v>644</v>
      </c>
    </row>
    <row r="39" spans="1:5" x14ac:dyDescent="0.2">
      <c r="A39" s="15" t="s">
        <v>309</v>
      </c>
      <c r="B39" s="4" t="s">
        <v>149</v>
      </c>
      <c r="C39" s="4" t="s">
        <v>273</v>
      </c>
      <c r="D39" s="4" t="s">
        <v>374</v>
      </c>
      <c r="E39" s="10" t="s">
        <v>645</v>
      </c>
    </row>
    <row r="41" spans="1:5" ht="14.25" x14ac:dyDescent="0.2">
      <c r="A41" s="16"/>
      <c r="B41" s="17" t="s">
        <v>171</v>
      </c>
    </row>
    <row r="42" spans="1:5" ht="15" x14ac:dyDescent="0.2">
      <c r="A42" s="18" t="s">
        <v>40</v>
      </c>
      <c r="B42" s="18" t="s">
        <v>41</v>
      </c>
      <c r="C42" s="18" t="s">
        <v>42</v>
      </c>
      <c r="D42" s="18" t="s">
        <v>43</v>
      </c>
      <c r="E42" s="18" t="s">
        <v>44</v>
      </c>
    </row>
    <row r="43" spans="1:5" x14ac:dyDescent="0.2">
      <c r="A43" s="15" t="s">
        <v>301</v>
      </c>
      <c r="B43" s="4" t="s">
        <v>244</v>
      </c>
      <c r="C43" s="4" t="s">
        <v>46</v>
      </c>
      <c r="D43" s="4" t="s">
        <v>103</v>
      </c>
      <c r="E43" s="10" t="s">
        <v>646</v>
      </c>
    </row>
    <row r="44" spans="1:5" x14ac:dyDescent="0.2">
      <c r="A44" s="15" t="s">
        <v>313</v>
      </c>
      <c r="B44" s="4" t="s">
        <v>172</v>
      </c>
      <c r="C44" s="4" t="s">
        <v>273</v>
      </c>
      <c r="D44" s="4" t="s">
        <v>117</v>
      </c>
      <c r="E44" s="10" t="s">
        <v>647</v>
      </c>
    </row>
    <row r="47" spans="1:5" ht="15" x14ac:dyDescent="0.2">
      <c r="A47" s="14" t="s">
        <v>38</v>
      </c>
      <c r="B47" s="14"/>
    </row>
    <row r="48" spans="1:5" ht="14.25" x14ac:dyDescent="0.2">
      <c r="A48" s="16"/>
      <c r="B48" s="17" t="s">
        <v>149</v>
      </c>
    </row>
    <row r="49" spans="1:5" ht="15" x14ac:dyDescent="0.2">
      <c r="A49" s="18" t="s">
        <v>40</v>
      </c>
      <c r="B49" s="18" t="s">
        <v>41</v>
      </c>
      <c r="C49" s="18" t="s">
        <v>42</v>
      </c>
      <c r="D49" s="18" t="s">
        <v>43</v>
      </c>
      <c r="E49" s="18" t="s">
        <v>44</v>
      </c>
    </row>
    <row r="50" spans="1:5" x14ac:dyDescent="0.2">
      <c r="A50" s="15" t="s">
        <v>396</v>
      </c>
      <c r="B50" s="4" t="s">
        <v>149</v>
      </c>
      <c r="C50" s="4" t="s">
        <v>165</v>
      </c>
      <c r="D50" s="4" t="s">
        <v>648</v>
      </c>
      <c r="E50" s="10" t="s">
        <v>649</v>
      </c>
    </row>
    <row r="51" spans="1:5" x14ac:dyDescent="0.2">
      <c r="A51" s="15" t="s">
        <v>551</v>
      </c>
      <c r="B51" s="4" t="s">
        <v>149</v>
      </c>
      <c r="C51" s="4" t="s">
        <v>158</v>
      </c>
      <c r="D51" s="4" t="s">
        <v>650</v>
      </c>
      <c r="E51" s="10" t="s">
        <v>651</v>
      </c>
    </row>
    <row r="52" spans="1:5" x14ac:dyDescent="0.2">
      <c r="A52" s="15" t="s">
        <v>334</v>
      </c>
      <c r="B52" s="4" t="s">
        <v>149</v>
      </c>
      <c r="C52" s="4" t="s">
        <v>241</v>
      </c>
      <c r="D52" s="4" t="s">
        <v>652</v>
      </c>
      <c r="E52" s="10" t="s">
        <v>653</v>
      </c>
    </row>
  </sheetData>
  <mergeCells count="18">
    <mergeCell ref="A8:N8"/>
    <mergeCell ref="A12:N12"/>
    <mergeCell ref="A16:N16"/>
    <mergeCell ref="A19:N19"/>
    <mergeCell ref="A22:N22"/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7.710937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285156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2" t="s">
        <v>857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12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15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6" t="s">
        <v>72</v>
      </c>
      <c r="B6" s="6" t="s">
        <v>73</v>
      </c>
      <c r="C6" s="6" t="s">
        <v>74</v>
      </c>
      <c r="D6" s="6" t="str">
        <f>"0,9473"</f>
        <v>0,9473</v>
      </c>
      <c r="E6" s="6" t="s">
        <v>75</v>
      </c>
      <c r="F6" s="6" t="s">
        <v>76</v>
      </c>
      <c r="G6" s="7" t="s">
        <v>58</v>
      </c>
      <c r="H6" s="8" t="s">
        <v>27</v>
      </c>
      <c r="I6" s="7" t="s">
        <v>27</v>
      </c>
      <c r="J6" s="8"/>
      <c r="K6" s="11" t="str">
        <f>"52,5"</f>
        <v>52,5</v>
      </c>
      <c r="L6" s="12" t="str">
        <f>"61,1719"</f>
        <v>61,1719</v>
      </c>
      <c r="M6" s="6" t="s">
        <v>31</v>
      </c>
    </row>
    <row r="8" spans="1:13" ht="15" x14ac:dyDescent="0.2">
      <c r="A8" s="51" t="s">
        <v>82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2">
      <c r="A9" s="19" t="s">
        <v>84</v>
      </c>
      <c r="B9" s="19" t="s">
        <v>85</v>
      </c>
      <c r="C9" s="19" t="s">
        <v>86</v>
      </c>
      <c r="D9" s="19" t="str">
        <f>"0,6268"</f>
        <v>0,6268</v>
      </c>
      <c r="E9" s="19" t="s">
        <v>75</v>
      </c>
      <c r="F9" s="19" t="s">
        <v>76</v>
      </c>
      <c r="G9" s="20" t="s">
        <v>80</v>
      </c>
      <c r="H9" s="21" t="s">
        <v>87</v>
      </c>
      <c r="I9" s="20" t="s">
        <v>22</v>
      </c>
      <c r="J9" s="21"/>
      <c r="K9" s="28" t="str">
        <f>"70,0"</f>
        <v>70,0</v>
      </c>
      <c r="L9" s="29" t="str">
        <f>"53,9675"</f>
        <v>53,9675</v>
      </c>
      <c r="M9" s="19" t="s">
        <v>31</v>
      </c>
    </row>
    <row r="10" spans="1:13" x14ac:dyDescent="0.2">
      <c r="A10" s="25" t="s">
        <v>91</v>
      </c>
      <c r="B10" s="25" t="s">
        <v>92</v>
      </c>
      <c r="C10" s="25" t="s">
        <v>93</v>
      </c>
      <c r="D10" s="25" t="str">
        <f>"0,6193"</f>
        <v>0,6193</v>
      </c>
      <c r="E10" s="25" t="s">
        <v>94</v>
      </c>
      <c r="F10" s="25" t="s">
        <v>95</v>
      </c>
      <c r="G10" s="26" t="s">
        <v>67</v>
      </c>
      <c r="H10" s="26" t="s">
        <v>69</v>
      </c>
      <c r="I10" s="27" t="s">
        <v>96</v>
      </c>
      <c r="J10" s="27"/>
      <c r="K10" s="32" t="str">
        <f>"110,0"</f>
        <v>110,0</v>
      </c>
      <c r="L10" s="33" t="str">
        <f>"73,5728"</f>
        <v>73,5728</v>
      </c>
      <c r="M10" s="25" t="s">
        <v>31</v>
      </c>
    </row>
    <row r="12" spans="1:13" ht="15" x14ac:dyDescent="0.2">
      <c r="A12" s="51" t="s">
        <v>106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3" x14ac:dyDescent="0.2">
      <c r="A13" s="6" t="s">
        <v>108</v>
      </c>
      <c r="B13" s="6" t="s">
        <v>109</v>
      </c>
      <c r="C13" s="6" t="s">
        <v>110</v>
      </c>
      <c r="D13" s="6" t="str">
        <f>"0,5956"</f>
        <v>0,5956</v>
      </c>
      <c r="E13" s="6" t="s">
        <v>94</v>
      </c>
      <c r="F13" s="6" t="s">
        <v>95</v>
      </c>
      <c r="G13" s="7" t="s">
        <v>111</v>
      </c>
      <c r="H13" s="7" t="s">
        <v>112</v>
      </c>
      <c r="I13" s="8"/>
      <c r="J13" s="8"/>
      <c r="K13" s="11" t="str">
        <f>"165,0"</f>
        <v>165,0</v>
      </c>
      <c r="L13" s="12" t="str">
        <f>"98,2740"</f>
        <v>98,2740</v>
      </c>
      <c r="M13" s="6" t="s">
        <v>31</v>
      </c>
    </row>
    <row r="15" spans="1:13" ht="15" x14ac:dyDescent="0.2">
      <c r="A15" s="51" t="s">
        <v>118</v>
      </c>
      <c r="B15" s="51"/>
      <c r="C15" s="51"/>
      <c r="D15" s="51"/>
      <c r="E15" s="51"/>
      <c r="F15" s="51"/>
      <c r="G15" s="51"/>
      <c r="H15" s="51"/>
      <c r="I15" s="51"/>
      <c r="J15" s="51"/>
    </row>
    <row r="16" spans="1:13" x14ac:dyDescent="0.2">
      <c r="A16" s="6" t="s">
        <v>120</v>
      </c>
      <c r="B16" s="6" t="s">
        <v>121</v>
      </c>
      <c r="C16" s="6" t="s">
        <v>122</v>
      </c>
      <c r="D16" s="6" t="str">
        <f>"0,5648"</f>
        <v>0,5648</v>
      </c>
      <c r="E16" s="6" t="s">
        <v>94</v>
      </c>
      <c r="F16" s="6" t="s">
        <v>95</v>
      </c>
      <c r="G16" s="8" t="s">
        <v>67</v>
      </c>
      <c r="H16" s="7" t="s">
        <v>68</v>
      </c>
      <c r="I16" s="7" t="s">
        <v>123</v>
      </c>
      <c r="J16" s="8"/>
      <c r="K16" s="11" t="str">
        <f>"112,5"</f>
        <v>112,5</v>
      </c>
      <c r="L16" s="12" t="str">
        <f>"78,1542"</f>
        <v>78,1542</v>
      </c>
      <c r="M16" s="6" t="s">
        <v>31</v>
      </c>
    </row>
    <row r="18" spans="1:5" ht="15" x14ac:dyDescent="0.2">
      <c r="E18" s="9" t="s">
        <v>32</v>
      </c>
    </row>
    <row r="19" spans="1:5" ht="15" x14ac:dyDescent="0.2">
      <c r="E19" s="9" t="s">
        <v>33</v>
      </c>
    </row>
    <row r="20" spans="1:5" ht="15" x14ac:dyDescent="0.2">
      <c r="E20" s="9" t="s">
        <v>34</v>
      </c>
    </row>
    <row r="21" spans="1:5" ht="15" x14ac:dyDescent="0.2">
      <c r="E21" s="9" t="s">
        <v>35</v>
      </c>
    </row>
    <row r="22" spans="1:5" ht="15" x14ac:dyDescent="0.2">
      <c r="E22" s="9" t="s">
        <v>35</v>
      </c>
    </row>
    <row r="23" spans="1:5" ht="15" x14ac:dyDescent="0.2">
      <c r="E23" s="9" t="s">
        <v>36</v>
      </c>
    </row>
    <row r="24" spans="1:5" ht="15" x14ac:dyDescent="0.2">
      <c r="E24" s="9"/>
    </row>
    <row r="26" spans="1:5" ht="18" x14ac:dyDescent="0.25">
      <c r="A26" s="13" t="s">
        <v>37</v>
      </c>
      <c r="B26" s="13"/>
    </row>
    <row r="27" spans="1:5" ht="15" x14ac:dyDescent="0.2">
      <c r="A27" s="14" t="s">
        <v>38</v>
      </c>
      <c r="B27" s="14"/>
    </row>
    <row r="28" spans="1:5" ht="14.25" x14ac:dyDescent="0.2">
      <c r="A28" s="16"/>
      <c r="B28" s="17" t="s">
        <v>39</v>
      </c>
    </row>
    <row r="29" spans="1:5" ht="15" x14ac:dyDescent="0.2">
      <c r="A29" s="18" t="s">
        <v>40</v>
      </c>
      <c r="B29" s="18" t="s">
        <v>41</v>
      </c>
      <c r="C29" s="18" t="s">
        <v>42</v>
      </c>
      <c r="D29" s="18" t="s">
        <v>240</v>
      </c>
      <c r="E29" s="18" t="s">
        <v>44</v>
      </c>
    </row>
    <row r="30" spans="1:5" x14ac:dyDescent="0.2">
      <c r="A30" s="15" t="s">
        <v>119</v>
      </c>
      <c r="B30" s="4" t="s">
        <v>153</v>
      </c>
      <c r="C30" s="4" t="s">
        <v>154</v>
      </c>
      <c r="D30" s="4" t="s">
        <v>123</v>
      </c>
      <c r="E30" s="10" t="s">
        <v>632</v>
      </c>
    </row>
    <row r="31" spans="1:5" x14ac:dyDescent="0.2">
      <c r="A31" s="15" t="s">
        <v>90</v>
      </c>
      <c r="B31" s="4" t="s">
        <v>157</v>
      </c>
      <c r="C31" s="4" t="s">
        <v>158</v>
      </c>
      <c r="D31" s="4" t="s">
        <v>69</v>
      </c>
      <c r="E31" s="10" t="s">
        <v>633</v>
      </c>
    </row>
    <row r="32" spans="1:5" x14ac:dyDescent="0.2">
      <c r="A32" s="15" t="s">
        <v>71</v>
      </c>
      <c r="B32" s="4" t="s">
        <v>45</v>
      </c>
      <c r="C32" s="4" t="s">
        <v>46</v>
      </c>
      <c r="D32" s="4" t="s">
        <v>27</v>
      </c>
      <c r="E32" s="10" t="s">
        <v>634</v>
      </c>
    </row>
    <row r="33" spans="1:5" x14ac:dyDescent="0.2">
      <c r="A33" s="15" t="s">
        <v>83</v>
      </c>
      <c r="B33" s="4" t="s">
        <v>45</v>
      </c>
      <c r="C33" s="4" t="s">
        <v>158</v>
      </c>
      <c r="D33" s="4" t="s">
        <v>22</v>
      </c>
      <c r="E33" s="10" t="s">
        <v>635</v>
      </c>
    </row>
    <row r="35" spans="1:5" ht="14.25" x14ac:dyDescent="0.2">
      <c r="A35" s="16"/>
      <c r="B35" s="17" t="s">
        <v>149</v>
      </c>
    </row>
    <row r="36" spans="1:5" ht="15" x14ac:dyDescent="0.2">
      <c r="A36" s="18" t="s">
        <v>40</v>
      </c>
      <c r="B36" s="18" t="s">
        <v>41</v>
      </c>
      <c r="C36" s="18" t="s">
        <v>42</v>
      </c>
      <c r="D36" s="18" t="s">
        <v>240</v>
      </c>
      <c r="E36" s="18" t="s">
        <v>44</v>
      </c>
    </row>
    <row r="37" spans="1:5" x14ac:dyDescent="0.2">
      <c r="A37" s="15" t="s">
        <v>107</v>
      </c>
      <c r="B37" s="4" t="s">
        <v>149</v>
      </c>
      <c r="C37" s="4" t="s">
        <v>168</v>
      </c>
      <c r="D37" s="4" t="s">
        <v>112</v>
      </c>
      <c r="E37" s="10" t="s">
        <v>636</v>
      </c>
    </row>
  </sheetData>
  <mergeCells count="15">
    <mergeCell ref="A8:J8"/>
    <mergeCell ref="A12:J12"/>
    <mergeCell ref="A15:J15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6.140625" style="4" bestFit="1" customWidth="1"/>
    <col min="7" max="7" width="6.5703125" style="3" customWidth="1"/>
    <col min="8" max="8" width="5.5703125" style="3" customWidth="1"/>
    <col min="9" max="9" width="6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2" t="s">
        <v>856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14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256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6" t="s">
        <v>606</v>
      </c>
      <c r="B6" s="6" t="s">
        <v>607</v>
      </c>
      <c r="C6" s="6" t="s">
        <v>608</v>
      </c>
      <c r="D6" s="6" t="str">
        <f>"0,7481"</f>
        <v>0,7481</v>
      </c>
      <c r="E6" s="6" t="s">
        <v>53</v>
      </c>
      <c r="F6" s="6" t="s">
        <v>609</v>
      </c>
      <c r="G6" s="7" t="s">
        <v>610</v>
      </c>
      <c r="H6" s="8" t="s">
        <v>205</v>
      </c>
      <c r="I6" s="7" t="s">
        <v>611</v>
      </c>
      <c r="J6" s="8"/>
      <c r="K6" s="11" t="str">
        <f>"150.00o"</f>
        <v>150.00o</v>
      </c>
      <c r="L6" s="12" t="str">
        <f>"233,7438"</f>
        <v>233,7438</v>
      </c>
      <c r="M6" s="6" t="s">
        <v>31</v>
      </c>
    </row>
    <row r="8" spans="1:13" ht="15" x14ac:dyDescent="0.2">
      <c r="A8" s="51" t="s">
        <v>106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2">
      <c r="A9" s="19" t="s">
        <v>613</v>
      </c>
      <c r="B9" s="19" t="s">
        <v>614</v>
      </c>
      <c r="C9" s="19" t="s">
        <v>615</v>
      </c>
      <c r="D9" s="19" t="str">
        <f>"0,6083"</f>
        <v>0,6083</v>
      </c>
      <c r="E9" s="19" t="s">
        <v>181</v>
      </c>
      <c r="F9" s="19" t="s">
        <v>228</v>
      </c>
      <c r="G9" s="20" t="s">
        <v>131</v>
      </c>
      <c r="H9" s="21" t="s">
        <v>135</v>
      </c>
      <c r="I9" s="21" t="s">
        <v>135</v>
      </c>
      <c r="J9" s="21"/>
      <c r="K9" s="28" t="str">
        <f>"200,0"</f>
        <v>200,0</v>
      </c>
      <c r="L9" s="29" t="str">
        <f>"121,6600"</f>
        <v>121,6600</v>
      </c>
      <c r="M9" s="19" t="s">
        <v>31</v>
      </c>
    </row>
    <row r="10" spans="1:13" x14ac:dyDescent="0.2">
      <c r="A10" s="25" t="s">
        <v>617</v>
      </c>
      <c r="B10" s="25" t="s">
        <v>618</v>
      </c>
      <c r="C10" s="25" t="s">
        <v>619</v>
      </c>
      <c r="D10" s="25" t="str">
        <f>"0,5853"</f>
        <v>0,5853</v>
      </c>
      <c r="E10" s="25" t="s">
        <v>65</v>
      </c>
      <c r="F10" s="25" t="s">
        <v>254</v>
      </c>
      <c r="G10" s="26" t="s">
        <v>147</v>
      </c>
      <c r="H10" s="26" t="s">
        <v>135</v>
      </c>
      <c r="I10" s="26" t="s">
        <v>572</v>
      </c>
      <c r="J10" s="27"/>
      <c r="K10" s="32" t="str">
        <f>"235,0"</f>
        <v>235,0</v>
      </c>
      <c r="L10" s="33" t="str">
        <f>"281,6932"</f>
        <v>281,6932</v>
      </c>
      <c r="M10" s="25" t="s">
        <v>31</v>
      </c>
    </row>
    <row r="12" spans="1:13" ht="15" x14ac:dyDescent="0.2">
      <c r="A12" s="51" t="s">
        <v>137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3" x14ac:dyDescent="0.2">
      <c r="A13" s="6" t="s">
        <v>620</v>
      </c>
      <c r="B13" s="6" t="s">
        <v>469</v>
      </c>
      <c r="C13" s="6" t="s">
        <v>470</v>
      </c>
      <c r="D13" s="6" t="str">
        <f>"0,5398"</f>
        <v>0,5398</v>
      </c>
      <c r="E13" s="6" t="s">
        <v>94</v>
      </c>
      <c r="F13" s="6" t="s">
        <v>471</v>
      </c>
      <c r="G13" s="7" t="s">
        <v>621</v>
      </c>
      <c r="H13" s="8" t="s">
        <v>533</v>
      </c>
      <c r="I13" s="8"/>
      <c r="J13" s="8"/>
      <c r="K13" s="11" t="str">
        <f>"290,0"</f>
        <v>290,0</v>
      </c>
      <c r="L13" s="12" t="str">
        <f>"156,5420"</f>
        <v>156,5420</v>
      </c>
      <c r="M13" s="6" t="s">
        <v>31</v>
      </c>
    </row>
    <row r="15" spans="1:13" ht="15" x14ac:dyDescent="0.2">
      <c r="A15" s="51" t="s">
        <v>401</v>
      </c>
      <c r="B15" s="51"/>
      <c r="C15" s="51"/>
      <c r="D15" s="51"/>
      <c r="E15" s="51"/>
      <c r="F15" s="51"/>
      <c r="G15" s="51"/>
      <c r="H15" s="51"/>
      <c r="I15" s="51"/>
      <c r="J15" s="51"/>
    </row>
    <row r="16" spans="1:13" x14ac:dyDescent="0.2">
      <c r="A16" s="6" t="s">
        <v>623</v>
      </c>
      <c r="B16" s="6" t="s">
        <v>624</v>
      </c>
      <c r="C16" s="6" t="s">
        <v>625</v>
      </c>
      <c r="D16" s="6" t="str">
        <f>"0,5231"</f>
        <v>0,5231</v>
      </c>
      <c r="E16" s="6" t="s">
        <v>53</v>
      </c>
      <c r="F16" s="6" t="s">
        <v>228</v>
      </c>
      <c r="G16" s="7" t="s">
        <v>199</v>
      </c>
      <c r="H16" s="7" t="s">
        <v>207</v>
      </c>
      <c r="I16" s="8" t="s">
        <v>533</v>
      </c>
      <c r="J16" s="8"/>
      <c r="K16" s="11" t="str">
        <f>"280,0"</f>
        <v>280,0</v>
      </c>
      <c r="L16" s="12" t="str">
        <f>"146,4680"</f>
        <v>146,4680</v>
      </c>
      <c r="M16" s="6" t="s">
        <v>31</v>
      </c>
    </row>
    <row r="18" spans="1:5" ht="15" x14ac:dyDescent="0.2">
      <c r="E18" s="9" t="s">
        <v>32</v>
      </c>
    </row>
    <row r="19" spans="1:5" ht="15" x14ac:dyDescent="0.2">
      <c r="E19" s="9" t="s">
        <v>33</v>
      </c>
    </row>
    <row r="20" spans="1:5" ht="15" x14ac:dyDescent="0.2">
      <c r="E20" s="9" t="s">
        <v>34</v>
      </c>
    </row>
    <row r="21" spans="1:5" ht="15" x14ac:dyDescent="0.2">
      <c r="E21" s="9" t="s">
        <v>35</v>
      </c>
    </row>
    <row r="22" spans="1:5" ht="15" x14ac:dyDescent="0.2">
      <c r="E22" s="9" t="s">
        <v>35</v>
      </c>
    </row>
    <row r="23" spans="1:5" ht="15" x14ac:dyDescent="0.2">
      <c r="E23" s="9" t="s">
        <v>36</v>
      </c>
    </row>
    <row r="24" spans="1:5" ht="15" x14ac:dyDescent="0.2">
      <c r="E24" s="9"/>
    </row>
    <row r="26" spans="1:5" ht="18" x14ac:dyDescent="0.25">
      <c r="A26" s="13" t="s">
        <v>37</v>
      </c>
      <c r="B26" s="13"/>
    </row>
    <row r="27" spans="1:5" ht="15" x14ac:dyDescent="0.2">
      <c r="A27" s="14" t="s">
        <v>38</v>
      </c>
      <c r="B27" s="14"/>
    </row>
    <row r="28" spans="1:5" ht="14.25" x14ac:dyDescent="0.2">
      <c r="A28" s="16"/>
      <c r="B28" s="17" t="s">
        <v>149</v>
      </c>
    </row>
    <row r="29" spans="1:5" ht="15" x14ac:dyDescent="0.2">
      <c r="A29" s="18" t="s">
        <v>40</v>
      </c>
      <c r="B29" s="18" t="s">
        <v>41</v>
      </c>
      <c r="C29" s="18" t="s">
        <v>42</v>
      </c>
      <c r="D29" s="18" t="s">
        <v>240</v>
      </c>
      <c r="E29" s="18" t="s">
        <v>44</v>
      </c>
    </row>
    <row r="30" spans="1:5" x14ac:dyDescent="0.2">
      <c r="A30" s="15" t="s">
        <v>467</v>
      </c>
      <c r="B30" s="4" t="s">
        <v>149</v>
      </c>
      <c r="C30" s="4" t="s">
        <v>165</v>
      </c>
      <c r="D30" s="4" t="s">
        <v>621</v>
      </c>
      <c r="E30" s="10" t="s">
        <v>626</v>
      </c>
    </row>
    <row r="31" spans="1:5" x14ac:dyDescent="0.2">
      <c r="A31" s="15" t="s">
        <v>622</v>
      </c>
      <c r="B31" s="4" t="s">
        <v>149</v>
      </c>
      <c r="C31" s="4" t="s">
        <v>432</v>
      </c>
      <c r="D31" s="4" t="s">
        <v>207</v>
      </c>
      <c r="E31" s="10" t="s">
        <v>627</v>
      </c>
    </row>
    <row r="32" spans="1:5" x14ac:dyDescent="0.2">
      <c r="A32" s="15" t="s">
        <v>612</v>
      </c>
      <c r="B32" s="4" t="s">
        <v>149</v>
      </c>
      <c r="C32" s="4" t="s">
        <v>168</v>
      </c>
      <c r="D32" s="4" t="s">
        <v>131</v>
      </c>
      <c r="E32" s="10" t="s">
        <v>628</v>
      </c>
    </row>
    <row r="34" spans="1:5" ht="14.25" x14ac:dyDescent="0.2">
      <c r="A34" s="16"/>
      <c r="B34" s="17" t="s">
        <v>171</v>
      </c>
    </row>
    <row r="35" spans="1:5" ht="15" x14ac:dyDescent="0.2">
      <c r="A35" s="18" t="s">
        <v>40</v>
      </c>
      <c r="B35" s="18" t="s">
        <v>41</v>
      </c>
      <c r="C35" s="18" t="s">
        <v>42</v>
      </c>
      <c r="D35" s="18" t="s">
        <v>240</v>
      </c>
      <c r="E35" s="18" t="s">
        <v>44</v>
      </c>
    </row>
    <row r="36" spans="1:5" x14ac:dyDescent="0.2">
      <c r="A36" s="15" t="s">
        <v>616</v>
      </c>
      <c r="B36" s="4" t="s">
        <v>244</v>
      </c>
      <c r="C36" s="4" t="s">
        <v>168</v>
      </c>
      <c r="D36" s="4" t="s">
        <v>572</v>
      </c>
      <c r="E36" s="10" t="s">
        <v>629</v>
      </c>
    </row>
    <row r="37" spans="1:5" x14ac:dyDescent="0.2">
      <c r="A37" s="15" t="s">
        <v>605</v>
      </c>
      <c r="B37" s="4" t="s">
        <v>630</v>
      </c>
      <c r="C37" s="4" t="s">
        <v>273</v>
      </c>
      <c r="D37" s="4" t="s">
        <v>205</v>
      </c>
      <c r="E37" s="10" t="s">
        <v>631</v>
      </c>
    </row>
  </sheetData>
  <mergeCells count="15">
    <mergeCell ref="A8:J8"/>
    <mergeCell ref="A12:J12"/>
    <mergeCell ref="A15:J15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41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2" t="s">
        <v>855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14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285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6" t="s">
        <v>537</v>
      </c>
      <c r="B6" s="6" t="s">
        <v>292</v>
      </c>
      <c r="C6" s="6" t="s">
        <v>293</v>
      </c>
      <c r="D6" s="6" t="str">
        <f>"1,0090"</f>
        <v>1,0090</v>
      </c>
      <c r="E6" s="6" t="s">
        <v>94</v>
      </c>
      <c r="F6" s="6" t="s">
        <v>95</v>
      </c>
      <c r="G6" s="7" t="s">
        <v>67</v>
      </c>
      <c r="H6" s="8" t="s">
        <v>267</v>
      </c>
      <c r="I6" s="8" t="s">
        <v>267</v>
      </c>
      <c r="J6" s="8"/>
      <c r="K6" s="11" t="str">
        <f>"100,0"</f>
        <v>100,0</v>
      </c>
      <c r="L6" s="12" t="str">
        <f>"100,9000"</f>
        <v>100,9000</v>
      </c>
      <c r="M6" s="6" t="s">
        <v>31</v>
      </c>
    </row>
    <row r="8" spans="1:13" ht="15" x14ac:dyDescent="0.2">
      <c r="A8" s="51" t="s">
        <v>15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2">
      <c r="A9" s="6" t="s">
        <v>302</v>
      </c>
      <c r="B9" s="6" t="s">
        <v>538</v>
      </c>
      <c r="C9" s="6" t="s">
        <v>304</v>
      </c>
      <c r="D9" s="6" t="str">
        <f>"0,9543"</f>
        <v>0,9543</v>
      </c>
      <c r="E9" s="6" t="s">
        <v>94</v>
      </c>
      <c r="F9" s="6" t="s">
        <v>254</v>
      </c>
      <c r="G9" s="7" t="s">
        <v>68</v>
      </c>
      <c r="H9" s="7" t="s">
        <v>69</v>
      </c>
      <c r="I9" s="7" t="s">
        <v>97</v>
      </c>
      <c r="J9" s="8"/>
      <c r="K9" s="11" t="str">
        <f>"115,0"</f>
        <v>115,0</v>
      </c>
      <c r="L9" s="12" t="str">
        <f>"210,7094"</f>
        <v>210,7094</v>
      </c>
      <c r="M9" s="6" t="s">
        <v>31</v>
      </c>
    </row>
    <row r="11" spans="1:13" ht="15" x14ac:dyDescent="0.2">
      <c r="A11" s="51" t="s">
        <v>60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 x14ac:dyDescent="0.2">
      <c r="A12" s="19" t="s">
        <v>540</v>
      </c>
      <c r="B12" s="19" t="s">
        <v>541</v>
      </c>
      <c r="C12" s="19" t="s">
        <v>542</v>
      </c>
      <c r="D12" s="19" t="str">
        <f>"0,8694"</f>
        <v>0,8694</v>
      </c>
      <c r="E12" s="19" t="s">
        <v>181</v>
      </c>
      <c r="F12" s="19" t="s">
        <v>228</v>
      </c>
      <c r="G12" s="20" t="s">
        <v>68</v>
      </c>
      <c r="H12" s="20" t="s">
        <v>97</v>
      </c>
      <c r="I12" s="20" t="s">
        <v>195</v>
      </c>
      <c r="J12" s="21"/>
      <c r="K12" s="28" t="str">
        <f>"130,0"</f>
        <v>130,0</v>
      </c>
      <c r="L12" s="29" t="str">
        <f>"113,0285"</f>
        <v>113,0285</v>
      </c>
      <c r="M12" s="19" t="s">
        <v>31</v>
      </c>
    </row>
    <row r="13" spans="1:13" x14ac:dyDescent="0.2">
      <c r="A13" s="25" t="s">
        <v>543</v>
      </c>
      <c r="B13" s="25" t="s">
        <v>63</v>
      </c>
      <c r="C13" s="25" t="s">
        <v>64</v>
      </c>
      <c r="D13" s="25" t="str">
        <f>"0,8622"</f>
        <v>0,8622</v>
      </c>
      <c r="E13" s="25" t="s">
        <v>65</v>
      </c>
      <c r="F13" s="25" t="s">
        <v>66</v>
      </c>
      <c r="G13" s="26" t="s">
        <v>69</v>
      </c>
      <c r="H13" s="26" t="s">
        <v>70</v>
      </c>
      <c r="I13" s="27"/>
      <c r="J13" s="27"/>
      <c r="K13" s="32" t="str">
        <f>"120,0"</f>
        <v>120,0</v>
      </c>
      <c r="L13" s="33" t="str">
        <f>"103,4580"</f>
        <v>103,4580</v>
      </c>
      <c r="M13" s="25" t="s">
        <v>31</v>
      </c>
    </row>
    <row r="15" spans="1:13" ht="15" x14ac:dyDescent="0.2">
      <c r="A15" s="51" t="s">
        <v>256</v>
      </c>
      <c r="B15" s="51"/>
      <c r="C15" s="51"/>
      <c r="D15" s="51"/>
      <c r="E15" s="51"/>
      <c r="F15" s="51"/>
      <c r="G15" s="51"/>
      <c r="H15" s="51"/>
      <c r="I15" s="51"/>
      <c r="J15" s="51"/>
    </row>
    <row r="16" spans="1:13" x14ac:dyDescent="0.2">
      <c r="A16" s="6" t="s">
        <v>545</v>
      </c>
      <c r="B16" s="6" t="s">
        <v>546</v>
      </c>
      <c r="C16" s="6" t="s">
        <v>316</v>
      </c>
      <c r="D16" s="6" t="str">
        <f>"0,7943"</f>
        <v>0,7943</v>
      </c>
      <c r="E16" s="6" t="s">
        <v>65</v>
      </c>
      <c r="F16" s="6" t="s">
        <v>66</v>
      </c>
      <c r="G16" s="7" t="s">
        <v>117</v>
      </c>
      <c r="H16" s="7" t="s">
        <v>134</v>
      </c>
      <c r="I16" s="7" t="s">
        <v>104</v>
      </c>
      <c r="J16" s="8"/>
      <c r="K16" s="11" t="str">
        <f>"180,0"</f>
        <v>180,0</v>
      </c>
      <c r="L16" s="12" t="str">
        <f>"142,9740"</f>
        <v>142,9740</v>
      </c>
      <c r="M16" s="6" t="s">
        <v>31</v>
      </c>
    </row>
    <row r="18" spans="1:13" ht="15" x14ac:dyDescent="0.2">
      <c r="A18" s="51" t="s">
        <v>219</v>
      </c>
      <c r="B18" s="51"/>
      <c r="C18" s="51"/>
      <c r="D18" s="51"/>
      <c r="E18" s="51"/>
      <c r="F18" s="51"/>
      <c r="G18" s="51"/>
      <c r="H18" s="51"/>
      <c r="I18" s="51"/>
      <c r="J18" s="51"/>
    </row>
    <row r="19" spans="1:13" x14ac:dyDescent="0.2">
      <c r="A19" s="6" t="s">
        <v>548</v>
      </c>
      <c r="B19" s="6" t="s">
        <v>549</v>
      </c>
      <c r="C19" s="6" t="s">
        <v>550</v>
      </c>
      <c r="D19" s="6" t="str">
        <f>"0,7434"</f>
        <v>0,7434</v>
      </c>
      <c r="E19" s="6" t="s">
        <v>65</v>
      </c>
      <c r="F19" s="6" t="s">
        <v>66</v>
      </c>
      <c r="G19" s="7" t="s">
        <v>70</v>
      </c>
      <c r="H19" s="7" t="s">
        <v>114</v>
      </c>
      <c r="I19" s="7" t="s">
        <v>143</v>
      </c>
      <c r="J19" s="8"/>
      <c r="K19" s="11" t="str">
        <f>"135,0"</f>
        <v>135,0</v>
      </c>
      <c r="L19" s="12" t="str">
        <f>"159,5815"</f>
        <v>159,5815</v>
      </c>
      <c r="M19" s="6" t="s">
        <v>31</v>
      </c>
    </row>
    <row r="21" spans="1:13" ht="15" x14ac:dyDescent="0.2">
      <c r="A21" s="51" t="s">
        <v>15</v>
      </c>
      <c r="B21" s="51"/>
      <c r="C21" s="51"/>
      <c r="D21" s="51"/>
      <c r="E21" s="51"/>
      <c r="F21" s="51"/>
      <c r="G21" s="51"/>
      <c r="H21" s="51"/>
      <c r="I21" s="51"/>
      <c r="J21" s="51"/>
    </row>
    <row r="22" spans="1:13" x14ac:dyDescent="0.2">
      <c r="A22" s="6" t="s">
        <v>72</v>
      </c>
      <c r="B22" s="6" t="s">
        <v>73</v>
      </c>
      <c r="C22" s="6" t="s">
        <v>74</v>
      </c>
      <c r="D22" s="6" t="str">
        <f>"0,9473"</f>
        <v>0,9473</v>
      </c>
      <c r="E22" s="6" t="s">
        <v>75</v>
      </c>
      <c r="F22" s="6" t="s">
        <v>76</v>
      </c>
      <c r="G22" s="7" t="s">
        <v>26</v>
      </c>
      <c r="H22" s="7" t="s">
        <v>80</v>
      </c>
      <c r="I22" s="7" t="s">
        <v>81</v>
      </c>
      <c r="J22" s="8"/>
      <c r="K22" s="11" t="str">
        <f>"60,0"</f>
        <v>60,0</v>
      </c>
      <c r="L22" s="12" t="str">
        <f>"69,9107"</f>
        <v>69,9107</v>
      </c>
      <c r="M22" s="6" t="s">
        <v>31</v>
      </c>
    </row>
    <row r="24" spans="1:13" ht="15" x14ac:dyDescent="0.2">
      <c r="A24" s="51" t="s">
        <v>82</v>
      </c>
      <c r="B24" s="51"/>
      <c r="C24" s="51"/>
      <c r="D24" s="51"/>
      <c r="E24" s="51"/>
      <c r="F24" s="51"/>
      <c r="G24" s="51"/>
      <c r="H24" s="51"/>
      <c r="I24" s="51"/>
      <c r="J24" s="51"/>
    </row>
    <row r="25" spans="1:13" x14ac:dyDescent="0.2">
      <c r="A25" s="19" t="s">
        <v>84</v>
      </c>
      <c r="B25" s="19" t="s">
        <v>85</v>
      </c>
      <c r="C25" s="19" t="s">
        <v>86</v>
      </c>
      <c r="D25" s="19" t="str">
        <f>"0,6268"</f>
        <v>0,6268</v>
      </c>
      <c r="E25" s="19" t="s">
        <v>75</v>
      </c>
      <c r="F25" s="19" t="s">
        <v>76</v>
      </c>
      <c r="G25" s="20" t="s">
        <v>88</v>
      </c>
      <c r="H25" s="20" t="s">
        <v>23</v>
      </c>
      <c r="I25" s="21" t="s">
        <v>89</v>
      </c>
      <c r="J25" s="21"/>
      <c r="K25" s="28" t="str">
        <f>"75,0"</f>
        <v>75,0</v>
      </c>
      <c r="L25" s="29" t="str">
        <f>"57,8223"</f>
        <v>57,8223</v>
      </c>
      <c r="M25" s="19" t="s">
        <v>31</v>
      </c>
    </row>
    <row r="26" spans="1:13" x14ac:dyDescent="0.2">
      <c r="A26" s="22" t="s">
        <v>552</v>
      </c>
      <c r="B26" s="22" t="s">
        <v>553</v>
      </c>
      <c r="C26" s="22" t="s">
        <v>554</v>
      </c>
      <c r="D26" s="22" t="str">
        <f>"0,6235"</f>
        <v>0,6235</v>
      </c>
      <c r="E26" s="22" t="s">
        <v>94</v>
      </c>
      <c r="F26" s="22" t="s">
        <v>95</v>
      </c>
      <c r="G26" s="23" t="s">
        <v>555</v>
      </c>
      <c r="H26" s="23" t="s">
        <v>163</v>
      </c>
      <c r="I26" s="23" t="s">
        <v>131</v>
      </c>
      <c r="J26" s="24"/>
      <c r="K26" s="30" t="str">
        <f>"200,0"</f>
        <v>200,0</v>
      </c>
      <c r="L26" s="31" t="str">
        <f>"124,7000"</f>
        <v>124,7000</v>
      </c>
      <c r="M26" s="22" t="s">
        <v>31</v>
      </c>
    </row>
    <row r="27" spans="1:13" x14ac:dyDescent="0.2">
      <c r="A27" s="22" t="s">
        <v>557</v>
      </c>
      <c r="B27" s="22" t="s">
        <v>558</v>
      </c>
      <c r="C27" s="22" t="s">
        <v>559</v>
      </c>
      <c r="D27" s="22" t="str">
        <f>"0,6312"</f>
        <v>0,6312</v>
      </c>
      <c r="E27" s="22" t="s">
        <v>181</v>
      </c>
      <c r="F27" s="22" t="s">
        <v>228</v>
      </c>
      <c r="G27" s="23" t="s">
        <v>188</v>
      </c>
      <c r="H27" s="24" t="s">
        <v>560</v>
      </c>
      <c r="I27" s="24" t="s">
        <v>560</v>
      </c>
      <c r="J27" s="24"/>
      <c r="K27" s="30" t="str">
        <f>"190,0"</f>
        <v>190,0</v>
      </c>
      <c r="L27" s="31" t="str">
        <f>"119,9280"</f>
        <v>119,9280</v>
      </c>
      <c r="M27" s="22" t="s">
        <v>31</v>
      </c>
    </row>
    <row r="28" spans="1:13" x14ac:dyDescent="0.2">
      <c r="A28" s="25" t="s">
        <v>562</v>
      </c>
      <c r="B28" s="25" t="s">
        <v>563</v>
      </c>
      <c r="C28" s="25" t="s">
        <v>498</v>
      </c>
      <c r="D28" s="25" t="str">
        <f>"0,6219"</f>
        <v>0,6219</v>
      </c>
      <c r="E28" s="25" t="s">
        <v>181</v>
      </c>
      <c r="F28" s="25" t="s">
        <v>564</v>
      </c>
      <c r="G28" s="26" t="s">
        <v>188</v>
      </c>
      <c r="H28" s="27" t="s">
        <v>411</v>
      </c>
      <c r="I28" s="27" t="s">
        <v>411</v>
      </c>
      <c r="J28" s="27"/>
      <c r="K28" s="32" t="str">
        <f>"190,0"</f>
        <v>190,0</v>
      </c>
      <c r="L28" s="33" t="str">
        <f>"118,1610"</f>
        <v>118,1610</v>
      </c>
      <c r="M28" s="25" t="s">
        <v>31</v>
      </c>
    </row>
    <row r="30" spans="1:13" ht="15" x14ac:dyDescent="0.2">
      <c r="A30" s="51" t="s">
        <v>106</v>
      </c>
      <c r="B30" s="51"/>
      <c r="C30" s="51"/>
      <c r="D30" s="51"/>
      <c r="E30" s="51"/>
      <c r="F30" s="51"/>
      <c r="G30" s="51"/>
      <c r="H30" s="51"/>
      <c r="I30" s="51"/>
      <c r="J30" s="51"/>
    </row>
    <row r="31" spans="1:13" x14ac:dyDescent="0.2">
      <c r="A31" s="19" t="s">
        <v>566</v>
      </c>
      <c r="B31" s="19" t="s">
        <v>567</v>
      </c>
      <c r="C31" s="19" t="s">
        <v>568</v>
      </c>
      <c r="D31" s="19" t="str">
        <f>"0,5960"</f>
        <v>0,5960</v>
      </c>
      <c r="E31" s="19" t="s">
        <v>569</v>
      </c>
      <c r="F31" s="19" t="s">
        <v>570</v>
      </c>
      <c r="G31" s="20" t="s">
        <v>133</v>
      </c>
      <c r="H31" s="20" t="s">
        <v>571</v>
      </c>
      <c r="I31" s="20" t="s">
        <v>572</v>
      </c>
      <c r="J31" s="21"/>
      <c r="K31" s="28" t="str">
        <f>"235,0"</f>
        <v>235,0</v>
      </c>
      <c r="L31" s="29" t="str">
        <f>"141,4606"</f>
        <v>141,4606</v>
      </c>
      <c r="M31" s="19" t="s">
        <v>31</v>
      </c>
    </row>
    <row r="32" spans="1:13" x14ac:dyDescent="0.2">
      <c r="A32" s="22" t="s">
        <v>574</v>
      </c>
      <c r="B32" s="22" t="s">
        <v>575</v>
      </c>
      <c r="C32" s="22" t="s">
        <v>576</v>
      </c>
      <c r="D32" s="22" t="str">
        <f>"0,5901"</f>
        <v>0,5901</v>
      </c>
      <c r="E32" s="22" t="s">
        <v>181</v>
      </c>
      <c r="F32" s="22" t="s">
        <v>228</v>
      </c>
      <c r="G32" s="23" t="s">
        <v>132</v>
      </c>
      <c r="H32" s="24" t="s">
        <v>133</v>
      </c>
      <c r="I32" s="24" t="s">
        <v>133</v>
      </c>
      <c r="J32" s="24"/>
      <c r="K32" s="30" t="str">
        <f>"210,0"</f>
        <v>210,0</v>
      </c>
      <c r="L32" s="31" t="str">
        <f>"123,9210"</f>
        <v>123,9210</v>
      </c>
      <c r="M32" s="22" t="s">
        <v>31</v>
      </c>
    </row>
    <row r="33" spans="1:13" x14ac:dyDescent="0.2">
      <c r="A33" s="22" t="s">
        <v>578</v>
      </c>
      <c r="B33" s="22" t="s">
        <v>579</v>
      </c>
      <c r="C33" s="22" t="s">
        <v>580</v>
      </c>
      <c r="D33" s="22" t="str">
        <f>"0,5889"</f>
        <v>0,5889</v>
      </c>
      <c r="E33" s="22" t="s">
        <v>358</v>
      </c>
      <c r="F33" s="22" t="s">
        <v>359</v>
      </c>
      <c r="G33" s="23" t="s">
        <v>115</v>
      </c>
      <c r="H33" s="23" t="s">
        <v>117</v>
      </c>
      <c r="I33" s="23" t="s">
        <v>134</v>
      </c>
      <c r="J33" s="24"/>
      <c r="K33" s="30" t="str">
        <f>"170,0"</f>
        <v>170,0</v>
      </c>
      <c r="L33" s="31" t="str">
        <f>"143,1616"</f>
        <v>143,1616</v>
      </c>
      <c r="M33" s="22" t="s">
        <v>31</v>
      </c>
    </row>
    <row r="34" spans="1:13" x14ac:dyDescent="0.2">
      <c r="A34" s="25" t="s">
        <v>582</v>
      </c>
      <c r="B34" s="25" t="s">
        <v>583</v>
      </c>
      <c r="C34" s="25" t="s">
        <v>584</v>
      </c>
      <c r="D34" s="25" t="str">
        <f>"0,5995"</f>
        <v>0,5995</v>
      </c>
      <c r="E34" s="25" t="s">
        <v>181</v>
      </c>
      <c r="F34" s="25" t="s">
        <v>359</v>
      </c>
      <c r="G34" s="26" t="s">
        <v>117</v>
      </c>
      <c r="H34" s="26" t="s">
        <v>585</v>
      </c>
      <c r="I34" s="27"/>
      <c r="J34" s="27"/>
      <c r="K34" s="32" t="str">
        <f>"172,5"</f>
        <v>172,5</v>
      </c>
      <c r="L34" s="33" t="str">
        <f>"170,1156"</f>
        <v>170,1156</v>
      </c>
      <c r="M34" s="25" t="s">
        <v>31</v>
      </c>
    </row>
    <row r="36" spans="1:13" ht="15" x14ac:dyDescent="0.2">
      <c r="A36" s="51" t="s">
        <v>137</v>
      </c>
      <c r="B36" s="51"/>
      <c r="C36" s="51"/>
      <c r="D36" s="51"/>
      <c r="E36" s="51"/>
      <c r="F36" s="51"/>
      <c r="G36" s="51"/>
      <c r="H36" s="51"/>
      <c r="I36" s="51"/>
      <c r="J36" s="51"/>
    </row>
    <row r="37" spans="1:13" x14ac:dyDescent="0.2">
      <c r="A37" s="19" t="s">
        <v>586</v>
      </c>
      <c r="B37" s="19" t="s">
        <v>398</v>
      </c>
      <c r="C37" s="19" t="s">
        <v>399</v>
      </c>
      <c r="D37" s="19" t="str">
        <f>"0,5386"</f>
        <v>0,5386</v>
      </c>
      <c r="E37" s="19" t="s">
        <v>94</v>
      </c>
      <c r="F37" s="19" t="s">
        <v>95</v>
      </c>
      <c r="G37" s="20" t="s">
        <v>206</v>
      </c>
      <c r="H37" s="20" t="s">
        <v>507</v>
      </c>
      <c r="I37" s="21" t="s">
        <v>151</v>
      </c>
      <c r="J37" s="21"/>
      <c r="K37" s="28" t="str">
        <f>"270,0"</f>
        <v>270,0</v>
      </c>
      <c r="L37" s="29" t="str">
        <f>"145,4220"</f>
        <v>145,4220</v>
      </c>
      <c r="M37" s="19" t="s">
        <v>31</v>
      </c>
    </row>
    <row r="38" spans="1:13" x14ac:dyDescent="0.2">
      <c r="A38" s="25" t="s">
        <v>587</v>
      </c>
      <c r="B38" s="25" t="s">
        <v>140</v>
      </c>
      <c r="C38" s="25" t="s">
        <v>141</v>
      </c>
      <c r="D38" s="25" t="str">
        <f>"0,5421"</f>
        <v>0,5421</v>
      </c>
      <c r="E38" s="25" t="s">
        <v>94</v>
      </c>
      <c r="F38" s="25" t="s">
        <v>95</v>
      </c>
      <c r="G38" s="26" t="s">
        <v>131</v>
      </c>
      <c r="H38" s="26" t="s">
        <v>132</v>
      </c>
      <c r="I38" s="26" t="s">
        <v>133</v>
      </c>
      <c r="J38" s="27"/>
      <c r="K38" s="32" t="str">
        <f>"215,0"</f>
        <v>215,0</v>
      </c>
      <c r="L38" s="33" t="str">
        <f>"116,5515"</f>
        <v>116,5515</v>
      </c>
      <c r="M38" s="25" t="s">
        <v>31</v>
      </c>
    </row>
    <row r="40" spans="1:13" ht="15" x14ac:dyDescent="0.2">
      <c r="E40" s="9" t="s">
        <v>32</v>
      </c>
    </row>
    <row r="41" spans="1:13" ht="15" x14ac:dyDescent="0.2">
      <c r="E41" s="9" t="s">
        <v>33</v>
      </c>
    </row>
    <row r="42" spans="1:13" ht="15" x14ac:dyDescent="0.2">
      <c r="E42" s="9" t="s">
        <v>34</v>
      </c>
    </row>
    <row r="43" spans="1:13" ht="15" x14ac:dyDescent="0.2">
      <c r="E43" s="9" t="s">
        <v>35</v>
      </c>
    </row>
    <row r="44" spans="1:13" ht="15" x14ac:dyDescent="0.2">
      <c r="E44" s="9" t="s">
        <v>35</v>
      </c>
    </row>
    <row r="45" spans="1:13" ht="15" x14ac:dyDescent="0.2">
      <c r="E45" s="9" t="s">
        <v>36</v>
      </c>
    </row>
    <row r="46" spans="1:13" ht="15" x14ac:dyDescent="0.2">
      <c r="E46" s="9"/>
    </row>
    <row r="48" spans="1:13" ht="18" x14ac:dyDescent="0.25">
      <c r="A48" s="13" t="s">
        <v>37</v>
      </c>
      <c r="B48" s="13"/>
    </row>
    <row r="49" spans="1:5" ht="15" x14ac:dyDescent="0.2">
      <c r="A49" s="14" t="s">
        <v>144</v>
      </c>
      <c r="B49" s="14"/>
    </row>
    <row r="50" spans="1:5" ht="14.25" x14ac:dyDescent="0.2">
      <c r="A50" s="16"/>
      <c r="B50" s="17" t="s">
        <v>149</v>
      </c>
    </row>
    <row r="51" spans="1:5" ht="15" x14ac:dyDescent="0.2">
      <c r="A51" s="18" t="s">
        <v>40</v>
      </c>
      <c r="B51" s="18" t="s">
        <v>41</v>
      </c>
      <c r="C51" s="18" t="s">
        <v>42</v>
      </c>
      <c r="D51" s="18" t="s">
        <v>240</v>
      </c>
      <c r="E51" s="18" t="s">
        <v>44</v>
      </c>
    </row>
    <row r="52" spans="1:5" x14ac:dyDescent="0.2">
      <c r="A52" s="15" t="s">
        <v>544</v>
      </c>
      <c r="B52" s="4" t="s">
        <v>149</v>
      </c>
      <c r="C52" s="4" t="s">
        <v>273</v>
      </c>
      <c r="D52" s="4" t="s">
        <v>104</v>
      </c>
      <c r="E52" s="10" t="s">
        <v>588</v>
      </c>
    </row>
    <row r="53" spans="1:5" x14ac:dyDescent="0.2">
      <c r="A53" s="15" t="s">
        <v>539</v>
      </c>
      <c r="B53" s="4" t="s">
        <v>149</v>
      </c>
      <c r="C53" s="4" t="s">
        <v>150</v>
      </c>
      <c r="D53" s="4" t="s">
        <v>195</v>
      </c>
      <c r="E53" s="10" t="s">
        <v>589</v>
      </c>
    </row>
    <row r="54" spans="1:5" x14ac:dyDescent="0.2">
      <c r="A54" s="15" t="s">
        <v>61</v>
      </c>
      <c r="B54" s="4" t="s">
        <v>149</v>
      </c>
      <c r="C54" s="4" t="s">
        <v>150</v>
      </c>
      <c r="D54" s="4" t="s">
        <v>70</v>
      </c>
      <c r="E54" s="10" t="s">
        <v>590</v>
      </c>
    </row>
    <row r="55" spans="1:5" x14ac:dyDescent="0.2">
      <c r="A55" s="15" t="s">
        <v>290</v>
      </c>
      <c r="B55" s="4" t="s">
        <v>149</v>
      </c>
      <c r="C55" s="4" t="s">
        <v>417</v>
      </c>
      <c r="D55" s="4" t="s">
        <v>67</v>
      </c>
      <c r="E55" s="10" t="s">
        <v>591</v>
      </c>
    </row>
    <row r="57" spans="1:5" ht="14.25" x14ac:dyDescent="0.2">
      <c r="A57" s="16"/>
      <c r="B57" s="17" t="s">
        <v>171</v>
      </c>
    </row>
    <row r="58" spans="1:5" ht="15" x14ac:dyDescent="0.2">
      <c r="A58" s="18" t="s">
        <v>40</v>
      </c>
      <c r="B58" s="18" t="s">
        <v>41</v>
      </c>
      <c r="C58" s="18" t="s">
        <v>42</v>
      </c>
      <c r="D58" s="18" t="s">
        <v>240</v>
      </c>
      <c r="E58" s="18" t="s">
        <v>44</v>
      </c>
    </row>
    <row r="59" spans="1:5" x14ac:dyDescent="0.2">
      <c r="A59" s="15" t="s">
        <v>301</v>
      </c>
      <c r="B59" s="4" t="s">
        <v>244</v>
      </c>
      <c r="C59" s="4" t="s">
        <v>46</v>
      </c>
      <c r="D59" s="4" t="s">
        <v>97</v>
      </c>
      <c r="E59" s="10" t="s">
        <v>592</v>
      </c>
    </row>
    <row r="60" spans="1:5" x14ac:dyDescent="0.2">
      <c r="A60" s="15" t="s">
        <v>547</v>
      </c>
      <c r="B60" s="4" t="s">
        <v>277</v>
      </c>
      <c r="C60" s="4" t="s">
        <v>241</v>
      </c>
      <c r="D60" s="4" t="s">
        <v>143</v>
      </c>
      <c r="E60" s="10" t="s">
        <v>593</v>
      </c>
    </row>
    <row r="63" spans="1:5" ht="15" x14ac:dyDescent="0.2">
      <c r="A63" s="14" t="s">
        <v>38</v>
      </c>
      <c r="B63" s="14"/>
    </row>
    <row r="64" spans="1:5" ht="14.25" x14ac:dyDescent="0.2">
      <c r="A64" s="16"/>
      <c r="B64" s="17" t="s">
        <v>39</v>
      </c>
    </row>
    <row r="65" spans="1:5" ht="15" x14ac:dyDescent="0.2">
      <c r="A65" s="18" t="s">
        <v>40</v>
      </c>
      <c r="B65" s="18" t="s">
        <v>41</v>
      </c>
      <c r="C65" s="18" t="s">
        <v>42</v>
      </c>
      <c r="D65" s="18" t="s">
        <v>240</v>
      </c>
      <c r="E65" s="18" t="s">
        <v>44</v>
      </c>
    </row>
    <row r="66" spans="1:5" x14ac:dyDescent="0.2">
      <c r="A66" s="15" t="s">
        <v>71</v>
      </c>
      <c r="B66" s="4" t="s">
        <v>45</v>
      </c>
      <c r="C66" s="4" t="s">
        <v>46</v>
      </c>
      <c r="D66" s="4" t="s">
        <v>81</v>
      </c>
      <c r="E66" s="10" t="s">
        <v>594</v>
      </c>
    </row>
    <row r="67" spans="1:5" x14ac:dyDescent="0.2">
      <c r="A67" s="15" t="s">
        <v>83</v>
      </c>
      <c r="B67" s="4" t="s">
        <v>45</v>
      </c>
      <c r="C67" s="4" t="s">
        <v>158</v>
      </c>
      <c r="D67" s="4" t="s">
        <v>23</v>
      </c>
      <c r="E67" s="10" t="s">
        <v>595</v>
      </c>
    </row>
    <row r="69" spans="1:5" ht="14.25" x14ac:dyDescent="0.2">
      <c r="A69" s="16"/>
      <c r="B69" s="17" t="s">
        <v>431</v>
      </c>
    </row>
    <row r="70" spans="1:5" ht="15" x14ac:dyDescent="0.2">
      <c r="A70" s="18" t="s">
        <v>40</v>
      </c>
      <c r="B70" s="18" t="s">
        <v>41</v>
      </c>
      <c r="C70" s="18" t="s">
        <v>42</v>
      </c>
      <c r="D70" s="18" t="s">
        <v>240</v>
      </c>
      <c r="E70" s="18" t="s">
        <v>44</v>
      </c>
    </row>
    <row r="71" spans="1:5" x14ac:dyDescent="0.2">
      <c r="A71" s="15" t="s">
        <v>565</v>
      </c>
      <c r="B71" s="4" t="s">
        <v>414</v>
      </c>
      <c r="C71" s="4" t="s">
        <v>168</v>
      </c>
      <c r="D71" s="4" t="s">
        <v>572</v>
      </c>
      <c r="E71" s="10" t="s">
        <v>596</v>
      </c>
    </row>
    <row r="73" spans="1:5" ht="14.25" x14ac:dyDescent="0.2">
      <c r="A73" s="16"/>
      <c r="B73" s="17" t="s">
        <v>149</v>
      </c>
    </row>
    <row r="74" spans="1:5" ht="15" x14ac:dyDescent="0.2">
      <c r="A74" s="18" t="s">
        <v>40</v>
      </c>
      <c r="B74" s="18" t="s">
        <v>41</v>
      </c>
      <c r="C74" s="18" t="s">
        <v>42</v>
      </c>
      <c r="D74" s="18" t="s">
        <v>240</v>
      </c>
      <c r="E74" s="18" t="s">
        <v>44</v>
      </c>
    </row>
    <row r="75" spans="1:5" x14ac:dyDescent="0.2">
      <c r="A75" s="15" t="s">
        <v>396</v>
      </c>
      <c r="B75" s="4" t="s">
        <v>149</v>
      </c>
      <c r="C75" s="4" t="s">
        <v>165</v>
      </c>
      <c r="D75" s="4" t="s">
        <v>507</v>
      </c>
      <c r="E75" s="10" t="s">
        <v>597</v>
      </c>
    </row>
    <row r="76" spans="1:5" x14ac:dyDescent="0.2">
      <c r="A76" s="15" t="s">
        <v>551</v>
      </c>
      <c r="B76" s="4" t="s">
        <v>149</v>
      </c>
      <c r="C76" s="4" t="s">
        <v>158</v>
      </c>
      <c r="D76" s="4" t="s">
        <v>131</v>
      </c>
      <c r="E76" s="10" t="s">
        <v>598</v>
      </c>
    </row>
    <row r="77" spans="1:5" x14ac:dyDescent="0.2">
      <c r="A77" s="15" t="s">
        <v>573</v>
      </c>
      <c r="B77" s="4" t="s">
        <v>149</v>
      </c>
      <c r="C77" s="4" t="s">
        <v>168</v>
      </c>
      <c r="D77" s="4" t="s">
        <v>132</v>
      </c>
      <c r="E77" s="10" t="s">
        <v>599</v>
      </c>
    </row>
    <row r="78" spans="1:5" x14ac:dyDescent="0.2">
      <c r="A78" s="15" t="s">
        <v>556</v>
      </c>
      <c r="B78" s="4" t="s">
        <v>149</v>
      </c>
      <c r="C78" s="4" t="s">
        <v>158</v>
      </c>
      <c r="D78" s="4" t="s">
        <v>188</v>
      </c>
      <c r="E78" s="10" t="s">
        <v>600</v>
      </c>
    </row>
    <row r="79" spans="1:5" x14ac:dyDescent="0.2">
      <c r="A79" s="15" t="s">
        <v>138</v>
      </c>
      <c r="B79" s="4" t="s">
        <v>149</v>
      </c>
      <c r="C79" s="4" t="s">
        <v>165</v>
      </c>
      <c r="D79" s="4" t="s">
        <v>133</v>
      </c>
      <c r="E79" s="10" t="s">
        <v>601</v>
      </c>
    </row>
    <row r="81" spans="1:5" ht="14.25" x14ac:dyDescent="0.2">
      <c r="A81" s="16"/>
      <c r="B81" s="17" t="s">
        <v>171</v>
      </c>
    </row>
    <row r="82" spans="1:5" ht="15" x14ac:dyDescent="0.2">
      <c r="A82" s="18" t="s">
        <v>40</v>
      </c>
      <c r="B82" s="18" t="s">
        <v>41</v>
      </c>
      <c r="C82" s="18" t="s">
        <v>42</v>
      </c>
      <c r="D82" s="18" t="s">
        <v>240</v>
      </c>
      <c r="E82" s="18" t="s">
        <v>44</v>
      </c>
    </row>
    <row r="83" spans="1:5" x14ac:dyDescent="0.2">
      <c r="A83" s="15" t="s">
        <v>581</v>
      </c>
      <c r="B83" s="4" t="s">
        <v>275</v>
      </c>
      <c r="C83" s="4" t="s">
        <v>168</v>
      </c>
      <c r="D83" s="4" t="s">
        <v>585</v>
      </c>
      <c r="E83" s="10" t="s">
        <v>602</v>
      </c>
    </row>
    <row r="84" spans="1:5" x14ac:dyDescent="0.2">
      <c r="A84" s="15" t="s">
        <v>577</v>
      </c>
      <c r="B84" s="4" t="s">
        <v>277</v>
      </c>
      <c r="C84" s="4" t="s">
        <v>168</v>
      </c>
      <c r="D84" s="4" t="s">
        <v>134</v>
      </c>
      <c r="E84" s="10" t="s">
        <v>603</v>
      </c>
    </row>
    <row r="85" spans="1:5" x14ac:dyDescent="0.2">
      <c r="A85" s="15" t="s">
        <v>561</v>
      </c>
      <c r="B85" s="4" t="s">
        <v>172</v>
      </c>
      <c r="C85" s="4" t="s">
        <v>158</v>
      </c>
      <c r="D85" s="4" t="s">
        <v>188</v>
      </c>
      <c r="E85" s="10" t="s">
        <v>604</v>
      </c>
    </row>
  </sheetData>
  <mergeCells count="20">
    <mergeCell ref="A30:J30"/>
    <mergeCell ref="A36:J36"/>
    <mergeCell ref="A8:J8"/>
    <mergeCell ref="A11:J11"/>
    <mergeCell ref="A15:J15"/>
    <mergeCell ref="A18:J18"/>
    <mergeCell ref="A21:J21"/>
    <mergeCell ref="A24:J24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9" width="6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2" t="s">
        <v>854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137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19" t="s">
        <v>519</v>
      </c>
      <c r="B6" s="19" t="s">
        <v>520</v>
      </c>
      <c r="C6" s="19" t="s">
        <v>521</v>
      </c>
      <c r="D6" s="19" t="str">
        <f>"0,5437"</f>
        <v>0,5437</v>
      </c>
      <c r="E6" s="19" t="s">
        <v>53</v>
      </c>
      <c r="F6" s="19" t="s">
        <v>21</v>
      </c>
      <c r="G6" s="20" t="s">
        <v>522</v>
      </c>
      <c r="H6" s="20" t="s">
        <v>523</v>
      </c>
      <c r="I6" s="20" t="s">
        <v>524</v>
      </c>
      <c r="J6" s="21"/>
      <c r="K6" s="28" t="str">
        <f>"270,0"</f>
        <v>270,0</v>
      </c>
      <c r="L6" s="29" t="str">
        <f>"195,2427"</f>
        <v>195,2427</v>
      </c>
      <c r="M6" s="19" t="s">
        <v>525</v>
      </c>
    </row>
    <row r="7" spans="1:13" x14ac:dyDescent="0.2">
      <c r="A7" s="25" t="s">
        <v>527</v>
      </c>
      <c r="B7" s="25" t="s">
        <v>528</v>
      </c>
      <c r="C7" s="25" t="s">
        <v>521</v>
      </c>
      <c r="D7" s="25" t="str">
        <f>"0,5437"</f>
        <v>0,5437</v>
      </c>
      <c r="E7" s="25" t="s">
        <v>181</v>
      </c>
      <c r="F7" s="25" t="s">
        <v>21</v>
      </c>
      <c r="G7" s="26" t="s">
        <v>105</v>
      </c>
      <c r="H7" s="27" t="s">
        <v>147</v>
      </c>
      <c r="I7" s="27" t="s">
        <v>133</v>
      </c>
      <c r="J7" s="27"/>
      <c r="K7" s="32" t="str">
        <f>"185,0"</f>
        <v>185,0</v>
      </c>
      <c r="L7" s="33" t="str">
        <f>"165,4615"</f>
        <v>165,4615</v>
      </c>
      <c r="M7" s="25" t="s">
        <v>31</v>
      </c>
    </row>
    <row r="9" spans="1:13" ht="15" x14ac:dyDescent="0.2">
      <c r="A9" s="51" t="s">
        <v>401</v>
      </c>
      <c r="B9" s="51"/>
      <c r="C9" s="51"/>
      <c r="D9" s="51"/>
      <c r="E9" s="51"/>
      <c r="F9" s="51"/>
      <c r="G9" s="51"/>
      <c r="H9" s="51"/>
      <c r="I9" s="51"/>
      <c r="J9" s="51"/>
    </row>
    <row r="10" spans="1:13" x14ac:dyDescent="0.2">
      <c r="A10" s="6" t="s">
        <v>530</v>
      </c>
      <c r="B10" s="6" t="s">
        <v>531</v>
      </c>
      <c r="C10" s="6" t="s">
        <v>532</v>
      </c>
      <c r="D10" s="6" t="str">
        <f>"0,5314"</f>
        <v>0,5314</v>
      </c>
      <c r="E10" s="6" t="s">
        <v>53</v>
      </c>
      <c r="F10" s="6" t="s">
        <v>21</v>
      </c>
      <c r="G10" s="7" t="s">
        <v>207</v>
      </c>
      <c r="H10" s="8" t="s">
        <v>533</v>
      </c>
      <c r="I10" s="8" t="s">
        <v>512</v>
      </c>
      <c r="J10" s="8"/>
      <c r="K10" s="11" t="str">
        <f>"280,0"</f>
        <v>280,0</v>
      </c>
      <c r="L10" s="12" t="str">
        <f>"148,7920"</f>
        <v>148,7920</v>
      </c>
      <c r="M10" s="6" t="s">
        <v>31</v>
      </c>
    </row>
    <row r="12" spans="1:13" ht="15" x14ac:dyDescent="0.2">
      <c r="E12" s="9" t="s">
        <v>32</v>
      </c>
    </row>
    <row r="13" spans="1:13" ht="15" x14ac:dyDescent="0.2">
      <c r="E13" s="9" t="s">
        <v>33</v>
      </c>
    </row>
    <row r="14" spans="1:13" ht="15" x14ac:dyDescent="0.2">
      <c r="E14" s="9" t="s">
        <v>34</v>
      </c>
    </row>
    <row r="15" spans="1:13" ht="15" x14ac:dyDescent="0.2">
      <c r="E15" s="9" t="s">
        <v>35</v>
      </c>
    </row>
    <row r="16" spans="1:13" ht="15" x14ac:dyDescent="0.2">
      <c r="E16" s="9" t="s">
        <v>35</v>
      </c>
    </row>
    <row r="17" spans="1:5" ht="15" x14ac:dyDescent="0.2">
      <c r="E17" s="9" t="s">
        <v>36</v>
      </c>
    </row>
    <row r="18" spans="1:5" ht="15" x14ac:dyDescent="0.2">
      <c r="E18" s="9"/>
    </row>
    <row r="20" spans="1:5" ht="18" x14ac:dyDescent="0.25">
      <c r="A20" s="13" t="s">
        <v>37</v>
      </c>
      <c r="B20" s="13"/>
    </row>
    <row r="21" spans="1:5" ht="15" x14ac:dyDescent="0.2">
      <c r="A21" s="14" t="s">
        <v>38</v>
      </c>
      <c r="B21" s="14"/>
    </row>
    <row r="22" spans="1:5" ht="14.25" x14ac:dyDescent="0.2">
      <c r="A22" s="16"/>
      <c r="B22" s="17" t="s">
        <v>149</v>
      </c>
    </row>
    <row r="23" spans="1:5" ht="15" x14ac:dyDescent="0.2">
      <c r="A23" s="18" t="s">
        <v>40</v>
      </c>
      <c r="B23" s="18" t="s">
        <v>41</v>
      </c>
      <c r="C23" s="18" t="s">
        <v>42</v>
      </c>
      <c r="D23" s="18" t="s">
        <v>240</v>
      </c>
      <c r="E23" s="18" t="s">
        <v>44</v>
      </c>
    </row>
    <row r="24" spans="1:5" x14ac:dyDescent="0.2">
      <c r="A24" s="15" t="s">
        <v>529</v>
      </c>
      <c r="B24" s="4" t="s">
        <v>149</v>
      </c>
      <c r="C24" s="4" t="s">
        <v>432</v>
      </c>
      <c r="D24" s="4" t="s">
        <v>207</v>
      </c>
      <c r="E24" s="10" t="s">
        <v>534</v>
      </c>
    </row>
    <row r="26" spans="1:5" ht="14.25" x14ac:dyDescent="0.2">
      <c r="A26" s="16"/>
      <c r="B26" s="17" t="s">
        <v>171</v>
      </c>
    </row>
    <row r="27" spans="1:5" ht="15" x14ac:dyDescent="0.2">
      <c r="A27" s="18" t="s">
        <v>40</v>
      </c>
      <c r="B27" s="18" t="s">
        <v>41</v>
      </c>
      <c r="C27" s="18" t="s">
        <v>42</v>
      </c>
      <c r="D27" s="18" t="s">
        <v>240</v>
      </c>
      <c r="E27" s="18" t="s">
        <v>44</v>
      </c>
    </row>
    <row r="28" spans="1:5" x14ac:dyDescent="0.2">
      <c r="A28" s="15" t="s">
        <v>518</v>
      </c>
      <c r="B28" s="4" t="s">
        <v>246</v>
      </c>
      <c r="C28" s="4" t="s">
        <v>165</v>
      </c>
      <c r="D28" s="4" t="s">
        <v>507</v>
      </c>
      <c r="E28" s="10" t="s">
        <v>535</v>
      </c>
    </row>
    <row r="29" spans="1:5" x14ac:dyDescent="0.2">
      <c r="A29" s="15" t="s">
        <v>526</v>
      </c>
      <c r="B29" s="4" t="s">
        <v>275</v>
      </c>
      <c r="C29" s="4" t="s">
        <v>165</v>
      </c>
      <c r="D29" s="4" t="s">
        <v>105</v>
      </c>
      <c r="E29" s="10" t="s">
        <v>536</v>
      </c>
    </row>
  </sheetData>
  <mergeCells count="13">
    <mergeCell ref="A9:J9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2" t="s">
        <v>853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94.5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82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6" t="s">
        <v>496</v>
      </c>
      <c r="B6" s="6" t="s">
        <v>497</v>
      </c>
      <c r="C6" s="6" t="s">
        <v>498</v>
      </c>
      <c r="D6" s="6" t="str">
        <f>"0,6219"</f>
        <v>0,6219</v>
      </c>
      <c r="E6" s="6" t="s">
        <v>94</v>
      </c>
      <c r="F6" s="6" t="s">
        <v>254</v>
      </c>
      <c r="G6" s="7" t="s">
        <v>131</v>
      </c>
      <c r="H6" s="7" t="s">
        <v>132</v>
      </c>
      <c r="I6" s="7" t="s">
        <v>135</v>
      </c>
      <c r="J6" s="8"/>
      <c r="K6" s="11" t="str">
        <f>"220,0"</f>
        <v>220,0</v>
      </c>
      <c r="L6" s="12" t="str">
        <f>"136,8180"</f>
        <v>136,8180</v>
      </c>
      <c r="M6" s="6" t="s">
        <v>31</v>
      </c>
    </row>
    <row r="8" spans="1:13" ht="15" x14ac:dyDescent="0.2">
      <c r="A8" s="51" t="s">
        <v>118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2">
      <c r="A9" s="19" t="s">
        <v>500</v>
      </c>
      <c r="B9" s="19" t="s">
        <v>501</v>
      </c>
      <c r="C9" s="19" t="s">
        <v>502</v>
      </c>
      <c r="D9" s="19" t="str">
        <f>"0,5548"</f>
        <v>0,5548</v>
      </c>
      <c r="E9" s="19" t="s">
        <v>94</v>
      </c>
      <c r="F9" s="19" t="s">
        <v>254</v>
      </c>
      <c r="G9" s="20" t="s">
        <v>188</v>
      </c>
      <c r="H9" s="20" t="s">
        <v>194</v>
      </c>
      <c r="I9" s="21" t="s">
        <v>131</v>
      </c>
      <c r="J9" s="21"/>
      <c r="K9" s="28" t="str">
        <f>"195,0"</f>
        <v>195,0</v>
      </c>
      <c r="L9" s="29" t="str">
        <f>"108,1860"</f>
        <v>108,1860</v>
      </c>
      <c r="M9" s="19" t="s">
        <v>31</v>
      </c>
    </row>
    <row r="10" spans="1:13" x14ac:dyDescent="0.2">
      <c r="A10" s="25" t="s">
        <v>504</v>
      </c>
      <c r="B10" s="25" t="s">
        <v>505</v>
      </c>
      <c r="C10" s="25" t="s">
        <v>506</v>
      </c>
      <c r="D10" s="25" t="str">
        <f>"0,5540"</f>
        <v>0,5540</v>
      </c>
      <c r="E10" s="25" t="s">
        <v>94</v>
      </c>
      <c r="F10" s="25" t="s">
        <v>254</v>
      </c>
      <c r="G10" s="26" t="s">
        <v>206</v>
      </c>
      <c r="H10" s="26" t="s">
        <v>507</v>
      </c>
      <c r="I10" s="26" t="s">
        <v>207</v>
      </c>
      <c r="J10" s="27"/>
      <c r="K10" s="32" t="str">
        <f>"280,0"</f>
        <v>280,0</v>
      </c>
      <c r="L10" s="33" t="str">
        <f>"155,5854"</f>
        <v>155,5854</v>
      </c>
      <c r="M10" s="25" t="s">
        <v>31</v>
      </c>
    </row>
    <row r="12" spans="1:13" ht="15" x14ac:dyDescent="0.2">
      <c r="A12" s="51" t="s">
        <v>401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3" x14ac:dyDescent="0.2">
      <c r="A13" s="6" t="s">
        <v>509</v>
      </c>
      <c r="B13" s="6" t="s">
        <v>510</v>
      </c>
      <c r="C13" s="6" t="s">
        <v>511</v>
      </c>
      <c r="D13" s="6" t="str">
        <f>"0,5210"</f>
        <v>0,5210</v>
      </c>
      <c r="E13" s="6" t="s">
        <v>94</v>
      </c>
      <c r="F13" s="6" t="s">
        <v>254</v>
      </c>
      <c r="G13" s="7" t="s">
        <v>512</v>
      </c>
      <c r="H13" s="8" t="s">
        <v>513</v>
      </c>
      <c r="I13" s="7" t="s">
        <v>513</v>
      </c>
      <c r="J13" s="8"/>
      <c r="K13" s="11" t="str">
        <f>"345,0"</f>
        <v>345,0</v>
      </c>
      <c r="L13" s="12" t="str">
        <f>"179,7450"</f>
        <v>179,7450</v>
      </c>
      <c r="M13" s="6" t="s">
        <v>31</v>
      </c>
    </row>
    <row r="15" spans="1:13" ht="15" x14ac:dyDescent="0.2">
      <c r="E15" s="9" t="s">
        <v>32</v>
      </c>
    </row>
    <row r="16" spans="1:13" ht="15" x14ac:dyDescent="0.2">
      <c r="E16" s="9" t="s">
        <v>33</v>
      </c>
    </row>
    <row r="17" spans="1:5" ht="15" x14ac:dyDescent="0.2">
      <c r="E17" s="9" t="s">
        <v>34</v>
      </c>
    </row>
    <row r="18" spans="1:5" ht="15" x14ac:dyDescent="0.2">
      <c r="E18" s="9" t="s">
        <v>35</v>
      </c>
    </row>
    <row r="19" spans="1:5" ht="15" x14ac:dyDescent="0.2">
      <c r="E19" s="9" t="s">
        <v>35</v>
      </c>
    </row>
    <row r="20" spans="1:5" ht="15" x14ac:dyDescent="0.2">
      <c r="E20" s="9" t="s">
        <v>36</v>
      </c>
    </row>
    <row r="21" spans="1:5" ht="15" x14ac:dyDescent="0.2">
      <c r="E21" s="9"/>
    </row>
    <row r="23" spans="1:5" ht="18" x14ac:dyDescent="0.25">
      <c r="A23" s="13" t="s">
        <v>37</v>
      </c>
      <c r="B23" s="13"/>
    </row>
    <row r="24" spans="1:5" ht="15" x14ac:dyDescent="0.2">
      <c r="A24" s="14" t="s">
        <v>38</v>
      </c>
      <c r="B24" s="14"/>
    </row>
    <row r="25" spans="1:5" ht="14.25" x14ac:dyDescent="0.2">
      <c r="A25" s="16"/>
      <c r="B25" s="17" t="s">
        <v>149</v>
      </c>
    </row>
    <row r="26" spans="1:5" ht="15" x14ac:dyDescent="0.2">
      <c r="A26" s="18" t="s">
        <v>40</v>
      </c>
      <c r="B26" s="18" t="s">
        <v>41</v>
      </c>
      <c r="C26" s="18" t="s">
        <v>42</v>
      </c>
      <c r="D26" s="18" t="s">
        <v>240</v>
      </c>
      <c r="E26" s="18" t="s">
        <v>44</v>
      </c>
    </row>
    <row r="27" spans="1:5" x14ac:dyDescent="0.2">
      <c r="A27" s="15" t="s">
        <v>508</v>
      </c>
      <c r="B27" s="4" t="s">
        <v>149</v>
      </c>
      <c r="C27" s="4" t="s">
        <v>432</v>
      </c>
      <c r="D27" s="4" t="s">
        <v>513</v>
      </c>
      <c r="E27" s="10" t="s">
        <v>514</v>
      </c>
    </row>
    <row r="28" spans="1:5" x14ac:dyDescent="0.2">
      <c r="A28" s="15" t="s">
        <v>495</v>
      </c>
      <c r="B28" s="4" t="s">
        <v>149</v>
      </c>
      <c r="C28" s="4" t="s">
        <v>158</v>
      </c>
      <c r="D28" s="4" t="s">
        <v>135</v>
      </c>
      <c r="E28" s="10" t="s">
        <v>515</v>
      </c>
    </row>
    <row r="29" spans="1:5" x14ac:dyDescent="0.2">
      <c r="A29" s="15" t="s">
        <v>499</v>
      </c>
      <c r="B29" s="4" t="s">
        <v>149</v>
      </c>
      <c r="C29" s="4" t="s">
        <v>154</v>
      </c>
      <c r="D29" s="4" t="s">
        <v>194</v>
      </c>
      <c r="E29" s="10" t="s">
        <v>516</v>
      </c>
    </row>
    <row r="31" spans="1:5" ht="14.25" x14ac:dyDescent="0.2">
      <c r="A31" s="16"/>
      <c r="B31" s="17" t="s">
        <v>171</v>
      </c>
    </row>
    <row r="32" spans="1:5" ht="15" x14ac:dyDescent="0.2">
      <c r="A32" s="18" t="s">
        <v>40</v>
      </c>
      <c r="B32" s="18" t="s">
        <v>41</v>
      </c>
      <c r="C32" s="18" t="s">
        <v>42</v>
      </c>
      <c r="D32" s="18" t="s">
        <v>240</v>
      </c>
      <c r="E32" s="18" t="s">
        <v>44</v>
      </c>
    </row>
    <row r="33" spans="1:5" x14ac:dyDescent="0.2">
      <c r="A33" s="15" t="s">
        <v>503</v>
      </c>
      <c r="B33" s="4" t="s">
        <v>172</v>
      </c>
      <c r="C33" s="4" t="s">
        <v>154</v>
      </c>
      <c r="D33" s="4" t="s">
        <v>207</v>
      </c>
      <c r="E33" s="10" t="s">
        <v>517</v>
      </c>
    </row>
  </sheetData>
  <mergeCells count="14">
    <mergeCell ref="A8:J8"/>
    <mergeCell ref="A12:J12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7" width="5.5703125" style="3" customWidth="1"/>
    <col min="8" max="9" width="4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2" t="s">
        <v>852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102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285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6" t="s">
        <v>491</v>
      </c>
      <c r="B6" s="6" t="s">
        <v>492</v>
      </c>
      <c r="C6" s="6" t="s">
        <v>493</v>
      </c>
      <c r="D6" s="6" t="str">
        <f>"0,9693"</f>
        <v>0,9693</v>
      </c>
      <c r="E6" s="6" t="s">
        <v>53</v>
      </c>
      <c r="F6" s="6" t="s">
        <v>21</v>
      </c>
      <c r="G6" s="7" t="s">
        <v>262</v>
      </c>
      <c r="H6" s="8" t="s">
        <v>87</v>
      </c>
      <c r="I6" s="8" t="s">
        <v>87</v>
      </c>
      <c r="J6" s="8"/>
      <c r="K6" s="11" t="str">
        <f>"55,0"</f>
        <v>55,0</v>
      </c>
      <c r="L6" s="12" t="str">
        <f>"53,3142"</f>
        <v>53,3142</v>
      </c>
      <c r="M6" s="6" t="s">
        <v>31</v>
      </c>
    </row>
    <row r="8" spans="1:13" ht="15" x14ac:dyDescent="0.2">
      <c r="E8" s="9" t="s">
        <v>32</v>
      </c>
    </row>
    <row r="9" spans="1:13" ht="15" x14ac:dyDescent="0.2">
      <c r="E9" s="9" t="s">
        <v>33</v>
      </c>
    </row>
    <row r="10" spans="1:13" ht="15" x14ac:dyDescent="0.2">
      <c r="E10" s="9" t="s">
        <v>34</v>
      </c>
    </row>
    <row r="11" spans="1:13" ht="15" x14ac:dyDescent="0.2">
      <c r="E11" s="9" t="s">
        <v>35</v>
      </c>
    </row>
    <row r="12" spans="1:13" ht="15" x14ac:dyDescent="0.2">
      <c r="E12" s="9" t="s">
        <v>35</v>
      </c>
    </row>
    <row r="13" spans="1:13" ht="15" x14ac:dyDescent="0.2">
      <c r="E13" s="9" t="s">
        <v>36</v>
      </c>
    </row>
    <row r="14" spans="1:13" ht="15" x14ac:dyDescent="0.2">
      <c r="E14" s="9"/>
    </row>
    <row r="16" spans="1:13" ht="18" x14ac:dyDescent="0.25">
      <c r="A16" s="13" t="s">
        <v>37</v>
      </c>
      <c r="B16" s="13"/>
    </row>
    <row r="17" spans="1:5" ht="15" x14ac:dyDescent="0.2">
      <c r="A17" s="14" t="s">
        <v>144</v>
      </c>
      <c r="B17" s="14"/>
    </row>
    <row r="18" spans="1:5" ht="14.25" x14ac:dyDescent="0.2">
      <c r="A18" s="16"/>
      <c r="B18" s="17" t="s">
        <v>149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240</v>
      </c>
      <c r="E19" s="18" t="s">
        <v>44</v>
      </c>
    </row>
    <row r="20" spans="1:5" x14ac:dyDescent="0.2">
      <c r="A20" s="15" t="s">
        <v>490</v>
      </c>
      <c r="B20" s="4" t="s">
        <v>149</v>
      </c>
      <c r="C20" s="4" t="s">
        <v>417</v>
      </c>
      <c r="D20" s="4" t="s">
        <v>80</v>
      </c>
      <c r="E20" s="10" t="s">
        <v>494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6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.1406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2" t="s">
        <v>851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8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285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6" t="s">
        <v>452</v>
      </c>
      <c r="B6" s="6" t="s">
        <v>453</v>
      </c>
      <c r="C6" s="6" t="s">
        <v>454</v>
      </c>
      <c r="D6" s="6" t="str">
        <f>"0,9849"</f>
        <v>0,9849</v>
      </c>
      <c r="E6" s="6" t="s">
        <v>94</v>
      </c>
      <c r="F6" s="6" t="s">
        <v>95</v>
      </c>
      <c r="G6" s="7" t="s">
        <v>58</v>
      </c>
      <c r="H6" s="8" t="s">
        <v>26</v>
      </c>
      <c r="I6" s="7" t="s">
        <v>26</v>
      </c>
      <c r="J6" s="8"/>
      <c r="K6" s="11" t="str">
        <f>"50,0"</f>
        <v>50,0</v>
      </c>
      <c r="L6" s="12" t="str">
        <f>"58,1091"</f>
        <v>58,1091</v>
      </c>
      <c r="M6" s="6" t="s">
        <v>31</v>
      </c>
    </row>
    <row r="8" spans="1:13" ht="15" x14ac:dyDescent="0.2">
      <c r="A8" s="51" t="s">
        <v>82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2">
      <c r="A9" s="6" t="s">
        <v>456</v>
      </c>
      <c r="B9" s="6" t="s">
        <v>457</v>
      </c>
      <c r="C9" s="6" t="s">
        <v>458</v>
      </c>
      <c r="D9" s="6" t="str">
        <f>"0,6467"</f>
        <v>0,6467</v>
      </c>
      <c r="E9" s="6" t="s">
        <v>94</v>
      </c>
      <c r="F9" s="6" t="s">
        <v>95</v>
      </c>
      <c r="G9" s="7" t="s">
        <v>69</v>
      </c>
      <c r="H9" s="7" t="s">
        <v>96</v>
      </c>
      <c r="I9" s="8" t="s">
        <v>113</v>
      </c>
      <c r="J9" s="8"/>
      <c r="K9" s="11" t="str">
        <f>"117,5"</f>
        <v>117,5</v>
      </c>
      <c r="L9" s="12" t="str">
        <f>"75,9873"</f>
        <v>75,9873</v>
      </c>
      <c r="M9" s="6" t="s">
        <v>31</v>
      </c>
    </row>
    <row r="11" spans="1:13" ht="15" x14ac:dyDescent="0.2">
      <c r="A11" s="51" t="s">
        <v>106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 x14ac:dyDescent="0.2">
      <c r="A12" s="6" t="s">
        <v>460</v>
      </c>
      <c r="B12" s="6" t="s">
        <v>461</v>
      </c>
      <c r="C12" s="6" t="s">
        <v>462</v>
      </c>
      <c r="D12" s="6" t="str">
        <f>"0,5922"</f>
        <v>0,5922</v>
      </c>
      <c r="E12" s="6" t="s">
        <v>53</v>
      </c>
      <c r="F12" s="6" t="s">
        <v>76</v>
      </c>
      <c r="G12" s="7" t="s">
        <v>117</v>
      </c>
      <c r="H12" s="7" t="s">
        <v>134</v>
      </c>
      <c r="I12" s="8"/>
      <c r="J12" s="8"/>
      <c r="K12" s="11" t="str">
        <f>"170,0"</f>
        <v>170,0</v>
      </c>
      <c r="L12" s="12" t="str">
        <f>"100,6740"</f>
        <v>100,6740</v>
      </c>
      <c r="M12" s="6" t="s">
        <v>31</v>
      </c>
    </row>
    <row r="14" spans="1:13" ht="15" x14ac:dyDescent="0.2">
      <c r="A14" s="51" t="s">
        <v>137</v>
      </c>
      <c r="B14" s="51"/>
      <c r="C14" s="51"/>
      <c r="D14" s="51"/>
      <c r="E14" s="51"/>
      <c r="F14" s="51"/>
      <c r="G14" s="51"/>
      <c r="H14" s="51"/>
      <c r="I14" s="51"/>
      <c r="J14" s="51"/>
    </row>
    <row r="15" spans="1:13" x14ac:dyDescent="0.2">
      <c r="A15" s="19" t="s">
        <v>464</v>
      </c>
      <c r="B15" s="19" t="s">
        <v>465</v>
      </c>
      <c r="C15" s="19" t="s">
        <v>466</v>
      </c>
      <c r="D15" s="19" t="str">
        <f>"0,5376"</f>
        <v>0,5376</v>
      </c>
      <c r="E15" s="19" t="s">
        <v>234</v>
      </c>
      <c r="F15" s="19" t="s">
        <v>21</v>
      </c>
      <c r="G15" s="20" t="s">
        <v>188</v>
      </c>
      <c r="H15" s="20" t="s">
        <v>131</v>
      </c>
      <c r="I15" s="21" t="s">
        <v>132</v>
      </c>
      <c r="J15" s="21"/>
      <c r="K15" s="28" t="str">
        <f>"200,0"</f>
        <v>200,0</v>
      </c>
      <c r="L15" s="29" t="str">
        <f>"107,5200"</f>
        <v>107,5200</v>
      </c>
      <c r="M15" s="19" t="s">
        <v>31</v>
      </c>
    </row>
    <row r="16" spans="1:13" x14ac:dyDescent="0.2">
      <c r="A16" s="25" t="s">
        <v>468</v>
      </c>
      <c r="B16" s="25" t="s">
        <v>469</v>
      </c>
      <c r="C16" s="25" t="s">
        <v>470</v>
      </c>
      <c r="D16" s="25" t="str">
        <f>"0,5398"</f>
        <v>0,5398</v>
      </c>
      <c r="E16" s="25" t="s">
        <v>94</v>
      </c>
      <c r="F16" s="25" t="s">
        <v>471</v>
      </c>
      <c r="G16" s="26" t="s">
        <v>188</v>
      </c>
      <c r="H16" s="26" t="s">
        <v>194</v>
      </c>
      <c r="I16" s="27" t="s">
        <v>472</v>
      </c>
      <c r="J16" s="27"/>
      <c r="K16" s="32" t="str">
        <f>"195,0"</f>
        <v>195,0</v>
      </c>
      <c r="L16" s="33" t="str">
        <f>"105,2610"</f>
        <v>105,2610</v>
      </c>
      <c r="M16" s="25" t="s">
        <v>31</v>
      </c>
    </row>
    <row r="18" spans="1:13" ht="15" x14ac:dyDescent="0.2">
      <c r="A18" s="51" t="s">
        <v>401</v>
      </c>
      <c r="B18" s="51"/>
      <c r="C18" s="51"/>
      <c r="D18" s="51"/>
      <c r="E18" s="51"/>
      <c r="F18" s="51"/>
      <c r="G18" s="51"/>
      <c r="H18" s="51"/>
      <c r="I18" s="51"/>
      <c r="J18" s="51"/>
    </row>
    <row r="19" spans="1:13" x14ac:dyDescent="0.2">
      <c r="A19" s="6" t="s">
        <v>474</v>
      </c>
      <c r="B19" s="6" t="s">
        <v>475</v>
      </c>
      <c r="C19" s="6" t="s">
        <v>476</v>
      </c>
      <c r="D19" s="6" t="str">
        <f>"0,5224"</f>
        <v>0,5224</v>
      </c>
      <c r="E19" s="6" t="s">
        <v>53</v>
      </c>
      <c r="F19" s="6" t="s">
        <v>66</v>
      </c>
      <c r="G19" s="7" t="s">
        <v>115</v>
      </c>
      <c r="H19" s="7" t="s">
        <v>111</v>
      </c>
      <c r="I19" s="7" t="s">
        <v>400</v>
      </c>
      <c r="J19" s="8"/>
      <c r="K19" s="11" t="str">
        <f>"162,5"</f>
        <v>162,5</v>
      </c>
      <c r="L19" s="12" t="str">
        <f>"84,8900"</f>
        <v>84,8900</v>
      </c>
      <c r="M19" s="6" t="s">
        <v>31</v>
      </c>
    </row>
    <row r="21" spans="1:13" ht="15" x14ac:dyDescent="0.2">
      <c r="A21" s="51" t="s">
        <v>477</v>
      </c>
      <c r="B21" s="51"/>
      <c r="C21" s="51"/>
      <c r="D21" s="51"/>
      <c r="E21" s="51"/>
      <c r="F21" s="51"/>
      <c r="G21" s="51"/>
      <c r="H21" s="51"/>
      <c r="I21" s="51"/>
      <c r="J21" s="51"/>
    </row>
    <row r="22" spans="1:13" x14ac:dyDescent="0.2">
      <c r="A22" s="6" t="s">
        <v>479</v>
      </c>
      <c r="B22" s="6" t="s">
        <v>480</v>
      </c>
      <c r="C22" s="6" t="s">
        <v>481</v>
      </c>
      <c r="D22" s="6" t="str">
        <f>"0,5063"</f>
        <v>0,5063</v>
      </c>
      <c r="E22" s="6" t="s">
        <v>234</v>
      </c>
      <c r="F22" s="6" t="s">
        <v>21</v>
      </c>
      <c r="G22" s="7" t="s">
        <v>199</v>
      </c>
      <c r="H22" s="8" t="s">
        <v>206</v>
      </c>
      <c r="I22" s="8" t="s">
        <v>206</v>
      </c>
      <c r="J22" s="8"/>
      <c r="K22" s="11" t="str">
        <f>"250,0"</f>
        <v>250,0</v>
      </c>
      <c r="L22" s="12" t="str">
        <f>"126,5625"</f>
        <v>126,5625</v>
      </c>
      <c r="M22" s="6" t="s">
        <v>31</v>
      </c>
    </row>
    <row r="24" spans="1:13" ht="15" x14ac:dyDescent="0.2">
      <c r="E24" s="9" t="s">
        <v>32</v>
      </c>
    </row>
    <row r="25" spans="1:13" ht="15" x14ac:dyDescent="0.2">
      <c r="E25" s="9" t="s">
        <v>33</v>
      </c>
    </row>
    <row r="26" spans="1:13" ht="15" x14ac:dyDescent="0.2">
      <c r="E26" s="9" t="s">
        <v>34</v>
      </c>
    </row>
    <row r="27" spans="1:13" ht="15" x14ac:dyDescent="0.2">
      <c r="E27" s="9" t="s">
        <v>35</v>
      </c>
    </row>
    <row r="28" spans="1:13" ht="15" x14ac:dyDescent="0.2">
      <c r="E28" s="9" t="s">
        <v>35</v>
      </c>
    </row>
    <row r="29" spans="1:13" ht="15" x14ac:dyDescent="0.2">
      <c r="E29" s="9" t="s">
        <v>36</v>
      </c>
    </row>
    <row r="30" spans="1:13" ht="15" x14ac:dyDescent="0.2">
      <c r="E30" s="9"/>
    </row>
    <row r="32" spans="1:13" ht="18" x14ac:dyDescent="0.25">
      <c r="A32" s="13" t="s">
        <v>37</v>
      </c>
      <c r="B32" s="13"/>
    </row>
    <row r="33" spans="1:5" ht="15" x14ac:dyDescent="0.2">
      <c r="A33" s="14" t="s">
        <v>38</v>
      </c>
      <c r="B33" s="14"/>
    </row>
    <row r="34" spans="1:5" ht="14.25" x14ac:dyDescent="0.2">
      <c r="A34" s="16"/>
      <c r="B34" s="17" t="s">
        <v>39</v>
      </c>
    </row>
    <row r="35" spans="1:5" ht="15" x14ac:dyDescent="0.2">
      <c r="A35" s="18" t="s">
        <v>40</v>
      </c>
      <c r="B35" s="18" t="s">
        <v>41</v>
      </c>
      <c r="C35" s="18" t="s">
        <v>42</v>
      </c>
      <c r="D35" s="18" t="s">
        <v>240</v>
      </c>
      <c r="E35" s="18" t="s">
        <v>44</v>
      </c>
    </row>
    <row r="36" spans="1:5" x14ac:dyDescent="0.2">
      <c r="A36" s="15" t="s">
        <v>451</v>
      </c>
      <c r="B36" s="4" t="s">
        <v>153</v>
      </c>
      <c r="C36" s="4" t="s">
        <v>417</v>
      </c>
      <c r="D36" s="4" t="s">
        <v>26</v>
      </c>
      <c r="E36" s="10" t="s">
        <v>482</v>
      </c>
    </row>
    <row r="38" spans="1:5" ht="14.25" x14ac:dyDescent="0.2">
      <c r="A38" s="16"/>
      <c r="B38" s="17" t="s">
        <v>149</v>
      </c>
    </row>
    <row r="39" spans="1:5" ht="15" x14ac:dyDescent="0.2">
      <c r="A39" s="18" t="s">
        <v>40</v>
      </c>
      <c r="B39" s="18" t="s">
        <v>41</v>
      </c>
      <c r="C39" s="18" t="s">
        <v>42</v>
      </c>
      <c r="D39" s="18" t="s">
        <v>240</v>
      </c>
      <c r="E39" s="18" t="s">
        <v>44</v>
      </c>
    </row>
    <row r="40" spans="1:5" x14ac:dyDescent="0.2">
      <c r="A40" s="15" t="s">
        <v>478</v>
      </c>
      <c r="B40" s="4" t="s">
        <v>149</v>
      </c>
      <c r="C40" s="4" t="s">
        <v>483</v>
      </c>
      <c r="D40" s="4" t="s">
        <v>199</v>
      </c>
      <c r="E40" s="10" t="s">
        <v>484</v>
      </c>
    </row>
    <row r="41" spans="1:5" x14ac:dyDescent="0.2">
      <c r="A41" s="15" t="s">
        <v>463</v>
      </c>
      <c r="B41" s="4" t="s">
        <v>149</v>
      </c>
      <c r="C41" s="4" t="s">
        <v>165</v>
      </c>
      <c r="D41" s="4" t="s">
        <v>131</v>
      </c>
      <c r="E41" s="10" t="s">
        <v>485</v>
      </c>
    </row>
    <row r="42" spans="1:5" x14ac:dyDescent="0.2">
      <c r="A42" s="15" t="s">
        <v>467</v>
      </c>
      <c r="B42" s="4" t="s">
        <v>149</v>
      </c>
      <c r="C42" s="4" t="s">
        <v>165</v>
      </c>
      <c r="D42" s="4" t="s">
        <v>194</v>
      </c>
      <c r="E42" s="10" t="s">
        <v>486</v>
      </c>
    </row>
    <row r="43" spans="1:5" x14ac:dyDescent="0.2">
      <c r="A43" s="15" t="s">
        <v>459</v>
      </c>
      <c r="B43" s="4" t="s">
        <v>149</v>
      </c>
      <c r="C43" s="4" t="s">
        <v>168</v>
      </c>
      <c r="D43" s="4" t="s">
        <v>134</v>
      </c>
      <c r="E43" s="10" t="s">
        <v>487</v>
      </c>
    </row>
    <row r="44" spans="1:5" x14ac:dyDescent="0.2">
      <c r="A44" s="15" t="s">
        <v>473</v>
      </c>
      <c r="B44" s="4" t="s">
        <v>149</v>
      </c>
      <c r="C44" s="4" t="s">
        <v>432</v>
      </c>
      <c r="D44" s="4" t="s">
        <v>400</v>
      </c>
      <c r="E44" s="10" t="s">
        <v>488</v>
      </c>
    </row>
    <row r="45" spans="1:5" x14ac:dyDescent="0.2">
      <c r="A45" s="15" t="s">
        <v>455</v>
      </c>
      <c r="B45" s="4" t="s">
        <v>149</v>
      </c>
      <c r="C45" s="4" t="s">
        <v>158</v>
      </c>
      <c r="D45" s="4" t="s">
        <v>96</v>
      </c>
      <c r="E45" s="10" t="s">
        <v>489</v>
      </c>
    </row>
  </sheetData>
  <mergeCells count="17">
    <mergeCell ref="A8:J8"/>
    <mergeCell ref="A11:J11"/>
    <mergeCell ref="A14:J14"/>
    <mergeCell ref="A18:J18"/>
    <mergeCell ref="A21:J21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tabSelected="1" workbookViewId="0">
      <selection sqref="A1:M2"/>
    </sheetView>
  </sheetViews>
  <sheetFormatPr defaultRowHeight="12.75" x14ac:dyDescent="0.2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4.425781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2" t="s">
        <v>850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279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6" t="s">
        <v>281</v>
      </c>
      <c r="B6" s="6" t="s">
        <v>282</v>
      </c>
      <c r="C6" s="6" t="s">
        <v>283</v>
      </c>
      <c r="D6" s="6" t="str">
        <f>"1,0593"</f>
        <v>1,0593</v>
      </c>
      <c r="E6" s="6" t="s">
        <v>53</v>
      </c>
      <c r="F6" s="6" t="s">
        <v>21</v>
      </c>
      <c r="G6" s="7" t="s">
        <v>78</v>
      </c>
      <c r="H6" s="7" t="s">
        <v>284</v>
      </c>
      <c r="I6" s="8" t="s">
        <v>183</v>
      </c>
      <c r="J6" s="8"/>
      <c r="K6" s="11" t="str">
        <f>"37,5"</f>
        <v>37,5</v>
      </c>
      <c r="L6" s="12" t="str">
        <f>"40,9155"</f>
        <v>40,9155</v>
      </c>
      <c r="M6" s="6" t="s">
        <v>31</v>
      </c>
    </row>
    <row r="8" spans="1:13" ht="15" x14ac:dyDescent="0.2">
      <c r="A8" s="51" t="s">
        <v>285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2">
      <c r="A9" s="19" t="s">
        <v>287</v>
      </c>
      <c r="B9" s="19" t="s">
        <v>288</v>
      </c>
      <c r="C9" s="19" t="s">
        <v>289</v>
      </c>
      <c r="D9" s="19" t="str">
        <f>"0,9801"</f>
        <v>0,9801</v>
      </c>
      <c r="E9" s="19" t="s">
        <v>65</v>
      </c>
      <c r="F9" s="19" t="s">
        <v>254</v>
      </c>
      <c r="G9" s="20" t="s">
        <v>81</v>
      </c>
      <c r="H9" s="20" t="s">
        <v>88</v>
      </c>
      <c r="I9" s="20" t="s">
        <v>22</v>
      </c>
      <c r="J9" s="21"/>
      <c r="K9" s="28" t="str">
        <f>"70,0"</f>
        <v>70,0</v>
      </c>
      <c r="L9" s="29" t="str">
        <f>"68,6070"</f>
        <v>68,6070</v>
      </c>
      <c r="M9" s="19" t="s">
        <v>31</v>
      </c>
    </row>
    <row r="10" spans="1:13" x14ac:dyDescent="0.2">
      <c r="A10" s="25" t="s">
        <v>291</v>
      </c>
      <c r="B10" s="25" t="s">
        <v>292</v>
      </c>
      <c r="C10" s="25" t="s">
        <v>293</v>
      </c>
      <c r="D10" s="25" t="str">
        <f>"1,0090"</f>
        <v>1,0090</v>
      </c>
      <c r="E10" s="25" t="s">
        <v>94</v>
      </c>
      <c r="F10" s="25" t="s">
        <v>95</v>
      </c>
      <c r="G10" s="26" t="s">
        <v>80</v>
      </c>
      <c r="H10" s="27" t="s">
        <v>294</v>
      </c>
      <c r="I10" s="26" t="s">
        <v>294</v>
      </c>
      <c r="J10" s="27"/>
      <c r="K10" s="32" t="str">
        <f>"57,5"</f>
        <v>57,5</v>
      </c>
      <c r="L10" s="33" t="str">
        <f>"58,0175"</f>
        <v>58,0175</v>
      </c>
      <c r="M10" s="25" t="s">
        <v>31</v>
      </c>
    </row>
    <row r="12" spans="1:13" ht="15" x14ac:dyDescent="0.2">
      <c r="A12" s="51" t="s">
        <v>15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3" x14ac:dyDescent="0.2">
      <c r="A13" s="19" t="s">
        <v>296</v>
      </c>
      <c r="B13" s="19" t="s">
        <v>297</v>
      </c>
      <c r="C13" s="19" t="s">
        <v>298</v>
      </c>
      <c r="D13" s="19" t="str">
        <f>"0,9557"</f>
        <v>0,9557</v>
      </c>
      <c r="E13" s="19" t="s">
        <v>299</v>
      </c>
      <c r="F13" s="19" t="s">
        <v>300</v>
      </c>
      <c r="G13" s="20" t="s">
        <v>183</v>
      </c>
      <c r="H13" s="20" t="s">
        <v>79</v>
      </c>
      <c r="I13" s="20" t="s">
        <v>58</v>
      </c>
      <c r="J13" s="21"/>
      <c r="K13" s="28" t="str">
        <f>"45,0"</f>
        <v>45,0</v>
      </c>
      <c r="L13" s="29" t="str">
        <f>"52,9008"</f>
        <v>52,9008</v>
      </c>
      <c r="M13" s="19" t="s">
        <v>31</v>
      </c>
    </row>
    <row r="14" spans="1:13" x14ac:dyDescent="0.2">
      <c r="A14" s="25" t="s">
        <v>302</v>
      </c>
      <c r="B14" s="25" t="s">
        <v>303</v>
      </c>
      <c r="C14" s="25" t="s">
        <v>304</v>
      </c>
      <c r="D14" s="25" t="str">
        <f>"0,9543"</f>
        <v>0,9543</v>
      </c>
      <c r="E14" s="25" t="s">
        <v>94</v>
      </c>
      <c r="F14" s="25" t="s">
        <v>254</v>
      </c>
      <c r="G14" s="26" t="s">
        <v>80</v>
      </c>
      <c r="H14" s="26" t="s">
        <v>81</v>
      </c>
      <c r="I14" s="27" t="s">
        <v>88</v>
      </c>
      <c r="J14" s="27"/>
      <c r="K14" s="32" t="str">
        <f>"60,0"</f>
        <v>60,0</v>
      </c>
      <c r="L14" s="33" t="str">
        <f>"57,2580"</f>
        <v>57,2580</v>
      </c>
      <c r="M14" s="25" t="s">
        <v>31</v>
      </c>
    </row>
    <row r="16" spans="1:13" ht="15" x14ac:dyDescent="0.2">
      <c r="A16" s="51" t="s">
        <v>256</v>
      </c>
      <c r="B16" s="51"/>
      <c r="C16" s="51"/>
      <c r="D16" s="51"/>
      <c r="E16" s="51"/>
      <c r="F16" s="51"/>
      <c r="G16" s="51"/>
      <c r="H16" s="51"/>
      <c r="I16" s="51"/>
      <c r="J16" s="51"/>
    </row>
    <row r="17" spans="1:13" x14ac:dyDescent="0.2">
      <c r="A17" s="19" t="s">
        <v>306</v>
      </c>
      <c r="B17" s="19" t="s">
        <v>307</v>
      </c>
      <c r="C17" s="19" t="s">
        <v>308</v>
      </c>
      <c r="D17" s="19" t="str">
        <f>"0,8503"</f>
        <v>0,8503</v>
      </c>
      <c r="E17" s="19" t="s">
        <v>94</v>
      </c>
      <c r="F17" s="19" t="s">
        <v>95</v>
      </c>
      <c r="G17" s="20" t="s">
        <v>22</v>
      </c>
      <c r="H17" s="20" t="s">
        <v>23</v>
      </c>
      <c r="I17" s="21" t="s">
        <v>24</v>
      </c>
      <c r="J17" s="21"/>
      <c r="K17" s="28" t="str">
        <f>"75,0"</f>
        <v>75,0</v>
      </c>
      <c r="L17" s="29" t="str">
        <f>"63,7688"</f>
        <v>63,7688</v>
      </c>
      <c r="M17" s="19" t="s">
        <v>31</v>
      </c>
    </row>
    <row r="18" spans="1:13" x14ac:dyDescent="0.2">
      <c r="A18" s="22" t="s">
        <v>310</v>
      </c>
      <c r="B18" s="22" t="s">
        <v>311</v>
      </c>
      <c r="C18" s="22" t="s">
        <v>312</v>
      </c>
      <c r="D18" s="22" t="str">
        <f>"0,8153"</f>
        <v>0,8153</v>
      </c>
      <c r="E18" s="22" t="s">
        <v>94</v>
      </c>
      <c r="F18" s="22" t="s">
        <v>95</v>
      </c>
      <c r="G18" s="23" t="s">
        <v>124</v>
      </c>
      <c r="H18" s="23" t="s">
        <v>22</v>
      </c>
      <c r="I18" s="23" t="s">
        <v>125</v>
      </c>
      <c r="J18" s="24"/>
      <c r="K18" s="30" t="str">
        <f>"72,5"</f>
        <v>72,5</v>
      </c>
      <c r="L18" s="31" t="str">
        <f>"59,1129"</f>
        <v>59,1129</v>
      </c>
      <c r="M18" s="22" t="s">
        <v>31</v>
      </c>
    </row>
    <row r="19" spans="1:13" x14ac:dyDescent="0.2">
      <c r="A19" s="25" t="s">
        <v>314</v>
      </c>
      <c r="B19" s="25" t="s">
        <v>315</v>
      </c>
      <c r="C19" s="25" t="s">
        <v>316</v>
      </c>
      <c r="D19" s="25" t="str">
        <f>"0,7943"</f>
        <v>0,7943</v>
      </c>
      <c r="E19" s="25" t="s">
        <v>94</v>
      </c>
      <c r="F19" s="25" t="s">
        <v>95</v>
      </c>
      <c r="G19" s="26" t="s">
        <v>294</v>
      </c>
      <c r="H19" s="27" t="s">
        <v>87</v>
      </c>
      <c r="I19" s="27" t="s">
        <v>87</v>
      </c>
      <c r="J19" s="27"/>
      <c r="K19" s="32" t="str">
        <f>"57,5"</f>
        <v>57,5</v>
      </c>
      <c r="L19" s="33" t="str">
        <f>"46,0833"</f>
        <v>46,0833</v>
      </c>
      <c r="M19" s="25" t="s">
        <v>31</v>
      </c>
    </row>
    <row r="21" spans="1:13" ht="15" x14ac:dyDescent="0.2">
      <c r="A21" s="51" t="s">
        <v>285</v>
      </c>
      <c r="B21" s="51"/>
      <c r="C21" s="51"/>
      <c r="D21" s="51"/>
      <c r="E21" s="51"/>
      <c r="F21" s="51"/>
      <c r="G21" s="51"/>
      <c r="H21" s="51"/>
      <c r="I21" s="51"/>
      <c r="J21" s="51"/>
    </row>
    <row r="22" spans="1:13" x14ac:dyDescent="0.2">
      <c r="A22" s="19" t="s">
        <v>318</v>
      </c>
      <c r="B22" s="19" t="s">
        <v>319</v>
      </c>
      <c r="C22" s="19" t="s">
        <v>320</v>
      </c>
      <c r="D22" s="19" t="str">
        <f>"1,3133"</f>
        <v>1,3133</v>
      </c>
      <c r="E22" s="19" t="s">
        <v>299</v>
      </c>
      <c r="F22" s="19" t="s">
        <v>300</v>
      </c>
      <c r="G22" s="20" t="s">
        <v>78</v>
      </c>
      <c r="H22" s="21" t="s">
        <v>284</v>
      </c>
      <c r="I22" s="20" t="s">
        <v>284</v>
      </c>
      <c r="J22" s="21"/>
      <c r="K22" s="28" t="str">
        <f>"37,5"</f>
        <v>37,5</v>
      </c>
      <c r="L22" s="29" t="str">
        <f>"60,5760"</f>
        <v>60,5760</v>
      </c>
      <c r="M22" s="19" t="s">
        <v>31</v>
      </c>
    </row>
    <row r="23" spans="1:13" x14ac:dyDescent="0.2">
      <c r="A23" s="25" t="s">
        <v>322</v>
      </c>
      <c r="B23" s="25" t="s">
        <v>323</v>
      </c>
      <c r="C23" s="25" t="s">
        <v>324</v>
      </c>
      <c r="D23" s="25" t="str">
        <f>"0,9895"</f>
        <v>0,9895</v>
      </c>
      <c r="E23" s="25" t="s">
        <v>53</v>
      </c>
      <c r="F23" s="25" t="s">
        <v>325</v>
      </c>
      <c r="G23" s="26" t="s">
        <v>29</v>
      </c>
      <c r="H23" s="26" t="s">
        <v>30</v>
      </c>
      <c r="I23" s="26" t="s">
        <v>67</v>
      </c>
      <c r="J23" s="27"/>
      <c r="K23" s="32" t="str">
        <f>"100,0"</f>
        <v>100,0</v>
      </c>
      <c r="L23" s="33" t="str">
        <f>"106,8660"</f>
        <v>106,8660</v>
      </c>
      <c r="M23" s="25" t="s">
        <v>31</v>
      </c>
    </row>
    <row r="25" spans="1:13" ht="15" x14ac:dyDescent="0.2">
      <c r="A25" s="51" t="s">
        <v>15</v>
      </c>
      <c r="B25" s="51"/>
      <c r="C25" s="51"/>
      <c r="D25" s="51"/>
      <c r="E25" s="51"/>
      <c r="F25" s="51"/>
      <c r="G25" s="51"/>
      <c r="H25" s="51"/>
      <c r="I25" s="51"/>
      <c r="J25" s="51"/>
    </row>
    <row r="26" spans="1:13" x14ac:dyDescent="0.2">
      <c r="A26" s="6" t="s">
        <v>72</v>
      </c>
      <c r="B26" s="6" t="s">
        <v>73</v>
      </c>
      <c r="C26" s="6" t="s">
        <v>74</v>
      </c>
      <c r="D26" s="6" t="str">
        <f>"0,9473"</f>
        <v>0,9473</v>
      </c>
      <c r="E26" s="6" t="s">
        <v>75</v>
      </c>
      <c r="F26" s="6" t="s">
        <v>76</v>
      </c>
      <c r="G26" s="7" t="s">
        <v>77</v>
      </c>
      <c r="H26" s="7" t="s">
        <v>78</v>
      </c>
      <c r="I26" s="8" t="s">
        <v>79</v>
      </c>
      <c r="J26" s="8"/>
      <c r="K26" s="11" t="str">
        <f>"35,0"</f>
        <v>35,0</v>
      </c>
      <c r="L26" s="12" t="str">
        <f>"40,7813"</f>
        <v>40,7813</v>
      </c>
      <c r="M26" s="6" t="s">
        <v>31</v>
      </c>
    </row>
    <row r="28" spans="1:13" ht="15" x14ac:dyDescent="0.2">
      <c r="A28" s="51" t="s">
        <v>60</v>
      </c>
      <c r="B28" s="51"/>
      <c r="C28" s="51"/>
      <c r="D28" s="51"/>
      <c r="E28" s="51"/>
      <c r="F28" s="51"/>
      <c r="G28" s="51"/>
      <c r="H28" s="51"/>
      <c r="I28" s="51"/>
      <c r="J28" s="51"/>
    </row>
    <row r="29" spans="1:13" x14ac:dyDescent="0.2">
      <c r="A29" s="6" t="s">
        <v>327</v>
      </c>
      <c r="B29" s="6" t="s">
        <v>328</v>
      </c>
      <c r="C29" s="6" t="s">
        <v>329</v>
      </c>
      <c r="D29" s="6" t="str">
        <f>"0,8206"</f>
        <v>0,8206</v>
      </c>
      <c r="E29" s="6" t="s">
        <v>53</v>
      </c>
      <c r="F29" s="6" t="s">
        <v>325</v>
      </c>
      <c r="G29" s="7" t="s">
        <v>69</v>
      </c>
      <c r="H29" s="7" t="s">
        <v>97</v>
      </c>
      <c r="I29" s="7" t="s">
        <v>70</v>
      </c>
      <c r="J29" s="8"/>
      <c r="K29" s="11" t="str">
        <f>"120,0"</f>
        <v>120,0</v>
      </c>
      <c r="L29" s="12" t="str">
        <f>"106,3498"</f>
        <v>106,3498</v>
      </c>
      <c r="M29" s="6" t="s">
        <v>31</v>
      </c>
    </row>
    <row r="31" spans="1:13" ht="15" x14ac:dyDescent="0.2">
      <c r="A31" s="51" t="s">
        <v>219</v>
      </c>
      <c r="B31" s="51"/>
      <c r="C31" s="51"/>
      <c r="D31" s="51"/>
      <c r="E31" s="51"/>
      <c r="F31" s="51"/>
      <c r="G31" s="51"/>
      <c r="H31" s="51"/>
      <c r="I31" s="51"/>
      <c r="J31" s="51"/>
    </row>
    <row r="32" spans="1:13" x14ac:dyDescent="0.2">
      <c r="A32" s="19" t="s">
        <v>331</v>
      </c>
      <c r="B32" s="19" t="s">
        <v>332</v>
      </c>
      <c r="C32" s="19" t="s">
        <v>333</v>
      </c>
      <c r="D32" s="19" t="str">
        <f>"0,7183"</f>
        <v>0,7183</v>
      </c>
      <c r="E32" s="19" t="s">
        <v>299</v>
      </c>
      <c r="F32" s="19" t="s">
        <v>300</v>
      </c>
      <c r="G32" s="20" t="s">
        <v>22</v>
      </c>
      <c r="H32" s="20" t="s">
        <v>23</v>
      </c>
      <c r="I32" s="21" t="s">
        <v>24</v>
      </c>
      <c r="J32" s="21"/>
      <c r="K32" s="28" t="str">
        <f>"75,0"</f>
        <v>75,0</v>
      </c>
      <c r="L32" s="29" t="str">
        <f>"66,2632"</f>
        <v>66,2632</v>
      </c>
      <c r="M32" s="19" t="s">
        <v>31</v>
      </c>
    </row>
    <row r="33" spans="1:13" x14ac:dyDescent="0.2">
      <c r="A33" s="22" t="s">
        <v>221</v>
      </c>
      <c r="B33" s="22" t="s">
        <v>222</v>
      </c>
      <c r="C33" s="22" t="s">
        <v>223</v>
      </c>
      <c r="D33" s="22" t="str">
        <f>"0,6645"</f>
        <v>0,6645</v>
      </c>
      <c r="E33" s="22" t="s">
        <v>181</v>
      </c>
      <c r="F33" s="22" t="s">
        <v>21</v>
      </c>
      <c r="G33" s="23" t="s">
        <v>143</v>
      </c>
      <c r="H33" s="23" t="s">
        <v>197</v>
      </c>
      <c r="I33" s="23" t="s">
        <v>205</v>
      </c>
      <c r="J33" s="24"/>
      <c r="K33" s="30" t="str">
        <f>"150,0"</f>
        <v>150,0</v>
      </c>
      <c r="L33" s="31" t="str">
        <f>"99,6750"</f>
        <v>99,6750</v>
      </c>
      <c r="M33" s="22" t="s">
        <v>31</v>
      </c>
    </row>
    <row r="34" spans="1:13" x14ac:dyDescent="0.2">
      <c r="A34" s="22" t="s">
        <v>335</v>
      </c>
      <c r="B34" s="22" t="s">
        <v>336</v>
      </c>
      <c r="C34" s="22" t="s">
        <v>337</v>
      </c>
      <c r="D34" s="22" t="str">
        <f>"0,6666"</f>
        <v>0,6666</v>
      </c>
      <c r="E34" s="22" t="s">
        <v>94</v>
      </c>
      <c r="F34" s="22" t="s">
        <v>95</v>
      </c>
      <c r="G34" s="24" t="s">
        <v>69</v>
      </c>
      <c r="H34" s="23" t="s">
        <v>97</v>
      </c>
      <c r="I34" s="23" t="s">
        <v>70</v>
      </c>
      <c r="J34" s="24"/>
      <c r="K34" s="30" t="str">
        <f>"120,0"</f>
        <v>120,0</v>
      </c>
      <c r="L34" s="31" t="str">
        <f>"79,9920"</f>
        <v>79,9920</v>
      </c>
      <c r="M34" s="22" t="s">
        <v>31</v>
      </c>
    </row>
    <row r="35" spans="1:13" x14ac:dyDescent="0.2">
      <c r="A35" s="22" t="s">
        <v>339</v>
      </c>
      <c r="B35" s="22" t="s">
        <v>340</v>
      </c>
      <c r="C35" s="22" t="s">
        <v>341</v>
      </c>
      <c r="D35" s="22" t="str">
        <f>"0,6820"</f>
        <v>0,6820</v>
      </c>
      <c r="E35" s="22" t="s">
        <v>342</v>
      </c>
      <c r="F35" s="22" t="s">
        <v>325</v>
      </c>
      <c r="G35" s="23" t="s">
        <v>70</v>
      </c>
      <c r="H35" s="24" t="s">
        <v>195</v>
      </c>
      <c r="I35" s="24" t="s">
        <v>195</v>
      </c>
      <c r="J35" s="24"/>
      <c r="K35" s="30" t="str">
        <f>"120,0"</f>
        <v>120,0</v>
      </c>
      <c r="L35" s="31" t="str">
        <f>"87,4870"</f>
        <v>87,4870</v>
      </c>
      <c r="M35" s="22" t="s">
        <v>31</v>
      </c>
    </row>
    <row r="36" spans="1:13" x14ac:dyDescent="0.2">
      <c r="A36" s="25" t="s">
        <v>344</v>
      </c>
      <c r="B36" s="25" t="s">
        <v>345</v>
      </c>
      <c r="C36" s="25" t="s">
        <v>346</v>
      </c>
      <c r="D36" s="25" t="str">
        <f>"0,6767"</f>
        <v>0,6767</v>
      </c>
      <c r="E36" s="25" t="s">
        <v>65</v>
      </c>
      <c r="F36" s="25" t="s">
        <v>66</v>
      </c>
      <c r="G36" s="26" t="s">
        <v>67</v>
      </c>
      <c r="H36" s="26" t="s">
        <v>68</v>
      </c>
      <c r="I36" s="27" t="s">
        <v>69</v>
      </c>
      <c r="J36" s="27"/>
      <c r="K36" s="32" t="str">
        <f>"105,0"</f>
        <v>105,0</v>
      </c>
      <c r="L36" s="33" t="str">
        <f>"116,8830"</f>
        <v>116,8830</v>
      </c>
      <c r="M36" s="25" t="s">
        <v>31</v>
      </c>
    </row>
    <row r="38" spans="1:13" ht="15" x14ac:dyDescent="0.2">
      <c r="A38" s="51" t="s">
        <v>82</v>
      </c>
      <c r="B38" s="51"/>
      <c r="C38" s="51"/>
      <c r="D38" s="51"/>
      <c r="E38" s="51"/>
      <c r="F38" s="51"/>
      <c r="G38" s="51"/>
      <c r="H38" s="51"/>
      <c r="I38" s="51"/>
      <c r="J38" s="51"/>
    </row>
    <row r="39" spans="1:13" x14ac:dyDescent="0.2">
      <c r="A39" s="19" t="s">
        <v>84</v>
      </c>
      <c r="B39" s="19" t="s">
        <v>85</v>
      </c>
      <c r="C39" s="19" t="s">
        <v>86</v>
      </c>
      <c r="D39" s="19" t="str">
        <f>"0,6268"</f>
        <v>0,6268</v>
      </c>
      <c r="E39" s="19" t="s">
        <v>75</v>
      </c>
      <c r="F39" s="19" t="s">
        <v>76</v>
      </c>
      <c r="G39" s="20" t="s">
        <v>78</v>
      </c>
      <c r="H39" s="20" t="s">
        <v>58</v>
      </c>
      <c r="I39" s="20" t="s">
        <v>25</v>
      </c>
      <c r="J39" s="21"/>
      <c r="K39" s="28" t="str">
        <f>"47,5"</f>
        <v>47,5</v>
      </c>
      <c r="L39" s="29" t="str">
        <f>"36,6208"</f>
        <v>36,6208</v>
      </c>
      <c r="M39" s="19" t="s">
        <v>31</v>
      </c>
    </row>
    <row r="40" spans="1:13" x14ac:dyDescent="0.2">
      <c r="A40" s="22" t="s">
        <v>348</v>
      </c>
      <c r="B40" s="22" t="s">
        <v>349</v>
      </c>
      <c r="C40" s="22" t="s">
        <v>350</v>
      </c>
      <c r="D40" s="22" t="str">
        <f>"0,6251"</f>
        <v>0,6251</v>
      </c>
      <c r="E40" s="22" t="s">
        <v>272</v>
      </c>
      <c r="F40" s="22" t="s">
        <v>21</v>
      </c>
      <c r="G40" s="23" t="s">
        <v>69</v>
      </c>
      <c r="H40" s="24" t="s">
        <v>70</v>
      </c>
      <c r="I40" s="24" t="s">
        <v>70</v>
      </c>
      <c r="J40" s="24"/>
      <c r="K40" s="30" t="str">
        <f>"110,0"</f>
        <v>110,0</v>
      </c>
      <c r="L40" s="31" t="str">
        <f>"70,1362"</f>
        <v>70,1362</v>
      </c>
      <c r="M40" s="22" t="s">
        <v>31</v>
      </c>
    </row>
    <row r="41" spans="1:13" x14ac:dyDescent="0.2">
      <c r="A41" s="22" t="s">
        <v>352</v>
      </c>
      <c r="B41" s="22" t="s">
        <v>353</v>
      </c>
      <c r="C41" s="22" t="s">
        <v>93</v>
      </c>
      <c r="D41" s="22" t="str">
        <f>"0,6193"</f>
        <v>0,6193</v>
      </c>
      <c r="E41" s="22" t="s">
        <v>94</v>
      </c>
      <c r="F41" s="22" t="s">
        <v>95</v>
      </c>
      <c r="G41" s="23" t="s">
        <v>205</v>
      </c>
      <c r="H41" s="24" t="s">
        <v>117</v>
      </c>
      <c r="I41" s="23" t="s">
        <v>112</v>
      </c>
      <c r="J41" s="24"/>
      <c r="K41" s="30" t="str">
        <f>"165,0"</f>
        <v>165,0</v>
      </c>
      <c r="L41" s="31" t="str">
        <f>"102,1845"</f>
        <v>102,1845</v>
      </c>
      <c r="M41" s="22" t="s">
        <v>31</v>
      </c>
    </row>
    <row r="42" spans="1:13" x14ac:dyDescent="0.2">
      <c r="A42" s="22" t="s">
        <v>355</v>
      </c>
      <c r="B42" s="22" t="s">
        <v>356</v>
      </c>
      <c r="C42" s="22" t="s">
        <v>357</v>
      </c>
      <c r="D42" s="22" t="str">
        <f>"0,6324"</f>
        <v>0,6324</v>
      </c>
      <c r="E42" s="22" t="s">
        <v>358</v>
      </c>
      <c r="F42" s="22" t="s">
        <v>359</v>
      </c>
      <c r="G42" s="23" t="s">
        <v>204</v>
      </c>
      <c r="H42" s="23" t="s">
        <v>161</v>
      </c>
      <c r="I42" s="24" t="s">
        <v>111</v>
      </c>
      <c r="J42" s="24"/>
      <c r="K42" s="30" t="str">
        <f>"147,5"</f>
        <v>147,5</v>
      </c>
      <c r="L42" s="31" t="str">
        <f>"93,2790"</f>
        <v>93,2790</v>
      </c>
      <c r="M42" s="22" t="s">
        <v>31</v>
      </c>
    </row>
    <row r="43" spans="1:13" x14ac:dyDescent="0.2">
      <c r="A43" s="22" t="s">
        <v>361</v>
      </c>
      <c r="B43" s="22" t="s">
        <v>362</v>
      </c>
      <c r="C43" s="22" t="s">
        <v>363</v>
      </c>
      <c r="D43" s="22" t="str">
        <f>"0,6292"</f>
        <v>0,6292</v>
      </c>
      <c r="E43" s="22" t="s">
        <v>53</v>
      </c>
      <c r="F43" s="22" t="s">
        <v>21</v>
      </c>
      <c r="G43" s="23" t="s">
        <v>143</v>
      </c>
      <c r="H43" s="23" t="s">
        <v>204</v>
      </c>
      <c r="I43" s="24" t="s">
        <v>161</v>
      </c>
      <c r="J43" s="24"/>
      <c r="K43" s="30" t="str">
        <f>"140,0"</f>
        <v>140,0</v>
      </c>
      <c r="L43" s="31" t="str">
        <f>"92,3236"</f>
        <v>92,3236</v>
      </c>
      <c r="M43" s="22" t="s">
        <v>31</v>
      </c>
    </row>
    <row r="44" spans="1:13" x14ac:dyDescent="0.2">
      <c r="A44" s="25" t="s">
        <v>365</v>
      </c>
      <c r="B44" s="25" t="s">
        <v>366</v>
      </c>
      <c r="C44" s="25" t="s">
        <v>367</v>
      </c>
      <c r="D44" s="25" t="str">
        <f>"0,6318"</f>
        <v>0,6318</v>
      </c>
      <c r="E44" s="25" t="s">
        <v>358</v>
      </c>
      <c r="F44" s="25" t="s">
        <v>359</v>
      </c>
      <c r="G44" s="26" t="s">
        <v>195</v>
      </c>
      <c r="H44" s="27" t="s">
        <v>204</v>
      </c>
      <c r="I44" s="27" t="s">
        <v>204</v>
      </c>
      <c r="J44" s="27"/>
      <c r="K44" s="32" t="str">
        <f>"130,0"</f>
        <v>130,0</v>
      </c>
      <c r="L44" s="33" t="str">
        <f>"117,4516"</f>
        <v>117,4516</v>
      </c>
      <c r="M44" s="25" t="s">
        <v>31</v>
      </c>
    </row>
    <row r="46" spans="1:13" ht="15" x14ac:dyDescent="0.2">
      <c r="A46" s="51" t="s">
        <v>106</v>
      </c>
      <c r="B46" s="51"/>
      <c r="C46" s="51"/>
      <c r="D46" s="51"/>
      <c r="E46" s="51"/>
      <c r="F46" s="51"/>
      <c r="G46" s="51"/>
      <c r="H46" s="51"/>
      <c r="I46" s="51"/>
      <c r="J46" s="51"/>
    </row>
    <row r="47" spans="1:13" x14ac:dyDescent="0.2">
      <c r="A47" s="19" t="s">
        <v>369</v>
      </c>
      <c r="B47" s="19" t="s">
        <v>370</v>
      </c>
      <c r="C47" s="19" t="s">
        <v>371</v>
      </c>
      <c r="D47" s="19" t="str">
        <f>"0,5965"</f>
        <v>0,5965</v>
      </c>
      <c r="E47" s="19" t="s">
        <v>53</v>
      </c>
      <c r="F47" s="19" t="s">
        <v>21</v>
      </c>
      <c r="G47" s="20" t="s">
        <v>372</v>
      </c>
      <c r="H47" s="20" t="s">
        <v>373</v>
      </c>
      <c r="I47" s="20" t="s">
        <v>374</v>
      </c>
      <c r="J47" s="21"/>
      <c r="K47" s="28" t="str">
        <f>"182,5"</f>
        <v>182,5</v>
      </c>
      <c r="L47" s="29" t="str">
        <f>"108,8612"</f>
        <v>108,8612</v>
      </c>
      <c r="M47" s="19" t="s">
        <v>31</v>
      </c>
    </row>
    <row r="48" spans="1:13" x14ac:dyDescent="0.2">
      <c r="A48" s="22" t="s">
        <v>376</v>
      </c>
      <c r="B48" s="22" t="s">
        <v>377</v>
      </c>
      <c r="C48" s="22" t="s">
        <v>193</v>
      </c>
      <c r="D48" s="22" t="str">
        <f>"0,5857"</f>
        <v>0,5857</v>
      </c>
      <c r="E48" s="22" t="s">
        <v>65</v>
      </c>
      <c r="F48" s="22" t="s">
        <v>254</v>
      </c>
      <c r="G48" s="23" t="s">
        <v>115</v>
      </c>
      <c r="H48" s="23" t="s">
        <v>111</v>
      </c>
      <c r="I48" s="24" t="s">
        <v>117</v>
      </c>
      <c r="J48" s="24"/>
      <c r="K48" s="30" t="str">
        <f>"155,0"</f>
        <v>155,0</v>
      </c>
      <c r="L48" s="31" t="str">
        <f>"90,7835"</f>
        <v>90,7835</v>
      </c>
      <c r="M48" s="22" t="s">
        <v>31</v>
      </c>
    </row>
    <row r="49" spans="1:13" x14ac:dyDescent="0.2">
      <c r="A49" s="22" t="s">
        <v>225</v>
      </c>
      <c r="B49" s="22" t="s">
        <v>229</v>
      </c>
      <c r="C49" s="22" t="s">
        <v>227</v>
      </c>
      <c r="D49" s="22" t="str">
        <f>"0,6107"</f>
        <v>0,6107</v>
      </c>
      <c r="E49" s="22" t="s">
        <v>181</v>
      </c>
      <c r="F49" s="22" t="s">
        <v>228</v>
      </c>
      <c r="G49" s="23" t="s">
        <v>143</v>
      </c>
      <c r="H49" s="23" t="s">
        <v>197</v>
      </c>
      <c r="I49" s="24" t="s">
        <v>205</v>
      </c>
      <c r="J49" s="24"/>
      <c r="K49" s="30" t="str">
        <f>"142,5"</f>
        <v>142,5</v>
      </c>
      <c r="L49" s="31" t="str">
        <f>"91,2019"</f>
        <v>91,2019</v>
      </c>
      <c r="M49" s="22" t="s">
        <v>31</v>
      </c>
    </row>
    <row r="50" spans="1:13" x14ac:dyDescent="0.2">
      <c r="A50" s="25" t="s">
        <v>236</v>
      </c>
      <c r="B50" s="25" t="s">
        <v>237</v>
      </c>
      <c r="C50" s="25" t="s">
        <v>238</v>
      </c>
      <c r="D50" s="25" t="str">
        <f>"0,5914"</f>
        <v>0,5914</v>
      </c>
      <c r="E50" s="25" t="s">
        <v>65</v>
      </c>
      <c r="F50" s="25" t="s">
        <v>239</v>
      </c>
      <c r="G50" s="26" t="s">
        <v>68</v>
      </c>
      <c r="H50" s="26" t="s">
        <v>97</v>
      </c>
      <c r="I50" s="26" t="s">
        <v>70</v>
      </c>
      <c r="J50" s="27"/>
      <c r="K50" s="32" t="str">
        <f>"120,0"</f>
        <v>120,0</v>
      </c>
      <c r="L50" s="33" t="str">
        <f>"139,8070"</f>
        <v>139,8070</v>
      </c>
      <c r="M50" s="25" t="s">
        <v>31</v>
      </c>
    </row>
    <row r="52" spans="1:13" ht="15" x14ac:dyDescent="0.2">
      <c r="A52" s="51" t="s">
        <v>118</v>
      </c>
      <c r="B52" s="51"/>
      <c r="C52" s="51"/>
      <c r="D52" s="51"/>
      <c r="E52" s="51"/>
      <c r="F52" s="51"/>
      <c r="G52" s="51"/>
      <c r="H52" s="51"/>
      <c r="I52" s="51"/>
      <c r="J52" s="51"/>
    </row>
    <row r="53" spans="1:13" x14ac:dyDescent="0.2">
      <c r="A53" s="6" t="s">
        <v>379</v>
      </c>
      <c r="B53" s="6" t="s">
        <v>380</v>
      </c>
      <c r="C53" s="6" t="s">
        <v>381</v>
      </c>
      <c r="D53" s="6" t="str">
        <f>"0,5737"</f>
        <v>0,5737</v>
      </c>
      <c r="E53" s="6" t="s">
        <v>382</v>
      </c>
      <c r="F53" s="6" t="s">
        <v>300</v>
      </c>
      <c r="G53" s="7" t="s">
        <v>115</v>
      </c>
      <c r="H53" s="8"/>
      <c r="I53" s="8"/>
      <c r="J53" s="8"/>
      <c r="K53" s="11" t="str">
        <f>"145,0"</f>
        <v>145,0</v>
      </c>
      <c r="L53" s="12" t="str">
        <f>"83,1865"</f>
        <v>83,1865</v>
      </c>
      <c r="M53" s="6" t="s">
        <v>31</v>
      </c>
    </row>
    <row r="55" spans="1:13" ht="15" x14ac:dyDescent="0.2">
      <c r="A55" s="51" t="s">
        <v>137</v>
      </c>
      <c r="B55" s="51"/>
      <c r="C55" s="51"/>
      <c r="D55" s="51"/>
      <c r="E55" s="51"/>
      <c r="F55" s="51"/>
      <c r="G55" s="51"/>
      <c r="H55" s="51"/>
      <c r="I55" s="51"/>
      <c r="J55" s="51"/>
    </row>
    <row r="56" spans="1:13" x14ac:dyDescent="0.2">
      <c r="A56" s="19" t="s">
        <v>384</v>
      </c>
      <c r="B56" s="19" t="s">
        <v>385</v>
      </c>
      <c r="C56" s="19" t="s">
        <v>386</v>
      </c>
      <c r="D56" s="19" t="str">
        <f>"0,5393"</f>
        <v>0,5393</v>
      </c>
      <c r="E56" s="19" t="s">
        <v>272</v>
      </c>
      <c r="F56" s="19" t="s">
        <v>21</v>
      </c>
      <c r="G56" s="20" t="s">
        <v>103</v>
      </c>
      <c r="H56" s="20" t="s">
        <v>104</v>
      </c>
      <c r="I56" s="21" t="s">
        <v>374</v>
      </c>
      <c r="J56" s="21"/>
      <c r="K56" s="28" t="str">
        <f>"180,0"</f>
        <v>180,0</v>
      </c>
      <c r="L56" s="29" t="str">
        <f>"100,9570"</f>
        <v>100,9570</v>
      </c>
      <c r="M56" s="19" t="s">
        <v>31</v>
      </c>
    </row>
    <row r="57" spans="1:13" x14ac:dyDescent="0.2">
      <c r="A57" s="22" t="s">
        <v>388</v>
      </c>
      <c r="B57" s="22" t="s">
        <v>389</v>
      </c>
      <c r="C57" s="22" t="s">
        <v>390</v>
      </c>
      <c r="D57" s="22" t="str">
        <f>"0,5367"</f>
        <v>0,5367</v>
      </c>
      <c r="E57" s="22" t="s">
        <v>75</v>
      </c>
      <c r="F57" s="22" t="s">
        <v>76</v>
      </c>
      <c r="G57" s="23" t="s">
        <v>103</v>
      </c>
      <c r="H57" s="23" t="s">
        <v>104</v>
      </c>
      <c r="I57" s="23" t="s">
        <v>374</v>
      </c>
      <c r="J57" s="24"/>
      <c r="K57" s="30" t="str">
        <f>"182,5"</f>
        <v>182,5</v>
      </c>
      <c r="L57" s="31" t="str">
        <f>"97,9478"</f>
        <v>97,9478</v>
      </c>
      <c r="M57" s="22" t="s">
        <v>31</v>
      </c>
    </row>
    <row r="58" spans="1:13" x14ac:dyDescent="0.2">
      <c r="A58" s="22" t="s">
        <v>392</v>
      </c>
      <c r="B58" s="22" t="s">
        <v>393</v>
      </c>
      <c r="C58" s="22" t="s">
        <v>394</v>
      </c>
      <c r="D58" s="22" t="str">
        <f>"0,5365"</f>
        <v>0,5365</v>
      </c>
      <c r="E58" s="22" t="s">
        <v>53</v>
      </c>
      <c r="F58" s="22" t="s">
        <v>395</v>
      </c>
      <c r="G58" s="23" t="s">
        <v>205</v>
      </c>
      <c r="H58" s="23" t="s">
        <v>372</v>
      </c>
      <c r="I58" s="23" t="s">
        <v>103</v>
      </c>
      <c r="J58" s="24"/>
      <c r="K58" s="30" t="str">
        <f>"175,0"</f>
        <v>175,0</v>
      </c>
      <c r="L58" s="31" t="str">
        <f>"93,8875"</f>
        <v>93,8875</v>
      </c>
      <c r="M58" s="22" t="s">
        <v>31</v>
      </c>
    </row>
    <row r="59" spans="1:13" x14ac:dyDescent="0.2">
      <c r="A59" s="25" t="s">
        <v>397</v>
      </c>
      <c r="B59" s="25" t="s">
        <v>398</v>
      </c>
      <c r="C59" s="25" t="s">
        <v>399</v>
      </c>
      <c r="D59" s="25" t="str">
        <f>"0,5386"</f>
        <v>0,5386</v>
      </c>
      <c r="E59" s="25" t="s">
        <v>94</v>
      </c>
      <c r="F59" s="25" t="s">
        <v>95</v>
      </c>
      <c r="G59" s="26" t="s">
        <v>400</v>
      </c>
      <c r="H59" s="26" t="s">
        <v>372</v>
      </c>
      <c r="I59" s="27" t="s">
        <v>134</v>
      </c>
      <c r="J59" s="27"/>
      <c r="K59" s="32" t="str">
        <f>"167,5"</f>
        <v>167,5</v>
      </c>
      <c r="L59" s="33" t="str">
        <f>"90,2155"</f>
        <v>90,2155</v>
      </c>
      <c r="M59" s="25" t="s">
        <v>31</v>
      </c>
    </row>
    <row r="61" spans="1:13" ht="15" x14ac:dyDescent="0.2">
      <c r="A61" s="51" t="s">
        <v>401</v>
      </c>
      <c r="B61" s="51"/>
      <c r="C61" s="51"/>
      <c r="D61" s="51"/>
      <c r="E61" s="51"/>
      <c r="F61" s="51"/>
      <c r="G61" s="51"/>
      <c r="H61" s="51"/>
      <c r="I61" s="51"/>
      <c r="J61" s="51"/>
    </row>
    <row r="62" spans="1:13" x14ac:dyDescent="0.2">
      <c r="A62" s="19" t="s">
        <v>403</v>
      </c>
      <c r="B62" s="19" t="s">
        <v>404</v>
      </c>
      <c r="C62" s="19" t="s">
        <v>405</v>
      </c>
      <c r="D62" s="19" t="str">
        <f>"0,5318"</f>
        <v>0,5318</v>
      </c>
      <c r="E62" s="19" t="s">
        <v>272</v>
      </c>
      <c r="F62" s="19" t="s">
        <v>21</v>
      </c>
      <c r="G62" s="20" t="s">
        <v>115</v>
      </c>
      <c r="H62" s="20" t="s">
        <v>111</v>
      </c>
      <c r="I62" s="20" t="s">
        <v>117</v>
      </c>
      <c r="J62" s="21"/>
      <c r="K62" s="28" t="str">
        <f>"160,0"</f>
        <v>160,0</v>
      </c>
      <c r="L62" s="29" t="str">
        <f>"85,0880"</f>
        <v>85,0880</v>
      </c>
      <c r="M62" s="19" t="s">
        <v>31</v>
      </c>
    </row>
    <row r="63" spans="1:13" x14ac:dyDescent="0.2">
      <c r="A63" s="25" t="s">
        <v>407</v>
      </c>
      <c r="B63" s="25" t="s">
        <v>408</v>
      </c>
      <c r="C63" s="25" t="s">
        <v>409</v>
      </c>
      <c r="D63" s="25" t="str">
        <f>"0,5250"</f>
        <v>0,5250</v>
      </c>
      <c r="E63" s="25" t="s">
        <v>272</v>
      </c>
      <c r="F63" s="25" t="s">
        <v>21</v>
      </c>
      <c r="G63" s="26" t="s">
        <v>194</v>
      </c>
      <c r="H63" s="26" t="s">
        <v>410</v>
      </c>
      <c r="I63" s="27" t="s">
        <v>411</v>
      </c>
      <c r="J63" s="27"/>
      <c r="K63" s="32" t="str">
        <f>"202,5"</f>
        <v>202,5</v>
      </c>
      <c r="L63" s="33" t="str">
        <f>"106,3125"</f>
        <v>106,3125</v>
      </c>
      <c r="M63" s="25" t="s">
        <v>31</v>
      </c>
    </row>
    <row r="65" spans="1:5" ht="15" x14ac:dyDescent="0.2">
      <c r="E65" s="9" t="s">
        <v>32</v>
      </c>
    </row>
    <row r="66" spans="1:5" ht="15" x14ac:dyDescent="0.2">
      <c r="E66" s="9" t="s">
        <v>33</v>
      </c>
    </row>
    <row r="67" spans="1:5" ht="15" x14ac:dyDescent="0.2">
      <c r="E67" s="9" t="s">
        <v>34</v>
      </c>
    </row>
    <row r="68" spans="1:5" ht="15" x14ac:dyDescent="0.2">
      <c r="E68" s="9" t="s">
        <v>35</v>
      </c>
    </row>
    <row r="69" spans="1:5" ht="15" x14ac:dyDescent="0.2">
      <c r="E69" s="9" t="s">
        <v>35</v>
      </c>
    </row>
    <row r="70" spans="1:5" ht="15" x14ac:dyDescent="0.2">
      <c r="E70" s="9" t="s">
        <v>36</v>
      </c>
    </row>
    <row r="71" spans="1:5" ht="15" x14ac:dyDescent="0.2">
      <c r="E71" s="9"/>
    </row>
    <row r="73" spans="1:5" ht="18" x14ac:dyDescent="0.25">
      <c r="A73" s="13" t="s">
        <v>37</v>
      </c>
      <c r="B73" s="13"/>
    </row>
    <row r="74" spans="1:5" ht="15" x14ac:dyDescent="0.2">
      <c r="A74" s="14" t="s">
        <v>144</v>
      </c>
      <c r="B74" s="14"/>
    </row>
    <row r="75" spans="1:5" ht="14.25" x14ac:dyDescent="0.2">
      <c r="A75" s="16"/>
      <c r="B75" s="17" t="s">
        <v>145</v>
      </c>
    </row>
    <row r="76" spans="1:5" ht="15" x14ac:dyDescent="0.2">
      <c r="A76" s="18" t="s">
        <v>40</v>
      </c>
      <c r="B76" s="18" t="s">
        <v>41</v>
      </c>
      <c r="C76" s="18" t="s">
        <v>42</v>
      </c>
      <c r="D76" s="18" t="s">
        <v>240</v>
      </c>
      <c r="E76" s="18" t="s">
        <v>44</v>
      </c>
    </row>
    <row r="77" spans="1:5" x14ac:dyDescent="0.2">
      <c r="A77" s="15" t="s">
        <v>295</v>
      </c>
      <c r="B77" s="4" t="s">
        <v>153</v>
      </c>
      <c r="C77" s="4" t="s">
        <v>46</v>
      </c>
      <c r="D77" s="4" t="s">
        <v>58</v>
      </c>
      <c r="E77" s="10" t="s">
        <v>412</v>
      </c>
    </row>
    <row r="79" spans="1:5" ht="14.25" x14ac:dyDescent="0.2">
      <c r="A79" s="16"/>
      <c r="B79" s="17" t="s">
        <v>413</v>
      </c>
    </row>
    <row r="80" spans="1:5" ht="15" x14ac:dyDescent="0.2">
      <c r="A80" s="18" t="s">
        <v>40</v>
      </c>
      <c r="B80" s="18" t="s">
        <v>41</v>
      </c>
      <c r="C80" s="18" t="s">
        <v>42</v>
      </c>
      <c r="D80" s="18" t="s">
        <v>240</v>
      </c>
      <c r="E80" s="18" t="s">
        <v>44</v>
      </c>
    </row>
    <row r="81" spans="1:5" x14ac:dyDescent="0.2">
      <c r="A81" s="15" t="s">
        <v>280</v>
      </c>
      <c r="B81" s="4" t="s">
        <v>414</v>
      </c>
      <c r="C81" s="4" t="s">
        <v>415</v>
      </c>
      <c r="D81" s="4" t="s">
        <v>284</v>
      </c>
      <c r="E81" s="10" t="s">
        <v>416</v>
      </c>
    </row>
    <row r="83" spans="1:5" ht="14.25" x14ac:dyDescent="0.2">
      <c r="A83" s="16"/>
      <c r="B83" s="17" t="s">
        <v>149</v>
      </c>
    </row>
    <row r="84" spans="1:5" ht="15" x14ac:dyDescent="0.2">
      <c r="A84" s="18" t="s">
        <v>40</v>
      </c>
      <c r="B84" s="18" t="s">
        <v>41</v>
      </c>
      <c r="C84" s="18" t="s">
        <v>42</v>
      </c>
      <c r="D84" s="18" t="s">
        <v>240</v>
      </c>
      <c r="E84" s="18" t="s">
        <v>44</v>
      </c>
    </row>
    <row r="85" spans="1:5" x14ac:dyDescent="0.2">
      <c r="A85" s="15" t="s">
        <v>286</v>
      </c>
      <c r="B85" s="4" t="s">
        <v>149</v>
      </c>
      <c r="C85" s="4" t="s">
        <v>417</v>
      </c>
      <c r="D85" s="4" t="s">
        <v>22</v>
      </c>
      <c r="E85" s="10" t="s">
        <v>418</v>
      </c>
    </row>
    <row r="86" spans="1:5" x14ac:dyDescent="0.2">
      <c r="A86" s="15" t="s">
        <v>305</v>
      </c>
      <c r="B86" s="4" t="s">
        <v>149</v>
      </c>
      <c r="C86" s="4" t="s">
        <v>273</v>
      </c>
      <c r="D86" s="4" t="s">
        <v>23</v>
      </c>
      <c r="E86" s="10" t="s">
        <v>419</v>
      </c>
    </row>
    <row r="87" spans="1:5" x14ac:dyDescent="0.2">
      <c r="A87" s="15" t="s">
        <v>309</v>
      </c>
      <c r="B87" s="4" t="s">
        <v>149</v>
      </c>
      <c r="C87" s="4" t="s">
        <v>273</v>
      </c>
      <c r="D87" s="4" t="s">
        <v>125</v>
      </c>
      <c r="E87" s="10" t="s">
        <v>420</v>
      </c>
    </row>
    <row r="88" spans="1:5" x14ac:dyDescent="0.2">
      <c r="A88" s="15" t="s">
        <v>290</v>
      </c>
      <c r="B88" s="4" t="s">
        <v>149</v>
      </c>
      <c r="C88" s="4" t="s">
        <v>417</v>
      </c>
      <c r="D88" s="4" t="s">
        <v>294</v>
      </c>
      <c r="E88" s="10" t="s">
        <v>421</v>
      </c>
    </row>
    <row r="89" spans="1:5" x14ac:dyDescent="0.2">
      <c r="A89" s="15" t="s">
        <v>301</v>
      </c>
      <c r="B89" s="4" t="s">
        <v>149</v>
      </c>
      <c r="C89" s="4" t="s">
        <v>46</v>
      </c>
      <c r="D89" s="4" t="s">
        <v>81</v>
      </c>
      <c r="E89" s="10" t="s">
        <v>422</v>
      </c>
    </row>
    <row r="91" spans="1:5" ht="14.25" x14ac:dyDescent="0.2">
      <c r="A91" s="16"/>
      <c r="B91" s="17" t="s">
        <v>171</v>
      </c>
    </row>
    <row r="92" spans="1:5" ht="15" x14ac:dyDescent="0.2">
      <c r="A92" s="18" t="s">
        <v>40</v>
      </c>
      <c r="B92" s="18" t="s">
        <v>41</v>
      </c>
      <c r="C92" s="18" t="s">
        <v>42</v>
      </c>
      <c r="D92" s="18" t="s">
        <v>240</v>
      </c>
      <c r="E92" s="18" t="s">
        <v>44</v>
      </c>
    </row>
    <row r="93" spans="1:5" x14ac:dyDescent="0.2">
      <c r="A93" s="15" t="s">
        <v>313</v>
      </c>
      <c r="B93" s="4" t="s">
        <v>172</v>
      </c>
      <c r="C93" s="4" t="s">
        <v>273</v>
      </c>
      <c r="D93" s="4" t="s">
        <v>294</v>
      </c>
      <c r="E93" s="10" t="s">
        <v>423</v>
      </c>
    </row>
    <row r="96" spans="1:5" ht="15" x14ac:dyDescent="0.2">
      <c r="A96" s="14" t="s">
        <v>38</v>
      </c>
      <c r="B96" s="14"/>
    </row>
    <row r="97" spans="1:5" ht="14.25" x14ac:dyDescent="0.2">
      <c r="A97" s="16"/>
      <c r="B97" s="17" t="s">
        <v>39</v>
      </c>
    </row>
    <row r="98" spans="1:5" ht="15" x14ac:dyDescent="0.2">
      <c r="A98" s="18" t="s">
        <v>40</v>
      </c>
      <c r="B98" s="18" t="s">
        <v>41</v>
      </c>
      <c r="C98" s="18" t="s">
        <v>42</v>
      </c>
      <c r="D98" s="18" t="s">
        <v>240</v>
      </c>
      <c r="E98" s="18" t="s">
        <v>44</v>
      </c>
    </row>
    <row r="99" spans="1:5" x14ac:dyDescent="0.2">
      <c r="A99" s="15" t="s">
        <v>321</v>
      </c>
      <c r="B99" s="4" t="s">
        <v>157</v>
      </c>
      <c r="C99" s="4" t="s">
        <v>417</v>
      </c>
      <c r="D99" s="4" t="s">
        <v>67</v>
      </c>
      <c r="E99" s="10" t="s">
        <v>424</v>
      </c>
    </row>
    <row r="100" spans="1:5" x14ac:dyDescent="0.2">
      <c r="A100" s="15" t="s">
        <v>326</v>
      </c>
      <c r="B100" s="4" t="s">
        <v>157</v>
      </c>
      <c r="C100" s="4" t="s">
        <v>150</v>
      </c>
      <c r="D100" s="4" t="s">
        <v>70</v>
      </c>
      <c r="E100" s="10" t="s">
        <v>425</v>
      </c>
    </row>
    <row r="101" spans="1:5" x14ac:dyDescent="0.2">
      <c r="A101" s="15" t="s">
        <v>383</v>
      </c>
      <c r="B101" s="4" t="s">
        <v>146</v>
      </c>
      <c r="C101" s="4" t="s">
        <v>165</v>
      </c>
      <c r="D101" s="4" t="s">
        <v>104</v>
      </c>
      <c r="E101" s="10" t="s">
        <v>426</v>
      </c>
    </row>
    <row r="102" spans="1:5" x14ac:dyDescent="0.2">
      <c r="A102" s="15" t="s">
        <v>330</v>
      </c>
      <c r="B102" s="4" t="s">
        <v>153</v>
      </c>
      <c r="C102" s="4" t="s">
        <v>241</v>
      </c>
      <c r="D102" s="4" t="s">
        <v>23</v>
      </c>
      <c r="E102" s="10" t="s">
        <v>427</v>
      </c>
    </row>
    <row r="103" spans="1:5" x14ac:dyDescent="0.2">
      <c r="A103" s="15" t="s">
        <v>317</v>
      </c>
      <c r="B103" s="4" t="s">
        <v>45</v>
      </c>
      <c r="C103" s="4" t="s">
        <v>417</v>
      </c>
      <c r="D103" s="4" t="s">
        <v>284</v>
      </c>
      <c r="E103" s="10" t="s">
        <v>428</v>
      </c>
    </row>
    <row r="104" spans="1:5" x14ac:dyDescent="0.2">
      <c r="A104" s="15" t="s">
        <v>71</v>
      </c>
      <c r="B104" s="4" t="s">
        <v>45</v>
      </c>
      <c r="C104" s="4" t="s">
        <v>46</v>
      </c>
      <c r="D104" s="4" t="s">
        <v>78</v>
      </c>
      <c r="E104" s="10" t="s">
        <v>429</v>
      </c>
    </row>
    <row r="105" spans="1:5" x14ac:dyDescent="0.2">
      <c r="A105" s="15" t="s">
        <v>83</v>
      </c>
      <c r="B105" s="4" t="s">
        <v>45</v>
      </c>
      <c r="C105" s="4" t="s">
        <v>158</v>
      </c>
      <c r="D105" s="4" t="s">
        <v>25</v>
      </c>
      <c r="E105" s="10" t="s">
        <v>430</v>
      </c>
    </row>
    <row r="107" spans="1:5" ht="14.25" x14ac:dyDescent="0.2">
      <c r="A107" s="16"/>
      <c r="B107" s="17" t="s">
        <v>431</v>
      </c>
    </row>
    <row r="108" spans="1:5" ht="15" x14ac:dyDescent="0.2">
      <c r="A108" s="18" t="s">
        <v>40</v>
      </c>
      <c r="B108" s="18" t="s">
        <v>41</v>
      </c>
      <c r="C108" s="18" t="s">
        <v>42</v>
      </c>
      <c r="D108" s="18" t="s">
        <v>240</v>
      </c>
      <c r="E108" s="18" t="s">
        <v>44</v>
      </c>
    </row>
    <row r="109" spans="1:5" x14ac:dyDescent="0.2">
      <c r="A109" s="15" t="s">
        <v>402</v>
      </c>
      <c r="B109" s="4" t="s">
        <v>414</v>
      </c>
      <c r="C109" s="4" t="s">
        <v>432</v>
      </c>
      <c r="D109" s="4" t="s">
        <v>117</v>
      </c>
      <c r="E109" s="10" t="s">
        <v>433</v>
      </c>
    </row>
    <row r="110" spans="1:5" x14ac:dyDescent="0.2">
      <c r="A110" s="15" t="s">
        <v>347</v>
      </c>
      <c r="B110" s="4" t="s">
        <v>414</v>
      </c>
      <c r="C110" s="4" t="s">
        <v>158</v>
      </c>
      <c r="D110" s="4" t="s">
        <v>69</v>
      </c>
      <c r="E110" s="10" t="s">
        <v>434</v>
      </c>
    </row>
    <row r="112" spans="1:5" ht="14.25" x14ac:dyDescent="0.2">
      <c r="A112" s="16"/>
      <c r="B112" s="17" t="s">
        <v>149</v>
      </c>
    </row>
    <row r="113" spans="1:5" ht="15" x14ac:dyDescent="0.2">
      <c r="A113" s="18" t="s">
        <v>40</v>
      </c>
      <c r="B113" s="18" t="s">
        <v>41</v>
      </c>
      <c r="C113" s="18" t="s">
        <v>42</v>
      </c>
      <c r="D113" s="18" t="s">
        <v>240</v>
      </c>
      <c r="E113" s="18" t="s">
        <v>44</v>
      </c>
    </row>
    <row r="114" spans="1:5" x14ac:dyDescent="0.2">
      <c r="A114" s="15" t="s">
        <v>368</v>
      </c>
      <c r="B114" s="4" t="s">
        <v>149</v>
      </c>
      <c r="C114" s="4" t="s">
        <v>168</v>
      </c>
      <c r="D114" s="4" t="s">
        <v>374</v>
      </c>
      <c r="E114" s="10" t="s">
        <v>435</v>
      </c>
    </row>
    <row r="115" spans="1:5" x14ac:dyDescent="0.2">
      <c r="A115" s="15" t="s">
        <v>406</v>
      </c>
      <c r="B115" s="4" t="s">
        <v>149</v>
      </c>
      <c r="C115" s="4" t="s">
        <v>432</v>
      </c>
      <c r="D115" s="4" t="s">
        <v>410</v>
      </c>
      <c r="E115" s="10" t="s">
        <v>436</v>
      </c>
    </row>
    <row r="116" spans="1:5" x14ac:dyDescent="0.2">
      <c r="A116" s="15" t="s">
        <v>351</v>
      </c>
      <c r="B116" s="4" t="s">
        <v>149</v>
      </c>
      <c r="C116" s="4" t="s">
        <v>158</v>
      </c>
      <c r="D116" s="4" t="s">
        <v>112</v>
      </c>
      <c r="E116" s="10" t="s">
        <v>437</v>
      </c>
    </row>
    <row r="117" spans="1:5" x14ac:dyDescent="0.2">
      <c r="A117" s="15" t="s">
        <v>220</v>
      </c>
      <c r="B117" s="4" t="s">
        <v>149</v>
      </c>
      <c r="C117" s="4" t="s">
        <v>241</v>
      </c>
      <c r="D117" s="4" t="s">
        <v>205</v>
      </c>
      <c r="E117" s="10" t="s">
        <v>438</v>
      </c>
    </row>
    <row r="118" spans="1:5" x14ac:dyDescent="0.2">
      <c r="A118" s="15" t="s">
        <v>387</v>
      </c>
      <c r="B118" s="4" t="s">
        <v>149</v>
      </c>
      <c r="C118" s="4" t="s">
        <v>165</v>
      </c>
      <c r="D118" s="4" t="s">
        <v>374</v>
      </c>
      <c r="E118" s="10" t="s">
        <v>439</v>
      </c>
    </row>
    <row r="119" spans="1:5" x14ac:dyDescent="0.2">
      <c r="A119" s="15" t="s">
        <v>391</v>
      </c>
      <c r="B119" s="4" t="s">
        <v>149</v>
      </c>
      <c r="C119" s="4" t="s">
        <v>165</v>
      </c>
      <c r="D119" s="4" t="s">
        <v>103</v>
      </c>
      <c r="E119" s="10" t="s">
        <v>440</v>
      </c>
    </row>
    <row r="120" spans="1:5" x14ac:dyDescent="0.2">
      <c r="A120" s="15" t="s">
        <v>354</v>
      </c>
      <c r="B120" s="4" t="s">
        <v>149</v>
      </c>
      <c r="C120" s="4" t="s">
        <v>158</v>
      </c>
      <c r="D120" s="4" t="s">
        <v>161</v>
      </c>
      <c r="E120" s="10" t="s">
        <v>441</v>
      </c>
    </row>
    <row r="121" spans="1:5" x14ac:dyDescent="0.2">
      <c r="A121" s="15" t="s">
        <v>375</v>
      </c>
      <c r="B121" s="4" t="s">
        <v>149</v>
      </c>
      <c r="C121" s="4" t="s">
        <v>168</v>
      </c>
      <c r="D121" s="4" t="s">
        <v>111</v>
      </c>
      <c r="E121" s="10" t="s">
        <v>442</v>
      </c>
    </row>
    <row r="122" spans="1:5" x14ac:dyDescent="0.2">
      <c r="A122" s="15" t="s">
        <v>396</v>
      </c>
      <c r="B122" s="4" t="s">
        <v>149</v>
      </c>
      <c r="C122" s="4" t="s">
        <v>165</v>
      </c>
      <c r="D122" s="4" t="s">
        <v>372</v>
      </c>
      <c r="E122" s="10" t="s">
        <v>443</v>
      </c>
    </row>
    <row r="123" spans="1:5" x14ac:dyDescent="0.2">
      <c r="A123" s="15" t="s">
        <v>378</v>
      </c>
      <c r="B123" s="4" t="s">
        <v>149</v>
      </c>
      <c r="C123" s="4" t="s">
        <v>154</v>
      </c>
      <c r="D123" s="4" t="s">
        <v>115</v>
      </c>
      <c r="E123" s="10" t="s">
        <v>444</v>
      </c>
    </row>
    <row r="124" spans="1:5" x14ac:dyDescent="0.2">
      <c r="A124" s="15" t="s">
        <v>334</v>
      </c>
      <c r="B124" s="4" t="s">
        <v>149</v>
      </c>
      <c r="C124" s="4" t="s">
        <v>241</v>
      </c>
      <c r="D124" s="4" t="s">
        <v>70</v>
      </c>
      <c r="E124" s="10" t="s">
        <v>445</v>
      </c>
    </row>
    <row r="126" spans="1:5" ht="14.25" x14ac:dyDescent="0.2">
      <c r="A126" s="16"/>
      <c r="B126" s="17" t="s">
        <v>171</v>
      </c>
    </row>
    <row r="127" spans="1:5" ht="15" x14ac:dyDescent="0.2">
      <c r="A127" s="18" t="s">
        <v>40</v>
      </c>
      <c r="B127" s="18" t="s">
        <v>41</v>
      </c>
      <c r="C127" s="18" t="s">
        <v>42</v>
      </c>
      <c r="D127" s="18" t="s">
        <v>240</v>
      </c>
      <c r="E127" s="18" t="s">
        <v>44</v>
      </c>
    </row>
    <row r="128" spans="1:5" x14ac:dyDescent="0.2">
      <c r="A128" s="15" t="s">
        <v>235</v>
      </c>
      <c r="B128" s="4" t="s">
        <v>244</v>
      </c>
      <c r="C128" s="4" t="s">
        <v>168</v>
      </c>
      <c r="D128" s="4" t="s">
        <v>70</v>
      </c>
      <c r="E128" s="10" t="s">
        <v>245</v>
      </c>
    </row>
    <row r="129" spans="1:5" x14ac:dyDescent="0.2">
      <c r="A129" s="15" t="s">
        <v>364</v>
      </c>
      <c r="B129" s="4" t="s">
        <v>277</v>
      </c>
      <c r="C129" s="4" t="s">
        <v>158</v>
      </c>
      <c r="D129" s="4" t="s">
        <v>195</v>
      </c>
      <c r="E129" s="10" t="s">
        <v>446</v>
      </c>
    </row>
    <row r="130" spans="1:5" x14ac:dyDescent="0.2">
      <c r="A130" s="15" t="s">
        <v>343</v>
      </c>
      <c r="B130" s="4" t="s">
        <v>275</v>
      </c>
      <c r="C130" s="4" t="s">
        <v>241</v>
      </c>
      <c r="D130" s="4" t="s">
        <v>68</v>
      </c>
      <c r="E130" s="10" t="s">
        <v>447</v>
      </c>
    </row>
    <row r="131" spans="1:5" x14ac:dyDescent="0.2">
      <c r="A131" s="15" t="s">
        <v>360</v>
      </c>
      <c r="B131" s="4" t="s">
        <v>217</v>
      </c>
      <c r="C131" s="4" t="s">
        <v>158</v>
      </c>
      <c r="D131" s="4" t="s">
        <v>204</v>
      </c>
      <c r="E131" s="10" t="s">
        <v>448</v>
      </c>
    </row>
    <row r="132" spans="1:5" x14ac:dyDescent="0.2">
      <c r="A132" s="15" t="s">
        <v>224</v>
      </c>
      <c r="B132" s="4" t="s">
        <v>217</v>
      </c>
      <c r="C132" s="4" t="s">
        <v>168</v>
      </c>
      <c r="D132" s="4" t="s">
        <v>197</v>
      </c>
      <c r="E132" s="10" t="s">
        <v>449</v>
      </c>
    </row>
    <row r="133" spans="1:5" x14ac:dyDescent="0.2">
      <c r="A133" s="15" t="s">
        <v>338</v>
      </c>
      <c r="B133" s="4" t="s">
        <v>217</v>
      </c>
      <c r="C133" s="4" t="s">
        <v>241</v>
      </c>
      <c r="D133" s="4" t="s">
        <v>70</v>
      </c>
      <c r="E133" s="10" t="s">
        <v>450</v>
      </c>
    </row>
  </sheetData>
  <mergeCells count="24">
    <mergeCell ref="A61:J61"/>
    <mergeCell ref="A8:J8"/>
    <mergeCell ref="A12:J12"/>
    <mergeCell ref="A16:J16"/>
    <mergeCell ref="A21:J21"/>
    <mergeCell ref="A25:J25"/>
    <mergeCell ref="A28:J28"/>
    <mergeCell ref="A31:J31"/>
    <mergeCell ref="A38:J38"/>
    <mergeCell ref="A46:J46"/>
    <mergeCell ref="A52:J52"/>
    <mergeCell ref="A55:J55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E7" sqref="E7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2" t="s">
        <v>849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256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6" t="s">
        <v>258</v>
      </c>
      <c r="B6" s="6" t="s">
        <v>259</v>
      </c>
      <c r="C6" s="6" t="s">
        <v>260</v>
      </c>
      <c r="D6" s="6" t="str">
        <f>"0,7864"</f>
        <v>0,7864</v>
      </c>
      <c r="E6" s="6" t="s">
        <v>53</v>
      </c>
      <c r="F6" s="6" t="s">
        <v>228</v>
      </c>
      <c r="G6" s="7" t="s">
        <v>261</v>
      </c>
      <c r="H6" s="7" t="s">
        <v>262</v>
      </c>
      <c r="I6" s="8" t="s">
        <v>87</v>
      </c>
      <c r="J6" s="8"/>
      <c r="K6" s="11" t="str">
        <f>"55,0"</f>
        <v>55,0</v>
      </c>
      <c r="L6" s="12" t="str">
        <f>"46,7122"</f>
        <v>46,7122</v>
      </c>
      <c r="M6" s="6" t="s">
        <v>31</v>
      </c>
    </row>
    <row r="8" spans="1:13" ht="15" x14ac:dyDescent="0.2">
      <c r="A8" s="51" t="s">
        <v>82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2">
      <c r="A9" s="6" t="s">
        <v>264</v>
      </c>
      <c r="B9" s="6" t="s">
        <v>265</v>
      </c>
      <c r="C9" s="6" t="s">
        <v>266</v>
      </c>
      <c r="D9" s="6" t="str">
        <f>"0,6198"</f>
        <v>0,6198</v>
      </c>
      <c r="E9" s="6" t="s">
        <v>65</v>
      </c>
      <c r="F9" s="6" t="s">
        <v>254</v>
      </c>
      <c r="G9" s="7" t="s">
        <v>67</v>
      </c>
      <c r="H9" s="7" t="s">
        <v>267</v>
      </c>
      <c r="I9" s="8" t="s">
        <v>69</v>
      </c>
      <c r="J9" s="8"/>
      <c r="K9" s="11" t="str">
        <f>"107,5"</f>
        <v>107,5</v>
      </c>
      <c r="L9" s="12" t="str">
        <f>"109,6039"</f>
        <v>109,6039</v>
      </c>
      <c r="M9" s="6" t="s">
        <v>31</v>
      </c>
    </row>
    <row r="11" spans="1:13" ht="15" x14ac:dyDescent="0.2">
      <c r="A11" s="51" t="s">
        <v>137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 x14ac:dyDescent="0.2">
      <c r="A12" s="6" t="s">
        <v>269</v>
      </c>
      <c r="B12" s="6" t="s">
        <v>270</v>
      </c>
      <c r="C12" s="6" t="s">
        <v>271</v>
      </c>
      <c r="D12" s="6" t="str">
        <f>"0,5413"</f>
        <v>0,5413</v>
      </c>
      <c r="E12" s="6" t="s">
        <v>272</v>
      </c>
      <c r="F12" s="6" t="s">
        <v>21</v>
      </c>
      <c r="G12" s="7" t="s">
        <v>98</v>
      </c>
      <c r="H12" s="7" t="s">
        <v>195</v>
      </c>
      <c r="I12" s="7" t="s">
        <v>143</v>
      </c>
      <c r="J12" s="8"/>
      <c r="K12" s="11" t="str">
        <f>"135,0"</f>
        <v>135,0</v>
      </c>
      <c r="L12" s="12" t="str">
        <f>"104,4980"</f>
        <v>104,4980</v>
      </c>
      <c r="M12" s="6" t="s">
        <v>31</v>
      </c>
    </row>
    <row r="14" spans="1:13" ht="15" x14ac:dyDescent="0.2">
      <c r="E14" s="9" t="s">
        <v>32</v>
      </c>
    </row>
    <row r="15" spans="1:13" ht="15" x14ac:dyDescent="0.2">
      <c r="E15" s="9" t="s">
        <v>33</v>
      </c>
    </row>
    <row r="16" spans="1:13" ht="15" x14ac:dyDescent="0.2">
      <c r="E16" s="9" t="s">
        <v>34</v>
      </c>
    </row>
    <row r="17" spans="1:5" ht="15" x14ac:dyDescent="0.2">
      <c r="E17" s="9" t="s">
        <v>35</v>
      </c>
    </row>
    <row r="18" spans="1:5" ht="15" x14ac:dyDescent="0.2">
      <c r="E18" s="9" t="s">
        <v>35</v>
      </c>
    </row>
    <row r="19" spans="1:5" ht="15" x14ac:dyDescent="0.2">
      <c r="E19" s="9" t="s">
        <v>36</v>
      </c>
    </row>
    <row r="20" spans="1:5" ht="15" x14ac:dyDescent="0.2">
      <c r="E20" s="9"/>
    </row>
    <row r="22" spans="1:5" ht="18" x14ac:dyDescent="0.25">
      <c r="A22" s="13" t="s">
        <v>37</v>
      </c>
      <c r="B22" s="13"/>
    </row>
    <row r="23" spans="1:5" ht="15" x14ac:dyDescent="0.2">
      <c r="A23" s="14" t="s">
        <v>38</v>
      </c>
      <c r="B23" s="14"/>
    </row>
    <row r="24" spans="1:5" ht="14.25" x14ac:dyDescent="0.2">
      <c r="A24" s="16"/>
      <c r="B24" s="17" t="s">
        <v>39</v>
      </c>
    </row>
    <row r="25" spans="1:5" ht="15" x14ac:dyDescent="0.2">
      <c r="A25" s="18" t="s">
        <v>40</v>
      </c>
      <c r="B25" s="18" t="s">
        <v>41</v>
      </c>
      <c r="C25" s="18" t="s">
        <v>42</v>
      </c>
      <c r="D25" s="18" t="s">
        <v>240</v>
      </c>
      <c r="E25" s="18" t="s">
        <v>44</v>
      </c>
    </row>
    <row r="26" spans="1:5" x14ac:dyDescent="0.2">
      <c r="A26" s="15" t="s">
        <v>257</v>
      </c>
      <c r="B26" s="4" t="s">
        <v>157</v>
      </c>
      <c r="C26" s="4" t="s">
        <v>273</v>
      </c>
      <c r="D26" s="4" t="s">
        <v>80</v>
      </c>
      <c r="E26" s="10" t="s">
        <v>274</v>
      </c>
    </row>
    <row r="28" spans="1:5" ht="14.25" x14ac:dyDescent="0.2">
      <c r="A28" s="16"/>
      <c r="B28" s="17" t="s">
        <v>171</v>
      </c>
    </row>
    <row r="29" spans="1:5" ht="15" x14ac:dyDescent="0.2">
      <c r="A29" s="18" t="s">
        <v>40</v>
      </c>
      <c r="B29" s="18" t="s">
        <v>41</v>
      </c>
      <c r="C29" s="18" t="s">
        <v>42</v>
      </c>
      <c r="D29" s="18" t="s">
        <v>240</v>
      </c>
      <c r="E29" s="18" t="s">
        <v>44</v>
      </c>
    </row>
    <row r="30" spans="1:5" x14ac:dyDescent="0.2">
      <c r="A30" s="15" t="s">
        <v>263</v>
      </c>
      <c r="B30" s="4" t="s">
        <v>275</v>
      </c>
      <c r="C30" s="4" t="s">
        <v>158</v>
      </c>
      <c r="D30" s="4" t="s">
        <v>267</v>
      </c>
      <c r="E30" s="10" t="s">
        <v>276</v>
      </c>
    </row>
    <row r="31" spans="1:5" x14ac:dyDescent="0.2">
      <c r="A31" s="15" t="s">
        <v>268</v>
      </c>
      <c r="B31" s="4" t="s">
        <v>277</v>
      </c>
      <c r="C31" s="4" t="s">
        <v>165</v>
      </c>
      <c r="D31" s="4" t="s">
        <v>143</v>
      </c>
      <c r="E31" s="10" t="s">
        <v>278</v>
      </c>
    </row>
  </sheetData>
  <mergeCells count="14">
    <mergeCell ref="A8:J8"/>
    <mergeCell ref="A11:J11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9" width="4.5703125" style="3" customWidth="1"/>
    <col min="10" max="10" width="8.85546875" style="3" customWidth="1"/>
    <col min="11" max="11" width="11.28515625" style="10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2" t="s">
        <v>875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766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285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19" t="s">
        <v>816</v>
      </c>
      <c r="B6" s="19" t="s">
        <v>817</v>
      </c>
      <c r="C6" s="19" t="s">
        <v>818</v>
      </c>
      <c r="D6" s="19" t="str">
        <f>"1,3133"</f>
        <v>1,3133</v>
      </c>
      <c r="E6" s="19" t="s">
        <v>181</v>
      </c>
      <c r="F6" s="19" t="s">
        <v>21</v>
      </c>
      <c r="G6" s="20" t="s">
        <v>769</v>
      </c>
      <c r="H6" s="20" t="s">
        <v>819</v>
      </c>
      <c r="I6" s="21" t="s">
        <v>699</v>
      </c>
      <c r="J6" s="21"/>
      <c r="K6" s="28" t="str">
        <f>"17,5"</f>
        <v>17,5</v>
      </c>
      <c r="L6" s="29" t="str">
        <f>"28,2688"</f>
        <v>28,2688</v>
      </c>
      <c r="M6" s="19" t="s">
        <v>31</v>
      </c>
    </row>
    <row r="7" spans="1:13" x14ac:dyDescent="0.2">
      <c r="A7" s="25" t="s">
        <v>821</v>
      </c>
      <c r="B7" s="25" t="s">
        <v>822</v>
      </c>
      <c r="C7" s="25" t="s">
        <v>823</v>
      </c>
      <c r="D7" s="25" t="str">
        <f>"0,9966"</f>
        <v>0,9966</v>
      </c>
      <c r="E7" s="25" t="s">
        <v>65</v>
      </c>
      <c r="F7" s="25" t="s">
        <v>677</v>
      </c>
      <c r="G7" s="26" t="s">
        <v>768</v>
      </c>
      <c r="H7" s="26" t="s">
        <v>78</v>
      </c>
      <c r="I7" s="26" t="s">
        <v>824</v>
      </c>
      <c r="J7" s="26" t="s">
        <v>284</v>
      </c>
      <c r="K7" s="32" t="str">
        <f>"36,0"</f>
        <v>36,0</v>
      </c>
      <c r="L7" s="33" t="str">
        <f>"66,9117"</f>
        <v>66,9117</v>
      </c>
      <c r="M7" s="25" t="s">
        <v>31</v>
      </c>
    </row>
    <row r="9" spans="1:13" ht="15" x14ac:dyDescent="0.2">
      <c r="A9" s="51" t="s">
        <v>106</v>
      </c>
      <c r="B9" s="51"/>
      <c r="C9" s="51"/>
      <c r="D9" s="51"/>
      <c r="E9" s="51"/>
      <c r="F9" s="51"/>
      <c r="G9" s="51"/>
      <c r="H9" s="51"/>
      <c r="I9" s="51"/>
      <c r="J9" s="51"/>
    </row>
    <row r="10" spans="1:13" x14ac:dyDescent="0.2">
      <c r="A10" s="19" t="s">
        <v>763</v>
      </c>
      <c r="B10" s="19" t="s">
        <v>764</v>
      </c>
      <c r="C10" s="19" t="s">
        <v>723</v>
      </c>
      <c r="D10" s="19" t="str">
        <f>"0,5881"</f>
        <v>0,5881</v>
      </c>
      <c r="E10" s="19" t="s">
        <v>181</v>
      </c>
      <c r="F10" s="19" t="s">
        <v>21</v>
      </c>
      <c r="G10" s="20" t="s">
        <v>88</v>
      </c>
      <c r="H10" s="20" t="s">
        <v>22</v>
      </c>
      <c r="I10" s="21" t="s">
        <v>23</v>
      </c>
      <c r="J10" s="21"/>
      <c r="K10" s="28" t="str">
        <f>"70,0"</f>
        <v>70,0</v>
      </c>
      <c r="L10" s="29" t="str">
        <f>"44,0075"</f>
        <v>44,0075</v>
      </c>
      <c r="M10" s="19" t="s">
        <v>31</v>
      </c>
    </row>
    <row r="11" spans="1:13" x14ac:dyDescent="0.2">
      <c r="A11" s="25" t="s">
        <v>825</v>
      </c>
      <c r="B11" s="25" t="s">
        <v>252</v>
      </c>
      <c r="C11" s="25" t="s">
        <v>253</v>
      </c>
      <c r="D11" s="25" t="str">
        <f>"0,6069"</f>
        <v>0,6069</v>
      </c>
      <c r="E11" s="25" t="s">
        <v>94</v>
      </c>
      <c r="F11" s="25" t="s">
        <v>254</v>
      </c>
      <c r="G11" s="26" t="s">
        <v>80</v>
      </c>
      <c r="H11" s="26" t="s">
        <v>81</v>
      </c>
      <c r="I11" s="26" t="s">
        <v>88</v>
      </c>
      <c r="J11" s="27"/>
      <c r="K11" s="32" t="str">
        <f>"65,0"</f>
        <v>65,0</v>
      </c>
      <c r="L11" s="33" t="str">
        <f>"43,0778"</f>
        <v>43,0778</v>
      </c>
      <c r="M11" s="25" t="s">
        <v>31</v>
      </c>
    </row>
    <row r="13" spans="1:13" ht="15" x14ac:dyDescent="0.2">
      <c r="E13" s="9" t="s">
        <v>32</v>
      </c>
    </row>
    <row r="14" spans="1:13" ht="15" x14ac:dyDescent="0.2">
      <c r="E14" s="9" t="s">
        <v>33</v>
      </c>
    </row>
    <row r="15" spans="1:13" ht="15" x14ac:dyDescent="0.2">
      <c r="E15" s="9" t="s">
        <v>34</v>
      </c>
    </row>
    <row r="16" spans="1:13" ht="15" x14ac:dyDescent="0.2">
      <c r="E16" s="9" t="s">
        <v>35</v>
      </c>
    </row>
    <row r="17" spans="1:5" ht="15" x14ac:dyDescent="0.2">
      <c r="E17" s="9" t="s">
        <v>35</v>
      </c>
    </row>
    <row r="18" spans="1:5" ht="15" x14ac:dyDescent="0.2">
      <c r="E18" s="9" t="s">
        <v>36</v>
      </c>
    </row>
    <row r="19" spans="1:5" ht="15" x14ac:dyDescent="0.2">
      <c r="E19" s="9"/>
    </row>
    <row r="21" spans="1:5" ht="18" x14ac:dyDescent="0.25">
      <c r="A21" s="13" t="s">
        <v>37</v>
      </c>
      <c r="B21" s="13"/>
    </row>
    <row r="22" spans="1:5" ht="15" x14ac:dyDescent="0.2">
      <c r="A22" s="14" t="s">
        <v>38</v>
      </c>
      <c r="B22" s="14"/>
    </row>
    <row r="23" spans="1:5" ht="14.25" x14ac:dyDescent="0.2">
      <c r="A23" s="16"/>
      <c r="B23" s="17" t="s">
        <v>39</v>
      </c>
    </row>
    <row r="24" spans="1:5" ht="15" x14ac:dyDescent="0.2">
      <c r="A24" s="18" t="s">
        <v>40</v>
      </c>
      <c r="B24" s="18" t="s">
        <v>41</v>
      </c>
      <c r="C24" s="18" t="s">
        <v>42</v>
      </c>
      <c r="D24" s="18" t="s">
        <v>240</v>
      </c>
      <c r="E24" s="18" t="s">
        <v>44</v>
      </c>
    </row>
    <row r="25" spans="1:5" x14ac:dyDescent="0.2">
      <c r="A25" s="15" t="s">
        <v>815</v>
      </c>
      <c r="B25" s="4" t="s">
        <v>45</v>
      </c>
      <c r="C25" s="4" t="s">
        <v>417</v>
      </c>
      <c r="D25" s="4" t="s">
        <v>819</v>
      </c>
      <c r="E25" s="10" t="s">
        <v>826</v>
      </c>
    </row>
    <row r="27" spans="1:5" ht="14.25" x14ac:dyDescent="0.2">
      <c r="A27" s="16"/>
      <c r="B27" s="17" t="s">
        <v>171</v>
      </c>
    </row>
    <row r="28" spans="1:5" ht="15" x14ac:dyDescent="0.2">
      <c r="A28" s="18" t="s">
        <v>40</v>
      </c>
      <c r="B28" s="18" t="s">
        <v>41</v>
      </c>
      <c r="C28" s="18" t="s">
        <v>42</v>
      </c>
      <c r="D28" s="18" t="s">
        <v>240</v>
      </c>
      <c r="E28" s="18" t="s">
        <v>44</v>
      </c>
    </row>
    <row r="29" spans="1:5" x14ac:dyDescent="0.2">
      <c r="A29" s="15" t="s">
        <v>820</v>
      </c>
      <c r="B29" s="4" t="s">
        <v>275</v>
      </c>
      <c r="C29" s="4" t="s">
        <v>417</v>
      </c>
      <c r="D29" s="4" t="s">
        <v>824</v>
      </c>
      <c r="E29" s="10" t="s">
        <v>827</v>
      </c>
    </row>
    <row r="30" spans="1:5" x14ac:dyDescent="0.2">
      <c r="A30" s="15" t="s">
        <v>762</v>
      </c>
      <c r="B30" s="4" t="s">
        <v>217</v>
      </c>
      <c r="C30" s="4" t="s">
        <v>168</v>
      </c>
      <c r="D30" s="4" t="s">
        <v>22</v>
      </c>
      <c r="E30" s="10" t="s">
        <v>828</v>
      </c>
    </row>
    <row r="31" spans="1:5" x14ac:dyDescent="0.2">
      <c r="A31" s="15" t="s">
        <v>250</v>
      </c>
      <c r="B31" s="4" t="s">
        <v>217</v>
      </c>
      <c r="C31" s="4" t="s">
        <v>168</v>
      </c>
      <c r="D31" s="4" t="s">
        <v>88</v>
      </c>
      <c r="E31" s="10" t="s">
        <v>829</v>
      </c>
    </row>
  </sheetData>
  <mergeCells count="13">
    <mergeCell ref="A9:J9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G10" sqref="G10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2" t="s">
        <v>848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102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106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6" t="s">
        <v>251</v>
      </c>
      <c r="B6" s="6" t="s">
        <v>252</v>
      </c>
      <c r="C6" s="6" t="s">
        <v>253</v>
      </c>
      <c r="D6" s="6" t="str">
        <f>"0,6069"</f>
        <v>0,6069</v>
      </c>
      <c r="E6" s="6" t="s">
        <v>94</v>
      </c>
      <c r="F6" s="6" t="s">
        <v>254</v>
      </c>
      <c r="G6" s="7" t="s">
        <v>195</v>
      </c>
      <c r="H6" s="7" t="s">
        <v>143</v>
      </c>
      <c r="I6" s="7" t="s">
        <v>204</v>
      </c>
      <c r="J6" s="8"/>
      <c r="K6" s="11" t="str">
        <f>"140,0"</f>
        <v>140,0</v>
      </c>
      <c r="L6" s="12" t="str">
        <f>"92,7829"</f>
        <v>92,7829</v>
      </c>
      <c r="M6" s="6" t="s">
        <v>31</v>
      </c>
    </row>
    <row r="8" spans="1:13" ht="15" x14ac:dyDescent="0.2">
      <c r="E8" s="9" t="s">
        <v>32</v>
      </c>
    </row>
    <row r="9" spans="1:13" ht="15" x14ac:dyDescent="0.2">
      <c r="E9" s="9" t="s">
        <v>33</v>
      </c>
    </row>
    <row r="10" spans="1:13" ht="15" x14ac:dyDescent="0.2">
      <c r="E10" s="9" t="s">
        <v>34</v>
      </c>
    </row>
    <row r="11" spans="1:13" ht="15" x14ac:dyDescent="0.2">
      <c r="E11" s="9" t="s">
        <v>35</v>
      </c>
    </row>
    <row r="12" spans="1:13" ht="15" x14ac:dyDescent="0.2">
      <c r="E12" s="9" t="s">
        <v>35</v>
      </c>
    </row>
    <row r="13" spans="1:13" ht="15" x14ac:dyDescent="0.2">
      <c r="E13" s="9" t="s">
        <v>36</v>
      </c>
    </row>
    <row r="14" spans="1:13" ht="15" x14ac:dyDescent="0.2">
      <c r="E14" s="9"/>
    </row>
    <row r="16" spans="1:13" ht="18" x14ac:dyDescent="0.25">
      <c r="A16" s="13" t="s">
        <v>37</v>
      </c>
      <c r="B16" s="13"/>
    </row>
    <row r="17" spans="1:5" ht="15" x14ac:dyDescent="0.2">
      <c r="A17" s="14" t="s">
        <v>38</v>
      </c>
      <c r="B17" s="14"/>
    </row>
    <row r="18" spans="1:5" ht="14.25" x14ac:dyDescent="0.2">
      <c r="A18" s="16"/>
      <c r="B18" s="17" t="s">
        <v>171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240</v>
      </c>
      <c r="E19" s="18" t="s">
        <v>44</v>
      </c>
    </row>
    <row r="20" spans="1:5" x14ac:dyDescent="0.2">
      <c r="A20" s="15" t="s">
        <v>250</v>
      </c>
      <c r="B20" s="4" t="s">
        <v>217</v>
      </c>
      <c r="C20" s="4" t="s">
        <v>168</v>
      </c>
      <c r="D20" s="4" t="s">
        <v>204</v>
      </c>
      <c r="E20" s="10" t="s">
        <v>255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2" t="s">
        <v>847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219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6" t="s">
        <v>221</v>
      </c>
      <c r="B6" s="6" t="s">
        <v>222</v>
      </c>
      <c r="C6" s="6" t="s">
        <v>223</v>
      </c>
      <c r="D6" s="6" t="str">
        <f>"0,6645"</f>
        <v>0,6645</v>
      </c>
      <c r="E6" s="6" t="s">
        <v>181</v>
      </c>
      <c r="F6" s="6" t="s">
        <v>21</v>
      </c>
      <c r="G6" s="7" t="s">
        <v>195</v>
      </c>
      <c r="H6" s="7" t="s">
        <v>196</v>
      </c>
      <c r="I6" s="8" t="s">
        <v>115</v>
      </c>
      <c r="J6" s="8"/>
      <c r="K6" s="11" t="str">
        <f>"137,5"</f>
        <v>137,5</v>
      </c>
      <c r="L6" s="12" t="str">
        <f>"91,3687"</f>
        <v>91,3687</v>
      </c>
      <c r="M6" s="6" t="s">
        <v>31</v>
      </c>
    </row>
    <row r="8" spans="1:13" ht="15" x14ac:dyDescent="0.2">
      <c r="A8" s="51" t="s">
        <v>106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2">
      <c r="A9" s="19" t="s">
        <v>225</v>
      </c>
      <c r="B9" s="19" t="s">
        <v>226</v>
      </c>
      <c r="C9" s="19" t="s">
        <v>227</v>
      </c>
      <c r="D9" s="19" t="str">
        <f>"0,6107"</f>
        <v>0,6107</v>
      </c>
      <c r="E9" s="19" t="s">
        <v>181</v>
      </c>
      <c r="F9" s="19" t="s">
        <v>228</v>
      </c>
      <c r="G9" s="20" t="s">
        <v>195</v>
      </c>
      <c r="H9" s="21" t="s">
        <v>143</v>
      </c>
      <c r="I9" s="20" t="s">
        <v>143</v>
      </c>
      <c r="J9" s="21"/>
      <c r="K9" s="28" t="str">
        <f>"135,0"</f>
        <v>135,0</v>
      </c>
      <c r="L9" s="29" t="str">
        <f>"82,4445"</f>
        <v>82,4445</v>
      </c>
      <c r="M9" s="19" t="s">
        <v>31</v>
      </c>
    </row>
    <row r="10" spans="1:13" x14ac:dyDescent="0.2">
      <c r="A10" s="22" t="s">
        <v>225</v>
      </c>
      <c r="B10" s="22" t="s">
        <v>229</v>
      </c>
      <c r="C10" s="22" t="s">
        <v>227</v>
      </c>
      <c r="D10" s="22" t="str">
        <f>"0,6107"</f>
        <v>0,6107</v>
      </c>
      <c r="E10" s="22" t="s">
        <v>181</v>
      </c>
      <c r="F10" s="22" t="s">
        <v>228</v>
      </c>
      <c r="G10" s="23" t="s">
        <v>195</v>
      </c>
      <c r="H10" s="24" t="s">
        <v>143</v>
      </c>
      <c r="I10" s="23" t="s">
        <v>143</v>
      </c>
      <c r="J10" s="24"/>
      <c r="K10" s="30" t="str">
        <f>"135,0"</f>
        <v>135,0</v>
      </c>
      <c r="L10" s="31" t="str">
        <f>"86,4018"</f>
        <v>86,4018</v>
      </c>
      <c r="M10" s="22" t="s">
        <v>31</v>
      </c>
    </row>
    <row r="11" spans="1:13" x14ac:dyDescent="0.2">
      <c r="A11" s="22" t="s">
        <v>231</v>
      </c>
      <c r="B11" s="22" t="s">
        <v>232</v>
      </c>
      <c r="C11" s="22" t="s">
        <v>233</v>
      </c>
      <c r="D11" s="22" t="str">
        <f>"0,6018"</f>
        <v>0,6018</v>
      </c>
      <c r="E11" s="22" t="s">
        <v>234</v>
      </c>
      <c r="F11" s="22" t="s">
        <v>21</v>
      </c>
      <c r="G11" s="23" t="s">
        <v>68</v>
      </c>
      <c r="H11" s="23" t="s">
        <v>69</v>
      </c>
      <c r="I11" s="23" t="s">
        <v>97</v>
      </c>
      <c r="J11" s="24"/>
      <c r="K11" s="30" t="str">
        <f>"115,0"</f>
        <v>115,0</v>
      </c>
      <c r="L11" s="31" t="str">
        <f>"92,0453"</f>
        <v>92,0453</v>
      </c>
      <c r="M11" s="22" t="s">
        <v>31</v>
      </c>
    </row>
    <row r="12" spans="1:13" x14ac:dyDescent="0.2">
      <c r="A12" s="25" t="s">
        <v>236</v>
      </c>
      <c r="B12" s="25" t="s">
        <v>237</v>
      </c>
      <c r="C12" s="25" t="s">
        <v>238</v>
      </c>
      <c r="D12" s="25" t="str">
        <f>"0,5914"</f>
        <v>0,5914</v>
      </c>
      <c r="E12" s="25" t="s">
        <v>65</v>
      </c>
      <c r="F12" s="25" t="s">
        <v>239</v>
      </c>
      <c r="G12" s="26" t="s">
        <v>68</v>
      </c>
      <c r="H12" s="26" t="s">
        <v>97</v>
      </c>
      <c r="I12" s="26" t="s">
        <v>70</v>
      </c>
      <c r="J12" s="27"/>
      <c r="K12" s="32" t="str">
        <f>"120,0"</f>
        <v>120,0</v>
      </c>
      <c r="L12" s="33" t="str">
        <f>"139,8070"</f>
        <v>139,8070</v>
      </c>
      <c r="M12" s="25" t="s">
        <v>31</v>
      </c>
    </row>
    <row r="14" spans="1:13" ht="15" x14ac:dyDescent="0.2">
      <c r="E14" s="9" t="s">
        <v>32</v>
      </c>
    </row>
    <row r="15" spans="1:13" ht="15" x14ac:dyDescent="0.2">
      <c r="E15" s="9" t="s">
        <v>33</v>
      </c>
    </row>
    <row r="16" spans="1:13" ht="15" x14ac:dyDescent="0.2">
      <c r="E16" s="9" t="s">
        <v>34</v>
      </c>
    </row>
    <row r="17" spans="1:5" ht="15" x14ac:dyDescent="0.2">
      <c r="E17" s="9" t="s">
        <v>35</v>
      </c>
    </row>
    <row r="18" spans="1:5" ht="15" x14ac:dyDescent="0.2">
      <c r="E18" s="9" t="s">
        <v>35</v>
      </c>
    </row>
    <row r="19" spans="1:5" ht="15" x14ac:dyDescent="0.2">
      <c r="E19" s="9" t="s">
        <v>36</v>
      </c>
    </row>
    <row r="20" spans="1:5" ht="15" x14ac:dyDescent="0.2">
      <c r="E20" s="9"/>
    </row>
    <row r="22" spans="1:5" ht="18" x14ac:dyDescent="0.25">
      <c r="A22" s="13" t="s">
        <v>37</v>
      </c>
      <c r="B22" s="13"/>
    </row>
    <row r="23" spans="1:5" ht="15" x14ac:dyDescent="0.2">
      <c r="A23" s="14" t="s">
        <v>38</v>
      </c>
      <c r="B23" s="14"/>
    </row>
    <row r="24" spans="1:5" ht="14.25" x14ac:dyDescent="0.2">
      <c r="A24" s="16"/>
      <c r="B24" s="17" t="s">
        <v>149</v>
      </c>
    </row>
    <row r="25" spans="1:5" ht="15" x14ac:dyDescent="0.2">
      <c r="A25" s="18" t="s">
        <v>40</v>
      </c>
      <c r="B25" s="18" t="s">
        <v>41</v>
      </c>
      <c r="C25" s="18" t="s">
        <v>42</v>
      </c>
      <c r="D25" s="18" t="s">
        <v>240</v>
      </c>
      <c r="E25" s="18" t="s">
        <v>44</v>
      </c>
    </row>
    <row r="26" spans="1:5" x14ac:dyDescent="0.2">
      <c r="A26" s="15" t="s">
        <v>220</v>
      </c>
      <c r="B26" s="4" t="s">
        <v>149</v>
      </c>
      <c r="C26" s="4" t="s">
        <v>241</v>
      </c>
      <c r="D26" s="4" t="s">
        <v>196</v>
      </c>
      <c r="E26" s="10" t="s">
        <v>242</v>
      </c>
    </row>
    <row r="27" spans="1:5" x14ac:dyDescent="0.2">
      <c r="A27" s="15" t="s">
        <v>224</v>
      </c>
      <c r="B27" s="4" t="s">
        <v>149</v>
      </c>
      <c r="C27" s="4" t="s">
        <v>168</v>
      </c>
      <c r="D27" s="4" t="s">
        <v>143</v>
      </c>
      <c r="E27" s="10" t="s">
        <v>243</v>
      </c>
    </row>
    <row r="29" spans="1:5" ht="14.25" x14ac:dyDescent="0.2">
      <c r="A29" s="16"/>
      <c r="B29" s="17" t="s">
        <v>171</v>
      </c>
    </row>
    <row r="30" spans="1:5" ht="15" x14ac:dyDescent="0.2">
      <c r="A30" s="18" t="s">
        <v>40</v>
      </c>
      <c r="B30" s="18" t="s">
        <v>41</v>
      </c>
      <c r="C30" s="18" t="s">
        <v>42</v>
      </c>
      <c r="D30" s="18" t="s">
        <v>240</v>
      </c>
      <c r="E30" s="18" t="s">
        <v>44</v>
      </c>
    </row>
    <row r="31" spans="1:5" x14ac:dyDescent="0.2">
      <c r="A31" s="15" t="s">
        <v>235</v>
      </c>
      <c r="B31" s="4" t="s">
        <v>244</v>
      </c>
      <c r="C31" s="4" t="s">
        <v>168</v>
      </c>
      <c r="D31" s="4" t="s">
        <v>70</v>
      </c>
      <c r="E31" s="10" t="s">
        <v>245</v>
      </c>
    </row>
    <row r="32" spans="1:5" x14ac:dyDescent="0.2">
      <c r="A32" s="15" t="s">
        <v>230</v>
      </c>
      <c r="B32" s="4" t="s">
        <v>246</v>
      </c>
      <c r="C32" s="4" t="s">
        <v>168</v>
      </c>
      <c r="D32" s="4" t="s">
        <v>97</v>
      </c>
      <c r="E32" s="10" t="s">
        <v>247</v>
      </c>
    </row>
    <row r="33" spans="1:5" x14ac:dyDescent="0.2">
      <c r="A33" s="15" t="s">
        <v>224</v>
      </c>
      <c r="B33" s="4" t="s">
        <v>217</v>
      </c>
      <c r="C33" s="4" t="s">
        <v>168</v>
      </c>
      <c r="D33" s="4" t="s">
        <v>143</v>
      </c>
      <c r="E33" s="10" t="s">
        <v>248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workbookViewId="0">
      <selection activeCell="B23" sqref="B23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42" t="s">
        <v>846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12</v>
      </c>
      <c r="H3" s="36"/>
      <c r="I3" s="36"/>
      <c r="J3" s="36"/>
      <c r="K3" s="36" t="s">
        <v>13</v>
      </c>
      <c r="L3" s="36"/>
      <c r="M3" s="36"/>
      <c r="N3" s="36"/>
      <c r="O3" s="36" t="s">
        <v>14</v>
      </c>
      <c r="P3" s="36"/>
      <c r="Q3" s="36"/>
      <c r="R3" s="36"/>
      <c r="S3" s="36" t="s">
        <v>1</v>
      </c>
      <c r="T3" s="36" t="s">
        <v>3</v>
      </c>
      <c r="U3" s="38" t="s">
        <v>2</v>
      </c>
    </row>
    <row r="4" spans="1:21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7"/>
      <c r="T4" s="37"/>
      <c r="U4" s="39"/>
    </row>
    <row r="5" spans="1:21" ht="15" x14ac:dyDescent="0.2">
      <c r="A5" s="40" t="s">
        <v>60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 x14ac:dyDescent="0.2">
      <c r="A6" s="6" t="s">
        <v>178</v>
      </c>
      <c r="B6" s="6" t="s">
        <v>179</v>
      </c>
      <c r="C6" s="6" t="s">
        <v>180</v>
      </c>
      <c r="D6" s="6" t="str">
        <f>"0,8731"</f>
        <v>0,8731</v>
      </c>
      <c r="E6" s="6" t="s">
        <v>181</v>
      </c>
      <c r="F6" s="6" t="s">
        <v>21</v>
      </c>
      <c r="G6" s="8" t="s">
        <v>23</v>
      </c>
      <c r="H6" s="7" t="s">
        <v>182</v>
      </c>
      <c r="I6" s="7" t="s">
        <v>89</v>
      </c>
      <c r="J6" s="8"/>
      <c r="K6" s="7" t="s">
        <v>78</v>
      </c>
      <c r="L6" s="7" t="s">
        <v>183</v>
      </c>
      <c r="M6" s="8" t="s">
        <v>58</v>
      </c>
      <c r="N6" s="8"/>
      <c r="O6" s="7" t="s">
        <v>29</v>
      </c>
      <c r="P6" s="7" t="s">
        <v>67</v>
      </c>
      <c r="Q6" s="7" t="s">
        <v>69</v>
      </c>
      <c r="R6" s="8"/>
      <c r="S6" s="11" t="str">
        <f>"237,5"</f>
        <v>237,5</v>
      </c>
      <c r="T6" s="12" t="str">
        <f>"207,3731"</f>
        <v>207,3731</v>
      </c>
      <c r="U6" s="6" t="s">
        <v>31</v>
      </c>
    </row>
    <row r="8" spans="1:21" ht="15" x14ac:dyDescent="0.2">
      <c r="A8" s="51" t="s">
        <v>82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21" x14ac:dyDescent="0.2">
      <c r="A9" s="6" t="s">
        <v>185</v>
      </c>
      <c r="B9" s="6" t="s">
        <v>186</v>
      </c>
      <c r="C9" s="6" t="s">
        <v>187</v>
      </c>
      <c r="D9" s="6" t="str">
        <f>"0,6382"</f>
        <v>0,6382</v>
      </c>
      <c r="E9" s="6" t="s">
        <v>65</v>
      </c>
      <c r="F9" s="6" t="s">
        <v>66</v>
      </c>
      <c r="G9" s="8" t="s">
        <v>104</v>
      </c>
      <c r="H9" s="8" t="s">
        <v>105</v>
      </c>
      <c r="I9" s="7" t="s">
        <v>188</v>
      </c>
      <c r="J9" s="8"/>
      <c r="K9" s="8" t="s">
        <v>113</v>
      </c>
      <c r="L9" s="7" t="s">
        <v>98</v>
      </c>
      <c r="M9" s="8"/>
      <c r="N9" s="8"/>
      <c r="O9" s="7" t="s">
        <v>136</v>
      </c>
      <c r="P9" s="7" t="s">
        <v>189</v>
      </c>
      <c r="Q9" s="8"/>
      <c r="R9" s="8"/>
      <c r="S9" s="11" t="str">
        <f>"560,0"</f>
        <v>560,0</v>
      </c>
      <c r="T9" s="12" t="str">
        <f>"357,3920"</f>
        <v>357,3920</v>
      </c>
      <c r="U9" s="6" t="s">
        <v>31</v>
      </c>
    </row>
    <row r="11" spans="1:21" ht="15" x14ac:dyDescent="0.2">
      <c r="A11" s="51" t="s">
        <v>106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21" x14ac:dyDescent="0.2">
      <c r="A12" s="6" t="s">
        <v>191</v>
      </c>
      <c r="B12" s="6" t="s">
        <v>192</v>
      </c>
      <c r="C12" s="6" t="s">
        <v>193</v>
      </c>
      <c r="D12" s="6" t="str">
        <f>"0,5857"</f>
        <v>0,5857</v>
      </c>
      <c r="E12" s="6" t="s">
        <v>181</v>
      </c>
      <c r="F12" s="6" t="s">
        <v>21</v>
      </c>
      <c r="G12" s="7" t="s">
        <v>194</v>
      </c>
      <c r="H12" s="8" t="s">
        <v>147</v>
      </c>
      <c r="I12" s="8" t="s">
        <v>147</v>
      </c>
      <c r="J12" s="8"/>
      <c r="K12" s="7" t="s">
        <v>195</v>
      </c>
      <c r="L12" s="7" t="s">
        <v>196</v>
      </c>
      <c r="M12" s="7" t="s">
        <v>197</v>
      </c>
      <c r="N12" s="8"/>
      <c r="O12" s="7" t="s">
        <v>136</v>
      </c>
      <c r="P12" s="7" t="s">
        <v>198</v>
      </c>
      <c r="Q12" s="7" t="s">
        <v>199</v>
      </c>
      <c r="R12" s="8"/>
      <c r="S12" s="11" t="str">
        <f>"587,5"</f>
        <v>587,5</v>
      </c>
      <c r="T12" s="12" t="str">
        <f>"344,0987"</f>
        <v>344,0987</v>
      </c>
      <c r="U12" s="6" t="s">
        <v>31</v>
      </c>
    </row>
    <row r="14" spans="1:21" ht="15" x14ac:dyDescent="0.2">
      <c r="A14" s="51" t="s">
        <v>118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</row>
    <row r="15" spans="1:21" x14ac:dyDescent="0.2">
      <c r="A15" s="19" t="s">
        <v>201</v>
      </c>
      <c r="B15" s="19" t="s">
        <v>202</v>
      </c>
      <c r="C15" s="19" t="s">
        <v>203</v>
      </c>
      <c r="D15" s="19" t="str">
        <f>"0,5543"</f>
        <v>0,5543</v>
      </c>
      <c r="E15" s="19" t="s">
        <v>181</v>
      </c>
      <c r="F15" s="19" t="s">
        <v>21</v>
      </c>
      <c r="G15" s="20" t="s">
        <v>147</v>
      </c>
      <c r="H15" s="21" t="s">
        <v>132</v>
      </c>
      <c r="I15" s="20" t="s">
        <v>132</v>
      </c>
      <c r="J15" s="21"/>
      <c r="K15" s="20" t="s">
        <v>204</v>
      </c>
      <c r="L15" s="20" t="s">
        <v>205</v>
      </c>
      <c r="M15" s="20" t="s">
        <v>111</v>
      </c>
      <c r="N15" s="21"/>
      <c r="O15" s="20" t="s">
        <v>206</v>
      </c>
      <c r="P15" s="21" t="s">
        <v>207</v>
      </c>
      <c r="Q15" s="21"/>
      <c r="R15" s="21"/>
      <c r="S15" s="28" t="str">
        <f>"625,0"</f>
        <v>625,0</v>
      </c>
      <c r="T15" s="29" t="str">
        <f>"346,4375"</f>
        <v>346,4375</v>
      </c>
      <c r="U15" s="19" t="s">
        <v>31</v>
      </c>
    </row>
    <row r="16" spans="1:21" x14ac:dyDescent="0.2">
      <c r="A16" s="25" t="s">
        <v>201</v>
      </c>
      <c r="B16" s="25" t="s">
        <v>208</v>
      </c>
      <c r="C16" s="25" t="s">
        <v>203</v>
      </c>
      <c r="D16" s="25" t="str">
        <f>"0,5543"</f>
        <v>0,5543</v>
      </c>
      <c r="E16" s="25" t="s">
        <v>181</v>
      </c>
      <c r="F16" s="25" t="s">
        <v>21</v>
      </c>
      <c r="G16" s="26" t="s">
        <v>147</v>
      </c>
      <c r="H16" s="27" t="s">
        <v>132</v>
      </c>
      <c r="I16" s="26" t="s">
        <v>132</v>
      </c>
      <c r="J16" s="27"/>
      <c r="K16" s="26" t="s">
        <v>204</v>
      </c>
      <c r="L16" s="26" t="s">
        <v>205</v>
      </c>
      <c r="M16" s="26" t="s">
        <v>111</v>
      </c>
      <c r="N16" s="27"/>
      <c r="O16" s="26" t="s">
        <v>206</v>
      </c>
      <c r="P16" s="27" t="s">
        <v>207</v>
      </c>
      <c r="Q16" s="27"/>
      <c r="R16" s="27"/>
      <c r="S16" s="32" t="str">
        <f>"625,0"</f>
        <v>625,0</v>
      </c>
      <c r="T16" s="33" t="str">
        <f>"396,3245"</f>
        <v>396,3245</v>
      </c>
      <c r="U16" s="25" t="s">
        <v>31</v>
      </c>
    </row>
    <row r="18" spans="1:5" ht="15" x14ac:dyDescent="0.2">
      <c r="E18" s="9" t="s">
        <v>32</v>
      </c>
    </row>
    <row r="19" spans="1:5" ht="15" x14ac:dyDescent="0.2">
      <c r="E19" s="9" t="s">
        <v>33</v>
      </c>
    </row>
    <row r="20" spans="1:5" ht="15" x14ac:dyDescent="0.2">
      <c r="E20" s="9" t="s">
        <v>34</v>
      </c>
    </row>
    <row r="21" spans="1:5" ht="15" x14ac:dyDescent="0.2">
      <c r="E21" s="9" t="s">
        <v>35</v>
      </c>
    </row>
    <row r="22" spans="1:5" ht="15" x14ac:dyDescent="0.2">
      <c r="E22" s="9" t="s">
        <v>35</v>
      </c>
    </row>
    <row r="23" spans="1:5" ht="15" x14ac:dyDescent="0.2">
      <c r="E23" s="9" t="s">
        <v>36</v>
      </c>
    </row>
    <row r="24" spans="1:5" ht="15" x14ac:dyDescent="0.2">
      <c r="E24" s="9"/>
    </row>
    <row r="26" spans="1:5" ht="18" x14ac:dyDescent="0.25">
      <c r="A26" s="13" t="s">
        <v>37</v>
      </c>
      <c r="B26" s="13"/>
    </row>
    <row r="27" spans="1:5" ht="15" x14ac:dyDescent="0.2">
      <c r="A27" s="14" t="s">
        <v>144</v>
      </c>
      <c r="B27" s="14"/>
    </row>
    <row r="28" spans="1:5" ht="14.25" x14ac:dyDescent="0.2">
      <c r="A28" s="16"/>
      <c r="B28" s="17" t="s">
        <v>149</v>
      </c>
    </row>
    <row r="29" spans="1:5" ht="15" x14ac:dyDescent="0.2">
      <c r="A29" s="18" t="s">
        <v>40</v>
      </c>
      <c r="B29" s="18" t="s">
        <v>41</v>
      </c>
      <c r="C29" s="18" t="s">
        <v>42</v>
      </c>
      <c r="D29" s="18" t="s">
        <v>43</v>
      </c>
      <c r="E29" s="18" t="s">
        <v>44</v>
      </c>
    </row>
    <row r="30" spans="1:5" x14ac:dyDescent="0.2">
      <c r="A30" s="15" t="s">
        <v>177</v>
      </c>
      <c r="B30" s="4" t="s">
        <v>149</v>
      </c>
      <c r="C30" s="4" t="s">
        <v>150</v>
      </c>
      <c r="D30" s="4" t="s">
        <v>209</v>
      </c>
      <c r="E30" s="10" t="s">
        <v>210</v>
      </c>
    </row>
    <row r="33" spans="1:5" ht="15" x14ac:dyDescent="0.2">
      <c r="A33" s="14" t="s">
        <v>38</v>
      </c>
      <c r="B33" s="14"/>
    </row>
    <row r="34" spans="1:5" ht="14.25" x14ac:dyDescent="0.2">
      <c r="A34" s="16"/>
      <c r="B34" s="17" t="s">
        <v>149</v>
      </c>
    </row>
    <row r="35" spans="1:5" ht="15" x14ac:dyDescent="0.2">
      <c r="A35" s="18" t="s">
        <v>40</v>
      </c>
      <c r="B35" s="18" t="s">
        <v>41</v>
      </c>
      <c r="C35" s="18" t="s">
        <v>42</v>
      </c>
      <c r="D35" s="18" t="s">
        <v>43</v>
      </c>
      <c r="E35" s="18" t="s">
        <v>44</v>
      </c>
    </row>
    <row r="36" spans="1:5" x14ac:dyDescent="0.2">
      <c r="A36" s="15" t="s">
        <v>184</v>
      </c>
      <c r="B36" s="4" t="s">
        <v>149</v>
      </c>
      <c r="C36" s="4" t="s">
        <v>158</v>
      </c>
      <c r="D36" s="4" t="s">
        <v>211</v>
      </c>
      <c r="E36" s="10" t="s">
        <v>212</v>
      </c>
    </row>
    <row r="37" spans="1:5" x14ac:dyDescent="0.2">
      <c r="A37" s="15" t="s">
        <v>200</v>
      </c>
      <c r="B37" s="4" t="s">
        <v>149</v>
      </c>
      <c r="C37" s="4" t="s">
        <v>154</v>
      </c>
      <c r="D37" s="4" t="s">
        <v>213</v>
      </c>
      <c r="E37" s="10" t="s">
        <v>214</v>
      </c>
    </row>
    <row r="38" spans="1:5" x14ac:dyDescent="0.2">
      <c r="A38" s="15" t="s">
        <v>190</v>
      </c>
      <c r="B38" s="4" t="s">
        <v>149</v>
      </c>
      <c r="C38" s="4" t="s">
        <v>168</v>
      </c>
      <c r="D38" s="4" t="s">
        <v>215</v>
      </c>
      <c r="E38" s="10" t="s">
        <v>216</v>
      </c>
    </row>
    <row r="40" spans="1:5" ht="14.25" x14ac:dyDescent="0.2">
      <c r="A40" s="16"/>
      <c r="B40" s="17" t="s">
        <v>171</v>
      </c>
    </row>
    <row r="41" spans="1:5" ht="15" x14ac:dyDescent="0.2">
      <c r="A41" s="18" t="s">
        <v>40</v>
      </c>
      <c r="B41" s="18" t="s">
        <v>41</v>
      </c>
      <c r="C41" s="18" t="s">
        <v>42</v>
      </c>
      <c r="D41" s="18" t="s">
        <v>43</v>
      </c>
      <c r="E41" s="18" t="s">
        <v>44</v>
      </c>
    </row>
    <row r="42" spans="1:5" x14ac:dyDescent="0.2">
      <c r="A42" s="15" t="s">
        <v>200</v>
      </c>
      <c r="B42" s="4" t="s">
        <v>217</v>
      </c>
      <c r="C42" s="4" t="s">
        <v>154</v>
      </c>
      <c r="D42" s="4" t="s">
        <v>213</v>
      </c>
      <c r="E42" s="10" t="s">
        <v>218</v>
      </c>
    </row>
  </sheetData>
  <mergeCells count="17">
    <mergeCell ref="A8:R8"/>
    <mergeCell ref="A11:R11"/>
    <mergeCell ref="A14:R14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workbookViewId="0">
      <selection sqref="A1:U2"/>
    </sheetView>
  </sheetViews>
  <sheetFormatPr defaultRowHeight="12.75" x14ac:dyDescent="0.2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42" t="s">
        <v>845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12</v>
      </c>
      <c r="H3" s="36"/>
      <c r="I3" s="36"/>
      <c r="J3" s="36"/>
      <c r="K3" s="36" t="s">
        <v>13</v>
      </c>
      <c r="L3" s="36"/>
      <c r="M3" s="36"/>
      <c r="N3" s="36"/>
      <c r="O3" s="36" t="s">
        <v>14</v>
      </c>
      <c r="P3" s="36"/>
      <c r="Q3" s="36"/>
      <c r="R3" s="36"/>
      <c r="S3" s="36" t="s">
        <v>1</v>
      </c>
      <c r="T3" s="36" t="s">
        <v>3</v>
      </c>
      <c r="U3" s="38" t="s">
        <v>2</v>
      </c>
    </row>
    <row r="4" spans="1:21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7"/>
      <c r="T4" s="37"/>
      <c r="U4" s="39"/>
    </row>
    <row r="5" spans="1:21" ht="15" x14ac:dyDescent="0.2">
      <c r="A5" s="40" t="s">
        <v>15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 x14ac:dyDescent="0.2">
      <c r="A6" s="6" t="s">
        <v>50</v>
      </c>
      <c r="B6" s="6" t="s">
        <v>51</v>
      </c>
      <c r="C6" s="6" t="s">
        <v>52</v>
      </c>
      <c r="D6" s="6" t="str">
        <f>"0,9124"</f>
        <v>0,9124</v>
      </c>
      <c r="E6" s="6" t="s">
        <v>53</v>
      </c>
      <c r="F6" s="6" t="s">
        <v>21</v>
      </c>
      <c r="G6" s="8" t="s">
        <v>22</v>
      </c>
      <c r="H6" s="7" t="s">
        <v>54</v>
      </c>
      <c r="I6" s="7" t="s">
        <v>55</v>
      </c>
      <c r="J6" s="8"/>
      <c r="K6" s="7" t="s">
        <v>56</v>
      </c>
      <c r="L6" s="7" t="s">
        <v>57</v>
      </c>
      <c r="M6" s="8" t="s">
        <v>58</v>
      </c>
      <c r="N6" s="8"/>
      <c r="O6" s="7" t="s">
        <v>55</v>
      </c>
      <c r="P6" s="7" t="s">
        <v>59</v>
      </c>
      <c r="Q6" s="8" t="s">
        <v>29</v>
      </c>
      <c r="R6" s="8"/>
      <c r="S6" s="11" t="str">
        <f>"205.00o"</f>
        <v>205.00o</v>
      </c>
      <c r="T6" s="12" t="str">
        <f>"198,2645"</f>
        <v>198,2645</v>
      </c>
      <c r="U6" s="6" t="s">
        <v>31</v>
      </c>
    </row>
    <row r="8" spans="1:21" ht="15" x14ac:dyDescent="0.2">
      <c r="A8" s="51" t="s">
        <v>60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21" x14ac:dyDescent="0.2">
      <c r="A9" s="6" t="s">
        <v>62</v>
      </c>
      <c r="B9" s="6" t="s">
        <v>63</v>
      </c>
      <c r="C9" s="6" t="s">
        <v>64</v>
      </c>
      <c r="D9" s="6" t="str">
        <f>"0,8622"</f>
        <v>0,8622</v>
      </c>
      <c r="E9" s="6" t="s">
        <v>65</v>
      </c>
      <c r="F9" s="6" t="s">
        <v>66</v>
      </c>
      <c r="G9" s="7" t="s">
        <v>67</v>
      </c>
      <c r="H9" s="7" t="s">
        <v>68</v>
      </c>
      <c r="I9" s="8"/>
      <c r="J9" s="8"/>
      <c r="K9" s="7" t="s">
        <v>26</v>
      </c>
      <c r="L9" s="7" t="s">
        <v>27</v>
      </c>
      <c r="M9" s="8"/>
      <c r="N9" s="8"/>
      <c r="O9" s="7" t="s">
        <v>69</v>
      </c>
      <c r="P9" s="7" t="s">
        <v>70</v>
      </c>
      <c r="Q9" s="8"/>
      <c r="R9" s="8"/>
      <c r="S9" s="11" t="str">
        <f>"277,5"</f>
        <v>277,5</v>
      </c>
      <c r="T9" s="12" t="str">
        <f>"239,2466"</f>
        <v>239,2466</v>
      </c>
      <c r="U9" s="6" t="s">
        <v>31</v>
      </c>
    </row>
    <row r="11" spans="1:21" ht="15" x14ac:dyDescent="0.2">
      <c r="A11" s="51" t="s">
        <v>15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21" x14ac:dyDescent="0.2">
      <c r="A12" s="6" t="s">
        <v>72</v>
      </c>
      <c r="B12" s="6" t="s">
        <v>73</v>
      </c>
      <c r="C12" s="6" t="s">
        <v>74</v>
      </c>
      <c r="D12" s="6" t="str">
        <f>"0,9473"</f>
        <v>0,9473</v>
      </c>
      <c r="E12" s="6" t="s">
        <v>75</v>
      </c>
      <c r="F12" s="6" t="s">
        <v>76</v>
      </c>
      <c r="G12" s="7" t="s">
        <v>58</v>
      </c>
      <c r="H12" s="8" t="s">
        <v>27</v>
      </c>
      <c r="I12" s="7" t="s">
        <v>27</v>
      </c>
      <c r="J12" s="8"/>
      <c r="K12" s="7" t="s">
        <v>77</v>
      </c>
      <c r="L12" s="7" t="s">
        <v>78</v>
      </c>
      <c r="M12" s="8" t="s">
        <v>79</v>
      </c>
      <c r="N12" s="8"/>
      <c r="O12" s="7" t="s">
        <v>26</v>
      </c>
      <c r="P12" s="7" t="s">
        <v>80</v>
      </c>
      <c r="Q12" s="7" t="s">
        <v>81</v>
      </c>
      <c r="R12" s="8"/>
      <c r="S12" s="11" t="str">
        <f>"147,5"</f>
        <v>147,5</v>
      </c>
      <c r="T12" s="12" t="str">
        <f>"171,8639"</f>
        <v>171,8639</v>
      </c>
      <c r="U12" s="6" t="s">
        <v>31</v>
      </c>
    </row>
    <row r="14" spans="1:21" ht="15" x14ac:dyDescent="0.2">
      <c r="A14" s="51" t="s">
        <v>82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</row>
    <row r="15" spans="1:21" x14ac:dyDescent="0.2">
      <c r="A15" s="19" t="s">
        <v>84</v>
      </c>
      <c r="B15" s="19" t="s">
        <v>85</v>
      </c>
      <c r="C15" s="19" t="s">
        <v>86</v>
      </c>
      <c r="D15" s="19" t="str">
        <f>"0,6268"</f>
        <v>0,6268</v>
      </c>
      <c r="E15" s="19" t="s">
        <v>75</v>
      </c>
      <c r="F15" s="19" t="s">
        <v>76</v>
      </c>
      <c r="G15" s="20" t="s">
        <v>80</v>
      </c>
      <c r="H15" s="21" t="s">
        <v>87</v>
      </c>
      <c r="I15" s="20" t="s">
        <v>22</v>
      </c>
      <c r="J15" s="21"/>
      <c r="K15" s="20" t="s">
        <v>78</v>
      </c>
      <c r="L15" s="20" t="s">
        <v>58</v>
      </c>
      <c r="M15" s="20" t="s">
        <v>25</v>
      </c>
      <c r="N15" s="21"/>
      <c r="O15" s="20" t="s">
        <v>88</v>
      </c>
      <c r="P15" s="20" t="s">
        <v>23</v>
      </c>
      <c r="Q15" s="21" t="s">
        <v>89</v>
      </c>
      <c r="R15" s="21"/>
      <c r="S15" s="28" t="str">
        <f>"192,5"</f>
        <v>192,5</v>
      </c>
      <c r="T15" s="29" t="str">
        <f>"148,4106"</f>
        <v>148,4106</v>
      </c>
      <c r="U15" s="19" t="s">
        <v>31</v>
      </c>
    </row>
    <row r="16" spans="1:21" x14ac:dyDescent="0.2">
      <c r="A16" s="22" t="s">
        <v>91</v>
      </c>
      <c r="B16" s="22" t="s">
        <v>92</v>
      </c>
      <c r="C16" s="22" t="s">
        <v>93</v>
      </c>
      <c r="D16" s="22" t="str">
        <f>"0,6193"</f>
        <v>0,6193</v>
      </c>
      <c r="E16" s="22" t="s">
        <v>94</v>
      </c>
      <c r="F16" s="22" t="s">
        <v>95</v>
      </c>
      <c r="G16" s="23" t="s">
        <v>67</v>
      </c>
      <c r="H16" s="23" t="s">
        <v>69</v>
      </c>
      <c r="I16" s="24" t="s">
        <v>96</v>
      </c>
      <c r="J16" s="24"/>
      <c r="K16" s="23" t="s">
        <v>88</v>
      </c>
      <c r="L16" s="23" t="s">
        <v>22</v>
      </c>
      <c r="M16" s="23" t="s">
        <v>23</v>
      </c>
      <c r="N16" s="24"/>
      <c r="O16" s="23" t="s">
        <v>97</v>
      </c>
      <c r="P16" s="23" t="s">
        <v>70</v>
      </c>
      <c r="Q16" s="24" t="s">
        <v>98</v>
      </c>
      <c r="R16" s="24"/>
      <c r="S16" s="30" t="str">
        <f>"305,0"</f>
        <v>305,0</v>
      </c>
      <c r="T16" s="31" t="str">
        <f>"203,9974"</f>
        <v>203,9974</v>
      </c>
      <c r="U16" s="22" t="s">
        <v>31</v>
      </c>
    </row>
    <row r="17" spans="1:21" x14ac:dyDescent="0.2">
      <c r="A17" s="25" t="s">
        <v>100</v>
      </c>
      <c r="B17" s="25" t="s">
        <v>101</v>
      </c>
      <c r="C17" s="25" t="s">
        <v>102</v>
      </c>
      <c r="D17" s="25" t="str">
        <f>"0,6388"</f>
        <v>0,6388</v>
      </c>
      <c r="E17" s="25" t="s">
        <v>20</v>
      </c>
      <c r="F17" s="25" t="s">
        <v>21</v>
      </c>
      <c r="G17" s="26" t="s">
        <v>97</v>
      </c>
      <c r="H17" s="26" t="s">
        <v>70</v>
      </c>
      <c r="I17" s="26" t="s">
        <v>98</v>
      </c>
      <c r="J17" s="27"/>
      <c r="K17" s="26" t="s">
        <v>67</v>
      </c>
      <c r="L17" s="26" t="s">
        <v>68</v>
      </c>
      <c r="M17" s="26" t="s">
        <v>69</v>
      </c>
      <c r="N17" s="27"/>
      <c r="O17" s="26" t="s">
        <v>103</v>
      </c>
      <c r="P17" s="26" t="s">
        <v>104</v>
      </c>
      <c r="Q17" s="26" t="s">
        <v>105</v>
      </c>
      <c r="R17" s="27"/>
      <c r="S17" s="32" t="str">
        <f>"420,0"</f>
        <v>420,0</v>
      </c>
      <c r="T17" s="33" t="str">
        <f>"273,1253"</f>
        <v>273,1253</v>
      </c>
      <c r="U17" s="25" t="s">
        <v>31</v>
      </c>
    </row>
    <row r="19" spans="1:21" ht="15" x14ac:dyDescent="0.2">
      <c r="A19" s="51" t="s">
        <v>106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</row>
    <row r="20" spans="1:21" x14ac:dyDescent="0.2">
      <c r="A20" s="6" t="s">
        <v>108</v>
      </c>
      <c r="B20" s="6" t="s">
        <v>109</v>
      </c>
      <c r="C20" s="6" t="s">
        <v>110</v>
      </c>
      <c r="D20" s="6" t="str">
        <f>"0,5956"</f>
        <v>0,5956</v>
      </c>
      <c r="E20" s="6" t="s">
        <v>94</v>
      </c>
      <c r="F20" s="6" t="s">
        <v>95</v>
      </c>
      <c r="G20" s="7" t="s">
        <v>111</v>
      </c>
      <c r="H20" s="7" t="s">
        <v>112</v>
      </c>
      <c r="I20" s="8"/>
      <c r="J20" s="8"/>
      <c r="K20" s="8" t="s">
        <v>97</v>
      </c>
      <c r="L20" s="7" t="s">
        <v>113</v>
      </c>
      <c r="M20" s="7" t="s">
        <v>114</v>
      </c>
      <c r="N20" s="8"/>
      <c r="O20" s="7" t="s">
        <v>115</v>
      </c>
      <c r="P20" s="7" t="s">
        <v>116</v>
      </c>
      <c r="Q20" s="7" t="s">
        <v>117</v>
      </c>
      <c r="R20" s="8"/>
      <c r="S20" s="11" t="str">
        <f>"452,5"</f>
        <v>452,5</v>
      </c>
      <c r="T20" s="12" t="str">
        <f>"269,5090"</f>
        <v>269,5090</v>
      </c>
      <c r="U20" s="6" t="s">
        <v>31</v>
      </c>
    </row>
    <row r="22" spans="1:21" ht="15" x14ac:dyDescent="0.2">
      <c r="A22" s="51" t="s">
        <v>118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</row>
    <row r="23" spans="1:21" x14ac:dyDescent="0.2">
      <c r="A23" s="19" t="s">
        <v>120</v>
      </c>
      <c r="B23" s="19" t="s">
        <v>121</v>
      </c>
      <c r="C23" s="19" t="s">
        <v>122</v>
      </c>
      <c r="D23" s="19" t="str">
        <f>"0,5648"</f>
        <v>0,5648</v>
      </c>
      <c r="E23" s="19" t="s">
        <v>94</v>
      </c>
      <c r="F23" s="19" t="s">
        <v>95</v>
      </c>
      <c r="G23" s="21" t="s">
        <v>67</v>
      </c>
      <c r="H23" s="20" t="s">
        <v>68</v>
      </c>
      <c r="I23" s="20" t="s">
        <v>123</v>
      </c>
      <c r="J23" s="21"/>
      <c r="K23" s="20" t="s">
        <v>81</v>
      </c>
      <c r="L23" s="20" t="s">
        <v>124</v>
      </c>
      <c r="M23" s="20" t="s">
        <v>125</v>
      </c>
      <c r="N23" s="21"/>
      <c r="O23" s="20" t="s">
        <v>69</v>
      </c>
      <c r="P23" s="20" t="s">
        <v>70</v>
      </c>
      <c r="Q23" s="20" t="s">
        <v>114</v>
      </c>
      <c r="R23" s="21"/>
      <c r="S23" s="28" t="str">
        <f>"312,5"</f>
        <v>312,5</v>
      </c>
      <c r="T23" s="29" t="str">
        <f>"217,0950"</f>
        <v>217,0950</v>
      </c>
      <c r="U23" s="19" t="s">
        <v>31</v>
      </c>
    </row>
    <row r="24" spans="1:21" x14ac:dyDescent="0.2">
      <c r="A24" s="25" t="s">
        <v>127</v>
      </c>
      <c r="B24" s="25" t="s">
        <v>128</v>
      </c>
      <c r="C24" s="25" t="s">
        <v>129</v>
      </c>
      <c r="D24" s="25" t="str">
        <f>"0,5744"</f>
        <v>0,5744</v>
      </c>
      <c r="E24" s="25" t="s">
        <v>65</v>
      </c>
      <c r="F24" s="25" t="s">
        <v>130</v>
      </c>
      <c r="G24" s="26" t="s">
        <v>131</v>
      </c>
      <c r="H24" s="26" t="s">
        <v>132</v>
      </c>
      <c r="I24" s="27" t="s">
        <v>133</v>
      </c>
      <c r="J24" s="27"/>
      <c r="K24" s="26" t="s">
        <v>112</v>
      </c>
      <c r="L24" s="27" t="s">
        <v>134</v>
      </c>
      <c r="M24" s="27"/>
      <c r="N24" s="27"/>
      <c r="O24" s="26" t="s">
        <v>135</v>
      </c>
      <c r="P24" s="26" t="s">
        <v>136</v>
      </c>
      <c r="Q24" s="27"/>
      <c r="R24" s="27"/>
      <c r="S24" s="32" t="str">
        <f>"605,0"</f>
        <v>605,0</v>
      </c>
      <c r="T24" s="33" t="str">
        <f>"348,5545"</f>
        <v>348,5545</v>
      </c>
      <c r="U24" s="25" t="s">
        <v>31</v>
      </c>
    </row>
    <row r="26" spans="1:21" ht="15" x14ac:dyDescent="0.2">
      <c r="A26" s="51" t="s">
        <v>137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</row>
    <row r="27" spans="1:21" x14ac:dyDescent="0.2">
      <c r="A27" s="6" t="s">
        <v>139</v>
      </c>
      <c r="B27" s="6" t="s">
        <v>140</v>
      </c>
      <c r="C27" s="6" t="s">
        <v>141</v>
      </c>
      <c r="D27" s="6" t="str">
        <f>"0,5421"</f>
        <v>0,5421</v>
      </c>
      <c r="E27" s="6" t="s">
        <v>94</v>
      </c>
      <c r="F27" s="6" t="s">
        <v>95</v>
      </c>
      <c r="G27" s="7" t="s">
        <v>134</v>
      </c>
      <c r="H27" s="7" t="s">
        <v>104</v>
      </c>
      <c r="I27" s="8" t="s">
        <v>105</v>
      </c>
      <c r="J27" s="8"/>
      <c r="K27" s="7" t="s">
        <v>142</v>
      </c>
      <c r="L27" s="8" t="s">
        <v>143</v>
      </c>
      <c r="M27" s="8"/>
      <c r="N27" s="8"/>
      <c r="O27" s="7" t="s">
        <v>131</v>
      </c>
      <c r="P27" s="7" t="s">
        <v>132</v>
      </c>
      <c r="Q27" s="7" t="s">
        <v>133</v>
      </c>
      <c r="R27" s="8"/>
      <c r="S27" s="11" t="str">
        <f>"527,5"</f>
        <v>527,5</v>
      </c>
      <c r="T27" s="12" t="str">
        <f>"285,9578"</f>
        <v>285,9578</v>
      </c>
      <c r="U27" s="6" t="s">
        <v>31</v>
      </c>
    </row>
    <row r="29" spans="1:21" ht="15" x14ac:dyDescent="0.2">
      <c r="E29" s="9" t="s">
        <v>32</v>
      </c>
    </row>
    <row r="30" spans="1:21" ht="15" x14ac:dyDescent="0.2">
      <c r="E30" s="9" t="s">
        <v>33</v>
      </c>
    </row>
    <row r="31" spans="1:21" ht="15" x14ac:dyDescent="0.2">
      <c r="E31" s="9" t="s">
        <v>34</v>
      </c>
    </row>
    <row r="32" spans="1:21" ht="15" x14ac:dyDescent="0.2">
      <c r="E32" s="9" t="s">
        <v>35</v>
      </c>
    </row>
    <row r="33" spans="1:5" ht="15" x14ac:dyDescent="0.2">
      <c r="E33" s="9" t="s">
        <v>35</v>
      </c>
    </row>
    <row r="34" spans="1:5" ht="15" x14ac:dyDescent="0.2">
      <c r="E34" s="9" t="s">
        <v>36</v>
      </c>
    </row>
    <row r="35" spans="1:5" ht="15" x14ac:dyDescent="0.2">
      <c r="E35" s="9"/>
    </row>
    <row r="37" spans="1:5" ht="18" x14ac:dyDescent="0.25">
      <c r="A37" s="13" t="s">
        <v>37</v>
      </c>
      <c r="B37" s="13"/>
    </row>
    <row r="38" spans="1:5" ht="15" x14ac:dyDescent="0.2">
      <c r="A38" s="14" t="s">
        <v>144</v>
      </c>
      <c r="B38" s="14"/>
    </row>
    <row r="39" spans="1:5" ht="14.25" x14ac:dyDescent="0.2">
      <c r="A39" s="16"/>
      <c r="B39" s="17" t="s">
        <v>145</v>
      </c>
    </row>
    <row r="40" spans="1:5" ht="15" x14ac:dyDescent="0.2">
      <c r="A40" s="18" t="s">
        <v>40</v>
      </c>
      <c r="B40" s="18" t="s">
        <v>41</v>
      </c>
      <c r="C40" s="18" t="s">
        <v>42</v>
      </c>
      <c r="D40" s="18" t="s">
        <v>43</v>
      </c>
      <c r="E40" s="18" t="s">
        <v>44</v>
      </c>
    </row>
    <row r="41" spans="1:5" x14ac:dyDescent="0.2">
      <c r="A41" s="15" t="s">
        <v>49</v>
      </c>
      <c r="B41" s="4" t="s">
        <v>146</v>
      </c>
      <c r="C41" s="4" t="s">
        <v>46</v>
      </c>
      <c r="D41" s="4" t="s">
        <v>147</v>
      </c>
      <c r="E41" s="10" t="s">
        <v>148</v>
      </c>
    </row>
    <row r="43" spans="1:5" ht="14.25" x14ac:dyDescent="0.2">
      <c r="A43" s="16"/>
      <c r="B43" s="17" t="s">
        <v>149</v>
      </c>
    </row>
    <row r="44" spans="1:5" ht="15" x14ac:dyDescent="0.2">
      <c r="A44" s="18" t="s">
        <v>40</v>
      </c>
      <c r="B44" s="18" t="s">
        <v>41</v>
      </c>
      <c r="C44" s="18" t="s">
        <v>42</v>
      </c>
      <c r="D44" s="18" t="s">
        <v>43</v>
      </c>
      <c r="E44" s="18" t="s">
        <v>44</v>
      </c>
    </row>
    <row r="45" spans="1:5" x14ac:dyDescent="0.2">
      <c r="A45" s="15" t="s">
        <v>61</v>
      </c>
      <c r="B45" s="4" t="s">
        <v>149</v>
      </c>
      <c r="C45" s="4" t="s">
        <v>150</v>
      </c>
      <c r="D45" s="4" t="s">
        <v>151</v>
      </c>
      <c r="E45" s="10" t="s">
        <v>152</v>
      </c>
    </row>
    <row r="48" spans="1:5" ht="15" x14ac:dyDescent="0.2">
      <c r="A48" s="14" t="s">
        <v>38</v>
      </c>
      <c r="B48" s="14"/>
    </row>
    <row r="49" spans="1:5" ht="14.25" x14ac:dyDescent="0.2">
      <c r="A49" s="16"/>
      <c r="B49" s="17" t="s">
        <v>39</v>
      </c>
    </row>
    <row r="50" spans="1:5" ht="15" x14ac:dyDescent="0.2">
      <c r="A50" s="18" t="s">
        <v>40</v>
      </c>
      <c r="B50" s="18" t="s">
        <v>41</v>
      </c>
      <c r="C50" s="18" t="s">
        <v>42</v>
      </c>
      <c r="D50" s="18" t="s">
        <v>43</v>
      </c>
      <c r="E50" s="18" t="s">
        <v>44</v>
      </c>
    </row>
    <row r="51" spans="1:5" x14ac:dyDescent="0.2">
      <c r="A51" s="15" t="s">
        <v>119</v>
      </c>
      <c r="B51" s="4" t="s">
        <v>153</v>
      </c>
      <c r="C51" s="4" t="s">
        <v>154</v>
      </c>
      <c r="D51" s="4" t="s">
        <v>155</v>
      </c>
      <c r="E51" s="10" t="s">
        <v>156</v>
      </c>
    </row>
    <row r="52" spans="1:5" x14ac:dyDescent="0.2">
      <c r="A52" s="15" t="s">
        <v>90</v>
      </c>
      <c r="B52" s="4" t="s">
        <v>157</v>
      </c>
      <c r="C52" s="4" t="s">
        <v>158</v>
      </c>
      <c r="D52" s="4" t="s">
        <v>159</v>
      </c>
      <c r="E52" s="10" t="s">
        <v>160</v>
      </c>
    </row>
    <row r="53" spans="1:5" x14ac:dyDescent="0.2">
      <c r="A53" s="15" t="s">
        <v>71</v>
      </c>
      <c r="B53" s="4" t="s">
        <v>45</v>
      </c>
      <c r="C53" s="4" t="s">
        <v>46</v>
      </c>
      <c r="D53" s="4" t="s">
        <v>161</v>
      </c>
      <c r="E53" s="10" t="s">
        <v>162</v>
      </c>
    </row>
    <row r="54" spans="1:5" x14ac:dyDescent="0.2">
      <c r="A54" s="15" t="s">
        <v>83</v>
      </c>
      <c r="B54" s="4" t="s">
        <v>45</v>
      </c>
      <c r="C54" s="4" t="s">
        <v>158</v>
      </c>
      <c r="D54" s="4" t="s">
        <v>163</v>
      </c>
      <c r="E54" s="10" t="s">
        <v>164</v>
      </c>
    </row>
    <row r="56" spans="1:5" ht="14.25" x14ac:dyDescent="0.2">
      <c r="A56" s="16"/>
      <c r="B56" s="17" t="s">
        <v>149</v>
      </c>
    </row>
    <row r="57" spans="1:5" ht="15" x14ac:dyDescent="0.2">
      <c r="A57" s="18" t="s">
        <v>40</v>
      </c>
      <c r="B57" s="18" t="s">
        <v>41</v>
      </c>
      <c r="C57" s="18" t="s">
        <v>42</v>
      </c>
      <c r="D57" s="18" t="s">
        <v>43</v>
      </c>
      <c r="E57" s="18" t="s">
        <v>44</v>
      </c>
    </row>
    <row r="58" spans="1:5" x14ac:dyDescent="0.2">
      <c r="A58" s="15" t="s">
        <v>138</v>
      </c>
      <c r="B58" s="4" t="s">
        <v>149</v>
      </c>
      <c r="C58" s="4" t="s">
        <v>165</v>
      </c>
      <c r="D58" s="4" t="s">
        <v>166</v>
      </c>
      <c r="E58" s="10" t="s">
        <v>167</v>
      </c>
    </row>
    <row r="59" spans="1:5" x14ac:dyDescent="0.2">
      <c r="A59" s="15" t="s">
        <v>107</v>
      </c>
      <c r="B59" s="4" t="s">
        <v>149</v>
      </c>
      <c r="C59" s="4" t="s">
        <v>168</v>
      </c>
      <c r="D59" s="4" t="s">
        <v>169</v>
      </c>
      <c r="E59" s="10" t="s">
        <v>170</v>
      </c>
    </row>
    <row r="61" spans="1:5" ht="14.25" x14ac:dyDescent="0.2">
      <c r="A61" s="16"/>
      <c r="B61" s="17" t="s">
        <v>171</v>
      </c>
    </row>
    <row r="62" spans="1:5" ht="15" x14ac:dyDescent="0.2">
      <c r="A62" s="18" t="s">
        <v>40</v>
      </c>
      <c r="B62" s="18" t="s">
        <v>41</v>
      </c>
      <c r="C62" s="18" t="s">
        <v>42</v>
      </c>
      <c r="D62" s="18" t="s">
        <v>43</v>
      </c>
      <c r="E62" s="18" t="s">
        <v>44</v>
      </c>
    </row>
    <row r="63" spans="1:5" x14ac:dyDescent="0.2">
      <c r="A63" s="15" t="s">
        <v>126</v>
      </c>
      <c r="B63" s="4" t="s">
        <v>172</v>
      </c>
      <c r="C63" s="4" t="s">
        <v>154</v>
      </c>
      <c r="D63" s="4" t="s">
        <v>173</v>
      </c>
      <c r="E63" s="10" t="s">
        <v>174</v>
      </c>
    </row>
    <row r="64" spans="1:5" x14ac:dyDescent="0.2">
      <c r="A64" s="15" t="s">
        <v>99</v>
      </c>
      <c r="B64" s="4" t="s">
        <v>172</v>
      </c>
      <c r="C64" s="4" t="s">
        <v>158</v>
      </c>
      <c r="D64" s="4" t="s">
        <v>175</v>
      </c>
      <c r="E64" s="10" t="s">
        <v>176</v>
      </c>
    </row>
  </sheetData>
  <mergeCells count="20">
    <mergeCell ref="A26:R26"/>
    <mergeCell ref="S3:S4"/>
    <mergeCell ref="T3:T4"/>
    <mergeCell ref="U3:U4"/>
    <mergeCell ref="A5:R5"/>
    <mergeCell ref="A8:R8"/>
    <mergeCell ref="A11:R11"/>
    <mergeCell ref="A14:R14"/>
    <mergeCell ref="A19:R19"/>
    <mergeCell ref="A22:R22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20"/>
  <sheetViews>
    <sheetView workbookViewId="0">
      <selection sqref="A1:U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4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7" width="4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42" t="s">
        <v>844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12</v>
      </c>
      <c r="H3" s="36"/>
      <c r="I3" s="36"/>
      <c r="J3" s="36"/>
      <c r="K3" s="36" t="s">
        <v>13</v>
      </c>
      <c r="L3" s="36"/>
      <c r="M3" s="36"/>
      <c r="N3" s="36"/>
      <c r="O3" s="36" t="s">
        <v>14</v>
      </c>
      <c r="P3" s="36"/>
      <c r="Q3" s="36"/>
      <c r="R3" s="36"/>
      <c r="S3" s="36" t="s">
        <v>1</v>
      </c>
      <c r="T3" s="36" t="s">
        <v>3</v>
      </c>
      <c r="U3" s="38" t="s">
        <v>2</v>
      </c>
    </row>
    <row r="4" spans="1:21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7"/>
      <c r="T4" s="37"/>
      <c r="U4" s="39"/>
    </row>
    <row r="5" spans="1:21" ht="15" x14ac:dyDescent="0.2">
      <c r="A5" s="40" t="s">
        <v>15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 x14ac:dyDescent="0.2">
      <c r="A6" s="6" t="s">
        <v>17</v>
      </c>
      <c r="B6" s="6" t="s">
        <v>18</v>
      </c>
      <c r="C6" s="6" t="s">
        <v>19</v>
      </c>
      <c r="D6" s="6" t="str">
        <f>"0,8924"</f>
        <v>0,8924</v>
      </c>
      <c r="E6" s="6" t="s">
        <v>20</v>
      </c>
      <c r="F6" s="6" t="s">
        <v>21</v>
      </c>
      <c r="G6" s="7" t="s">
        <v>22</v>
      </c>
      <c r="H6" s="7" t="s">
        <v>23</v>
      </c>
      <c r="I6" s="7" t="s">
        <v>24</v>
      </c>
      <c r="J6" s="8"/>
      <c r="K6" s="7" t="s">
        <v>25</v>
      </c>
      <c r="L6" s="7" t="s">
        <v>26</v>
      </c>
      <c r="M6" s="8" t="s">
        <v>27</v>
      </c>
      <c r="N6" s="8"/>
      <c r="O6" s="7" t="s">
        <v>28</v>
      </c>
      <c r="P6" s="7" t="s">
        <v>29</v>
      </c>
      <c r="Q6" s="7" t="s">
        <v>30</v>
      </c>
      <c r="R6" s="8"/>
      <c r="S6" s="11" t="str">
        <f>"222,5"</f>
        <v>222,5</v>
      </c>
      <c r="T6" s="12" t="str">
        <f>"244,2276"</f>
        <v>244,2276</v>
      </c>
      <c r="U6" s="6" t="s">
        <v>31</v>
      </c>
    </row>
    <row r="8" spans="1:21" ht="15" x14ac:dyDescent="0.2">
      <c r="E8" s="9" t="s">
        <v>32</v>
      </c>
    </row>
    <row r="9" spans="1:21" ht="15" x14ac:dyDescent="0.2">
      <c r="E9" s="9" t="s">
        <v>33</v>
      </c>
    </row>
    <row r="10" spans="1:21" ht="15" x14ac:dyDescent="0.2">
      <c r="E10" s="9" t="s">
        <v>34</v>
      </c>
    </row>
    <row r="11" spans="1:21" ht="15" x14ac:dyDescent="0.2">
      <c r="E11" s="9" t="s">
        <v>35</v>
      </c>
    </row>
    <row r="12" spans="1:21" ht="15" x14ac:dyDescent="0.2">
      <c r="E12" s="9" t="s">
        <v>35</v>
      </c>
    </row>
    <row r="13" spans="1:21" ht="15" x14ac:dyDescent="0.2">
      <c r="E13" s="9" t="s">
        <v>36</v>
      </c>
    </row>
    <row r="14" spans="1:21" ht="15" x14ac:dyDescent="0.2">
      <c r="E14" s="9"/>
    </row>
    <row r="16" spans="1:21" ht="18" x14ac:dyDescent="0.25">
      <c r="A16" s="13" t="s">
        <v>37</v>
      </c>
      <c r="B16" s="13"/>
    </row>
    <row r="17" spans="1:5" ht="15" x14ac:dyDescent="0.2">
      <c r="A17" s="14" t="s">
        <v>38</v>
      </c>
      <c r="B17" s="14"/>
    </row>
    <row r="18" spans="1:5" ht="14.25" x14ac:dyDescent="0.2">
      <c r="A18" s="16"/>
      <c r="B18" s="17" t="s">
        <v>39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43</v>
      </c>
      <c r="E19" s="18" t="s">
        <v>44</v>
      </c>
    </row>
    <row r="20" spans="1:5" x14ac:dyDescent="0.2">
      <c r="A20" s="15" t="s">
        <v>16</v>
      </c>
      <c r="B20" s="4" t="s">
        <v>45</v>
      </c>
      <c r="C20" s="4" t="s">
        <v>46</v>
      </c>
      <c r="D20" s="4" t="s">
        <v>47</v>
      </c>
      <c r="E20" s="10" t="s">
        <v>48</v>
      </c>
    </row>
  </sheetData>
  <mergeCells count="14">
    <mergeCell ref="A5:R5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4.42578125" style="4" bestFit="1" customWidth="1"/>
    <col min="7" max="7" width="4.5703125" style="3" customWidth="1"/>
    <col min="8" max="9" width="5.5703125" style="3" customWidth="1"/>
    <col min="10" max="10" width="4.85546875" style="3" customWidth="1"/>
    <col min="11" max="11" width="11.28515625" style="10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2" t="s">
        <v>874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766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285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6" t="s">
        <v>287</v>
      </c>
      <c r="B6" s="6" t="s">
        <v>288</v>
      </c>
      <c r="C6" s="6" t="s">
        <v>289</v>
      </c>
      <c r="D6" s="6" t="str">
        <f>"0,9801"</f>
        <v>0,9801</v>
      </c>
      <c r="E6" s="6" t="s">
        <v>65</v>
      </c>
      <c r="F6" s="6" t="s">
        <v>254</v>
      </c>
      <c r="G6" s="8" t="s">
        <v>77</v>
      </c>
      <c r="H6" s="8" t="s">
        <v>78</v>
      </c>
      <c r="I6" s="7" t="s">
        <v>78</v>
      </c>
      <c r="J6" s="8"/>
      <c r="K6" s="11" t="str">
        <f>"35,0"</f>
        <v>35,0</v>
      </c>
      <c r="L6" s="12" t="str">
        <f>"34,3035"</f>
        <v>34,3035</v>
      </c>
      <c r="M6" s="6" t="s">
        <v>31</v>
      </c>
    </row>
    <row r="8" spans="1:13" ht="15" x14ac:dyDescent="0.2">
      <c r="A8" s="51" t="s">
        <v>256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2">
      <c r="A9" s="6" t="s">
        <v>306</v>
      </c>
      <c r="B9" s="6" t="s">
        <v>307</v>
      </c>
      <c r="C9" s="6" t="s">
        <v>308</v>
      </c>
      <c r="D9" s="6" t="str">
        <f>"0,8503"</f>
        <v>0,8503</v>
      </c>
      <c r="E9" s="6" t="s">
        <v>94</v>
      </c>
      <c r="F9" s="6" t="s">
        <v>95</v>
      </c>
      <c r="G9" s="8" t="s">
        <v>767</v>
      </c>
      <c r="H9" s="7" t="s">
        <v>767</v>
      </c>
      <c r="I9" s="8" t="s">
        <v>768</v>
      </c>
      <c r="J9" s="8"/>
      <c r="K9" s="11" t="str">
        <f>"27,5"</f>
        <v>27,5</v>
      </c>
      <c r="L9" s="12" t="str">
        <f>"23,3819"</f>
        <v>23,3819</v>
      </c>
      <c r="M9" s="6" t="s">
        <v>31</v>
      </c>
    </row>
    <row r="11" spans="1:13" ht="15" x14ac:dyDescent="0.2">
      <c r="A11" s="51" t="s">
        <v>285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 x14ac:dyDescent="0.2">
      <c r="A12" s="6" t="s">
        <v>318</v>
      </c>
      <c r="B12" s="6" t="s">
        <v>319</v>
      </c>
      <c r="C12" s="6" t="s">
        <v>320</v>
      </c>
      <c r="D12" s="6" t="str">
        <f>"1,3133"</f>
        <v>1,3133</v>
      </c>
      <c r="E12" s="6" t="s">
        <v>299</v>
      </c>
      <c r="F12" s="6" t="s">
        <v>300</v>
      </c>
      <c r="G12" s="7" t="s">
        <v>769</v>
      </c>
      <c r="H12" s="7" t="s">
        <v>699</v>
      </c>
      <c r="I12" s="8" t="s">
        <v>770</v>
      </c>
      <c r="J12" s="8"/>
      <c r="K12" s="11" t="str">
        <f>"20,0"</f>
        <v>20,0</v>
      </c>
      <c r="L12" s="12" t="str">
        <f>"32,3072"</f>
        <v>32,3072</v>
      </c>
      <c r="M12" s="6" t="s">
        <v>31</v>
      </c>
    </row>
    <row r="14" spans="1:13" ht="15" x14ac:dyDescent="0.2">
      <c r="A14" s="51" t="s">
        <v>219</v>
      </c>
      <c r="B14" s="51"/>
      <c r="C14" s="51"/>
      <c r="D14" s="51"/>
      <c r="E14" s="51"/>
      <c r="F14" s="51"/>
      <c r="G14" s="51"/>
      <c r="H14" s="51"/>
      <c r="I14" s="51"/>
      <c r="J14" s="51"/>
    </row>
    <row r="15" spans="1:13" x14ac:dyDescent="0.2">
      <c r="A15" s="19" t="s">
        <v>772</v>
      </c>
      <c r="B15" s="19" t="s">
        <v>773</v>
      </c>
      <c r="C15" s="19" t="s">
        <v>774</v>
      </c>
      <c r="D15" s="19" t="str">
        <f>"0,6774"</f>
        <v>0,6774</v>
      </c>
      <c r="E15" s="19" t="s">
        <v>53</v>
      </c>
      <c r="F15" s="19" t="s">
        <v>300</v>
      </c>
      <c r="G15" s="20" t="s">
        <v>88</v>
      </c>
      <c r="H15" s="20" t="s">
        <v>775</v>
      </c>
      <c r="I15" s="20" t="s">
        <v>776</v>
      </c>
      <c r="J15" s="21"/>
      <c r="K15" s="28" t="str">
        <f>"77,5"</f>
        <v>77,5</v>
      </c>
      <c r="L15" s="29" t="str">
        <f>"52,4985"</f>
        <v>52,4985</v>
      </c>
      <c r="M15" s="19" t="s">
        <v>31</v>
      </c>
    </row>
    <row r="16" spans="1:13" x14ac:dyDescent="0.2">
      <c r="A16" s="22" t="s">
        <v>335</v>
      </c>
      <c r="B16" s="22" t="s">
        <v>336</v>
      </c>
      <c r="C16" s="22" t="s">
        <v>337</v>
      </c>
      <c r="D16" s="22" t="str">
        <f>"0,6666"</f>
        <v>0,6666</v>
      </c>
      <c r="E16" s="22" t="s">
        <v>94</v>
      </c>
      <c r="F16" s="22" t="s">
        <v>95</v>
      </c>
      <c r="G16" s="23" t="s">
        <v>81</v>
      </c>
      <c r="H16" s="23" t="s">
        <v>22</v>
      </c>
      <c r="I16" s="24"/>
      <c r="J16" s="24"/>
      <c r="K16" s="30" t="str">
        <f>"70,0"</f>
        <v>70,0</v>
      </c>
      <c r="L16" s="31" t="str">
        <f>"46,6620"</f>
        <v>46,6620</v>
      </c>
      <c r="M16" s="22" t="s">
        <v>31</v>
      </c>
    </row>
    <row r="17" spans="1:13" x14ac:dyDescent="0.2">
      <c r="A17" s="25" t="s">
        <v>777</v>
      </c>
      <c r="B17" s="25" t="s">
        <v>222</v>
      </c>
      <c r="C17" s="25" t="s">
        <v>223</v>
      </c>
      <c r="D17" s="25" t="str">
        <f>"0,6645"</f>
        <v>0,6645</v>
      </c>
      <c r="E17" s="25" t="s">
        <v>181</v>
      </c>
      <c r="F17" s="25" t="s">
        <v>21</v>
      </c>
      <c r="G17" s="26" t="s">
        <v>88</v>
      </c>
      <c r="H17" s="27" t="s">
        <v>22</v>
      </c>
      <c r="I17" s="27" t="s">
        <v>22</v>
      </c>
      <c r="J17" s="27"/>
      <c r="K17" s="32" t="str">
        <f>"65,0"</f>
        <v>65,0</v>
      </c>
      <c r="L17" s="33" t="str">
        <f>"43,1925"</f>
        <v>43,1925</v>
      </c>
      <c r="M17" s="25" t="s">
        <v>31</v>
      </c>
    </row>
    <row r="19" spans="1:13" ht="15" x14ac:dyDescent="0.2">
      <c r="A19" s="51" t="s">
        <v>82</v>
      </c>
      <c r="B19" s="51"/>
      <c r="C19" s="51"/>
      <c r="D19" s="51"/>
      <c r="E19" s="51"/>
      <c r="F19" s="51"/>
      <c r="G19" s="51"/>
      <c r="H19" s="51"/>
      <c r="I19" s="51"/>
      <c r="J19" s="51"/>
    </row>
    <row r="20" spans="1:13" x14ac:dyDescent="0.2">
      <c r="A20" s="19" t="s">
        <v>743</v>
      </c>
      <c r="B20" s="19" t="s">
        <v>744</v>
      </c>
      <c r="C20" s="19" t="s">
        <v>745</v>
      </c>
      <c r="D20" s="19" t="str">
        <f>"0,6295"</f>
        <v>0,6295</v>
      </c>
      <c r="E20" s="19" t="s">
        <v>181</v>
      </c>
      <c r="F20" s="19" t="s">
        <v>21</v>
      </c>
      <c r="G20" s="20" t="s">
        <v>125</v>
      </c>
      <c r="H20" s="20" t="s">
        <v>24</v>
      </c>
      <c r="I20" s="20" t="s">
        <v>687</v>
      </c>
      <c r="J20" s="21"/>
      <c r="K20" s="28" t="str">
        <f>"82,5"</f>
        <v>82,5</v>
      </c>
      <c r="L20" s="29" t="str">
        <f>"51,9337"</f>
        <v>51,9337</v>
      </c>
      <c r="M20" s="19" t="s">
        <v>31</v>
      </c>
    </row>
    <row r="21" spans="1:13" x14ac:dyDescent="0.2">
      <c r="A21" s="22" t="s">
        <v>778</v>
      </c>
      <c r="B21" s="22" t="s">
        <v>779</v>
      </c>
      <c r="C21" s="22" t="s">
        <v>367</v>
      </c>
      <c r="D21" s="22" t="str">
        <f>"0,6318"</f>
        <v>0,6318</v>
      </c>
      <c r="E21" s="22" t="s">
        <v>358</v>
      </c>
      <c r="F21" s="22" t="s">
        <v>359</v>
      </c>
      <c r="G21" s="23" t="s">
        <v>80</v>
      </c>
      <c r="H21" s="23" t="s">
        <v>87</v>
      </c>
      <c r="I21" s="23" t="s">
        <v>88</v>
      </c>
      <c r="J21" s="23" t="s">
        <v>124</v>
      </c>
      <c r="K21" s="30" t="str">
        <f>"65,0"</f>
        <v>65,0</v>
      </c>
      <c r="L21" s="31" t="str">
        <f>"41,0670"</f>
        <v>41,0670</v>
      </c>
      <c r="M21" s="22" t="s">
        <v>31</v>
      </c>
    </row>
    <row r="22" spans="1:13" x14ac:dyDescent="0.2">
      <c r="A22" s="22" t="s">
        <v>781</v>
      </c>
      <c r="B22" s="22" t="s">
        <v>782</v>
      </c>
      <c r="C22" s="22" t="s">
        <v>783</v>
      </c>
      <c r="D22" s="22" t="str">
        <f>"0,6415"</f>
        <v>0,6415</v>
      </c>
      <c r="E22" s="22" t="s">
        <v>181</v>
      </c>
      <c r="F22" s="22" t="s">
        <v>21</v>
      </c>
      <c r="G22" s="23" t="s">
        <v>87</v>
      </c>
      <c r="H22" s="24" t="s">
        <v>88</v>
      </c>
      <c r="I22" s="24" t="s">
        <v>88</v>
      </c>
      <c r="J22" s="24"/>
      <c r="K22" s="30" t="str">
        <f>"62,5"</f>
        <v>62,5</v>
      </c>
      <c r="L22" s="31" t="str">
        <f>"40,0937"</f>
        <v>40,0937</v>
      </c>
      <c r="M22" s="22" t="s">
        <v>31</v>
      </c>
    </row>
    <row r="23" spans="1:13" x14ac:dyDescent="0.2">
      <c r="A23" s="22" t="s">
        <v>784</v>
      </c>
      <c r="B23" s="22" t="s">
        <v>685</v>
      </c>
      <c r="C23" s="22" t="s">
        <v>686</v>
      </c>
      <c r="D23" s="22" t="str">
        <f>"0,6238"</f>
        <v>0,6238</v>
      </c>
      <c r="E23" s="22" t="s">
        <v>382</v>
      </c>
      <c r="F23" s="22" t="s">
        <v>300</v>
      </c>
      <c r="G23" s="23" t="s">
        <v>294</v>
      </c>
      <c r="H23" s="23" t="s">
        <v>81</v>
      </c>
      <c r="I23" s="23" t="s">
        <v>87</v>
      </c>
      <c r="J23" s="24"/>
      <c r="K23" s="30" t="str">
        <f>"62,5"</f>
        <v>62,5</v>
      </c>
      <c r="L23" s="31" t="str">
        <f>"38,9875"</f>
        <v>38,9875</v>
      </c>
      <c r="M23" s="22" t="s">
        <v>31</v>
      </c>
    </row>
    <row r="24" spans="1:13" x14ac:dyDescent="0.2">
      <c r="A24" s="25" t="s">
        <v>365</v>
      </c>
      <c r="B24" s="25" t="s">
        <v>366</v>
      </c>
      <c r="C24" s="25" t="s">
        <v>367</v>
      </c>
      <c r="D24" s="25" t="str">
        <f>"0,6318"</f>
        <v>0,6318</v>
      </c>
      <c r="E24" s="25" t="s">
        <v>358</v>
      </c>
      <c r="F24" s="25" t="s">
        <v>359</v>
      </c>
      <c r="G24" s="26" t="s">
        <v>80</v>
      </c>
      <c r="H24" s="26" t="s">
        <v>87</v>
      </c>
      <c r="I24" s="26" t="s">
        <v>88</v>
      </c>
      <c r="J24" s="26" t="s">
        <v>124</v>
      </c>
      <c r="K24" s="32" t="str">
        <f>"65,0"</f>
        <v>65,0</v>
      </c>
      <c r="L24" s="33" t="str">
        <f>"58,7258"</f>
        <v>58,7258</v>
      </c>
      <c r="M24" s="25" t="s">
        <v>31</v>
      </c>
    </row>
    <row r="26" spans="1:13" ht="15" x14ac:dyDescent="0.2">
      <c r="A26" s="51" t="s">
        <v>106</v>
      </c>
      <c r="B26" s="51"/>
      <c r="C26" s="51"/>
      <c r="D26" s="51"/>
      <c r="E26" s="51"/>
      <c r="F26" s="51"/>
      <c r="G26" s="51"/>
      <c r="H26" s="51"/>
      <c r="I26" s="51"/>
      <c r="J26" s="51"/>
    </row>
    <row r="27" spans="1:13" x14ac:dyDescent="0.2">
      <c r="A27" s="19" t="s">
        <v>721</v>
      </c>
      <c r="B27" s="19" t="s">
        <v>722</v>
      </c>
      <c r="C27" s="19" t="s">
        <v>723</v>
      </c>
      <c r="D27" s="19" t="str">
        <f>"0,5881"</f>
        <v>0,5881</v>
      </c>
      <c r="E27" s="19" t="s">
        <v>53</v>
      </c>
      <c r="F27" s="19" t="s">
        <v>21</v>
      </c>
      <c r="G27" s="20" t="s">
        <v>87</v>
      </c>
      <c r="H27" s="20" t="s">
        <v>88</v>
      </c>
      <c r="I27" s="20" t="s">
        <v>124</v>
      </c>
      <c r="J27" s="21"/>
      <c r="K27" s="28" t="str">
        <f>"67,5"</f>
        <v>67,5</v>
      </c>
      <c r="L27" s="29" t="str">
        <f>"39,6968"</f>
        <v>39,6968</v>
      </c>
      <c r="M27" s="19" t="s">
        <v>31</v>
      </c>
    </row>
    <row r="28" spans="1:13" x14ac:dyDescent="0.2">
      <c r="A28" s="22" t="s">
        <v>376</v>
      </c>
      <c r="B28" s="22" t="s">
        <v>377</v>
      </c>
      <c r="C28" s="22" t="s">
        <v>193</v>
      </c>
      <c r="D28" s="22" t="str">
        <f>"0,5857"</f>
        <v>0,5857</v>
      </c>
      <c r="E28" s="22" t="s">
        <v>65</v>
      </c>
      <c r="F28" s="22" t="s">
        <v>254</v>
      </c>
      <c r="G28" s="23" t="s">
        <v>27</v>
      </c>
      <c r="H28" s="23" t="s">
        <v>294</v>
      </c>
      <c r="I28" s="23" t="s">
        <v>88</v>
      </c>
      <c r="J28" s="24"/>
      <c r="K28" s="30" t="str">
        <f>"65,0"</f>
        <v>65,0</v>
      </c>
      <c r="L28" s="31" t="str">
        <f>"38,0705"</f>
        <v>38,0705</v>
      </c>
      <c r="M28" s="22" t="s">
        <v>31</v>
      </c>
    </row>
    <row r="29" spans="1:13" x14ac:dyDescent="0.2">
      <c r="A29" s="22" t="s">
        <v>785</v>
      </c>
      <c r="B29" s="22" t="s">
        <v>786</v>
      </c>
      <c r="C29" s="22" t="s">
        <v>787</v>
      </c>
      <c r="D29" s="22" t="str">
        <f>"0,5973"</f>
        <v>0,5973</v>
      </c>
      <c r="E29" s="22" t="s">
        <v>75</v>
      </c>
      <c r="F29" s="22" t="s">
        <v>76</v>
      </c>
      <c r="G29" s="24" t="s">
        <v>81</v>
      </c>
      <c r="H29" s="24" t="s">
        <v>88</v>
      </c>
      <c r="I29" s="24" t="s">
        <v>88</v>
      </c>
      <c r="J29" s="24"/>
      <c r="K29" s="30" t="str">
        <f>"0.00"</f>
        <v>0.00</v>
      </c>
      <c r="L29" s="31" t="str">
        <f>"0,0000"</f>
        <v>0,0000</v>
      </c>
      <c r="M29" s="22" t="s">
        <v>31</v>
      </c>
    </row>
    <row r="30" spans="1:13" x14ac:dyDescent="0.2">
      <c r="A30" s="22" t="s">
        <v>578</v>
      </c>
      <c r="B30" s="22" t="s">
        <v>579</v>
      </c>
      <c r="C30" s="22" t="s">
        <v>580</v>
      </c>
      <c r="D30" s="22" t="str">
        <f>"0,5889"</f>
        <v>0,5889</v>
      </c>
      <c r="E30" s="22" t="s">
        <v>358</v>
      </c>
      <c r="F30" s="22" t="s">
        <v>359</v>
      </c>
      <c r="G30" s="23" t="s">
        <v>78</v>
      </c>
      <c r="H30" s="23" t="s">
        <v>58</v>
      </c>
      <c r="I30" s="24" t="s">
        <v>26</v>
      </c>
      <c r="J30" s="24"/>
      <c r="K30" s="30" t="str">
        <f>"45,0"</f>
        <v>45,0</v>
      </c>
      <c r="L30" s="31" t="str">
        <f>"37,8957"</f>
        <v>37,8957</v>
      </c>
      <c r="M30" s="22" t="s">
        <v>31</v>
      </c>
    </row>
    <row r="31" spans="1:13" x14ac:dyDescent="0.2">
      <c r="A31" s="25" t="s">
        <v>582</v>
      </c>
      <c r="B31" s="25" t="s">
        <v>583</v>
      </c>
      <c r="C31" s="25" t="s">
        <v>584</v>
      </c>
      <c r="D31" s="25" t="str">
        <f>"0,5995"</f>
        <v>0,5995</v>
      </c>
      <c r="E31" s="25" t="s">
        <v>181</v>
      </c>
      <c r="F31" s="25" t="s">
        <v>359</v>
      </c>
      <c r="G31" s="26" t="s">
        <v>26</v>
      </c>
      <c r="H31" s="26" t="s">
        <v>80</v>
      </c>
      <c r="I31" s="27" t="s">
        <v>81</v>
      </c>
      <c r="J31" s="27"/>
      <c r="K31" s="32" t="str">
        <f>"55,0"</f>
        <v>55,0</v>
      </c>
      <c r="L31" s="33" t="str">
        <f>"54,2398"</f>
        <v>54,2398</v>
      </c>
      <c r="M31" s="25" t="s">
        <v>31</v>
      </c>
    </row>
    <row r="33" spans="1:13" ht="15" x14ac:dyDescent="0.2">
      <c r="A33" s="51" t="s">
        <v>118</v>
      </c>
      <c r="B33" s="51"/>
      <c r="C33" s="51"/>
      <c r="D33" s="51"/>
      <c r="E33" s="51"/>
      <c r="F33" s="51"/>
      <c r="G33" s="51"/>
      <c r="H33" s="51"/>
      <c r="I33" s="51"/>
      <c r="J33" s="51"/>
    </row>
    <row r="34" spans="1:13" x14ac:dyDescent="0.2">
      <c r="A34" s="19" t="s">
        <v>789</v>
      </c>
      <c r="B34" s="19" t="s">
        <v>790</v>
      </c>
      <c r="C34" s="19" t="s">
        <v>791</v>
      </c>
      <c r="D34" s="19" t="str">
        <f>"0,5678"</f>
        <v>0,5678</v>
      </c>
      <c r="E34" s="19" t="s">
        <v>181</v>
      </c>
      <c r="F34" s="19" t="s">
        <v>21</v>
      </c>
      <c r="G34" s="20" t="s">
        <v>88</v>
      </c>
      <c r="H34" s="20" t="s">
        <v>125</v>
      </c>
      <c r="I34" s="20" t="s">
        <v>24</v>
      </c>
      <c r="J34" s="21"/>
      <c r="K34" s="28" t="str">
        <f>"77,5"</f>
        <v>77,5</v>
      </c>
      <c r="L34" s="29" t="str">
        <f>"44,0045"</f>
        <v>44,0045</v>
      </c>
      <c r="M34" s="19" t="s">
        <v>31</v>
      </c>
    </row>
    <row r="35" spans="1:13" x14ac:dyDescent="0.2">
      <c r="A35" s="25" t="s">
        <v>792</v>
      </c>
      <c r="B35" s="25" t="s">
        <v>128</v>
      </c>
      <c r="C35" s="25" t="s">
        <v>129</v>
      </c>
      <c r="D35" s="25" t="str">
        <f>"0,5744"</f>
        <v>0,5744</v>
      </c>
      <c r="E35" s="25" t="s">
        <v>65</v>
      </c>
      <c r="F35" s="25" t="s">
        <v>130</v>
      </c>
      <c r="G35" s="27" t="s">
        <v>700</v>
      </c>
      <c r="H35" s="27"/>
      <c r="I35" s="27"/>
      <c r="J35" s="27"/>
      <c r="K35" s="32" t="str">
        <f>"0.00"</f>
        <v>0.00</v>
      </c>
      <c r="L35" s="33" t="str">
        <f>"0,0000"</f>
        <v>0,0000</v>
      </c>
      <c r="M35" s="25" t="s">
        <v>31</v>
      </c>
    </row>
    <row r="37" spans="1:13" ht="15" x14ac:dyDescent="0.2">
      <c r="A37" s="51" t="s">
        <v>137</v>
      </c>
      <c r="B37" s="51"/>
      <c r="C37" s="51"/>
      <c r="D37" s="51"/>
      <c r="E37" s="51"/>
      <c r="F37" s="51"/>
      <c r="G37" s="51"/>
      <c r="H37" s="51"/>
      <c r="I37" s="51"/>
      <c r="J37" s="51"/>
    </row>
    <row r="38" spans="1:13" x14ac:dyDescent="0.2">
      <c r="A38" s="19" t="s">
        <v>388</v>
      </c>
      <c r="B38" s="19" t="s">
        <v>389</v>
      </c>
      <c r="C38" s="19" t="s">
        <v>390</v>
      </c>
      <c r="D38" s="19" t="str">
        <f>"0,5367"</f>
        <v>0,5367</v>
      </c>
      <c r="E38" s="19" t="s">
        <v>75</v>
      </c>
      <c r="F38" s="19" t="s">
        <v>76</v>
      </c>
      <c r="G38" s="20" t="s">
        <v>28</v>
      </c>
      <c r="H38" s="21" t="s">
        <v>89</v>
      </c>
      <c r="I38" s="20" t="s">
        <v>89</v>
      </c>
      <c r="J38" s="21"/>
      <c r="K38" s="28" t="str">
        <f>"87,5"</f>
        <v>87,5</v>
      </c>
      <c r="L38" s="29" t="str">
        <f>"46,9613"</f>
        <v>46,9613</v>
      </c>
      <c r="M38" s="19" t="s">
        <v>31</v>
      </c>
    </row>
    <row r="39" spans="1:13" x14ac:dyDescent="0.2">
      <c r="A39" s="22" t="s">
        <v>793</v>
      </c>
      <c r="B39" s="22" t="s">
        <v>398</v>
      </c>
      <c r="C39" s="22" t="s">
        <v>399</v>
      </c>
      <c r="D39" s="22" t="str">
        <f>"0,5386"</f>
        <v>0,5386</v>
      </c>
      <c r="E39" s="22" t="s">
        <v>94</v>
      </c>
      <c r="F39" s="22" t="s">
        <v>95</v>
      </c>
      <c r="G39" s="23" t="s">
        <v>81</v>
      </c>
      <c r="H39" s="23" t="s">
        <v>22</v>
      </c>
      <c r="I39" s="23" t="s">
        <v>28</v>
      </c>
      <c r="J39" s="24"/>
      <c r="K39" s="30" t="str">
        <f>"85,0"</f>
        <v>85,0</v>
      </c>
      <c r="L39" s="31" t="str">
        <f>"45,7810"</f>
        <v>45,7810</v>
      </c>
      <c r="M39" s="22" t="s">
        <v>31</v>
      </c>
    </row>
    <row r="40" spans="1:13" x14ac:dyDescent="0.2">
      <c r="A40" s="22" t="s">
        <v>794</v>
      </c>
      <c r="B40" s="22" t="s">
        <v>393</v>
      </c>
      <c r="C40" s="22" t="s">
        <v>394</v>
      </c>
      <c r="D40" s="22" t="str">
        <f>"0,5365"</f>
        <v>0,5365</v>
      </c>
      <c r="E40" s="22" t="s">
        <v>53</v>
      </c>
      <c r="F40" s="22" t="s">
        <v>395</v>
      </c>
      <c r="G40" s="24" t="s">
        <v>26</v>
      </c>
      <c r="H40" s="23" t="s">
        <v>124</v>
      </c>
      <c r="I40" s="23" t="s">
        <v>23</v>
      </c>
      <c r="J40" s="24"/>
      <c r="K40" s="30" t="str">
        <f>"75,0"</f>
        <v>75,0</v>
      </c>
      <c r="L40" s="31" t="str">
        <f>"40,2375"</f>
        <v>40,2375</v>
      </c>
      <c r="M40" s="22" t="s">
        <v>31</v>
      </c>
    </row>
    <row r="41" spans="1:13" x14ac:dyDescent="0.2">
      <c r="A41" s="25" t="s">
        <v>269</v>
      </c>
      <c r="B41" s="25" t="s">
        <v>270</v>
      </c>
      <c r="C41" s="25" t="s">
        <v>271</v>
      </c>
      <c r="D41" s="25" t="str">
        <f>"0,5413"</f>
        <v>0,5413</v>
      </c>
      <c r="E41" s="25" t="s">
        <v>272</v>
      </c>
      <c r="F41" s="25" t="s">
        <v>21</v>
      </c>
      <c r="G41" s="26" t="s">
        <v>124</v>
      </c>
      <c r="H41" s="26" t="s">
        <v>125</v>
      </c>
      <c r="I41" s="27" t="s">
        <v>24</v>
      </c>
      <c r="J41" s="27"/>
      <c r="K41" s="32" t="str">
        <f>"72,5"</f>
        <v>72,5</v>
      </c>
      <c r="L41" s="33" t="str">
        <f>"56,1193"</f>
        <v>56,1193</v>
      </c>
      <c r="M41" s="25" t="s">
        <v>31</v>
      </c>
    </row>
    <row r="43" spans="1:13" ht="15" x14ac:dyDescent="0.2">
      <c r="E43" s="9" t="s">
        <v>32</v>
      </c>
    </row>
    <row r="44" spans="1:13" ht="15" x14ac:dyDescent="0.2">
      <c r="E44" s="9" t="s">
        <v>33</v>
      </c>
    </row>
    <row r="45" spans="1:13" ht="15" x14ac:dyDescent="0.2">
      <c r="E45" s="9" t="s">
        <v>34</v>
      </c>
    </row>
    <row r="46" spans="1:13" ht="15" x14ac:dyDescent="0.2">
      <c r="E46" s="9" t="s">
        <v>35</v>
      </c>
    </row>
    <row r="47" spans="1:13" ht="15" x14ac:dyDescent="0.2">
      <c r="E47" s="9" t="s">
        <v>35</v>
      </c>
    </row>
    <row r="48" spans="1:13" ht="15" x14ac:dyDescent="0.2">
      <c r="E48" s="9" t="s">
        <v>36</v>
      </c>
    </row>
    <row r="49" spans="1:5" ht="15" x14ac:dyDescent="0.2">
      <c r="E49" s="9"/>
    </row>
    <row r="51" spans="1:5" ht="18" x14ac:dyDescent="0.25">
      <c r="A51" s="13" t="s">
        <v>37</v>
      </c>
      <c r="B51" s="13"/>
    </row>
    <row r="52" spans="1:5" ht="15" x14ac:dyDescent="0.2">
      <c r="A52" s="14" t="s">
        <v>144</v>
      </c>
      <c r="B52" s="14"/>
    </row>
    <row r="53" spans="1:5" ht="14.25" x14ac:dyDescent="0.2">
      <c r="A53" s="16"/>
      <c r="B53" s="17" t="s">
        <v>149</v>
      </c>
    </row>
    <row r="54" spans="1:5" ht="15" x14ac:dyDescent="0.2">
      <c r="A54" s="18" t="s">
        <v>40</v>
      </c>
      <c r="B54" s="18" t="s">
        <v>41</v>
      </c>
      <c r="C54" s="18" t="s">
        <v>42</v>
      </c>
      <c r="D54" s="18" t="s">
        <v>240</v>
      </c>
      <c r="E54" s="18" t="s">
        <v>44</v>
      </c>
    </row>
    <row r="55" spans="1:5" x14ac:dyDescent="0.2">
      <c r="A55" s="15" t="s">
        <v>286</v>
      </c>
      <c r="B55" s="4" t="s">
        <v>149</v>
      </c>
      <c r="C55" s="4" t="s">
        <v>417</v>
      </c>
      <c r="D55" s="4" t="s">
        <v>78</v>
      </c>
      <c r="E55" s="10" t="s">
        <v>795</v>
      </c>
    </row>
    <row r="56" spans="1:5" x14ac:dyDescent="0.2">
      <c r="A56" s="15" t="s">
        <v>305</v>
      </c>
      <c r="B56" s="4" t="s">
        <v>149</v>
      </c>
      <c r="C56" s="4" t="s">
        <v>273</v>
      </c>
      <c r="D56" s="4" t="s">
        <v>767</v>
      </c>
      <c r="E56" s="10" t="s">
        <v>796</v>
      </c>
    </row>
    <row r="59" spans="1:5" ht="15" x14ac:dyDescent="0.2">
      <c r="A59" s="14" t="s">
        <v>38</v>
      </c>
      <c r="B59" s="14"/>
    </row>
    <row r="60" spans="1:5" ht="14.25" x14ac:dyDescent="0.2">
      <c r="A60" s="16"/>
      <c r="B60" s="17" t="s">
        <v>39</v>
      </c>
    </row>
    <row r="61" spans="1:5" ht="15" x14ac:dyDescent="0.2">
      <c r="A61" s="18" t="s">
        <v>40</v>
      </c>
      <c r="B61" s="18" t="s">
        <v>41</v>
      </c>
      <c r="C61" s="18" t="s">
        <v>42</v>
      </c>
      <c r="D61" s="18" t="s">
        <v>240</v>
      </c>
      <c r="E61" s="18" t="s">
        <v>44</v>
      </c>
    </row>
    <row r="62" spans="1:5" x14ac:dyDescent="0.2">
      <c r="A62" s="15" t="s">
        <v>317</v>
      </c>
      <c r="B62" s="4" t="s">
        <v>45</v>
      </c>
      <c r="C62" s="4" t="s">
        <v>417</v>
      </c>
      <c r="D62" s="4" t="s">
        <v>699</v>
      </c>
      <c r="E62" s="10" t="s">
        <v>797</v>
      </c>
    </row>
    <row r="64" spans="1:5" ht="14.25" x14ac:dyDescent="0.2">
      <c r="A64" s="16"/>
      <c r="B64" s="17" t="s">
        <v>149</v>
      </c>
    </row>
    <row r="65" spans="1:5" ht="15" x14ac:dyDescent="0.2">
      <c r="A65" s="18" t="s">
        <v>40</v>
      </c>
      <c r="B65" s="18" t="s">
        <v>41</v>
      </c>
      <c r="C65" s="18" t="s">
        <v>42</v>
      </c>
      <c r="D65" s="18" t="s">
        <v>240</v>
      </c>
      <c r="E65" s="18" t="s">
        <v>44</v>
      </c>
    </row>
    <row r="66" spans="1:5" x14ac:dyDescent="0.2">
      <c r="A66" s="15" t="s">
        <v>771</v>
      </c>
      <c r="B66" s="4" t="s">
        <v>149</v>
      </c>
      <c r="C66" s="4" t="s">
        <v>241</v>
      </c>
      <c r="D66" s="4" t="s">
        <v>24</v>
      </c>
      <c r="E66" s="10" t="s">
        <v>798</v>
      </c>
    </row>
    <row r="67" spans="1:5" x14ac:dyDescent="0.2">
      <c r="A67" s="15" t="s">
        <v>742</v>
      </c>
      <c r="B67" s="4" t="s">
        <v>149</v>
      </c>
      <c r="C67" s="4" t="s">
        <v>158</v>
      </c>
      <c r="D67" s="4" t="s">
        <v>687</v>
      </c>
      <c r="E67" s="10" t="s">
        <v>799</v>
      </c>
    </row>
    <row r="68" spans="1:5" x14ac:dyDescent="0.2">
      <c r="A68" s="15" t="s">
        <v>387</v>
      </c>
      <c r="B68" s="4" t="s">
        <v>149</v>
      </c>
      <c r="C68" s="4" t="s">
        <v>165</v>
      </c>
      <c r="D68" s="4" t="s">
        <v>89</v>
      </c>
      <c r="E68" s="10" t="s">
        <v>800</v>
      </c>
    </row>
    <row r="69" spans="1:5" x14ac:dyDescent="0.2">
      <c r="A69" s="15" t="s">
        <v>334</v>
      </c>
      <c r="B69" s="4" t="s">
        <v>149</v>
      </c>
      <c r="C69" s="4" t="s">
        <v>241</v>
      </c>
      <c r="D69" s="4" t="s">
        <v>22</v>
      </c>
      <c r="E69" s="10" t="s">
        <v>801</v>
      </c>
    </row>
    <row r="70" spans="1:5" x14ac:dyDescent="0.2">
      <c r="A70" s="15" t="s">
        <v>396</v>
      </c>
      <c r="B70" s="4" t="s">
        <v>149</v>
      </c>
      <c r="C70" s="4" t="s">
        <v>165</v>
      </c>
      <c r="D70" s="4" t="s">
        <v>28</v>
      </c>
      <c r="E70" s="10" t="s">
        <v>802</v>
      </c>
    </row>
    <row r="71" spans="1:5" x14ac:dyDescent="0.2">
      <c r="A71" s="15" t="s">
        <v>788</v>
      </c>
      <c r="B71" s="4" t="s">
        <v>149</v>
      </c>
      <c r="C71" s="4" t="s">
        <v>154</v>
      </c>
      <c r="D71" s="4" t="s">
        <v>24</v>
      </c>
      <c r="E71" s="10" t="s">
        <v>803</v>
      </c>
    </row>
    <row r="72" spans="1:5" x14ac:dyDescent="0.2">
      <c r="A72" s="15" t="s">
        <v>220</v>
      </c>
      <c r="B72" s="4" t="s">
        <v>149</v>
      </c>
      <c r="C72" s="4" t="s">
        <v>241</v>
      </c>
      <c r="D72" s="4" t="s">
        <v>88</v>
      </c>
      <c r="E72" s="10" t="s">
        <v>804</v>
      </c>
    </row>
    <row r="73" spans="1:5" x14ac:dyDescent="0.2">
      <c r="A73" s="15" t="s">
        <v>364</v>
      </c>
      <c r="B73" s="4" t="s">
        <v>149</v>
      </c>
      <c r="C73" s="4" t="s">
        <v>158</v>
      </c>
      <c r="D73" s="4" t="s">
        <v>88</v>
      </c>
      <c r="E73" s="10" t="s">
        <v>805</v>
      </c>
    </row>
    <row r="74" spans="1:5" x14ac:dyDescent="0.2">
      <c r="A74" s="15" t="s">
        <v>391</v>
      </c>
      <c r="B74" s="4" t="s">
        <v>149</v>
      </c>
      <c r="C74" s="4" t="s">
        <v>165</v>
      </c>
      <c r="D74" s="4" t="s">
        <v>23</v>
      </c>
      <c r="E74" s="10" t="s">
        <v>806</v>
      </c>
    </row>
    <row r="75" spans="1:5" x14ac:dyDescent="0.2">
      <c r="A75" s="15" t="s">
        <v>780</v>
      </c>
      <c r="B75" s="4" t="s">
        <v>149</v>
      </c>
      <c r="C75" s="4" t="s">
        <v>158</v>
      </c>
      <c r="D75" s="4" t="s">
        <v>87</v>
      </c>
      <c r="E75" s="10" t="s">
        <v>807</v>
      </c>
    </row>
    <row r="76" spans="1:5" x14ac:dyDescent="0.2">
      <c r="A76" s="15" t="s">
        <v>720</v>
      </c>
      <c r="B76" s="4" t="s">
        <v>149</v>
      </c>
      <c r="C76" s="4" t="s">
        <v>168</v>
      </c>
      <c r="D76" s="4" t="s">
        <v>124</v>
      </c>
      <c r="E76" s="10" t="s">
        <v>808</v>
      </c>
    </row>
    <row r="77" spans="1:5" x14ac:dyDescent="0.2">
      <c r="A77" s="15" t="s">
        <v>683</v>
      </c>
      <c r="B77" s="4" t="s">
        <v>149</v>
      </c>
      <c r="C77" s="4" t="s">
        <v>158</v>
      </c>
      <c r="D77" s="4" t="s">
        <v>87</v>
      </c>
      <c r="E77" s="10" t="s">
        <v>809</v>
      </c>
    </row>
    <row r="78" spans="1:5" x14ac:dyDescent="0.2">
      <c r="A78" s="15" t="s">
        <v>375</v>
      </c>
      <c r="B78" s="4" t="s">
        <v>149</v>
      </c>
      <c r="C78" s="4" t="s">
        <v>168</v>
      </c>
      <c r="D78" s="4" t="s">
        <v>88</v>
      </c>
      <c r="E78" s="10" t="s">
        <v>810</v>
      </c>
    </row>
    <row r="80" spans="1:5" ht="14.25" x14ac:dyDescent="0.2">
      <c r="A80" s="16"/>
      <c r="B80" s="17" t="s">
        <v>171</v>
      </c>
    </row>
    <row r="81" spans="1:5" ht="15" x14ac:dyDescent="0.2">
      <c r="A81" s="18" t="s">
        <v>40</v>
      </c>
      <c r="B81" s="18" t="s">
        <v>41</v>
      </c>
      <c r="C81" s="18" t="s">
        <v>42</v>
      </c>
      <c r="D81" s="18" t="s">
        <v>240</v>
      </c>
      <c r="E81" s="18" t="s">
        <v>44</v>
      </c>
    </row>
    <row r="82" spans="1:5" x14ac:dyDescent="0.2">
      <c r="A82" s="15" t="s">
        <v>364</v>
      </c>
      <c r="B82" s="4" t="s">
        <v>277</v>
      </c>
      <c r="C82" s="4" t="s">
        <v>158</v>
      </c>
      <c r="D82" s="4" t="s">
        <v>88</v>
      </c>
      <c r="E82" s="10" t="s">
        <v>811</v>
      </c>
    </row>
    <row r="83" spans="1:5" x14ac:dyDescent="0.2">
      <c r="A83" s="15" t="s">
        <v>268</v>
      </c>
      <c r="B83" s="4" t="s">
        <v>277</v>
      </c>
      <c r="C83" s="4" t="s">
        <v>165</v>
      </c>
      <c r="D83" s="4" t="s">
        <v>125</v>
      </c>
      <c r="E83" s="10" t="s">
        <v>812</v>
      </c>
    </row>
    <row r="84" spans="1:5" x14ac:dyDescent="0.2">
      <c r="A84" s="15" t="s">
        <v>581</v>
      </c>
      <c r="B84" s="4" t="s">
        <v>275</v>
      </c>
      <c r="C84" s="4" t="s">
        <v>168</v>
      </c>
      <c r="D84" s="4" t="s">
        <v>80</v>
      </c>
      <c r="E84" s="10" t="s">
        <v>813</v>
      </c>
    </row>
    <row r="85" spans="1:5" x14ac:dyDescent="0.2">
      <c r="A85" s="15" t="s">
        <v>577</v>
      </c>
      <c r="B85" s="4" t="s">
        <v>277</v>
      </c>
      <c r="C85" s="4" t="s">
        <v>168</v>
      </c>
      <c r="D85" s="4" t="s">
        <v>58</v>
      </c>
      <c r="E85" s="10" t="s">
        <v>814</v>
      </c>
    </row>
  </sheetData>
  <mergeCells count="19">
    <mergeCell ref="A37:J37"/>
    <mergeCell ref="A8:J8"/>
    <mergeCell ref="A11:J11"/>
    <mergeCell ref="A14:J14"/>
    <mergeCell ref="A19:J19"/>
    <mergeCell ref="A26:J26"/>
    <mergeCell ref="A33:J3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9" width="4.5703125" style="3" customWidth="1"/>
    <col min="10" max="10" width="4.85546875" style="3" customWidth="1"/>
    <col min="11" max="11" width="11.28515625" style="10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2" t="s">
        <v>873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760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106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6" t="s">
        <v>763</v>
      </c>
      <c r="B6" s="6" t="s">
        <v>764</v>
      </c>
      <c r="C6" s="6" t="s">
        <v>723</v>
      </c>
      <c r="D6" s="6" t="str">
        <f>"0,5881"</f>
        <v>0,5881</v>
      </c>
      <c r="E6" s="6" t="s">
        <v>181</v>
      </c>
      <c r="F6" s="6" t="s">
        <v>21</v>
      </c>
      <c r="G6" s="7" t="s">
        <v>182</v>
      </c>
      <c r="H6" s="7" t="s">
        <v>29</v>
      </c>
      <c r="I6" s="7" t="s">
        <v>638</v>
      </c>
      <c r="J6" s="8"/>
      <c r="K6" s="11" t="str">
        <f>"92,5"</f>
        <v>92,5</v>
      </c>
      <c r="L6" s="12" t="str">
        <f>"58,1528"</f>
        <v>58,1528</v>
      </c>
      <c r="M6" s="6" t="s">
        <v>31</v>
      </c>
    </row>
    <row r="8" spans="1:13" ht="15" x14ac:dyDescent="0.2">
      <c r="E8" s="9" t="s">
        <v>32</v>
      </c>
    </row>
    <row r="9" spans="1:13" ht="15" x14ac:dyDescent="0.2">
      <c r="E9" s="9" t="s">
        <v>33</v>
      </c>
    </row>
    <row r="10" spans="1:13" ht="15" x14ac:dyDescent="0.2">
      <c r="E10" s="9" t="s">
        <v>34</v>
      </c>
    </row>
    <row r="11" spans="1:13" ht="15" x14ac:dyDescent="0.2">
      <c r="E11" s="9" t="s">
        <v>35</v>
      </c>
    </row>
    <row r="12" spans="1:13" ht="15" x14ac:dyDescent="0.2">
      <c r="E12" s="9" t="s">
        <v>35</v>
      </c>
    </row>
    <row r="13" spans="1:13" ht="15" x14ac:dyDescent="0.2">
      <c r="E13" s="9" t="s">
        <v>36</v>
      </c>
    </row>
    <row r="14" spans="1:13" ht="15" x14ac:dyDescent="0.2">
      <c r="E14" s="9"/>
    </row>
    <row r="16" spans="1:13" ht="18" x14ac:dyDescent="0.25">
      <c r="A16" s="13" t="s">
        <v>37</v>
      </c>
      <c r="B16" s="13"/>
    </row>
    <row r="17" spans="1:5" ht="15" x14ac:dyDescent="0.2">
      <c r="A17" s="14" t="s">
        <v>38</v>
      </c>
      <c r="B17" s="14"/>
    </row>
    <row r="18" spans="1:5" ht="14.25" x14ac:dyDescent="0.2">
      <c r="A18" s="16"/>
      <c r="B18" s="17" t="s">
        <v>171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240</v>
      </c>
      <c r="E19" s="18" t="s">
        <v>44</v>
      </c>
    </row>
    <row r="20" spans="1:5" x14ac:dyDescent="0.2">
      <c r="A20" s="15" t="s">
        <v>762</v>
      </c>
      <c r="B20" s="4" t="s">
        <v>217</v>
      </c>
      <c r="C20" s="4" t="s">
        <v>168</v>
      </c>
      <c r="D20" s="4" t="s">
        <v>638</v>
      </c>
      <c r="E20" s="10" t="s">
        <v>765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7" width="4.5703125" style="3" customWidth="1"/>
    <col min="8" max="9" width="5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2" t="s">
        <v>872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760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106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6" t="s">
        <v>369</v>
      </c>
      <c r="B6" s="6" t="s">
        <v>370</v>
      </c>
      <c r="C6" s="6" t="s">
        <v>371</v>
      </c>
      <c r="D6" s="6" t="str">
        <f>"0,5965"</f>
        <v>0,5965</v>
      </c>
      <c r="E6" s="6" t="s">
        <v>53</v>
      </c>
      <c r="F6" s="6" t="s">
        <v>21</v>
      </c>
      <c r="G6" s="7" t="s">
        <v>30</v>
      </c>
      <c r="H6" s="7" t="s">
        <v>67</v>
      </c>
      <c r="I6" s="8" t="s">
        <v>68</v>
      </c>
      <c r="J6" s="8"/>
      <c r="K6" s="11" t="str">
        <f>"100,0"</f>
        <v>100,0</v>
      </c>
      <c r="L6" s="12" t="str">
        <f>"59,6500"</f>
        <v>59,6500</v>
      </c>
      <c r="M6" s="6" t="s">
        <v>31</v>
      </c>
    </row>
    <row r="8" spans="1:13" ht="15" x14ac:dyDescent="0.2">
      <c r="E8" s="9" t="s">
        <v>32</v>
      </c>
    </row>
    <row r="9" spans="1:13" ht="15" x14ac:dyDescent="0.2">
      <c r="E9" s="9" t="s">
        <v>33</v>
      </c>
    </row>
    <row r="10" spans="1:13" ht="15" x14ac:dyDescent="0.2">
      <c r="E10" s="9" t="s">
        <v>34</v>
      </c>
    </row>
    <row r="11" spans="1:13" ht="15" x14ac:dyDescent="0.2">
      <c r="E11" s="9" t="s">
        <v>35</v>
      </c>
    </row>
    <row r="12" spans="1:13" ht="15" x14ac:dyDescent="0.2">
      <c r="E12" s="9" t="s">
        <v>35</v>
      </c>
    </row>
    <row r="13" spans="1:13" ht="15" x14ac:dyDescent="0.2">
      <c r="E13" s="9" t="s">
        <v>36</v>
      </c>
    </row>
    <row r="14" spans="1:13" ht="15" x14ac:dyDescent="0.2">
      <c r="E14" s="9"/>
    </row>
    <row r="16" spans="1:13" ht="18" x14ac:dyDescent="0.25">
      <c r="A16" s="13" t="s">
        <v>37</v>
      </c>
      <c r="B16" s="13"/>
    </row>
    <row r="17" spans="1:5" ht="15" x14ac:dyDescent="0.2">
      <c r="A17" s="14" t="s">
        <v>38</v>
      </c>
      <c r="B17" s="14"/>
    </row>
    <row r="18" spans="1:5" ht="14.25" x14ac:dyDescent="0.2">
      <c r="A18" s="16"/>
      <c r="B18" s="17" t="s">
        <v>149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240</v>
      </c>
      <c r="E19" s="18" t="s">
        <v>44</v>
      </c>
    </row>
    <row r="20" spans="1:5" x14ac:dyDescent="0.2">
      <c r="A20" s="15" t="s">
        <v>368</v>
      </c>
      <c r="B20" s="4" t="s">
        <v>149</v>
      </c>
      <c r="C20" s="4" t="s">
        <v>168</v>
      </c>
      <c r="D20" s="4" t="s">
        <v>67</v>
      </c>
      <c r="E20" s="10" t="s">
        <v>761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7" width="5.5703125" style="3" customWidth="1"/>
    <col min="8" max="8" width="15.1406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2" t="s">
        <v>871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77.25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706</v>
      </c>
      <c r="E3" s="36" t="s">
        <v>4</v>
      </c>
      <c r="F3" s="36" t="s">
        <v>7</v>
      </c>
      <c r="G3" s="36" t="s">
        <v>732</v>
      </c>
      <c r="H3" s="36"/>
      <c r="I3" s="36" t="s">
        <v>698</v>
      </c>
      <c r="J3" s="36" t="s">
        <v>3</v>
      </c>
      <c r="K3" s="38" t="s">
        <v>2</v>
      </c>
    </row>
    <row r="4" spans="1:11" s="1" customFormat="1" ht="21" customHeight="1" thickBot="1" x14ac:dyDescent="0.25">
      <c r="A4" s="49"/>
      <c r="B4" s="37"/>
      <c r="C4" s="37"/>
      <c r="D4" s="37"/>
      <c r="E4" s="37"/>
      <c r="F4" s="37"/>
      <c r="G4" s="5" t="s">
        <v>8</v>
      </c>
      <c r="H4" s="5" t="s">
        <v>9</v>
      </c>
      <c r="I4" s="37"/>
      <c r="J4" s="37"/>
      <c r="K4" s="39"/>
    </row>
    <row r="5" spans="1:11" ht="15.75" customHeight="1" x14ac:dyDescent="0.2">
      <c r="A5" s="40" t="s">
        <v>708</v>
      </c>
      <c r="B5" s="41"/>
      <c r="C5" s="41"/>
      <c r="D5" s="41"/>
      <c r="E5" s="41"/>
      <c r="F5" s="41"/>
      <c r="G5" s="41"/>
      <c r="H5" s="41"/>
    </row>
    <row r="6" spans="1:11" x14ac:dyDescent="0.2">
      <c r="A6" s="25" t="s">
        <v>751</v>
      </c>
      <c r="B6" s="25" t="s">
        <v>752</v>
      </c>
      <c r="C6" s="25" t="s">
        <v>753</v>
      </c>
      <c r="D6" s="25" t="str">
        <f>"1,0000"</f>
        <v>1,0000</v>
      </c>
      <c r="E6" s="25" t="s">
        <v>65</v>
      </c>
      <c r="F6" s="25" t="s">
        <v>21</v>
      </c>
      <c r="G6" s="26" t="s">
        <v>131</v>
      </c>
      <c r="H6" s="26" t="s">
        <v>699</v>
      </c>
      <c r="I6" s="32" t="str">
        <f>"4000,0"</f>
        <v>4000,0</v>
      </c>
      <c r="J6" s="33" t="str">
        <f>"46,6744"</f>
        <v>46,6744</v>
      </c>
      <c r="K6" s="25" t="s">
        <v>31</v>
      </c>
    </row>
    <row r="8" spans="1:11" ht="15" x14ac:dyDescent="0.2">
      <c r="E8" s="9" t="s">
        <v>32</v>
      </c>
    </row>
    <row r="9" spans="1:11" ht="15" x14ac:dyDescent="0.2">
      <c r="E9" s="9" t="s">
        <v>33</v>
      </c>
    </row>
    <row r="10" spans="1:11" ht="15" x14ac:dyDescent="0.2">
      <c r="E10" s="9" t="s">
        <v>34</v>
      </c>
    </row>
    <row r="11" spans="1:11" ht="15" x14ac:dyDescent="0.2">
      <c r="E11" s="9" t="s">
        <v>35</v>
      </c>
    </row>
    <row r="12" spans="1:11" ht="15" x14ac:dyDescent="0.2">
      <c r="E12" s="9" t="s">
        <v>35</v>
      </c>
    </row>
    <row r="13" spans="1:11" ht="15" x14ac:dyDescent="0.2">
      <c r="E13" s="9" t="s">
        <v>36</v>
      </c>
    </row>
    <row r="14" spans="1:11" ht="15" x14ac:dyDescent="0.2">
      <c r="E14" s="9"/>
    </row>
    <row r="16" spans="1:11" ht="18" x14ac:dyDescent="0.25">
      <c r="A16" s="13" t="s">
        <v>37</v>
      </c>
      <c r="B16" s="13"/>
    </row>
    <row r="17" spans="1:5" ht="15" x14ac:dyDescent="0.2">
      <c r="A17" s="14" t="s">
        <v>38</v>
      </c>
      <c r="B17" s="14"/>
    </row>
    <row r="18" spans="1:5" ht="14.25" x14ac:dyDescent="0.2">
      <c r="A18" s="16"/>
      <c r="B18" s="17" t="s">
        <v>171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240</v>
      </c>
      <c r="E19" s="18" t="s">
        <v>710</v>
      </c>
    </row>
    <row r="20" spans="1:5" x14ac:dyDescent="0.2">
      <c r="A20" s="15" t="s">
        <v>750</v>
      </c>
      <c r="B20" s="4" t="s">
        <v>277</v>
      </c>
      <c r="C20" s="4" t="s">
        <v>711</v>
      </c>
      <c r="D20" s="4" t="s">
        <v>758</v>
      </c>
      <c r="E20" s="10" t="s">
        <v>759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7.28515625" style="4" bestFit="1" customWidth="1"/>
    <col min="7" max="7" width="5" style="3" customWidth="1"/>
    <col min="8" max="8" width="10.42578125" style="3" customWidth="1"/>
    <col min="9" max="9" width="9.28515625" style="10" customWidth="1"/>
    <col min="10" max="10" width="9.5703125" style="2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2" t="s">
        <v>870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110.25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 x14ac:dyDescent="0.2">
      <c r="A3" s="48" t="s">
        <v>0</v>
      </c>
      <c r="B3" s="50" t="s">
        <v>6</v>
      </c>
      <c r="C3" s="50" t="s">
        <v>10</v>
      </c>
      <c r="D3" s="36"/>
      <c r="E3" s="36" t="s">
        <v>4</v>
      </c>
      <c r="F3" s="36" t="s">
        <v>7</v>
      </c>
      <c r="G3" s="36"/>
      <c r="H3" s="36"/>
      <c r="I3" s="36" t="s">
        <v>698</v>
      </c>
      <c r="J3" s="36" t="s">
        <v>3</v>
      </c>
      <c r="K3" s="38" t="s">
        <v>2</v>
      </c>
    </row>
    <row r="4" spans="1:11" s="1" customFormat="1" ht="24.75" customHeight="1" x14ac:dyDescent="0.2">
      <c r="A4" s="54"/>
      <c r="B4" s="52"/>
      <c r="C4" s="52"/>
      <c r="D4" s="52"/>
      <c r="E4" s="52"/>
      <c r="F4" s="52"/>
      <c r="G4" s="34" t="s">
        <v>8</v>
      </c>
      <c r="H4" s="34" t="s">
        <v>9</v>
      </c>
      <c r="I4" s="52"/>
      <c r="J4" s="52"/>
      <c r="K4" s="53"/>
    </row>
    <row r="5" spans="1:11" ht="12.75" customHeight="1" x14ac:dyDescent="0.2">
      <c r="A5" s="6" t="s">
        <v>613</v>
      </c>
      <c r="B5" s="6" t="s">
        <v>614</v>
      </c>
      <c r="C5" s="6" t="s">
        <v>615</v>
      </c>
      <c r="D5" s="6" t="str">
        <f>"1,0000"</f>
        <v>1,0000</v>
      </c>
      <c r="E5" s="6" t="s">
        <v>181</v>
      </c>
      <c r="F5" s="6" t="s">
        <v>228</v>
      </c>
      <c r="G5" s="35" t="s">
        <v>835</v>
      </c>
      <c r="H5" s="7" t="s">
        <v>748</v>
      </c>
      <c r="I5" s="11" t="s">
        <v>836</v>
      </c>
      <c r="J5" s="12" t="s">
        <v>838</v>
      </c>
      <c r="K5" s="6" t="s">
        <v>31</v>
      </c>
    </row>
    <row r="6" spans="1:11" x14ac:dyDescent="0.2">
      <c r="A6" s="6" t="s">
        <v>251</v>
      </c>
      <c r="B6" s="6" t="s">
        <v>252</v>
      </c>
      <c r="C6" s="6" t="s">
        <v>253</v>
      </c>
      <c r="D6" s="6" t="str">
        <f>"1,0000"</f>
        <v>1,0000</v>
      </c>
      <c r="E6" s="6" t="s">
        <v>94</v>
      </c>
      <c r="F6" s="6" t="s">
        <v>254</v>
      </c>
      <c r="G6" s="35" t="s">
        <v>835</v>
      </c>
      <c r="H6" s="7" t="s">
        <v>749</v>
      </c>
      <c r="I6" s="11" t="s">
        <v>837</v>
      </c>
      <c r="J6" s="12" t="s">
        <v>839</v>
      </c>
      <c r="K6" s="6" t="s">
        <v>31</v>
      </c>
    </row>
    <row r="16" spans="1:11" ht="15" x14ac:dyDescent="0.2">
      <c r="E16" s="9" t="s">
        <v>32</v>
      </c>
    </row>
    <row r="17" spans="1:5" ht="15" x14ac:dyDescent="0.2">
      <c r="E17" s="9" t="s">
        <v>33</v>
      </c>
    </row>
    <row r="18" spans="1:5" ht="15" x14ac:dyDescent="0.2">
      <c r="E18" s="9" t="s">
        <v>34</v>
      </c>
    </row>
    <row r="19" spans="1:5" ht="15" x14ac:dyDescent="0.2">
      <c r="E19" s="9" t="s">
        <v>35</v>
      </c>
    </row>
    <row r="20" spans="1:5" ht="15" x14ac:dyDescent="0.2">
      <c r="E20" s="9" t="s">
        <v>35</v>
      </c>
    </row>
    <row r="21" spans="1:5" ht="15" x14ac:dyDescent="0.2">
      <c r="E21" s="9" t="s">
        <v>36</v>
      </c>
    </row>
    <row r="22" spans="1:5" ht="15" x14ac:dyDescent="0.2">
      <c r="E22" s="9"/>
    </row>
    <row r="24" spans="1:5" ht="18" x14ac:dyDescent="0.25">
      <c r="A24" s="13" t="s">
        <v>37</v>
      </c>
      <c r="B24" s="13"/>
    </row>
    <row r="25" spans="1:5" ht="15" x14ac:dyDescent="0.2">
      <c r="A25" s="14" t="s">
        <v>38</v>
      </c>
      <c r="B25" s="14"/>
    </row>
    <row r="26" spans="1:5" ht="14.25" x14ac:dyDescent="0.2">
      <c r="A26" s="16"/>
      <c r="B26" s="17" t="s">
        <v>149</v>
      </c>
    </row>
    <row r="27" spans="1:5" ht="15" x14ac:dyDescent="0.2">
      <c r="A27" s="18" t="s">
        <v>40</v>
      </c>
      <c r="B27" s="18" t="s">
        <v>41</v>
      </c>
      <c r="C27" s="18" t="s">
        <v>42</v>
      </c>
      <c r="D27" s="18" t="s">
        <v>240</v>
      </c>
      <c r="E27" s="18" t="s">
        <v>710</v>
      </c>
    </row>
    <row r="28" spans="1:5" x14ac:dyDescent="0.2">
      <c r="A28" s="15" t="s">
        <v>612</v>
      </c>
      <c r="B28" s="4" t="s">
        <v>149</v>
      </c>
      <c r="C28" s="4" t="s">
        <v>711</v>
      </c>
      <c r="D28" s="4" t="s">
        <v>754</v>
      </c>
      <c r="E28" s="10" t="s">
        <v>755</v>
      </c>
    </row>
    <row r="30" spans="1:5" ht="14.25" x14ac:dyDescent="0.2">
      <c r="A30" s="16"/>
      <c r="B30" s="17" t="s">
        <v>171</v>
      </c>
    </row>
    <row r="31" spans="1:5" ht="15" x14ac:dyDescent="0.2">
      <c r="A31" s="18" t="s">
        <v>40</v>
      </c>
      <c r="B31" s="18" t="s">
        <v>41</v>
      </c>
      <c r="C31" s="18" t="s">
        <v>42</v>
      </c>
      <c r="D31" s="18" t="s">
        <v>240</v>
      </c>
      <c r="E31" s="18" t="s">
        <v>710</v>
      </c>
    </row>
    <row r="32" spans="1:5" x14ac:dyDescent="0.2">
      <c r="A32" s="15" t="s">
        <v>250</v>
      </c>
      <c r="B32" s="4" t="s">
        <v>217</v>
      </c>
      <c r="C32" s="4" t="s">
        <v>711</v>
      </c>
      <c r="D32" s="4" t="s">
        <v>756</v>
      </c>
      <c r="E32" s="10" t="s">
        <v>757</v>
      </c>
    </row>
  </sheetData>
  <mergeCells count="11">
    <mergeCell ref="G3:H3"/>
    <mergeCell ref="I3:I4"/>
    <mergeCell ref="J3:J4"/>
    <mergeCell ref="K3:K4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7" width="5" style="3" customWidth="1"/>
    <col min="8" max="8" width="26.425781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2" t="s">
        <v>869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110.25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706</v>
      </c>
      <c r="E3" s="36" t="s">
        <v>4</v>
      </c>
      <c r="F3" s="36" t="s">
        <v>7</v>
      </c>
      <c r="G3" s="36" t="s">
        <v>741</v>
      </c>
      <c r="H3" s="36"/>
      <c r="I3" s="36" t="s">
        <v>698</v>
      </c>
      <c r="J3" s="36" t="s">
        <v>3</v>
      </c>
      <c r="K3" s="38" t="s">
        <v>2</v>
      </c>
    </row>
    <row r="4" spans="1:11" s="1" customFormat="1" ht="21" customHeight="1" thickBot="1" x14ac:dyDescent="0.25">
      <c r="A4" s="49"/>
      <c r="B4" s="37"/>
      <c r="C4" s="37"/>
      <c r="D4" s="37"/>
      <c r="E4" s="37"/>
      <c r="F4" s="37"/>
      <c r="G4" s="5" t="s">
        <v>8</v>
      </c>
      <c r="H4" s="5" t="s">
        <v>9</v>
      </c>
      <c r="I4" s="37"/>
      <c r="J4" s="37"/>
      <c r="K4" s="39"/>
    </row>
    <row r="5" spans="1:11" ht="15" x14ac:dyDescent="0.2">
      <c r="A5" s="40" t="s">
        <v>708</v>
      </c>
      <c r="B5" s="41"/>
      <c r="C5" s="41"/>
      <c r="D5" s="41"/>
      <c r="E5" s="41"/>
      <c r="F5" s="41"/>
      <c r="G5" s="41"/>
      <c r="H5" s="41"/>
    </row>
    <row r="6" spans="1:11" x14ac:dyDescent="0.2">
      <c r="A6" s="6" t="s">
        <v>743</v>
      </c>
      <c r="B6" s="6" t="s">
        <v>744</v>
      </c>
      <c r="C6" s="6" t="s">
        <v>745</v>
      </c>
      <c r="D6" s="6" t="str">
        <f>"1,0000"</f>
        <v>1,0000</v>
      </c>
      <c r="E6" s="6" t="s">
        <v>181</v>
      </c>
      <c r="F6" s="6" t="s">
        <v>21</v>
      </c>
      <c r="G6" s="7" t="s">
        <v>26</v>
      </c>
      <c r="H6" s="7" t="s">
        <v>709</v>
      </c>
      <c r="I6" s="11" t="str">
        <f>"1700,0"</f>
        <v>1700,0</v>
      </c>
      <c r="J6" s="12" t="str">
        <f>"21,0918"</f>
        <v>21,0918</v>
      </c>
      <c r="K6" s="6" t="s">
        <v>31</v>
      </c>
    </row>
    <row r="8" spans="1:11" ht="15" x14ac:dyDescent="0.2">
      <c r="E8" s="9" t="s">
        <v>32</v>
      </c>
    </row>
    <row r="9" spans="1:11" ht="15" x14ac:dyDescent="0.2">
      <c r="E9" s="9" t="s">
        <v>33</v>
      </c>
    </row>
    <row r="10" spans="1:11" ht="15" x14ac:dyDescent="0.2">
      <c r="E10" s="9" t="s">
        <v>34</v>
      </c>
    </row>
    <row r="11" spans="1:11" ht="15" x14ac:dyDescent="0.2">
      <c r="E11" s="9" t="s">
        <v>35</v>
      </c>
    </row>
    <row r="12" spans="1:11" ht="15" x14ac:dyDescent="0.2">
      <c r="E12" s="9" t="s">
        <v>35</v>
      </c>
    </row>
    <row r="13" spans="1:11" ht="15" x14ac:dyDescent="0.2">
      <c r="E13" s="9" t="s">
        <v>36</v>
      </c>
    </row>
    <row r="14" spans="1:11" ht="15" x14ac:dyDescent="0.2">
      <c r="E14" s="9"/>
    </row>
    <row r="16" spans="1:11" ht="18" x14ac:dyDescent="0.25">
      <c r="A16" s="13" t="s">
        <v>37</v>
      </c>
      <c r="B16" s="13"/>
    </row>
    <row r="17" spans="1:5" ht="15" x14ac:dyDescent="0.2">
      <c r="A17" s="14" t="s">
        <v>38</v>
      </c>
      <c r="B17" s="14"/>
    </row>
    <row r="18" spans="1:5" ht="14.25" x14ac:dyDescent="0.2">
      <c r="A18" s="16"/>
      <c r="B18" s="17" t="s">
        <v>149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240</v>
      </c>
      <c r="E19" s="18" t="s">
        <v>710</v>
      </c>
    </row>
    <row r="20" spans="1:5" x14ac:dyDescent="0.2">
      <c r="A20" s="15" t="s">
        <v>742</v>
      </c>
      <c r="B20" s="4" t="s">
        <v>149</v>
      </c>
      <c r="C20" s="4" t="s">
        <v>711</v>
      </c>
      <c r="D20" s="4" t="s">
        <v>746</v>
      </c>
      <c r="E20" s="10" t="s">
        <v>747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34</vt:i4>
      </vt:variant>
    </vt:vector>
  </HeadingPairs>
  <TitlesOfParts>
    <vt:vector size="34" baseType="lpstr">
      <vt:lpstr>Пауэрспорт Профессионалы</vt:lpstr>
      <vt:lpstr>Пауэрспорт Любители</vt:lpstr>
      <vt:lpstr>Бицепс Профессионалы</vt:lpstr>
      <vt:lpstr>Бицепс Любители</vt:lpstr>
      <vt:lpstr>Жим стоя Профессионалы</vt:lpstr>
      <vt:lpstr>Жим стоя Любители</vt:lpstr>
      <vt:lpstr>Русская тяга проф. 200 кг.</vt:lpstr>
      <vt:lpstr>Русская тяга проф 150 кг.</vt:lpstr>
      <vt:lpstr>РБ Проф 50 кг.</vt:lpstr>
      <vt:lpstr>Русская тяга люб. 75 кг.</vt:lpstr>
      <vt:lpstr>РЖ любители 55 кг.</vt:lpstr>
      <vt:lpstr>РЖ Проф 75 кг.</vt:lpstr>
      <vt:lpstr>РЖ Проф 55 кг.</vt:lpstr>
      <vt:lpstr>Любители В.Ж. м.повт. 1_2</vt:lpstr>
      <vt:lpstr>Люб. народный жим 1_2 вес</vt:lpstr>
      <vt:lpstr>Люб. народный жим 1 вес</vt:lpstr>
      <vt:lpstr>ПРО. ЖД</vt:lpstr>
      <vt:lpstr>Двоеборье проф.</vt:lpstr>
      <vt:lpstr>Люб. ЖД</vt:lpstr>
      <vt:lpstr>Двоеборье люб</vt:lpstr>
      <vt:lpstr>Люб. присед б.э.</vt:lpstr>
      <vt:lpstr>ПРО тяга б.э.</vt:lpstr>
      <vt:lpstr>Люб. тяга б.э.</vt:lpstr>
      <vt:lpstr>ПРО жим софт мн.петельная</vt:lpstr>
      <vt:lpstr>Люб. жим софт мн.петельная</vt:lpstr>
      <vt:lpstr>Люб. жим 1 петельная</vt:lpstr>
      <vt:lpstr>ПРО жим б.э.</vt:lpstr>
      <vt:lpstr>Люб. жим б.э.</vt:lpstr>
      <vt:lpstr>СОВ жим</vt:lpstr>
      <vt:lpstr>ПРО Военный жим класс.</vt:lpstr>
      <vt:lpstr>Люб. Военный жим класс.</vt:lpstr>
      <vt:lpstr>ПРО ПЛ. б.э.</vt:lpstr>
      <vt:lpstr>Люб. ПЛ. б.э.</vt:lpstr>
      <vt:lpstr>Люб. ПЛ. 1.петельная софт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2020-12-02T14:26:31Z</dcterms:modified>
</cp:coreProperties>
</file>