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 firstSheet="20" activeTab="25"/>
  </bookViews>
  <sheets>
    <sheet name="Люб. лог лифт" sheetId="7" r:id="rId1"/>
    <sheet name="Люб. становая тяга" sheetId="10" r:id="rId2"/>
    <sheet name="Проф. народный жим 1 вес" sheetId="11" r:id="rId3"/>
    <sheet name="Люб. народный жим 1_2 вес" sheetId="12" r:id="rId4"/>
    <sheet name="Люб. народный жим 1 вес" sheetId="13" r:id="rId5"/>
    <sheet name="Пауэрспорт Любители" sheetId="14" r:id="rId6"/>
    <sheet name="Бицепс Любители" sheetId="15" r:id="rId7"/>
    <sheet name="Двоеборье люб" sheetId="16" r:id="rId8"/>
    <sheet name="Люб. присед б.э." sheetId="17" r:id="rId9"/>
    <sheet name="ПРО тяга б.э." sheetId="18" r:id="rId10"/>
    <sheet name="Люб. тяга б.э." sheetId="19" r:id="rId11"/>
    <sheet name="ПРО жим софт мн.петельная" sheetId="20" r:id="rId12"/>
    <sheet name="Люб. жим 1 петельная" sheetId="21" r:id="rId13"/>
    <sheet name="ПРО жим б.э." sheetId="22" r:id="rId14"/>
    <sheet name="ПРО ПЛ. б.э." sheetId="24" r:id="rId15"/>
    <sheet name="Люб. ПЛ. 1.петельная софт" sheetId="26" r:id="rId16"/>
    <sheet name="ПРО ПЛ. мн.слой" sheetId="27" r:id="rId17"/>
    <sheet name="Русская тяга проф. 150 кг." sheetId="28" r:id="rId18"/>
    <sheet name="Русская тяга люб. 150 кг." sheetId="29" r:id="rId19"/>
    <sheet name="Русская тяга проф. 100 кг." sheetId="30" r:id="rId20"/>
    <sheet name="Русская тяга люб. 100 кг." sheetId="31" r:id="rId21"/>
    <sheet name="Русская тяга люб. 75 кг." sheetId="32" r:id="rId22"/>
    <sheet name="Русская тяга люб. 55 кг." sheetId="33" r:id="rId23"/>
    <sheet name="РЖ Проф 55 кг." sheetId="34" r:id="rId24"/>
    <sheet name="Протокол" sheetId="35" r:id="rId25"/>
    <sheet name="Протокол (2)" sheetId="36" r:id="rId26"/>
  </sheets>
  <definedNames>
    <definedName name="_FilterDatabase" localSheetId="4" hidden="1">'Люб. народный жим 1 вес'!$A$1:$I$3</definedName>
    <definedName name="_FilterDatabase" localSheetId="24" hidden="1">Протокол!$A$1:$S$3</definedName>
    <definedName name="_FilterDatabase" localSheetId="25" hidden="1">'Протокол (2)'!$A$1:$K$3</definedName>
  </definedNames>
  <calcPr calcId="162913"/>
</workbook>
</file>

<file path=xl/calcChain.xml><?xml version="1.0" encoding="utf-8"?>
<calcChain xmlns="http://schemas.openxmlformats.org/spreadsheetml/2006/main">
  <c r="D6" i="36" l="1"/>
  <c r="K6" i="36"/>
  <c r="L6" i="36"/>
  <c r="D9" i="36"/>
  <c r="K9" i="36"/>
  <c r="L9" i="36"/>
  <c r="D10" i="36"/>
  <c r="K10" i="36"/>
  <c r="L10" i="36"/>
  <c r="D11" i="36"/>
  <c r="K11" i="36"/>
  <c r="L11" i="36"/>
  <c r="D12" i="36"/>
  <c r="K12" i="36"/>
  <c r="L12" i="36"/>
  <c r="D15" i="36"/>
  <c r="K15" i="36"/>
  <c r="L15" i="36"/>
  <c r="D16" i="36"/>
  <c r="K16" i="36"/>
  <c r="L16" i="36"/>
  <c r="D17" i="36"/>
  <c r="K17" i="36"/>
  <c r="L17" i="36"/>
  <c r="D18" i="36"/>
  <c r="K18" i="36"/>
  <c r="L18" i="36"/>
  <c r="D19" i="36"/>
  <c r="K19" i="36"/>
  <c r="L19" i="36"/>
  <c r="D22" i="36"/>
  <c r="K22" i="36"/>
  <c r="L22" i="36"/>
  <c r="D23" i="36"/>
  <c r="K23" i="36"/>
  <c r="L23" i="36"/>
  <c r="D24" i="36"/>
  <c r="K24" i="36"/>
  <c r="L24" i="36"/>
  <c r="D25" i="36"/>
  <c r="K25" i="36"/>
  <c r="L25" i="36"/>
  <c r="D28" i="36"/>
  <c r="K28" i="36"/>
  <c r="L28" i="36"/>
  <c r="D29" i="36"/>
  <c r="K29" i="36"/>
  <c r="L29" i="36"/>
  <c r="D32" i="36"/>
  <c r="K32" i="36"/>
  <c r="L32" i="36"/>
  <c r="D33" i="36"/>
  <c r="K33" i="36"/>
  <c r="L33" i="36"/>
  <c r="D34" i="36"/>
  <c r="K34" i="36"/>
  <c r="L34" i="36"/>
  <c r="D37" i="36"/>
  <c r="K37" i="36"/>
  <c r="L37" i="36"/>
  <c r="D38" i="36"/>
  <c r="K38" i="36"/>
  <c r="L38" i="36"/>
  <c r="D6" i="35" l="1"/>
  <c r="S6" i="35"/>
  <c r="T6" i="35"/>
  <c r="D9" i="35"/>
  <c r="S9" i="35"/>
  <c r="T9" i="35"/>
  <c r="D10" i="35"/>
  <c r="S10" i="35"/>
  <c r="T10" i="35"/>
  <c r="D13" i="35"/>
  <c r="S13" i="35"/>
  <c r="T13" i="35"/>
  <c r="D16" i="35"/>
  <c r="S16" i="35"/>
  <c r="T16" i="35"/>
  <c r="D19" i="35"/>
  <c r="S19" i="35"/>
  <c r="T19" i="35"/>
  <c r="D22" i="35"/>
  <c r="S22" i="35"/>
  <c r="T22" i="35"/>
  <c r="D23" i="35"/>
  <c r="S23" i="35"/>
  <c r="T23" i="35"/>
  <c r="D24" i="35"/>
  <c r="S24" i="35"/>
  <c r="T24" i="35"/>
  <c r="D25" i="35"/>
  <c r="S25" i="35"/>
  <c r="T25" i="35"/>
  <c r="D26" i="35"/>
  <c r="S26" i="35"/>
  <c r="T26" i="35"/>
  <c r="D29" i="35"/>
  <c r="S29" i="35"/>
  <c r="T29" i="35"/>
  <c r="D30" i="35"/>
  <c r="S30" i="35"/>
  <c r="T30" i="35"/>
  <c r="D31" i="35"/>
  <c r="S31" i="35"/>
  <c r="T31" i="35"/>
  <c r="D34" i="35"/>
  <c r="S34" i="35"/>
  <c r="T34" i="35"/>
  <c r="D37" i="35"/>
  <c r="S37" i="35"/>
  <c r="T37" i="35"/>
  <c r="D38" i="35"/>
  <c r="S38" i="35"/>
  <c r="T38" i="35"/>
  <c r="D39" i="35"/>
  <c r="S39" i="35"/>
  <c r="T39" i="35"/>
  <c r="D42" i="35"/>
  <c r="S42" i="35"/>
  <c r="T42" i="35"/>
  <c r="D43" i="35"/>
  <c r="S43" i="35"/>
  <c r="T43" i="35"/>
  <c r="D44" i="35"/>
  <c r="S44" i="35"/>
  <c r="T44" i="35"/>
  <c r="D47" i="35"/>
  <c r="S47" i="35"/>
  <c r="T47" i="35"/>
  <c r="D6" i="34" l="1"/>
  <c r="I6" i="34"/>
  <c r="J6" i="34"/>
  <c r="D7" i="34"/>
  <c r="I7" i="34"/>
  <c r="J7" i="34"/>
  <c r="D8" i="34"/>
  <c r="I8" i="34"/>
  <c r="J8" i="34"/>
  <c r="D6" i="33"/>
  <c r="I6" i="33"/>
  <c r="J6" i="33"/>
  <c r="D6" i="32"/>
  <c r="I6" i="32"/>
  <c r="J6" i="32"/>
  <c r="D6" i="31"/>
  <c r="I6" i="31"/>
  <c r="J6" i="31"/>
  <c r="D7" i="31"/>
  <c r="I7" i="31"/>
  <c r="J7" i="31"/>
  <c r="D8" i="31"/>
  <c r="I8" i="31"/>
  <c r="J8" i="31"/>
  <c r="D6" i="30"/>
  <c r="I6" i="30"/>
  <c r="J6" i="30"/>
  <c r="D6" i="29"/>
  <c r="I6" i="29"/>
  <c r="J6" i="29"/>
  <c r="D6" i="28"/>
  <c r="I6" i="28"/>
  <c r="J6" i="28"/>
  <c r="D6" i="27" l="1"/>
  <c r="S6" i="27"/>
  <c r="T6" i="27"/>
  <c r="D6" i="26"/>
  <c r="S6" i="26"/>
  <c r="T6" i="26"/>
  <c r="D6" i="24"/>
  <c r="S6" i="24"/>
  <c r="T6" i="24"/>
  <c r="D9" i="24"/>
  <c r="S9" i="24"/>
  <c r="T9" i="24"/>
  <c r="D10" i="24"/>
  <c r="S10" i="24"/>
  <c r="T10" i="24"/>
  <c r="D13" i="24"/>
  <c r="S13" i="24"/>
  <c r="T13" i="24"/>
  <c r="D14" i="24"/>
  <c r="S14" i="24"/>
  <c r="T14" i="24"/>
  <c r="D17" i="24"/>
  <c r="S17" i="24"/>
  <c r="T17" i="24"/>
  <c r="D20" i="24"/>
  <c r="S20" i="24"/>
  <c r="T20" i="24"/>
  <c r="D6" i="22"/>
  <c r="K6" i="22"/>
  <c r="L6" i="22"/>
  <c r="D9" i="22"/>
  <c r="K9" i="22"/>
  <c r="L9" i="22"/>
  <c r="D10" i="22"/>
  <c r="K10" i="22"/>
  <c r="L10" i="22"/>
  <c r="D13" i="22"/>
  <c r="K13" i="22"/>
  <c r="L13" i="22"/>
  <c r="D6" i="21"/>
  <c r="K6" i="21"/>
  <c r="L6" i="21"/>
  <c r="D6" i="20"/>
  <c r="K6" i="20"/>
  <c r="L6" i="20"/>
  <c r="D9" i="20"/>
  <c r="K9" i="20"/>
  <c r="L9" i="20"/>
  <c r="D6" i="19"/>
  <c r="K6" i="19"/>
  <c r="L6" i="19"/>
  <c r="D9" i="19"/>
  <c r="K9" i="19"/>
  <c r="L9" i="19"/>
  <c r="D10" i="19"/>
  <c r="K10" i="19"/>
  <c r="L10" i="19"/>
  <c r="D13" i="19"/>
  <c r="K13" i="19"/>
  <c r="L13" i="19"/>
  <c r="D16" i="19"/>
  <c r="K16" i="19"/>
  <c r="L16" i="19"/>
  <c r="D19" i="19"/>
  <c r="K19" i="19"/>
  <c r="L19" i="19"/>
  <c r="D20" i="19"/>
  <c r="K20" i="19"/>
  <c r="L20" i="19"/>
  <c r="D21" i="19"/>
  <c r="K21" i="19"/>
  <c r="L21" i="19"/>
  <c r="D24" i="19"/>
  <c r="K24" i="19"/>
  <c r="L24" i="19"/>
  <c r="D25" i="19"/>
  <c r="K25" i="19"/>
  <c r="L25" i="19"/>
  <c r="D28" i="19"/>
  <c r="K28" i="19"/>
  <c r="L28" i="19"/>
  <c r="D31" i="19"/>
  <c r="K31" i="19"/>
  <c r="L31" i="19"/>
  <c r="D32" i="19"/>
  <c r="K32" i="19"/>
  <c r="L32" i="19"/>
  <c r="D35" i="19"/>
  <c r="K35" i="19"/>
  <c r="L35" i="19"/>
  <c r="D38" i="19"/>
  <c r="K38" i="19"/>
  <c r="L38" i="19"/>
  <c r="D6" i="18"/>
  <c r="K6" i="18"/>
  <c r="L6" i="18"/>
  <c r="D7" i="18"/>
  <c r="K7" i="18"/>
  <c r="L7" i="18"/>
  <c r="D10" i="18"/>
  <c r="K10" i="18"/>
  <c r="L10" i="18"/>
  <c r="D11" i="18"/>
  <c r="K11" i="18"/>
  <c r="L11" i="18"/>
  <c r="D12" i="18"/>
  <c r="K12" i="18"/>
  <c r="L12" i="18"/>
  <c r="D6" i="17"/>
  <c r="K6" i="17"/>
  <c r="L6" i="17"/>
  <c r="D6" i="16"/>
  <c r="O6" i="16"/>
  <c r="P6" i="16"/>
  <c r="D9" i="16"/>
  <c r="O9" i="16"/>
  <c r="P9" i="16"/>
  <c r="D6" i="15" l="1"/>
  <c r="K6" i="15"/>
  <c r="L6" i="15"/>
  <c r="D9" i="15"/>
  <c r="K9" i="15"/>
  <c r="L9" i="15"/>
  <c r="D12" i="15"/>
  <c r="K12" i="15"/>
  <c r="L12" i="15"/>
  <c r="D13" i="15"/>
  <c r="K13" i="15"/>
  <c r="L13" i="15"/>
  <c r="D14" i="15"/>
  <c r="K14" i="15"/>
  <c r="L14" i="15"/>
  <c r="D17" i="15"/>
  <c r="K17" i="15"/>
  <c r="L17" i="15"/>
  <c r="D20" i="15"/>
  <c r="K20" i="15"/>
  <c r="L20" i="15"/>
  <c r="D23" i="15"/>
  <c r="K23" i="15"/>
  <c r="L23" i="15"/>
  <c r="D6" i="14"/>
  <c r="O6" i="14"/>
  <c r="P6" i="14"/>
  <c r="D6" i="13" l="1"/>
  <c r="I6" i="13"/>
  <c r="J6" i="13"/>
  <c r="D6" i="12"/>
  <c r="I6" i="12"/>
  <c r="J6" i="12"/>
  <c r="D9" i="12"/>
  <c r="I9" i="12"/>
  <c r="J9" i="12"/>
  <c r="D6" i="11"/>
  <c r="I6" i="11"/>
  <c r="J6" i="11"/>
  <c r="D9" i="11"/>
  <c r="I9" i="11"/>
  <c r="J9" i="11"/>
  <c r="D6" i="10"/>
  <c r="I6" i="10"/>
  <c r="J6" i="10"/>
  <c r="D9" i="10"/>
  <c r="I9" i="10"/>
  <c r="J9" i="10"/>
  <c r="L15" i="7" l="1"/>
  <c r="K15" i="7"/>
  <c r="D15" i="7"/>
  <c r="L12" i="7"/>
  <c r="K12" i="7"/>
  <c r="D12" i="7"/>
  <c r="L9" i="7"/>
  <c r="K9" i="7"/>
  <c r="D9" i="7"/>
  <c r="L6" i="7"/>
  <c r="K6" i="7"/>
  <c r="D6" i="7"/>
</calcChain>
</file>

<file path=xl/sharedStrings.xml><?xml version="1.0" encoding="utf-8"?>
<sst xmlns="http://schemas.openxmlformats.org/spreadsheetml/2006/main" count="2635" uniqueCount="813">
  <si>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</si>
  <si>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</si>
  <si>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</si>
  <si>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</si>
  <si>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</si>
  <si>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</si>
  <si>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</si>
  <si>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</si>
  <si>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</si>
  <si>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</si>
  <si>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</si>
  <si>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</si>
  <si>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</si>
  <si>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</si>
  <si>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</si>
  <si>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</si>
  <si>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</si>
  <si>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>Результат</t>
  </si>
  <si>
    <t>Кубок Силы 8 Log-Lift
Любители лог лифт
Краснодар/Краснодарский край 18 - 22 декабря 2020 г.</t>
  </si>
  <si>
    <t>Shv/Mel</t>
  </si>
  <si>
    <t>Подъем бревна макс.кг.</t>
  </si>
  <si>
    <t>ВЕСОВАЯ КАТЕГОРИЯ   82.5</t>
  </si>
  <si>
    <t>Хачатрян Роман</t>
  </si>
  <si>
    <t>1. Хачатрян Роман</t>
  </si>
  <si>
    <t>Открытая (26.10.1988)/32</t>
  </si>
  <si>
    <t>82,20</t>
  </si>
  <si>
    <t xml:space="preserve">Черномор спорт </t>
  </si>
  <si>
    <t xml:space="preserve">Сочи/Краснодарский край </t>
  </si>
  <si>
    <t>85,0</t>
  </si>
  <si>
    <t>95,0</t>
  </si>
  <si>
    <t>100,0</t>
  </si>
  <si>
    <t xml:space="preserve">Зубов Д. </t>
  </si>
  <si>
    <t>ВЕСОВАЯ КАТЕГОРИЯ   90</t>
  </si>
  <si>
    <t>Аскеров Михаил</t>
  </si>
  <si>
    <t>1. Аскеров Михаил</t>
  </si>
  <si>
    <t>Открытая (22.07.1995)/25</t>
  </si>
  <si>
    <t>90,00</t>
  </si>
  <si>
    <t>80,0</t>
  </si>
  <si>
    <t>ВЕСОВАЯ КАТЕГОРИЯ   100</t>
  </si>
  <si>
    <t>Зубов Денис</t>
  </si>
  <si>
    <t>1. Зубов Денис</t>
  </si>
  <si>
    <t>Открытая (02.04.1987)/33</t>
  </si>
  <si>
    <t>96,00</t>
  </si>
  <si>
    <t>110,0</t>
  </si>
  <si>
    <t>117,5</t>
  </si>
  <si>
    <t>122,5</t>
  </si>
  <si>
    <t>ВЕСОВАЯ КАТЕГОРИЯ   110+</t>
  </si>
  <si>
    <t>Меликов Михаил</t>
  </si>
  <si>
    <t>1. Меликов Михаил</t>
  </si>
  <si>
    <t>Открытая (28.10.1991)/29</t>
  </si>
  <si>
    <t>124,90</t>
  </si>
  <si>
    <t>105,0</t>
  </si>
  <si>
    <t>115,0</t>
  </si>
  <si>
    <t xml:space="preserve">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</si>
  <si>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</si>
  <si>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</si>
  <si>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</si>
  <si>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</si>
  <si>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</si>
  <si>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Результат </t>
  </si>
  <si>
    <t xml:space="preserve">Shv/Mel </t>
  </si>
  <si>
    <t>100</t>
  </si>
  <si>
    <t>69,1880</t>
  </si>
  <si>
    <t>82.5</t>
  </si>
  <si>
    <t>62,0900</t>
  </si>
  <si>
    <t>110+</t>
  </si>
  <si>
    <t>59,9265</t>
  </si>
  <si>
    <t>90</t>
  </si>
  <si>
    <t>49,7505</t>
  </si>
  <si>
    <t>3289,2600</t>
  </si>
  <si>
    <t>3900,0</t>
  </si>
  <si>
    <t>67.5</t>
  </si>
  <si>
    <t xml:space="preserve">Мастера 50 - 54 </t>
  </si>
  <si>
    <t>Масляков Сергей</t>
  </si>
  <si>
    <t xml:space="preserve">НАП Н.Ж. </t>
  </si>
  <si>
    <t xml:space="preserve">Мастера </t>
  </si>
  <si>
    <t>3962,1331</t>
  </si>
  <si>
    <t>5490,0</t>
  </si>
  <si>
    <t>Невзоров Алексей</t>
  </si>
  <si>
    <t xml:space="preserve">Новосельцев О.С. </t>
  </si>
  <si>
    <t>61,0</t>
  </si>
  <si>
    <t>90,0</t>
  </si>
  <si>
    <t xml:space="preserve">Усть-Лабинск/Краснодарский край </t>
  </si>
  <si>
    <t xml:space="preserve">Центр Тяжести </t>
  </si>
  <si>
    <t>89,00</t>
  </si>
  <si>
    <t>Открытая (10.11.2000)/20</t>
  </si>
  <si>
    <t>1. Невзоров Алексей</t>
  </si>
  <si>
    <t>39,0</t>
  </si>
  <si>
    <t xml:space="preserve">Староминская/Краснодарский край </t>
  </si>
  <si>
    <t xml:space="preserve">Старжим </t>
  </si>
  <si>
    <t>66,40</t>
  </si>
  <si>
    <t>Мастера 50 - 54 (14.03.1970)/50</t>
  </si>
  <si>
    <t>1. Масляков Сергей</t>
  </si>
  <si>
    <t>ВЕСОВАЯ КАТЕГОРИЯ   67.5</t>
  </si>
  <si>
    <t>Тоннаж</t>
  </si>
  <si>
    <t>Народная становая</t>
  </si>
  <si>
    <t>НАП Н.Ж.</t>
  </si>
  <si>
    <t>Кубок Силы 8 (Многоповт жим + тяга)
Любители народная становая тяга
Краснодар/Краснодарский край 18 - 22 декабря 2020 г.</t>
  </si>
  <si>
    <t>1550,2320</t>
  </si>
  <si>
    <t>2160,0</t>
  </si>
  <si>
    <t>Гилевич Руслан</t>
  </si>
  <si>
    <t>2121,5999</t>
  </si>
  <si>
    <t>2720,0</t>
  </si>
  <si>
    <t>Дейко Владислав</t>
  </si>
  <si>
    <t>24,0</t>
  </si>
  <si>
    <t xml:space="preserve">Краснодар/Краснодарский край </t>
  </si>
  <si>
    <t xml:space="preserve">Лайт Фит </t>
  </si>
  <si>
    <t>89,50</t>
  </si>
  <si>
    <t>Открытая (31.07.1992)/28</t>
  </si>
  <si>
    <t>1. Гилевич Руслан</t>
  </si>
  <si>
    <t>34,0</t>
  </si>
  <si>
    <t xml:space="preserve">Белореченск/Краснодарский край </t>
  </si>
  <si>
    <t xml:space="preserve">Химик </t>
  </si>
  <si>
    <t>80,00</t>
  </si>
  <si>
    <t>Открытая (23.09.1993)/27</t>
  </si>
  <si>
    <t>1. Дейко Владислав</t>
  </si>
  <si>
    <t>Народный жим</t>
  </si>
  <si>
    <t>Кубок Силы 8 (Многоповт жим + тяга)
Профессионалы народный жим (1 вес)
Краснодар/Краснодарский край 18 - 22 декабря 2020 г.</t>
  </si>
  <si>
    <t>523,6000</t>
  </si>
  <si>
    <t>595,0</t>
  </si>
  <si>
    <t>75</t>
  </si>
  <si>
    <t>Маташвили Наталья</t>
  </si>
  <si>
    <t>865,3920</t>
  </si>
  <si>
    <t>907,5</t>
  </si>
  <si>
    <t>52</t>
  </si>
  <si>
    <t>Севостьянова Анна</t>
  </si>
  <si>
    <t xml:space="preserve">Женщины </t>
  </si>
  <si>
    <t>17,0</t>
  </si>
  <si>
    <t>35,0</t>
  </si>
  <si>
    <t>70,00</t>
  </si>
  <si>
    <t>Открытая (13.01.1987)/33</t>
  </si>
  <si>
    <t>1. Маташвили Наталья</t>
  </si>
  <si>
    <t>ВЕСОВАЯ КАТЕГОРИЯ   75</t>
  </si>
  <si>
    <t>33,0</t>
  </si>
  <si>
    <t>27,5</t>
  </si>
  <si>
    <t>51,00</t>
  </si>
  <si>
    <t>Открытая (01.10.1995)/25</t>
  </si>
  <si>
    <t>1. Севостьянова Анна</t>
  </si>
  <si>
    <t>ВЕСОВАЯ КАТЕГОРИЯ   52</t>
  </si>
  <si>
    <t>Кубок Силы 8 (Многоповт жим + тяга)
Любители народный жим (1/2 вес)
Краснодар/Краснодарский край 18 - 22 декабря 2020 г.</t>
  </si>
  <si>
    <t>1299,5500</t>
  </si>
  <si>
    <t>1750,0</t>
  </si>
  <si>
    <t xml:space="preserve">Юниоры 20 - 23 </t>
  </si>
  <si>
    <t>Петреник Алексей</t>
  </si>
  <si>
    <t xml:space="preserve">Юниоры </t>
  </si>
  <si>
    <t>20,0</t>
  </si>
  <si>
    <t>87,5</t>
  </si>
  <si>
    <t>86,50</t>
  </si>
  <si>
    <t>Юниоры 20 - 23 (31.07.1999)/21</t>
  </si>
  <si>
    <t>1. Петреник Алексей</t>
  </si>
  <si>
    <t>Кубок Силы 8 (Многоповт жим + тяга)
Любители народный жим (1 вес)
Краснодар/Краснодарский край 18 - 22 декабря 2020 г.</t>
  </si>
  <si>
    <t>75,4337</t>
  </si>
  <si>
    <t xml:space="preserve">Юноши 16 - 17 </t>
  </si>
  <si>
    <t>Тхагалегов Индрис</t>
  </si>
  <si>
    <t xml:space="preserve">Сумма </t>
  </si>
  <si>
    <t xml:space="preserve">Юноши </t>
  </si>
  <si>
    <t xml:space="preserve">Губжев Б.Р. </t>
  </si>
  <si>
    <t>57,0</t>
  </si>
  <si>
    <t>55,0</t>
  </si>
  <si>
    <t>47,0</t>
  </si>
  <si>
    <t>50,0</t>
  </si>
  <si>
    <t xml:space="preserve">Нальчик/Кабардино-Балкария республика </t>
  </si>
  <si>
    <t xml:space="preserve">Легион г. Нальчик </t>
  </si>
  <si>
    <t>74,90</t>
  </si>
  <si>
    <t>Юноши 16 - 17 (16.08.2003)/17</t>
  </si>
  <si>
    <t>1. Тхагалегов Индрис</t>
  </si>
  <si>
    <t>Подъем на бицепс</t>
  </si>
  <si>
    <t>Жим стоя</t>
  </si>
  <si>
    <t>Кубок Силы 8 (Пауэрспорт)
Пауэрспорт Любители
Краснодар/Краснодарский край 18 - 22 декабря 2020 г.</t>
  </si>
  <si>
    <t>32,7360</t>
  </si>
  <si>
    <t>Прищепа Юрий</t>
  </si>
  <si>
    <t>35,8563</t>
  </si>
  <si>
    <t>62,5</t>
  </si>
  <si>
    <t>Ковтун Виталий</t>
  </si>
  <si>
    <t>36,7373</t>
  </si>
  <si>
    <t>57,5</t>
  </si>
  <si>
    <t>Бецуков Мурат</t>
  </si>
  <si>
    <t>23,1949</t>
  </si>
  <si>
    <t>42,0</t>
  </si>
  <si>
    <t>125</t>
  </si>
  <si>
    <t xml:space="preserve">Юноши 18 - 19 </t>
  </si>
  <si>
    <t>Кушчетеров Юрий</t>
  </si>
  <si>
    <t>30,0980</t>
  </si>
  <si>
    <t>45,0</t>
  </si>
  <si>
    <t>Карданов Инал</t>
  </si>
  <si>
    <t>30,8535</t>
  </si>
  <si>
    <t>Бабугоев Хажмурза</t>
  </si>
  <si>
    <t>33,5686</t>
  </si>
  <si>
    <t>60</t>
  </si>
  <si>
    <t xml:space="preserve">Юноши 14-15 </t>
  </si>
  <si>
    <t>Жабелов Артур</t>
  </si>
  <si>
    <t>39,5129</t>
  </si>
  <si>
    <t>125,00</t>
  </si>
  <si>
    <t>Юноши 18 - 19 (25.10.2002)/18</t>
  </si>
  <si>
    <t>1. Кушчетеров Юрий</t>
  </si>
  <si>
    <t>ВЕСОВАЯ КАТЕГОРИЯ   125</t>
  </si>
  <si>
    <t xml:space="preserve">Ковтун В. </t>
  </si>
  <si>
    <t>70,0</t>
  </si>
  <si>
    <t xml:space="preserve">Грецкий орех </t>
  </si>
  <si>
    <t>93,20</t>
  </si>
  <si>
    <t>Открытая (25.05.1989)/31</t>
  </si>
  <si>
    <t>1. Ковтун Виталий</t>
  </si>
  <si>
    <t xml:space="preserve">Приходько А. </t>
  </si>
  <si>
    <t>65,0</t>
  </si>
  <si>
    <t xml:space="preserve">Гулькевичи/Краснодарский край </t>
  </si>
  <si>
    <t xml:space="preserve">Спортлайф </t>
  </si>
  <si>
    <t>87,60</t>
  </si>
  <si>
    <t>Открытая (30.07.1985)/35</t>
  </si>
  <si>
    <t>1. Прищепа Юрий</t>
  </si>
  <si>
    <t xml:space="preserve">Ингушев Ч. </t>
  </si>
  <si>
    <t xml:space="preserve">Легион </t>
  </si>
  <si>
    <t>82,30</t>
  </si>
  <si>
    <t>Юниоры 20 - 23 (09.01.2000)/20</t>
  </si>
  <si>
    <t>1. Бецуков Мурат</t>
  </si>
  <si>
    <t>40,0</t>
  </si>
  <si>
    <t>82,50</t>
  </si>
  <si>
    <t>Юноши 18 - 19 (29.09.2002)/18</t>
  </si>
  <si>
    <t>1. Бабугоев Хажмурза</t>
  </si>
  <si>
    <t>47,5</t>
  </si>
  <si>
    <t xml:space="preserve">Нальчик/Кабардино-Балкария </t>
  </si>
  <si>
    <t>Юноши 16 - 17 (01.11.2003)/17</t>
  </si>
  <si>
    <t>1. Карданов Инал</t>
  </si>
  <si>
    <t>30,0</t>
  </si>
  <si>
    <t>60,00</t>
  </si>
  <si>
    <t>Юноши 14-15 (09.10.2005)/15</t>
  </si>
  <si>
    <t>1. Жабелов Артур</t>
  </si>
  <si>
    <t>ВЕСОВАЯ КАТЕГОРИЯ   60</t>
  </si>
  <si>
    <t>Кубок Силы 8 (Пауэрспорт)
Одиночный подъём штанги на бицепс Любители
Краснодар/Краснодарский край 18 - 22 декабря 2020 г.</t>
  </si>
  <si>
    <t>188,8700</t>
  </si>
  <si>
    <t>340,0</t>
  </si>
  <si>
    <t>Ахметов Руслан</t>
  </si>
  <si>
    <t>245,7650</t>
  </si>
  <si>
    <t>475,0</t>
  </si>
  <si>
    <t>140</t>
  </si>
  <si>
    <t>Новосельцев Олег</t>
  </si>
  <si>
    <t>290,0</t>
  </si>
  <si>
    <t>275,0</t>
  </si>
  <si>
    <t>200,0</t>
  </si>
  <si>
    <t>190,0</t>
  </si>
  <si>
    <t>175,0</t>
  </si>
  <si>
    <t>128,00</t>
  </si>
  <si>
    <t>Открытая (10.05.1985)/35</t>
  </si>
  <si>
    <t>1. Новосельцев Олег</t>
  </si>
  <si>
    <t>ВЕСОВАЯ КАТЕГОРИЯ   140</t>
  </si>
  <si>
    <t xml:space="preserve">Чугунов Е.Г. </t>
  </si>
  <si>
    <t>215,0</t>
  </si>
  <si>
    <t>140,0</t>
  </si>
  <si>
    <t>135,0</t>
  </si>
  <si>
    <t>130,0</t>
  </si>
  <si>
    <t>99,40</t>
  </si>
  <si>
    <t>Открытая (22.12.1982)/37</t>
  </si>
  <si>
    <t>1. Ахметов Руслан</t>
  </si>
  <si>
    <t>Становая тяга</t>
  </si>
  <si>
    <t>Жим лёжа</t>
  </si>
  <si>
    <t>Кубок Силы 8
Силовое двоеборье любители
Краснодар/Краснодарский край 18 - 22 декабря 2020 г.</t>
  </si>
  <si>
    <t>94,5523</t>
  </si>
  <si>
    <t>Намиток Кристина</t>
  </si>
  <si>
    <t xml:space="preserve">Талавасов А.Н. </t>
  </si>
  <si>
    <t>112,5</t>
  </si>
  <si>
    <t xml:space="preserve">Майкоп/Адыгея </t>
  </si>
  <si>
    <t xml:space="preserve">лично </t>
  </si>
  <si>
    <t>65,00</t>
  </si>
  <si>
    <t>Открытая (02.03.1986)/34</t>
  </si>
  <si>
    <t>1. Намиток Кристина</t>
  </si>
  <si>
    <t>Приседание</t>
  </si>
  <si>
    <t>Кубок Силы 8
Любители присед без экипировки
Краснодар/Краснодарский край 18 - 22 декабря 2020 г.</t>
  </si>
  <si>
    <t>227,9559</t>
  </si>
  <si>
    <t>250,0</t>
  </si>
  <si>
    <t xml:space="preserve">Мастера 60 - 64 </t>
  </si>
  <si>
    <t>Талавасов Анатолий</t>
  </si>
  <si>
    <t>93,6480</t>
  </si>
  <si>
    <t>160,0</t>
  </si>
  <si>
    <t>Мащенко Роман</t>
  </si>
  <si>
    <t>101,6640</t>
  </si>
  <si>
    <t>180,0</t>
  </si>
  <si>
    <t>Христов Николай</t>
  </si>
  <si>
    <t>129,2060</t>
  </si>
  <si>
    <t>220,0</t>
  </si>
  <si>
    <t>138,5750</t>
  </si>
  <si>
    <t>245,0</t>
  </si>
  <si>
    <t>240,0</t>
  </si>
  <si>
    <t xml:space="preserve">Тульский/Адыгея республика </t>
  </si>
  <si>
    <t xml:space="preserve">Антал </t>
  </si>
  <si>
    <t>99,90</t>
  </si>
  <si>
    <t>Мастера 60 - 64 (01.12.1960)/60</t>
  </si>
  <si>
    <t>1. Талавасов Анатолий</t>
  </si>
  <si>
    <t xml:space="preserve">Шкаликов М.Н. </t>
  </si>
  <si>
    <t>210,0</t>
  </si>
  <si>
    <t>Открытая (14.09.1988)/32</t>
  </si>
  <si>
    <t>2. Христов Николай</t>
  </si>
  <si>
    <t>Открытая (01.12.1960)/60</t>
  </si>
  <si>
    <t xml:space="preserve">Грибов А. </t>
  </si>
  <si>
    <t>170,0</t>
  </si>
  <si>
    <t>Открытая (29.10.1983)/37</t>
  </si>
  <si>
    <t>2. Мащенко Роман</t>
  </si>
  <si>
    <t>Кубок Силы 8
ПРО становая тяга без экипировки
Краснодар/Краснодарский край 18 - 22 декабря 2020 г.</t>
  </si>
  <si>
    <t>92,0393</t>
  </si>
  <si>
    <t>120,0</t>
  </si>
  <si>
    <t xml:space="preserve">Мастера 40 - 44 </t>
  </si>
  <si>
    <t>Позднякова Анна</t>
  </si>
  <si>
    <t>83,0100</t>
  </si>
  <si>
    <t>Майданюк Анжелика</t>
  </si>
  <si>
    <t>106,0965</t>
  </si>
  <si>
    <t>145,0</t>
  </si>
  <si>
    <t>Савёлов Дмитрий</t>
  </si>
  <si>
    <t>112,3800</t>
  </si>
  <si>
    <t>Смирнов Алексей</t>
  </si>
  <si>
    <t>117,9375</t>
  </si>
  <si>
    <t>187,5</t>
  </si>
  <si>
    <t>Покидько Дмитрий</t>
  </si>
  <si>
    <t>138,6960</t>
  </si>
  <si>
    <t>Иванов Николай</t>
  </si>
  <si>
    <t>149,8200</t>
  </si>
  <si>
    <t>110</t>
  </si>
  <si>
    <t>Катасонов Денис</t>
  </si>
  <si>
    <t>155,2200</t>
  </si>
  <si>
    <t>300,0</t>
  </si>
  <si>
    <t>92,1150</t>
  </si>
  <si>
    <t>Хиченко Владимир</t>
  </si>
  <si>
    <t>135,8287</t>
  </si>
  <si>
    <t>225,0</t>
  </si>
  <si>
    <t>87,7519</t>
  </si>
  <si>
    <t xml:space="preserve">Юноши 0-13 </t>
  </si>
  <si>
    <t>Смирнов Игорь</t>
  </si>
  <si>
    <t>74,4348</t>
  </si>
  <si>
    <t>92,5</t>
  </si>
  <si>
    <t>Романовская Юлия</t>
  </si>
  <si>
    <t>100,5875</t>
  </si>
  <si>
    <t>125,0</t>
  </si>
  <si>
    <t>102,6450</t>
  </si>
  <si>
    <t>56</t>
  </si>
  <si>
    <t>Жердева Галина</t>
  </si>
  <si>
    <t>116,2960</t>
  </si>
  <si>
    <t>Филобок Лана</t>
  </si>
  <si>
    <t>305,0</t>
  </si>
  <si>
    <t>285,0</t>
  </si>
  <si>
    <t>270,0</t>
  </si>
  <si>
    <t>260,0</t>
  </si>
  <si>
    <t>104,40</t>
  </si>
  <si>
    <t>Открытая (18.01.1980)/40</t>
  </si>
  <si>
    <t>1. Катасонов Денис</t>
  </si>
  <si>
    <t>ВЕСОВАЯ КАТЕГОРИЯ   110</t>
  </si>
  <si>
    <t xml:space="preserve">Микао М.А. </t>
  </si>
  <si>
    <t>165,0</t>
  </si>
  <si>
    <t>97,00</t>
  </si>
  <si>
    <t>Открытая (03.06.1982)/38</t>
  </si>
  <si>
    <t>2. Смирнов Алексей</t>
  </si>
  <si>
    <t xml:space="preserve">89180482271 </t>
  </si>
  <si>
    <t>235,0</t>
  </si>
  <si>
    <t>225,5</t>
  </si>
  <si>
    <t xml:space="preserve">Octagon fit </t>
  </si>
  <si>
    <t>92,00</t>
  </si>
  <si>
    <t>Открытая (07.12.1994)/26</t>
  </si>
  <si>
    <t>1. Иванов Николай</t>
  </si>
  <si>
    <t>89,80</t>
  </si>
  <si>
    <t>Юниоры 20 - 23 (10.11.2000)/20</t>
  </si>
  <si>
    <t>80,70</t>
  </si>
  <si>
    <t>Открытая (15.11.1987)/33</t>
  </si>
  <si>
    <t>1. Покидько Дмитрий</t>
  </si>
  <si>
    <t>132,5</t>
  </si>
  <si>
    <t>79,00</t>
  </si>
  <si>
    <t>Юниоры 20 - 23 (21.08.2000)/20</t>
  </si>
  <si>
    <t>1. Хиченко Владимир</t>
  </si>
  <si>
    <t xml:space="preserve">Латышев П. </t>
  </si>
  <si>
    <t xml:space="preserve">Кропоткин/Краснодарский край </t>
  </si>
  <si>
    <t xml:space="preserve">SPORT LIFE </t>
  </si>
  <si>
    <t>63,80</t>
  </si>
  <si>
    <t>Мастера 40 - 44 (22.09.1979)/41</t>
  </si>
  <si>
    <t>1. Позднякова Анна</t>
  </si>
  <si>
    <t>155,0</t>
  </si>
  <si>
    <t>66,90</t>
  </si>
  <si>
    <t>Открытая (21.11.1990)/30</t>
  </si>
  <si>
    <t>1. Савёлов Дмитрий</t>
  </si>
  <si>
    <t>61,50</t>
  </si>
  <si>
    <t>Юноши 0-13 (11.11.2007)/13</t>
  </si>
  <si>
    <t>1. Смирнов Игорь</t>
  </si>
  <si>
    <t>107,5</t>
  </si>
  <si>
    <t>58,80</t>
  </si>
  <si>
    <t>Открытая (26.10.1981)/39</t>
  </si>
  <si>
    <t>1. Майданюк Анжелика</t>
  </si>
  <si>
    <t xml:space="preserve">Котлярова Т.С. </t>
  </si>
  <si>
    <t>150,0</t>
  </si>
  <si>
    <t xml:space="preserve">Light fit </t>
  </si>
  <si>
    <t>74,30</t>
  </si>
  <si>
    <t>Открытая (03.01.1989)/31</t>
  </si>
  <si>
    <t>1. Филобок Лана</t>
  </si>
  <si>
    <t>Открытая (24.10.1986)/34</t>
  </si>
  <si>
    <t>2. Романовская Юлия</t>
  </si>
  <si>
    <t>56,00</t>
  </si>
  <si>
    <t>Открытая (12.12.1981)/39</t>
  </si>
  <si>
    <t>1. Жердева Галина</t>
  </si>
  <si>
    <t>ВЕСОВАЯ КАТЕГОРИЯ   56</t>
  </si>
  <si>
    <t>Кубок Силы 8
Любители становая тяга без экипировки
Краснодар/Краснодарский край 18 - 22 декабря 2020 г.</t>
  </si>
  <si>
    <t>148,3650</t>
  </si>
  <si>
    <t>Клименко Иван</t>
  </si>
  <si>
    <t xml:space="preserve">Иванов Н. </t>
  </si>
  <si>
    <t>255,0</t>
  </si>
  <si>
    <t xml:space="preserve">Новосибирск/Новосибирская область </t>
  </si>
  <si>
    <t xml:space="preserve">Новоспорт </t>
  </si>
  <si>
    <t>102,00</t>
  </si>
  <si>
    <t>Открытая (20.11.1980)/40</t>
  </si>
  <si>
    <t>1. Клименко Иван</t>
  </si>
  <si>
    <t>252,5</t>
  </si>
  <si>
    <t>-. Гилевич Руслан</t>
  </si>
  <si>
    <t>Кубок Силы 8
ПРО жим лежа в Софт экипировка многопетельная
Краснодар/Краснодарский край 18 - 22 декабря 2020 г.</t>
  </si>
  <si>
    <t>130,5886</t>
  </si>
  <si>
    <t>162,5</t>
  </si>
  <si>
    <t>Уваров Иван</t>
  </si>
  <si>
    <t xml:space="preserve">Ниязиев Э. </t>
  </si>
  <si>
    <t xml:space="preserve">Форма Фитнес </t>
  </si>
  <si>
    <t>72,20</t>
  </si>
  <si>
    <t>Мастера 50 - 54 (25.02.1970)/50</t>
  </si>
  <si>
    <t>1. Уваров Иван</t>
  </si>
  <si>
    <t>Кубок Силы 8
Любители жим лежа в Софт экипировка однопетельная
Краснодар/Краснодарский край 18 - 22 декабря 2020 г.</t>
  </si>
  <si>
    <t>121,0892</t>
  </si>
  <si>
    <t>230,0</t>
  </si>
  <si>
    <t>Водолажский Александр</t>
  </si>
  <si>
    <t>88,6060</t>
  </si>
  <si>
    <t>107,4610</t>
  </si>
  <si>
    <t>205,0</t>
  </si>
  <si>
    <t>Тозлиян Артур</t>
  </si>
  <si>
    <t>111,4120</t>
  </si>
  <si>
    <t>140+</t>
  </si>
  <si>
    <t>Соляник Олег</t>
  </si>
  <si>
    <t xml:space="preserve">Винокуров А. В. </t>
  </si>
  <si>
    <t xml:space="preserve">Волжский/Волгоградская область </t>
  </si>
  <si>
    <t xml:space="preserve">Vinokurov </t>
  </si>
  <si>
    <t>159,00</t>
  </si>
  <si>
    <t>Открытая (05.10.1990)/30</t>
  </si>
  <si>
    <t>1. Соляник Олег</t>
  </si>
  <si>
    <t>ВЕСОВАЯ КАТЕГОРИЯ   140+</t>
  </si>
  <si>
    <t xml:space="preserve">Жилтянко </t>
  </si>
  <si>
    <t>242,5</t>
  </si>
  <si>
    <t>237,5</t>
  </si>
  <si>
    <t xml:space="preserve">Феодосия/Крым республика </t>
  </si>
  <si>
    <t xml:space="preserve">Гриф-про </t>
  </si>
  <si>
    <t>122,00</t>
  </si>
  <si>
    <t>Мастера 40 - 44 (21.10.1979)/41</t>
  </si>
  <si>
    <t>1. Водолажский Александр</t>
  </si>
  <si>
    <t xml:space="preserve">Кондратьев В.М. </t>
  </si>
  <si>
    <t>185,0</t>
  </si>
  <si>
    <t xml:space="preserve">Горячий Ключ/Краснодарский край </t>
  </si>
  <si>
    <t xml:space="preserve">СК Здоровяк </t>
  </si>
  <si>
    <t>122,60</t>
  </si>
  <si>
    <t>Открытая (22.11.1996)/24</t>
  </si>
  <si>
    <t>1. Тозлиян Артур</t>
  </si>
  <si>
    <t>Кубок Силы 8
ПРО жим лежа без экипировки
Краснодар/Краснодарский край 18 - 22 декабря 2020 г.</t>
  </si>
  <si>
    <t>63,7464</t>
  </si>
  <si>
    <t>Илоян Давид</t>
  </si>
  <si>
    <t>81,2992</t>
  </si>
  <si>
    <t>Малов Николай</t>
  </si>
  <si>
    <t>87,2422</t>
  </si>
  <si>
    <t>Брянцев Николай</t>
  </si>
  <si>
    <t>91,9560</t>
  </si>
  <si>
    <t>Шацкий Алексей</t>
  </si>
  <si>
    <t>92,7432</t>
  </si>
  <si>
    <t xml:space="preserve">Мастера 45 - 49 </t>
  </si>
  <si>
    <t>Трудик Андрей</t>
  </si>
  <si>
    <t>95,3337</t>
  </si>
  <si>
    <t>Баранов Василий</t>
  </si>
  <si>
    <t>135,2141</t>
  </si>
  <si>
    <t>97,5</t>
  </si>
  <si>
    <t xml:space="preserve">Мастера 75 - 79 </t>
  </si>
  <si>
    <t>Дворкин Леонид</t>
  </si>
  <si>
    <t>86,7570</t>
  </si>
  <si>
    <t>90,5938</t>
  </si>
  <si>
    <t>Бовва Александр</t>
  </si>
  <si>
    <t>147,5</t>
  </si>
  <si>
    <t>Лянгузов Дмитрий</t>
  </si>
  <si>
    <t>94,2230</t>
  </si>
  <si>
    <t>Братко Валерий</t>
  </si>
  <si>
    <t>97,2345</t>
  </si>
  <si>
    <t>Апазаов Шамиль</t>
  </si>
  <si>
    <t>108,1600</t>
  </si>
  <si>
    <t>Носков Павел</t>
  </si>
  <si>
    <t>121,3227</t>
  </si>
  <si>
    <t>207,0</t>
  </si>
  <si>
    <t>Клименко Сергей</t>
  </si>
  <si>
    <t>69,9625</t>
  </si>
  <si>
    <t>Кожемякин Егор</t>
  </si>
  <si>
    <t>55,6686</t>
  </si>
  <si>
    <t>75,0</t>
  </si>
  <si>
    <t>Холявка Роман</t>
  </si>
  <si>
    <t>77,4735</t>
  </si>
  <si>
    <t>Лойко Артем</t>
  </si>
  <si>
    <t>91,3758</t>
  </si>
  <si>
    <t>Солончак Олег</t>
  </si>
  <si>
    <t>29,3675</t>
  </si>
  <si>
    <t>44</t>
  </si>
  <si>
    <t>Фирсанова Софья</t>
  </si>
  <si>
    <t xml:space="preserve">Девушки </t>
  </si>
  <si>
    <t>167,5</t>
  </si>
  <si>
    <t>121,20</t>
  </si>
  <si>
    <t>Мастера 45 - 49 (16.01.1974)/46</t>
  </si>
  <si>
    <t>1. Трудик Андрей</t>
  </si>
  <si>
    <t>Открытая (16.01.1974)/46</t>
  </si>
  <si>
    <t xml:space="preserve">Космынин В. </t>
  </si>
  <si>
    <t xml:space="preserve">Spot-Leif </t>
  </si>
  <si>
    <t>107,10</t>
  </si>
  <si>
    <t>Мастера 40 - 44 (29.06.1978)/42</t>
  </si>
  <si>
    <t>2. Брянцев Николай</t>
  </si>
  <si>
    <t>107,80</t>
  </si>
  <si>
    <t>Мастера 40 - 44 (05.06.1979)/41</t>
  </si>
  <si>
    <t>1. Шацкий Алексей</t>
  </si>
  <si>
    <t xml:space="preserve">Мфитнес </t>
  </si>
  <si>
    <t>106,80</t>
  </si>
  <si>
    <t>Открытая (03.04.1993)/27</t>
  </si>
  <si>
    <t>1. Носков Павел</t>
  </si>
  <si>
    <t xml:space="preserve">Аэрожим </t>
  </si>
  <si>
    <t>98,60</t>
  </si>
  <si>
    <t>Открытая (21.05.1982)/38</t>
  </si>
  <si>
    <t>1. Бовва Александр</t>
  </si>
  <si>
    <t xml:space="preserve">Дейко В. С. </t>
  </si>
  <si>
    <t>97,80</t>
  </si>
  <si>
    <t>Юниоры 20 - 23 (23.09.1997)/23</t>
  </si>
  <si>
    <t>1. Кожемякин Егор</t>
  </si>
  <si>
    <t xml:space="preserve">Петренко Э. </t>
  </si>
  <si>
    <t xml:space="preserve">Новороссийск/Краснодарский край </t>
  </si>
  <si>
    <t>89,40</t>
  </si>
  <si>
    <t>Мастера 40 - 44 (27.09.1978)/42</t>
  </si>
  <si>
    <t>2. Илоян Давид</t>
  </si>
  <si>
    <t>Мастера 40 - 44 (05.12.1977)/43</t>
  </si>
  <si>
    <t>1. Баранов Василий</t>
  </si>
  <si>
    <t xml:space="preserve">Коптев С. </t>
  </si>
  <si>
    <t>177,5</t>
  </si>
  <si>
    <t xml:space="preserve">Майкоп/Адыгея республика </t>
  </si>
  <si>
    <t xml:space="preserve">Спарта </t>
  </si>
  <si>
    <t>Открытая (23.05.1994)/26</t>
  </si>
  <si>
    <t>2. Апазаов Шамиль</t>
  </si>
  <si>
    <t xml:space="preserve">Колаян Г.В. </t>
  </si>
  <si>
    <t>206,0</t>
  </si>
  <si>
    <t xml:space="preserve">FTZ </t>
  </si>
  <si>
    <t>Открытая (01.09.1989)/31</t>
  </si>
  <si>
    <t>1. Клименко Сергей</t>
  </si>
  <si>
    <t xml:space="preserve">Шеховцов А. </t>
  </si>
  <si>
    <t>137,5</t>
  </si>
  <si>
    <t xml:space="preserve">Славянск-на-Кубани/Краснодарский край </t>
  </si>
  <si>
    <t xml:space="preserve">Феникс </t>
  </si>
  <si>
    <t>82,40</t>
  </si>
  <si>
    <t>Мастера 40 - 44 (22.12.1977)/42</t>
  </si>
  <si>
    <t>1. Малов Николай</t>
  </si>
  <si>
    <t xml:space="preserve">Читаия Анатолия </t>
  </si>
  <si>
    <t xml:space="preserve">СК Арена </t>
  </si>
  <si>
    <t>81,80</t>
  </si>
  <si>
    <t>Открытая (14.12.1993)/27</t>
  </si>
  <si>
    <t>-. Акопян Артур</t>
  </si>
  <si>
    <t xml:space="preserve">Гарагаш Р. А. </t>
  </si>
  <si>
    <t>79,40</t>
  </si>
  <si>
    <t>Открытая (22.10.1993)/27</t>
  </si>
  <si>
    <t>-. Скляров Константин</t>
  </si>
  <si>
    <t xml:space="preserve">Рек А. </t>
  </si>
  <si>
    <t>152,5</t>
  </si>
  <si>
    <t xml:space="preserve">Геленджик/Краснодарский край </t>
  </si>
  <si>
    <t xml:space="preserve">Gelendgym </t>
  </si>
  <si>
    <t>82,00</t>
  </si>
  <si>
    <t>Открытая (15.11.1988)/32</t>
  </si>
  <si>
    <t>142,5</t>
  </si>
  <si>
    <t>Открытая (07.01.1985)/35</t>
  </si>
  <si>
    <t xml:space="preserve">Авраменко О. </t>
  </si>
  <si>
    <t>102,5</t>
  </si>
  <si>
    <t xml:space="preserve">Проф-фитнес </t>
  </si>
  <si>
    <t>75,00</t>
  </si>
  <si>
    <t>Мастера 75 - 79 (23.01.1941)/79</t>
  </si>
  <si>
    <t>1. Дворкин Леонид</t>
  </si>
  <si>
    <t>82,5</t>
  </si>
  <si>
    <t xml:space="preserve">Good-Gym </t>
  </si>
  <si>
    <t>68,80</t>
  </si>
  <si>
    <t>Юноши 18 - 19 (02.11.2001)/19</t>
  </si>
  <si>
    <t>1. Холявка Роман</t>
  </si>
  <si>
    <t xml:space="preserve">Лойко И. Н. </t>
  </si>
  <si>
    <t>74,60</t>
  </si>
  <si>
    <t>Юноши 16 - 17 (08.04.2003)/17</t>
  </si>
  <si>
    <t>2. Лойко Артем</t>
  </si>
  <si>
    <t>71,80</t>
  </si>
  <si>
    <t>Юноши 16 - 17 (31.12.2003)/16</t>
  </si>
  <si>
    <t>1. Солончак Олег</t>
  </si>
  <si>
    <t>22,5</t>
  </si>
  <si>
    <t>31,20</t>
  </si>
  <si>
    <t>Девушки 0-13 (26.02.2010)/10</t>
  </si>
  <si>
    <t>1. Фирсанова Софья</t>
  </si>
  <si>
    <t>ВЕСОВАЯ КАТЕГОРИЯ   44</t>
  </si>
  <si>
    <t>Кубок Силы 8
Любители жим лежа без экипировки
Краснодар/Краснодарский край 18 - 22 декабря 2020 г.</t>
  </si>
  <si>
    <t>339,0295</t>
  </si>
  <si>
    <t>565,0</t>
  </si>
  <si>
    <t>Строганов Денис</t>
  </si>
  <si>
    <t>376,1217</t>
  </si>
  <si>
    <t>672,5</t>
  </si>
  <si>
    <t>Ухоботов Владимир</t>
  </si>
  <si>
    <t>239,4380</t>
  </si>
  <si>
    <t>380,0</t>
  </si>
  <si>
    <t>Аксёненко Ростислав</t>
  </si>
  <si>
    <t>325,4055</t>
  </si>
  <si>
    <t>Дороничев Сергей</t>
  </si>
  <si>
    <t>365,9585</t>
  </si>
  <si>
    <t>602,5</t>
  </si>
  <si>
    <t>Корсунов Илья</t>
  </si>
  <si>
    <t>366,5402</t>
  </si>
  <si>
    <t>692,5</t>
  </si>
  <si>
    <t>Проскурин Вячеслав</t>
  </si>
  <si>
    <t>372,7668</t>
  </si>
  <si>
    <t>272,5</t>
  </si>
  <si>
    <t>117,40</t>
  </si>
  <si>
    <t>Открытая (04.10.1983)/37</t>
  </si>
  <si>
    <t>1. Проскурин Вячеслав</t>
  </si>
  <si>
    <t xml:space="preserve">Крят И. </t>
  </si>
  <si>
    <t xml:space="preserve">Тимашёвск/Краснодарский край </t>
  </si>
  <si>
    <t>103,30</t>
  </si>
  <si>
    <t>Открытая (06.11.1982)/38</t>
  </si>
  <si>
    <t>1. Дороничев Сергей</t>
  </si>
  <si>
    <t>280,0</t>
  </si>
  <si>
    <t>172,5</t>
  </si>
  <si>
    <t xml:space="preserve">Светогор - про </t>
  </si>
  <si>
    <t>Мастера 40 - 44 (18.06.1978)/42</t>
  </si>
  <si>
    <t>1. Ухоботов Владимир</t>
  </si>
  <si>
    <t>Открытая (18.06.1978)/42</t>
  </si>
  <si>
    <t>157,5</t>
  </si>
  <si>
    <t>195,0</t>
  </si>
  <si>
    <t xml:space="preserve">Абинск/Краснодарский край </t>
  </si>
  <si>
    <t>87,70</t>
  </si>
  <si>
    <t>Мастера 40 - 44 (19.09.1978)/42</t>
  </si>
  <si>
    <t>1. Строганов Денис</t>
  </si>
  <si>
    <t>232,5</t>
  </si>
  <si>
    <t>84,90</t>
  </si>
  <si>
    <t>Открытая (27.06.1990)/30</t>
  </si>
  <si>
    <t>1. Корсунов Илья</t>
  </si>
  <si>
    <t>80,50</t>
  </si>
  <si>
    <t>Открытая (23.08.1990)/30</t>
  </si>
  <si>
    <t>1. Аксёненко Ростислав</t>
  </si>
  <si>
    <t>Кубок Силы 8
ПРО пауэрлифтинг без экипировки
Краснодар/Краснодарский край 18 - 22 декабря 2020 г.</t>
  </si>
  <si>
    <t>297,9151</t>
  </si>
  <si>
    <t>447,5</t>
  </si>
  <si>
    <t>Шпаковский Андрей</t>
  </si>
  <si>
    <t>334,7001</t>
  </si>
  <si>
    <t>615,0</t>
  </si>
  <si>
    <t>Барсуков Юрий</t>
  </si>
  <si>
    <t>346,8807</t>
  </si>
  <si>
    <t>Дедик Павел</t>
  </si>
  <si>
    <t>348,6720</t>
  </si>
  <si>
    <t>640,0</t>
  </si>
  <si>
    <t>247,8420</t>
  </si>
  <si>
    <t>420,0</t>
  </si>
  <si>
    <t>Гузенков Денис</t>
  </si>
  <si>
    <t>296,6850</t>
  </si>
  <si>
    <t>Минясаров Руслан</t>
  </si>
  <si>
    <t>316,4940</t>
  </si>
  <si>
    <t>540,0</t>
  </si>
  <si>
    <t>317,1650</t>
  </si>
  <si>
    <t>572,5</t>
  </si>
  <si>
    <t>Журавлев Алексей</t>
  </si>
  <si>
    <t>320,0060</t>
  </si>
  <si>
    <t>610,0</t>
  </si>
  <si>
    <t>Бесчасный Денис</t>
  </si>
  <si>
    <t>343,0472</t>
  </si>
  <si>
    <t>552,5</t>
  </si>
  <si>
    <t>Козлов Александр</t>
  </si>
  <si>
    <t>382,8760</t>
  </si>
  <si>
    <t>740,0</t>
  </si>
  <si>
    <t>172,5813</t>
  </si>
  <si>
    <t>312,5</t>
  </si>
  <si>
    <t>197,3090</t>
  </si>
  <si>
    <t>295,0</t>
  </si>
  <si>
    <t>227,7872</t>
  </si>
  <si>
    <t>233,6591</t>
  </si>
  <si>
    <t>Гривастов Глеб</t>
  </si>
  <si>
    <t>237,9660</t>
  </si>
  <si>
    <t>362,5</t>
  </si>
  <si>
    <t>254,3404</t>
  </si>
  <si>
    <t>425,0</t>
  </si>
  <si>
    <t>Никишин Олег</t>
  </si>
  <si>
    <t>162,9518</t>
  </si>
  <si>
    <t>202,5</t>
  </si>
  <si>
    <t>163,0667</t>
  </si>
  <si>
    <t>205,9869</t>
  </si>
  <si>
    <t>212,5</t>
  </si>
  <si>
    <t>209,1513</t>
  </si>
  <si>
    <t>265,0</t>
  </si>
  <si>
    <t>Шпаковская Галина</t>
  </si>
  <si>
    <t>122,30</t>
  </si>
  <si>
    <t>Открытая (11.03.1988)/32</t>
  </si>
  <si>
    <t>1. Бесчасный Денис</t>
  </si>
  <si>
    <t>117,00</t>
  </si>
  <si>
    <t>Юноши 16 - 17 (07.05.2004)/16</t>
  </si>
  <si>
    <t>1. Никишин Олег</t>
  </si>
  <si>
    <t>207,5</t>
  </si>
  <si>
    <t xml:space="preserve">Идеал </t>
  </si>
  <si>
    <t>108,60</t>
  </si>
  <si>
    <t>Мастера 45 - 49 (04.05.1975)/45</t>
  </si>
  <si>
    <t>1. Дедик Павел</t>
  </si>
  <si>
    <t xml:space="preserve">Лянгузов Д.Н. </t>
  </si>
  <si>
    <t>262,5</t>
  </si>
  <si>
    <t>127,5</t>
  </si>
  <si>
    <t>105,70</t>
  </si>
  <si>
    <t>Мастера 40 - 44 (15.12.1979)/41</t>
  </si>
  <si>
    <t>2. Барсуков Юрий</t>
  </si>
  <si>
    <t>Мастера 40 - 44 (18.01.1980)/40</t>
  </si>
  <si>
    <t>100,00</t>
  </si>
  <si>
    <t>Открытая (16.08.1989)/31</t>
  </si>
  <si>
    <t>1. Журавлев Алексей</t>
  </si>
  <si>
    <t>87,40</t>
  </si>
  <si>
    <t>Мастера 45 - 49 (09.05.1972)/48</t>
  </si>
  <si>
    <t>1. Шпаковский Андрей</t>
  </si>
  <si>
    <t>88,80</t>
  </si>
  <si>
    <t>Открытая (29.07.1982)/38</t>
  </si>
  <si>
    <t>2. Гузенков Денис</t>
  </si>
  <si>
    <t>3. Лянгузов Дмитрий</t>
  </si>
  <si>
    <t>81,50</t>
  </si>
  <si>
    <t>Открытая (17.01.1991)/29</t>
  </si>
  <si>
    <t>2. Минясаров Руслан</t>
  </si>
  <si>
    <t>192,5</t>
  </si>
  <si>
    <t>Открытая (01.07.1983)/37</t>
  </si>
  <si>
    <t>1. Козлов Александр</t>
  </si>
  <si>
    <t>72,5</t>
  </si>
  <si>
    <t>61,30</t>
  </si>
  <si>
    <t>Юноши 16 - 17 (25.10.2004)/16</t>
  </si>
  <si>
    <t>1. Гривастов Глеб</t>
  </si>
  <si>
    <t>60,0</t>
  </si>
  <si>
    <t>42,5</t>
  </si>
  <si>
    <t>37,5</t>
  </si>
  <si>
    <t>52,5</t>
  </si>
  <si>
    <t>66,50</t>
  </si>
  <si>
    <t>Открытая (21.10.1986)/34</t>
  </si>
  <si>
    <t>1. Шпаковская Галина</t>
  </si>
  <si>
    <t>52,00</t>
  </si>
  <si>
    <t>Кубок Силы 8
Любители пауэрлифтинг без экипировки
Краснодар/Краснодарский край 18 - 22 декабря 2020 г.</t>
  </si>
  <si>
    <t>343,4165</t>
  </si>
  <si>
    <t>655,0</t>
  </si>
  <si>
    <t>Ремнёв Василий</t>
  </si>
  <si>
    <t>197,5</t>
  </si>
  <si>
    <t>122,50</t>
  </si>
  <si>
    <t>Открытая (19.09.1978)/42</t>
  </si>
  <si>
    <t>1. Ремнёв Василий</t>
  </si>
  <si>
    <t>Кубок Силы 8
Любители пауэрлифтинг в однопетельной софт экипировке
Краснодар/Краснодарский край 18 - 22 декабря 2020 г.</t>
  </si>
  <si>
    <t>517,9900</t>
  </si>
  <si>
    <t>935,0</t>
  </si>
  <si>
    <t>Митрофанов Павел</t>
  </si>
  <si>
    <t>320,0</t>
  </si>
  <si>
    <t>365,0</t>
  </si>
  <si>
    <t>Открытая (12.08.1983)/37</t>
  </si>
  <si>
    <t>1. Митрофанов Павел</t>
  </si>
  <si>
    <t>Кубок Силы 8
ПРО пауэрлифтинг в многослойной экипировке
Краснодар/Краснодарский край 18 - 22 декабря 2020 г.</t>
  </si>
  <si>
    <t>18,5774</t>
  </si>
  <si>
    <t>All</t>
  </si>
  <si>
    <t>Приходько Александр</t>
  </si>
  <si>
    <t xml:space="preserve">Атлетизм </t>
  </si>
  <si>
    <t>94,20</t>
  </si>
  <si>
    <t>Открытая (26.11.1989)/31</t>
  </si>
  <si>
    <t>1. Приходько Александр</t>
  </si>
  <si>
    <t>ВЕСОВАЯ КАТЕГОРИЯ   All</t>
  </si>
  <si>
    <t>Русская становая</t>
  </si>
  <si>
    <t>Атлетизм</t>
  </si>
  <si>
    <t>Кубок силы 8 (Русский жим)
Русская станова тяга профессионалы 150 кг.
Краснодар/Краснодарский край 18 - 22 декабря 2020 г.</t>
  </si>
  <si>
    <t>31,7796</t>
  </si>
  <si>
    <t>3000,0</t>
  </si>
  <si>
    <t>Шевченко Денис</t>
  </si>
  <si>
    <t>94,40</t>
  </si>
  <si>
    <t>Открытая (07.07.1989)/31</t>
  </si>
  <si>
    <t>1. Шевченко Денис</t>
  </si>
  <si>
    <t>Кубок силы 8 (Русский жим)
Русская станова тяга любители 150 кг.
Краснодар/Краснодарский край 18 - 22 декабря 2020 г.</t>
  </si>
  <si>
    <t>19,0243</t>
  </si>
  <si>
    <t>1560,0</t>
  </si>
  <si>
    <t>Руденко Елена</t>
  </si>
  <si>
    <t xml:space="preserve">Котов П.А. </t>
  </si>
  <si>
    <t>52,0</t>
  </si>
  <si>
    <t>Мастера 50 - 54 (19.05.1970)/50</t>
  </si>
  <si>
    <t>1. Руденко Елена</t>
  </si>
  <si>
    <t>Кубок силы 8 (Русский жим)
Русская станова тяга профессионалы 100 кг.
Краснодар/Краснодарский край 18 - 22 декабря 2020 г.</t>
  </si>
  <si>
    <t>79,8192</t>
  </si>
  <si>
    <t>5300,0</t>
  </si>
  <si>
    <t>75,6756</t>
  </si>
  <si>
    <t>5600,0</t>
  </si>
  <si>
    <t>Максимов Андрей</t>
  </si>
  <si>
    <t>51,0328</t>
  </si>
  <si>
    <t>4200,0</t>
  </si>
  <si>
    <t>53,0</t>
  </si>
  <si>
    <t>56,0</t>
  </si>
  <si>
    <t>74,00</t>
  </si>
  <si>
    <t>Открытая (12.12.1992)/28</t>
  </si>
  <si>
    <t>1. Максимов Андрей</t>
  </si>
  <si>
    <t>Кубок силы 8 (Русский жим)
Русская станова тяга любители 100 кг.
Краснодар/Краснодарский край 18 - 22 декабря 2020 г.</t>
  </si>
  <si>
    <t>34,9624</t>
  </si>
  <si>
    <t>2325,0</t>
  </si>
  <si>
    <t>Урвачева Инна</t>
  </si>
  <si>
    <t xml:space="preserve">Евгений </t>
  </si>
  <si>
    <t>31,0</t>
  </si>
  <si>
    <t xml:space="preserve">Самсон </t>
  </si>
  <si>
    <t>Открытая (17.11.1983)/37</t>
  </si>
  <si>
    <t>1. Урвачева Инна</t>
  </si>
  <si>
    <t>Кубок силы 8 (Русский жим)
Русская станова тяга любители 75 кг.
Краснодар/Краснодарский край 18 - 22 декабря 2020 г.</t>
  </si>
  <si>
    <t>43,3779</t>
  </si>
  <si>
    <t>2915,0</t>
  </si>
  <si>
    <t>Забуцкая Ольга</t>
  </si>
  <si>
    <t>67,20</t>
  </si>
  <si>
    <t>Открытая (05.09.1982)/38</t>
  </si>
  <si>
    <t>1. Забуцкая Ольга</t>
  </si>
  <si>
    <t>Кубок силы 8 (Русский жим)
Русская станова тяга любители 55 кг.
Краснодар/Краснодарский край 18 - 22 декабря 2020 г.</t>
  </si>
  <si>
    <t>42,7494</t>
  </si>
  <si>
    <t>3685,0</t>
  </si>
  <si>
    <t>Бараков Рустам</t>
  </si>
  <si>
    <t>30,9375</t>
  </si>
  <si>
    <t>2475,0</t>
  </si>
  <si>
    <t>67,0</t>
  </si>
  <si>
    <t>86,20</t>
  </si>
  <si>
    <t>Мастера 40 - 44 (04.10.1977)/43</t>
  </si>
  <si>
    <t>1. Бараков Рустам</t>
  </si>
  <si>
    <t>2. Дейко Владислав</t>
  </si>
  <si>
    <t>Открытая (04.10.1977)/43</t>
  </si>
  <si>
    <t>Русский жим</t>
  </si>
  <si>
    <t>Кубок силы 8 (Русский жим)
Русский жим профессионалы 55 кг.
Краснодар/Краснодарский край 18 - 22 декабря 2020 г.</t>
  </si>
  <si>
    <t>172,5773</t>
  </si>
  <si>
    <t>277,5</t>
  </si>
  <si>
    <t>94,8398</t>
  </si>
  <si>
    <t>2. Братко Валерий</t>
  </si>
  <si>
    <t>1. Лянгузов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</si>
</sst>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49" fontId="7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7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7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425781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7.5703125" style="2" bestFit="1" customWidth="1"/>
    <col min="13" max="13" width="9.140625" style="4" bestFit="1" customWidth="1"/>
    <col min="14" max="16384" width="9.140625" style="3"/>
  </cols>
  <sheetData>
    <row r="1" spans="1:13" s="2" customFormat="1" ht="29.1" customHeight="1" x14ac:dyDescent="0.2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20</v>
      </c>
      <c r="H3" s="50"/>
      <c r="I3" s="50"/>
      <c r="J3" s="50"/>
      <c r="K3" s="50" t="s">
        <v>17</v>
      </c>
      <c r="L3" s="50" t="s">
        <v>3</v>
      </c>
      <c r="M3" s="36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5">
        <v>1</v>
      </c>
      <c r="H4" s="5">
        <v>2</v>
      </c>
      <c r="I4" s="5">
        <v>3</v>
      </c>
      <c r="J4" s="5" t="s">
        <v>5</v>
      </c>
      <c r="K4" s="49"/>
      <c r="L4" s="49"/>
      <c r="M4" s="37"/>
    </row>
    <row r="5" spans="1:13" ht="15" x14ac:dyDescent="0.2">
      <c r="A5" s="38" t="s">
        <v>21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10" t="s">
        <v>23</v>
      </c>
      <c r="B6" s="10" t="s">
        <v>24</v>
      </c>
      <c r="C6" s="10" t="s">
        <v>25</v>
      </c>
      <c r="D6" s="10" t="str">
        <f>"0,6209"</f>
        <v>0,6209</v>
      </c>
      <c r="E6" s="10" t="s">
        <v>26</v>
      </c>
      <c r="F6" s="10" t="s">
        <v>27</v>
      </c>
      <c r="G6" s="12" t="s">
        <v>28</v>
      </c>
      <c r="H6" s="12" t="s">
        <v>29</v>
      </c>
      <c r="I6" s="12" t="s">
        <v>30</v>
      </c>
      <c r="J6" s="11"/>
      <c r="K6" s="13" t="str">
        <f>"100,0"</f>
        <v>100,0</v>
      </c>
      <c r="L6" s="14" t="str">
        <f>"62,0900"</f>
        <v>62,0900</v>
      </c>
      <c r="M6" s="10" t="s">
        <v>31</v>
      </c>
    </row>
    <row r="8" spans="1:13" ht="15" x14ac:dyDescent="0.2">
      <c r="A8" s="51" t="s">
        <v>32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10" t="s">
        <v>34</v>
      </c>
      <c r="B9" s="10" t="s">
        <v>35</v>
      </c>
      <c r="C9" s="10" t="s">
        <v>36</v>
      </c>
      <c r="D9" s="10" t="str">
        <f>"0,5853"</f>
        <v>0,5853</v>
      </c>
      <c r="E9" s="10" t="s">
        <v>26</v>
      </c>
      <c r="F9" s="10" t="s">
        <v>27</v>
      </c>
      <c r="G9" s="12" t="s">
        <v>37</v>
      </c>
      <c r="H9" s="11" t="s">
        <v>28</v>
      </c>
      <c r="I9" s="12" t="s">
        <v>28</v>
      </c>
      <c r="J9" s="11"/>
      <c r="K9" s="13" t="str">
        <f>"85,0"</f>
        <v>85,0</v>
      </c>
      <c r="L9" s="14" t="str">
        <f>"49,7505"</f>
        <v>49,7505</v>
      </c>
      <c r="M9" s="10" t="s">
        <v>31</v>
      </c>
    </row>
    <row r="11" spans="1:13" ht="15" x14ac:dyDescent="0.2">
      <c r="A11" s="51" t="s">
        <v>38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 x14ac:dyDescent="0.2">
      <c r="A12" s="10" t="s">
        <v>40</v>
      </c>
      <c r="B12" s="10" t="s">
        <v>41</v>
      </c>
      <c r="C12" s="10" t="s">
        <v>42</v>
      </c>
      <c r="D12" s="10" t="str">
        <f>"0,5648"</f>
        <v>0,5648</v>
      </c>
      <c r="E12" s="10" t="s">
        <v>26</v>
      </c>
      <c r="F12" s="10" t="s">
        <v>27</v>
      </c>
      <c r="G12" s="12" t="s">
        <v>43</v>
      </c>
      <c r="H12" s="12" t="s">
        <v>44</v>
      </c>
      <c r="I12" s="12" t="s">
        <v>45</v>
      </c>
      <c r="J12" s="11"/>
      <c r="K12" s="13" t="str">
        <f>"122,5"</f>
        <v>122,5</v>
      </c>
      <c r="L12" s="14" t="str">
        <f>"69,1880"</f>
        <v>69,1880</v>
      </c>
      <c r="M12" s="10" t="s">
        <v>31</v>
      </c>
    </row>
    <row r="14" spans="1:13" ht="15" x14ac:dyDescent="0.2">
      <c r="A14" s="51" t="s">
        <v>46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 x14ac:dyDescent="0.2">
      <c r="A15" s="10" t="s">
        <v>48</v>
      </c>
      <c r="B15" s="10" t="s">
        <v>49</v>
      </c>
      <c r="C15" s="10" t="s">
        <v>50</v>
      </c>
      <c r="D15" s="10" t="str">
        <f>"0,5211"</f>
        <v>0,5211</v>
      </c>
      <c r="E15" s="10" t="s">
        <v>26</v>
      </c>
      <c r="F15" s="10" t="s">
        <v>27</v>
      </c>
      <c r="G15" s="11" t="s">
        <v>51</v>
      </c>
      <c r="H15" s="12" t="s">
        <v>51</v>
      </c>
      <c r="I15" s="12" t="s">
        <v>52</v>
      </c>
      <c r="J15" s="11"/>
      <c r="K15" s="13" t="str">
        <f>"115,0"</f>
        <v>115,0</v>
      </c>
      <c r="L15" s="14" t="str">
        <f>"59,9265"</f>
        <v>59,9265</v>
      </c>
      <c r="M15" s="10" t="s">
        <v>53</v>
      </c>
    </row>
    <row r="17" spans="1:5" ht="15" x14ac:dyDescent="0.2">
      <c r="E17" s="7" t="s">
        <v>11</v>
      </c>
    </row>
    <row r="18" spans="1:5" ht="15" x14ac:dyDescent="0.2">
      <c r="E18" s="7" t="s">
        <v>12</v>
      </c>
    </row>
    <row r="19" spans="1:5" ht="15" x14ac:dyDescent="0.2">
      <c r="E19" s="7" t="s">
        <v>13</v>
      </c>
    </row>
    <row r="20" spans="1:5" ht="15" x14ac:dyDescent="0.2">
      <c r="E20" s="7" t="s">
        <v>14</v>
      </c>
    </row>
    <row r="21" spans="1:5" ht="15" x14ac:dyDescent="0.2">
      <c r="E21" s="7" t="s">
        <v>14</v>
      </c>
    </row>
    <row r="22" spans="1:5" ht="15" x14ac:dyDescent="0.2">
      <c r="E22" s="7" t="s">
        <v>15</v>
      </c>
    </row>
    <row r="23" spans="1:5" ht="15" x14ac:dyDescent="0.2">
      <c r="E23" s="7"/>
    </row>
    <row r="25" spans="1:5" ht="18" x14ac:dyDescent="0.25">
      <c r="A25" s="9" t="s">
        <v>16</v>
      </c>
      <c r="B25" s="9"/>
    </row>
    <row r="26" spans="1:5" ht="15" x14ac:dyDescent="0.2">
      <c r="A26" s="15" t="s">
        <v>54</v>
      </c>
      <c r="B26" s="15"/>
    </row>
    <row r="27" spans="1:5" ht="14.25" x14ac:dyDescent="0.2">
      <c r="A27" s="17"/>
      <c r="B27" s="18" t="s">
        <v>55</v>
      </c>
    </row>
    <row r="28" spans="1:5" ht="15" x14ac:dyDescent="0.2">
      <c r="A28" s="19" t="s">
        <v>56</v>
      </c>
      <c r="B28" s="19" t="s">
        <v>57</v>
      </c>
      <c r="C28" s="19" t="s">
        <v>58</v>
      </c>
      <c r="D28" s="19" t="s">
        <v>59</v>
      </c>
      <c r="E28" s="19" t="s">
        <v>60</v>
      </c>
    </row>
    <row r="29" spans="1:5" x14ac:dyDescent="0.2">
      <c r="A29" s="16" t="s">
        <v>39</v>
      </c>
      <c r="B29" s="4" t="s">
        <v>55</v>
      </c>
      <c r="C29" s="4" t="s">
        <v>61</v>
      </c>
      <c r="D29" s="4" t="s">
        <v>45</v>
      </c>
      <c r="E29" s="8" t="s">
        <v>62</v>
      </c>
    </row>
    <row r="30" spans="1:5" x14ac:dyDescent="0.2">
      <c r="A30" s="16" t="s">
        <v>22</v>
      </c>
      <c r="B30" s="4" t="s">
        <v>55</v>
      </c>
      <c r="C30" s="4" t="s">
        <v>63</v>
      </c>
      <c r="D30" s="4" t="s">
        <v>30</v>
      </c>
      <c r="E30" s="8" t="s">
        <v>64</v>
      </c>
    </row>
    <row r="31" spans="1:5" x14ac:dyDescent="0.2">
      <c r="A31" s="16" t="s">
        <v>47</v>
      </c>
      <c r="B31" s="4" t="s">
        <v>55</v>
      </c>
      <c r="C31" s="4" t="s">
        <v>65</v>
      </c>
      <c r="D31" s="4" t="s">
        <v>52</v>
      </c>
      <c r="E31" s="8" t="s">
        <v>66</v>
      </c>
    </row>
    <row r="32" spans="1:5" x14ac:dyDescent="0.2">
      <c r="A32" s="16" t="s">
        <v>33</v>
      </c>
      <c r="B32" s="4" t="s">
        <v>55</v>
      </c>
      <c r="C32" s="4" t="s">
        <v>67</v>
      </c>
      <c r="D32" s="4" t="s">
        <v>28</v>
      </c>
      <c r="E32" s="8" t="s">
        <v>68</v>
      </c>
    </row>
  </sheetData>
  <mergeCells count="15">
    <mergeCell ref="A8:J8"/>
    <mergeCell ref="A11:J11"/>
    <mergeCell ref="A14:J1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2" bestFit="1" customWidth="1"/>
    <col min="13" max="13" width="14.5703125" style="4" bestFit="1" customWidth="1"/>
    <col min="14" max="16384" width="9.140625" style="3"/>
  </cols>
  <sheetData>
    <row r="1" spans="1:13" s="2" customFormat="1" ht="29.1" customHeight="1" x14ac:dyDescent="0.2">
      <c r="A1" s="40" t="s">
        <v>295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252</v>
      </c>
      <c r="H3" s="50"/>
      <c r="I3" s="50"/>
      <c r="J3" s="50"/>
      <c r="K3" s="50" t="s">
        <v>17</v>
      </c>
      <c r="L3" s="50" t="s">
        <v>3</v>
      </c>
      <c r="M3" s="36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37"/>
    </row>
    <row r="5" spans="1:13" ht="15" x14ac:dyDescent="0.2">
      <c r="A5" s="38" t="s">
        <v>32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31" t="s">
        <v>109</v>
      </c>
      <c r="B6" s="31" t="s">
        <v>108</v>
      </c>
      <c r="C6" s="31" t="s">
        <v>107</v>
      </c>
      <c r="D6" s="31" t="str">
        <f>"0,5873"</f>
        <v>0,5873</v>
      </c>
      <c r="E6" s="31" t="s">
        <v>106</v>
      </c>
      <c r="F6" s="31" t="s">
        <v>105</v>
      </c>
      <c r="G6" s="34" t="s">
        <v>237</v>
      </c>
      <c r="H6" s="35" t="s">
        <v>237</v>
      </c>
      <c r="I6" s="35" t="s">
        <v>277</v>
      </c>
      <c r="J6" s="34"/>
      <c r="K6" s="33" t="str">
        <f>"220,0"</f>
        <v>220,0</v>
      </c>
      <c r="L6" s="32" t="str">
        <f>"129,2060"</f>
        <v>129,2060</v>
      </c>
      <c r="M6" s="31" t="s">
        <v>53</v>
      </c>
    </row>
    <row r="7" spans="1:13" x14ac:dyDescent="0.2">
      <c r="A7" s="21" t="s">
        <v>294</v>
      </c>
      <c r="B7" s="21" t="s">
        <v>293</v>
      </c>
      <c r="C7" s="21" t="s">
        <v>36</v>
      </c>
      <c r="D7" s="21" t="str">
        <f>"0,5853"</f>
        <v>0,5853</v>
      </c>
      <c r="E7" s="21" t="s">
        <v>106</v>
      </c>
      <c r="F7" s="21" t="s">
        <v>105</v>
      </c>
      <c r="G7" s="25" t="s">
        <v>271</v>
      </c>
      <c r="H7" s="24" t="s">
        <v>292</v>
      </c>
      <c r="I7" s="24" t="s">
        <v>292</v>
      </c>
      <c r="J7" s="24"/>
      <c r="K7" s="23" t="str">
        <f>"160,0"</f>
        <v>160,0</v>
      </c>
      <c r="L7" s="22" t="str">
        <f>"93,6480"</f>
        <v>93,6480</v>
      </c>
      <c r="M7" s="21" t="s">
        <v>291</v>
      </c>
    </row>
    <row r="9" spans="1:13" ht="15" x14ac:dyDescent="0.2">
      <c r="A9" s="51" t="s">
        <v>38</v>
      </c>
      <c r="B9" s="52"/>
      <c r="C9" s="52"/>
      <c r="D9" s="52"/>
      <c r="E9" s="52"/>
      <c r="F9" s="52"/>
      <c r="G9" s="52"/>
      <c r="H9" s="52"/>
      <c r="I9" s="52"/>
      <c r="J9" s="52"/>
    </row>
    <row r="10" spans="1:13" x14ac:dyDescent="0.2">
      <c r="A10" s="31" t="s">
        <v>285</v>
      </c>
      <c r="B10" s="31" t="s">
        <v>290</v>
      </c>
      <c r="C10" s="31" t="s">
        <v>283</v>
      </c>
      <c r="D10" s="31" t="str">
        <f>"0,5543"</f>
        <v>0,5543</v>
      </c>
      <c r="E10" s="31" t="s">
        <v>282</v>
      </c>
      <c r="F10" s="31" t="s">
        <v>281</v>
      </c>
      <c r="G10" s="35" t="s">
        <v>280</v>
      </c>
      <c r="H10" s="35" t="s">
        <v>279</v>
      </c>
      <c r="I10" s="35" t="s">
        <v>267</v>
      </c>
      <c r="J10" s="34"/>
      <c r="K10" s="33" t="str">
        <f>"250,0"</f>
        <v>250,0</v>
      </c>
      <c r="L10" s="32" t="str">
        <f>"138,5750"</f>
        <v>138,5750</v>
      </c>
      <c r="M10" s="31" t="s">
        <v>53</v>
      </c>
    </row>
    <row r="11" spans="1:13" x14ac:dyDescent="0.2">
      <c r="A11" s="26" t="s">
        <v>289</v>
      </c>
      <c r="B11" s="26" t="s">
        <v>288</v>
      </c>
      <c r="C11" s="26" t="s">
        <v>42</v>
      </c>
      <c r="D11" s="26" t="str">
        <f>"0,5648"</f>
        <v>0,5648</v>
      </c>
      <c r="E11" s="26" t="s">
        <v>106</v>
      </c>
      <c r="F11" s="26" t="s">
        <v>105</v>
      </c>
      <c r="G11" s="29" t="s">
        <v>274</v>
      </c>
      <c r="H11" s="30" t="s">
        <v>274</v>
      </c>
      <c r="I11" s="29" t="s">
        <v>287</v>
      </c>
      <c r="J11" s="29"/>
      <c r="K11" s="28" t="str">
        <f>"180,0"</f>
        <v>180,0</v>
      </c>
      <c r="L11" s="27" t="str">
        <f>"101,6640"</f>
        <v>101,6640</v>
      </c>
      <c r="M11" s="26" t="s">
        <v>286</v>
      </c>
    </row>
    <row r="12" spans="1:13" x14ac:dyDescent="0.2">
      <c r="A12" s="21" t="s">
        <v>285</v>
      </c>
      <c r="B12" s="21" t="s">
        <v>284</v>
      </c>
      <c r="C12" s="21" t="s">
        <v>283</v>
      </c>
      <c r="D12" s="21" t="str">
        <f>"0,5543"</f>
        <v>0,5543</v>
      </c>
      <c r="E12" s="21" t="s">
        <v>282</v>
      </c>
      <c r="F12" s="21" t="s">
        <v>281</v>
      </c>
      <c r="G12" s="25" t="s">
        <v>280</v>
      </c>
      <c r="H12" s="25" t="s">
        <v>279</v>
      </c>
      <c r="I12" s="25" t="s">
        <v>267</v>
      </c>
      <c r="J12" s="24"/>
      <c r="K12" s="23" t="str">
        <f>"250,0"</f>
        <v>250,0</v>
      </c>
      <c r="L12" s="22" t="str">
        <f>"227,9559"</f>
        <v>227,9559</v>
      </c>
      <c r="M12" s="21" t="s">
        <v>53</v>
      </c>
    </row>
    <row r="14" spans="1:13" ht="15" x14ac:dyDescent="0.2">
      <c r="E14" s="7" t="s">
        <v>11</v>
      </c>
    </row>
    <row r="15" spans="1:13" ht="15" x14ac:dyDescent="0.2">
      <c r="E15" s="7" t="s">
        <v>12</v>
      </c>
    </row>
    <row r="16" spans="1:13" ht="15" x14ac:dyDescent="0.2">
      <c r="E16" s="7" t="s">
        <v>13</v>
      </c>
    </row>
    <row r="17" spans="1:5" ht="15" x14ac:dyDescent="0.2">
      <c r="E17" s="7" t="s">
        <v>14</v>
      </c>
    </row>
    <row r="18" spans="1:5" ht="15" x14ac:dyDescent="0.2">
      <c r="E18" s="7" t="s">
        <v>14</v>
      </c>
    </row>
    <row r="19" spans="1:5" ht="15" x14ac:dyDescent="0.2">
      <c r="E19" s="7" t="s">
        <v>15</v>
      </c>
    </row>
    <row r="20" spans="1:5" ht="15" x14ac:dyDescent="0.2">
      <c r="E20" s="7"/>
    </row>
    <row r="22" spans="1:5" ht="18" x14ac:dyDescent="0.25">
      <c r="A22" s="9" t="s">
        <v>16</v>
      </c>
      <c r="B22" s="9"/>
    </row>
    <row r="23" spans="1:5" ht="15" x14ac:dyDescent="0.2">
      <c r="A23" s="15" t="s">
        <v>54</v>
      </c>
      <c r="B23" s="15"/>
    </row>
    <row r="24" spans="1:5" ht="14.25" x14ac:dyDescent="0.2">
      <c r="A24" s="17"/>
      <c r="B24" s="18" t="s">
        <v>55</v>
      </c>
    </row>
    <row r="25" spans="1:5" ht="15" x14ac:dyDescent="0.2">
      <c r="A25" s="19" t="s">
        <v>56</v>
      </c>
      <c r="B25" s="19" t="s">
        <v>57</v>
      </c>
      <c r="C25" s="19" t="s">
        <v>58</v>
      </c>
      <c r="D25" s="19" t="s">
        <v>59</v>
      </c>
      <c r="E25" s="19" t="s">
        <v>60</v>
      </c>
    </row>
    <row r="26" spans="1:5" x14ac:dyDescent="0.2">
      <c r="A26" s="16" t="s">
        <v>269</v>
      </c>
      <c r="B26" s="4" t="s">
        <v>55</v>
      </c>
      <c r="C26" s="4" t="s">
        <v>61</v>
      </c>
      <c r="D26" s="4" t="s">
        <v>267</v>
      </c>
      <c r="E26" s="8" t="s">
        <v>278</v>
      </c>
    </row>
    <row r="27" spans="1:5" x14ac:dyDescent="0.2">
      <c r="A27" s="16" t="s">
        <v>100</v>
      </c>
      <c r="B27" s="4" t="s">
        <v>55</v>
      </c>
      <c r="C27" s="4" t="s">
        <v>67</v>
      </c>
      <c r="D27" s="4" t="s">
        <v>277</v>
      </c>
      <c r="E27" s="8" t="s">
        <v>276</v>
      </c>
    </row>
    <row r="28" spans="1:5" x14ac:dyDescent="0.2">
      <c r="A28" s="16" t="s">
        <v>275</v>
      </c>
      <c r="B28" s="4" t="s">
        <v>55</v>
      </c>
      <c r="C28" s="4" t="s">
        <v>61</v>
      </c>
      <c r="D28" s="4" t="s">
        <v>274</v>
      </c>
      <c r="E28" s="8" t="s">
        <v>273</v>
      </c>
    </row>
    <row r="29" spans="1:5" x14ac:dyDescent="0.2">
      <c r="A29" s="16" t="s">
        <v>272</v>
      </c>
      <c r="B29" s="4" t="s">
        <v>55</v>
      </c>
      <c r="C29" s="4" t="s">
        <v>67</v>
      </c>
      <c r="D29" s="4" t="s">
        <v>271</v>
      </c>
      <c r="E29" s="8" t="s">
        <v>270</v>
      </c>
    </row>
    <row r="31" spans="1:5" ht="14.25" x14ac:dyDescent="0.2">
      <c r="A31" s="17"/>
      <c r="B31" s="18" t="s">
        <v>75</v>
      </c>
    </row>
    <row r="32" spans="1:5" ht="15" x14ac:dyDescent="0.2">
      <c r="A32" s="19" t="s">
        <v>56</v>
      </c>
      <c r="B32" s="19" t="s">
        <v>57</v>
      </c>
      <c r="C32" s="19" t="s">
        <v>58</v>
      </c>
      <c r="D32" s="19" t="s">
        <v>59</v>
      </c>
      <c r="E32" s="19" t="s">
        <v>60</v>
      </c>
    </row>
    <row r="33" spans="1:5" x14ac:dyDescent="0.2">
      <c r="A33" s="16" t="s">
        <v>269</v>
      </c>
      <c r="B33" s="4" t="s">
        <v>268</v>
      </c>
      <c r="C33" s="4" t="s">
        <v>61</v>
      </c>
      <c r="D33" s="4" t="s">
        <v>267</v>
      </c>
      <c r="E33" s="8" t="s">
        <v>266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710937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2" bestFit="1" customWidth="1"/>
    <col min="13" max="13" width="17.5703125" style="4" bestFit="1" customWidth="1"/>
    <col min="14" max="16384" width="9.140625" style="3"/>
  </cols>
  <sheetData>
    <row r="1" spans="1:13" s="2" customFormat="1" ht="29.1" customHeight="1" x14ac:dyDescent="0.2">
      <c r="A1" s="40" t="s">
        <v>392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252</v>
      </c>
      <c r="H3" s="50"/>
      <c r="I3" s="50"/>
      <c r="J3" s="50"/>
      <c r="K3" s="50" t="s">
        <v>17</v>
      </c>
      <c r="L3" s="50" t="s">
        <v>3</v>
      </c>
      <c r="M3" s="36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37"/>
    </row>
    <row r="5" spans="1:13" ht="15" x14ac:dyDescent="0.2">
      <c r="A5" s="38" t="s">
        <v>391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10" t="s">
        <v>390</v>
      </c>
      <c r="B6" s="10" t="s">
        <v>389</v>
      </c>
      <c r="C6" s="10" t="s">
        <v>388</v>
      </c>
      <c r="D6" s="10" t="str">
        <f>"0,9124"</f>
        <v>0,9124</v>
      </c>
      <c r="E6" s="10" t="s">
        <v>282</v>
      </c>
      <c r="F6" s="10" t="s">
        <v>259</v>
      </c>
      <c r="G6" s="12" t="s">
        <v>29</v>
      </c>
      <c r="H6" s="12" t="s">
        <v>376</v>
      </c>
      <c r="I6" s="12" t="s">
        <v>258</v>
      </c>
      <c r="J6" s="11"/>
      <c r="K6" s="13" t="str">
        <f>"112,5"</f>
        <v>112,5</v>
      </c>
      <c r="L6" s="14" t="str">
        <f>"102,6450"</f>
        <v>102,6450</v>
      </c>
      <c r="M6" s="10" t="s">
        <v>257</v>
      </c>
    </row>
    <row r="8" spans="1:13" ht="15" x14ac:dyDescent="0.2">
      <c r="A8" s="51" t="s">
        <v>93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31" t="s">
        <v>263</v>
      </c>
      <c r="B9" s="31" t="s">
        <v>262</v>
      </c>
      <c r="C9" s="31" t="s">
        <v>261</v>
      </c>
      <c r="D9" s="31" t="str">
        <f>"0,8047"</f>
        <v>0,8047</v>
      </c>
      <c r="E9" s="31" t="s">
        <v>260</v>
      </c>
      <c r="F9" s="31" t="s">
        <v>259</v>
      </c>
      <c r="G9" s="35" t="s">
        <v>328</v>
      </c>
      <c r="H9" s="34" t="s">
        <v>248</v>
      </c>
      <c r="I9" s="34" t="s">
        <v>248</v>
      </c>
      <c r="J9" s="34"/>
      <c r="K9" s="33" t="str">
        <f>"125,0"</f>
        <v>125,0</v>
      </c>
      <c r="L9" s="32" t="str">
        <f>"100,5875"</f>
        <v>100,5875</v>
      </c>
      <c r="M9" s="31" t="s">
        <v>257</v>
      </c>
    </row>
    <row r="10" spans="1:13" x14ac:dyDescent="0.2">
      <c r="A10" s="21" t="s">
        <v>387</v>
      </c>
      <c r="B10" s="21" t="s">
        <v>386</v>
      </c>
      <c r="C10" s="21" t="s">
        <v>261</v>
      </c>
      <c r="D10" s="21" t="str">
        <f>"0,8047"</f>
        <v>0,8047</v>
      </c>
      <c r="E10" s="21" t="s">
        <v>162</v>
      </c>
      <c r="F10" s="21" t="s">
        <v>161</v>
      </c>
      <c r="G10" s="24" t="s">
        <v>81</v>
      </c>
      <c r="H10" s="25" t="s">
        <v>81</v>
      </c>
      <c r="I10" s="25" t="s">
        <v>325</v>
      </c>
      <c r="J10" s="24"/>
      <c r="K10" s="23" t="str">
        <f>"92,5"</f>
        <v>92,5</v>
      </c>
      <c r="L10" s="22" t="str">
        <f>"74,4348"</f>
        <v>74,4348</v>
      </c>
      <c r="M10" s="21" t="s">
        <v>156</v>
      </c>
    </row>
    <row r="12" spans="1:13" ht="15" x14ac:dyDescent="0.2">
      <c r="A12" s="51" t="s">
        <v>132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 x14ac:dyDescent="0.2">
      <c r="A13" s="10" t="s">
        <v>385</v>
      </c>
      <c r="B13" s="10" t="s">
        <v>384</v>
      </c>
      <c r="C13" s="10" t="s">
        <v>383</v>
      </c>
      <c r="D13" s="10" t="str">
        <f>"0,7268"</f>
        <v>0,7268</v>
      </c>
      <c r="E13" s="10" t="s">
        <v>382</v>
      </c>
      <c r="F13" s="10" t="s">
        <v>105</v>
      </c>
      <c r="G13" s="11" t="s">
        <v>381</v>
      </c>
      <c r="H13" s="12" t="s">
        <v>381</v>
      </c>
      <c r="I13" s="12" t="s">
        <v>271</v>
      </c>
      <c r="J13" s="11"/>
      <c r="K13" s="13" t="str">
        <f>"160,0"</f>
        <v>160,0</v>
      </c>
      <c r="L13" s="14" t="str">
        <f>"116,2960"</f>
        <v>116,2960</v>
      </c>
      <c r="M13" s="10" t="s">
        <v>380</v>
      </c>
    </row>
    <row r="15" spans="1:13" ht="15" x14ac:dyDescent="0.2">
      <c r="A15" s="51" t="s">
        <v>226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3" x14ac:dyDescent="0.2">
      <c r="A16" s="10" t="s">
        <v>379</v>
      </c>
      <c r="B16" s="10" t="s">
        <v>378</v>
      </c>
      <c r="C16" s="10" t="s">
        <v>377</v>
      </c>
      <c r="D16" s="10" t="str">
        <f>"0,8301"</f>
        <v>0,8301</v>
      </c>
      <c r="E16" s="10" t="s">
        <v>26</v>
      </c>
      <c r="F16" s="10" t="s">
        <v>27</v>
      </c>
      <c r="G16" s="12" t="s">
        <v>30</v>
      </c>
      <c r="H16" s="11" t="s">
        <v>376</v>
      </c>
      <c r="I16" s="11" t="s">
        <v>376</v>
      </c>
      <c r="J16" s="11"/>
      <c r="K16" s="13" t="str">
        <f>"100,0"</f>
        <v>100,0</v>
      </c>
      <c r="L16" s="14" t="str">
        <f>"83,0100"</f>
        <v>83,0100</v>
      </c>
      <c r="M16" s="10" t="s">
        <v>31</v>
      </c>
    </row>
    <row r="18" spans="1:13" ht="15" x14ac:dyDescent="0.2">
      <c r="A18" s="51" t="s">
        <v>93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3" x14ac:dyDescent="0.2">
      <c r="A19" s="31" t="s">
        <v>375</v>
      </c>
      <c r="B19" s="31" t="s">
        <v>374</v>
      </c>
      <c r="C19" s="31" t="s">
        <v>373</v>
      </c>
      <c r="D19" s="31" t="str">
        <f>"0,7927"</f>
        <v>0,7927</v>
      </c>
      <c r="E19" s="31" t="s">
        <v>106</v>
      </c>
      <c r="F19" s="31" t="s">
        <v>105</v>
      </c>
      <c r="G19" s="35" t="s">
        <v>37</v>
      </c>
      <c r="H19" s="35" t="s">
        <v>28</v>
      </c>
      <c r="I19" s="35" t="s">
        <v>81</v>
      </c>
      <c r="J19" s="34"/>
      <c r="K19" s="33" t="str">
        <f>"90,0"</f>
        <v>90,0</v>
      </c>
      <c r="L19" s="32" t="str">
        <f>"87,7519"</f>
        <v>87,7519</v>
      </c>
      <c r="M19" s="31" t="s">
        <v>244</v>
      </c>
    </row>
    <row r="20" spans="1:13" x14ac:dyDescent="0.2">
      <c r="A20" s="26" t="s">
        <v>372</v>
      </c>
      <c r="B20" s="26" t="s">
        <v>371</v>
      </c>
      <c r="C20" s="26" t="s">
        <v>370</v>
      </c>
      <c r="D20" s="26" t="str">
        <f>"0,7317"</f>
        <v>0,7317</v>
      </c>
      <c r="E20" s="26" t="s">
        <v>26</v>
      </c>
      <c r="F20" s="26" t="s">
        <v>27</v>
      </c>
      <c r="G20" s="30" t="s">
        <v>248</v>
      </c>
      <c r="H20" s="30" t="s">
        <v>303</v>
      </c>
      <c r="I20" s="29" t="s">
        <v>369</v>
      </c>
      <c r="J20" s="29"/>
      <c r="K20" s="28" t="str">
        <f>"145,0"</f>
        <v>145,0</v>
      </c>
      <c r="L20" s="27" t="str">
        <f>"106,0965"</f>
        <v>106,0965</v>
      </c>
      <c r="M20" s="26" t="s">
        <v>31</v>
      </c>
    </row>
    <row r="21" spans="1:13" x14ac:dyDescent="0.2">
      <c r="A21" s="21" t="s">
        <v>368</v>
      </c>
      <c r="B21" s="21" t="s">
        <v>367</v>
      </c>
      <c r="C21" s="21" t="s">
        <v>366</v>
      </c>
      <c r="D21" s="21" t="str">
        <f>"0,7647"</f>
        <v>0,7647</v>
      </c>
      <c r="E21" s="21" t="s">
        <v>365</v>
      </c>
      <c r="F21" s="21" t="s">
        <v>364</v>
      </c>
      <c r="G21" s="25" t="s">
        <v>43</v>
      </c>
      <c r="H21" s="25" t="s">
        <v>52</v>
      </c>
      <c r="I21" s="25" t="s">
        <v>297</v>
      </c>
      <c r="J21" s="24"/>
      <c r="K21" s="23" t="str">
        <f>"120,0"</f>
        <v>120,0</v>
      </c>
      <c r="L21" s="22" t="str">
        <f>"92,0393"</f>
        <v>92,0393</v>
      </c>
      <c r="M21" s="21" t="s">
        <v>363</v>
      </c>
    </row>
    <row r="23" spans="1:13" ht="15" x14ac:dyDescent="0.2">
      <c r="A23" s="51" t="s">
        <v>21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13" x14ac:dyDescent="0.2">
      <c r="A24" s="31" t="s">
        <v>362</v>
      </c>
      <c r="B24" s="31" t="s">
        <v>361</v>
      </c>
      <c r="C24" s="31" t="s">
        <v>360</v>
      </c>
      <c r="D24" s="31" t="str">
        <f>"0,6388"</f>
        <v>0,6388</v>
      </c>
      <c r="E24" s="31" t="s">
        <v>106</v>
      </c>
      <c r="F24" s="31" t="s">
        <v>105</v>
      </c>
      <c r="G24" s="35" t="s">
        <v>328</v>
      </c>
      <c r="H24" s="35" t="s">
        <v>359</v>
      </c>
      <c r="I24" s="35" t="s">
        <v>246</v>
      </c>
      <c r="J24" s="34"/>
      <c r="K24" s="33" t="str">
        <f>"140,0"</f>
        <v>140,0</v>
      </c>
      <c r="L24" s="32" t="str">
        <f>"92,1150"</f>
        <v>92,1150</v>
      </c>
      <c r="M24" s="31" t="s">
        <v>244</v>
      </c>
    </row>
    <row r="25" spans="1:13" x14ac:dyDescent="0.2">
      <c r="A25" s="21" t="s">
        <v>358</v>
      </c>
      <c r="B25" s="21" t="s">
        <v>357</v>
      </c>
      <c r="C25" s="21" t="s">
        <v>356</v>
      </c>
      <c r="D25" s="21" t="str">
        <f>"0,6290"</f>
        <v>0,6290</v>
      </c>
      <c r="E25" s="21" t="s">
        <v>83</v>
      </c>
      <c r="F25" s="21" t="s">
        <v>82</v>
      </c>
      <c r="G25" s="25" t="s">
        <v>343</v>
      </c>
      <c r="H25" s="25" t="s">
        <v>239</v>
      </c>
      <c r="I25" s="25" t="s">
        <v>308</v>
      </c>
      <c r="J25" s="24"/>
      <c r="K25" s="23" t="str">
        <f>"187,5"</f>
        <v>187,5</v>
      </c>
      <c r="L25" s="22" t="str">
        <f>"117,9375"</f>
        <v>117,9375</v>
      </c>
      <c r="M25" s="21" t="s">
        <v>79</v>
      </c>
    </row>
    <row r="27" spans="1:13" ht="15" x14ac:dyDescent="0.2">
      <c r="A27" s="51" t="s">
        <v>32</v>
      </c>
      <c r="B27" s="52"/>
      <c r="C27" s="52"/>
      <c r="D27" s="52"/>
      <c r="E27" s="52"/>
      <c r="F27" s="52"/>
      <c r="G27" s="52"/>
      <c r="H27" s="52"/>
      <c r="I27" s="52"/>
      <c r="J27" s="52"/>
    </row>
    <row r="28" spans="1:13" x14ac:dyDescent="0.2">
      <c r="A28" s="10" t="s">
        <v>86</v>
      </c>
      <c r="B28" s="10" t="s">
        <v>355</v>
      </c>
      <c r="C28" s="10" t="s">
        <v>354</v>
      </c>
      <c r="D28" s="10" t="str">
        <f>"0,5861"</f>
        <v>0,5861</v>
      </c>
      <c r="E28" s="10" t="s">
        <v>83</v>
      </c>
      <c r="F28" s="10" t="s">
        <v>82</v>
      </c>
      <c r="G28" s="11" t="s">
        <v>287</v>
      </c>
      <c r="H28" s="12" t="s">
        <v>287</v>
      </c>
      <c r="I28" s="12" t="s">
        <v>320</v>
      </c>
      <c r="J28" s="11"/>
      <c r="K28" s="13" t="str">
        <f>"225,0"</f>
        <v>225,0</v>
      </c>
      <c r="L28" s="14" t="str">
        <f>"135,8287"</f>
        <v>135,8287</v>
      </c>
      <c r="M28" s="10" t="s">
        <v>79</v>
      </c>
    </row>
    <row r="30" spans="1:13" ht="15" x14ac:dyDescent="0.2">
      <c r="A30" s="51" t="s">
        <v>38</v>
      </c>
      <c r="B30" s="52"/>
      <c r="C30" s="52"/>
      <c r="D30" s="52"/>
      <c r="E30" s="52"/>
      <c r="F30" s="52"/>
      <c r="G30" s="52"/>
      <c r="H30" s="52"/>
      <c r="I30" s="52"/>
      <c r="J30" s="52"/>
    </row>
    <row r="31" spans="1:13" x14ac:dyDescent="0.2">
      <c r="A31" s="31" t="s">
        <v>353</v>
      </c>
      <c r="B31" s="31" t="s">
        <v>352</v>
      </c>
      <c r="C31" s="31" t="s">
        <v>351</v>
      </c>
      <c r="D31" s="31" t="str">
        <f>"0,5779"</f>
        <v>0,5779</v>
      </c>
      <c r="E31" s="31" t="s">
        <v>350</v>
      </c>
      <c r="F31" s="31" t="s">
        <v>105</v>
      </c>
      <c r="G31" s="35" t="s">
        <v>349</v>
      </c>
      <c r="H31" s="35" t="s">
        <v>348</v>
      </c>
      <c r="I31" s="35" t="s">
        <v>280</v>
      </c>
      <c r="J31" s="34"/>
      <c r="K31" s="33" t="str">
        <f>"240,0"</f>
        <v>240,0</v>
      </c>
      <c r="L31" s="32" t="str">
        <f>"138,6960"</f>
        <v>138,6960</v>
      </c>
      <c r="M31" s="31" t="s">
        <v>347</v>
      </c>
    </row>
    <row r="32" spans="1:13" x14ac:dyDescent="0.2">
      <c r="A32" s="21" t="s">
        <v>346</v>
      </c>
      <c r="B32" s="21" t="s">
        <v>345</v>
      </c>
      <c r="C32" s="21" t="s">
        <v>344</v>
      </c>
      <c r="D32" s="21" t="str">
        <f>"0,5619"</f>
        <v>0,5619</v>
      </c>
      <c r="E32" s="21" t="s">
        <v>106</v>
      </c>
      <c r="F32" s="21" t="s">
        <v>105</v>
      </c>
      <c r="G32" s="25" t="s">
        <v>343</v>
      </c>
      <c r="H32" s="25" t="s">
        <v>274</v>
      </c>
      <c r="I32" s="25" t="s">
        <v>237</v>
      </c>
      <c r="J32" s="24"/>
      <c r="K32" s="23" t="str">
        <f>"200,0"</f>
        <v>200,0</v>
      </c>
      <c r="L32" s="22" t="str">
        <f>"112,3800"</f>
        <v>112,3800</v>
      </c>
      <c r="M32" s="21" t="s">
        <v>342</v>
      </c>
    </row>
    <row r="34" spans="1:13" ht="15" x14ac:dyDescent="0.2">
      <c r="A34" s="51" t="s">
        <v>341</v>
      </c>
      <c r="B34" s="52"/>
      <c r="C34" s="52"/>
      <c r="D34" s="52"/>
      <c r="E34" s="52"/>
      <c r="F34" s="52"/>
      <c r="G34" s="52"/>
      <c r="H34" s="52"/>
      <c r="I34" s="52"/>
      <c r="J34" s="52"/>
    </row>
    <row r="35" spans="1:13" x14ac:dyDescent="0.2">
      <c r="A35" s="10" t="s">
        <v>340</v>
      </c>
      <c r="B35" s="10" t="s">
        <v>339</v>
      </c>
      <c r="C35" s="10" t="s">
        <v>338</v>
      </c>
      <c r="D35" s="10" t="str">
        <f>"0,5448"</f>
        <v>0,5448</v>
      </c>
      <c r="E35" s="10" t="s">
        <v>83</v>
      </c>
      <c r="F35" s="10" t="s">
        <v>82</v>
      </c>
      <c r="G35" s="12" t="s">
        <v>337</v>
      </c>
      <c r="H35" s="12" t="s">
        <v>336</v>
      </c>
      <c r="I35" s="12" t="s">
        <v>236</v>
      </c>
      <c r="J35" s="11"/>
      <c r="K35" s="13" t="str">
        <f>"275,0"</f>
        <v>275,0</v>
      </c>
      <c r="L35" s="14" t="str">
        <f>"149,8200"</f>
        <v>149,8200</v>
      </c>
      <c r="M35" s="10" t="s">
        <v>79</v>
      </c>
    </row>
    <row r="37" spans="1:13" ht="15" x14ac:dyDescent="0.2">
      <c r="A37" s="51" t="s">
        <v>243</v>
      </c>
      <c r="B37" s="52"/>
      <c r="C37" s="52"/>
      <c r="D37" s="52"/>
      <c r="E37" s="52"/>
      <c r="F37" s="52"/>
      <c r="G37" s="52"/>
      <c r="H37" s="52"/>
      <c r="I37" s="52"/>
      <c r="J37" s="52"/>
    </row>
    <row r="38" spans="1:13" x14ac:dyDescent="0.2">
      <c r="A38" s="10" t="s">
        <v>242</v>
      </c>
      <c r="B38" s="10" t="s">
        <v>241</v>
      </c>
      <c r="C38" s="10" t="s">
        <v>240</v>
      </c>
      <c r="D38" s="10" t="str">
        <f>"0,5174"</f>
        <v>0,5174</v>
      </c>
      <c r="E38" s="10" t="s">
        <v>83</v>
      </c>
      <c r="F38" s="10" t="s">
        <v>82</v>
      </c>
      <c r="G38" s="12" t="s">
        <v>335</v>
      </c>
      <c r="H38" s="12" t="s">
        <v>316</v>
      </c>
      <c r="I38" s="11" t="s">
        <v>334</v>
      </c>
      <c r="J38" s="11"/>
      <c r="K38" s="13" t="str">
        <f>"300,0"</f>
        <v>300,0</v>
      </c>
      <c r="L38" s="14" t="str">
        <f>"155,2200"</f>
        <v>155,2200</v>
      </c>
      <c r="M38" s="10" t="s">
        <v>79</v>
      </c>
    </row>
    <row r="40" spans="1:13" ht="15" x14ac:dyDescent="0.2">
      <c r="E40" s="7" t="s">
        <v>11</v>
      </c>
    </row>
    <row r="41" spans="1:13" ht="15" x14ac:dyDescent="0.2">
      <c r="E41" s="7" t="s">
        <v>12</v>
      </c>
    </row>
    <row r="42" spans="1:13" ht="15" x14ac:dyDescent="0.2">
      <c r="E42" s="7" t="s">
        <v>13</v>
      </c>
    </row>
    <row r="43" spans="1:13" ht="15" x14ac:dyDescent="0.2">
      <c r="E43" s="7" t="s">
        <v>14</v>
      </c>
    </row>
    <row r="44" spans="1:13" ht="15" x14ac:dyDescent="0.2">
      <c r="E44" s="7" t="s">
        <v>14</v>
      </c>
    </row>
    <row r="45" spans="1:13" ht="15" x14ac:dyDescent="0.2">
      <c r="E45" s="7" t="s">
        <v>15</v>
      </c>
    </row>
    <row r="46" spans="1:13" ht="15" x14ac:dyDescent="0.2">
      <c r="E46" s="7"/>
    </row>
    <row r="48" spans="1:13" ht="18" x14ac:dyDescent="0.25">
      <c r="A48" s="9" t="s">
        <v>16</v>
      </c>
      <c r="B48" s="9"/>
    </row>
    <row r="49" spans="1:5" ht="15" x14ac:dyDescent="0.2">
      <c r="A49" s="15" t="s">
        <v>126</v>
      </c>
      <c r="B49" s="15"/>
    </row>
    <row r="50" spans="1:5" ht="14.25" x14ac:dyDescent="0.2">
      <c r="A50" s="17"/>
      <c r="B50" s="18" t="s">
        <v>55</v>
      </c>
    </row>
    <row r="51" spans="1:5" ht="15" x14ac:dyDescent="0.2">
      <c r="A51" s="19" t="s">
        <v>56</v>
      </c>
      <c r="B51" s="19" t="s">
        <v>57</v>
      </c>
      <c r="C51" s="19" t="s">
        <v>58</v>
      </c>
      <c r="D51" s="19" t="s">
        <v>59</v>
      </c>
      <c r="E51" s="19" t="s">
        <v>60</v>
      </c>
    </row>
    <row r="52" spans="1:5" x14ac:dyDescent="0.2">
      <c r="A52" s="16" t="s">
        <v>333</v>
      </c>
      <c r="B52" s="4" t="s">
        <v>55</v>
      </c>
      <c r="C52" s="4" t="s">
        <v>120</v>
      </c>
      <c r="D52" s="4" t="s">
        <v>271</v>
      </c>
      <c r="E52" s="8" t="s">
        <v>332</v>
      </c>
    </row>
    <row r="53" spans="1:5" x14ac:dyDescent="0.2">
      <c r="A53" s="16" t="s">
        <v>331</v>
      </c>
      <c r="B53" s="4" t="s">
        <v>55</v>
      </c>
      <c r="C53" s="4" t="s">
        <v>330</v>
      </c>
      <c r="D53" s="4" t="s">
        <v>258</v>
      </c>
      <c r="E53" s="8" t="s">
        <v>329</v>
      </c>
    </row>
    <row r="54" spans="1:5" x14ac:dyDescent="0.2">
      <c r="A54" s="16" t="s">
        <v>256</v>
      </c>
      <c r="B54" s="4" t="s">
        <v>55</v>
      </c>
      <c r="C54" s="4" t="s">
        <v>71</v>
      </c>
      <c r="D54" s="4" t="s">
        <v>328</v>
      </c>
      <c r="E54" s="8" t="s">
        <v>327</v>
      </c>
    </row>
    <row r="55" spans="1:5" x14ac:dyDescent="0.2">
      <c r="A55" s="16" t="s">
        <v>326</v>
      </c>
      <c r="B55" s="4" t="s">
        <v>55</v>
      </c>
      <c r="C55" s="4" t="s">
        <v>71</v>
      </c>
      <c r="D55" s="4" t="s">
        <v>325</v>
      </c>
      <c r="E55" s="8" t="s">
        <v>324</v>
      </c>
    </row>
    <row r="58" spans="1:5" ht="15" x14ac:dyDescent="0.2">
      <c r="A58" s="15" t="s">
        <v>54</v>
      </c>
      <c r="B58" s="15"/>
    </row>
    <row r="59" spans="1:5" ht="14.25" x14ac:dyDescent="0.2">
      <c r="A59" s="17"/>
      <c r="B59" s="18" t="s">
        <v>155</v>
      </c>
    </row>
    <row r="60" spans="1:5" ht="15" x14ac:dyDescent="0.2">
      <c r="A60" s="19" t="s">
        <v>56</v>
      </c>
      <c r="B60" s="19" t="s">
        <v>57</v>
      </c>
      <c r="C60" s="19" t="s">
        <v>58</v>
      </c>
      <c r="D60" s="19" t="s">
        <v>59</v>
      </c>
      <c r="E60" s="19" t="s">
        <v>60</v>
      </c>
    </row>
    <row r="61" spans="1:5" x14ac:dyDescent="0.2">
      <c r="A61" s="16" t="s">
        <v>323</v>
      </c>
      <c r="B61" s="4" t="s">
        <v>322</v>
      </c>
      <c r="C61" s="4" t="s">
        <v>71</v>
      </c>
      <c r="D61" s="4" t="s">
        <v>81</v>
      </c>
      <c r="E61" s="8" t="s">
        <v>321</v>
      </c>
    </row>
    <row r="63" spans="1:5" ht="14.25" x14ac:dyDescent="0.2">
      <c r="A63" s="17"/>
      <c r="B63" s="18" t="s">
        <v>144</v>
      </c>
    </row>
    <row r="64" spans="1:5" ht="15" x14ac:dyDescent="0.2">
      <c r="A64" s="19" t="s">
        <v>56</v>
      </c>
      <c r="B64" s="19" t="s">
        <v>57</v>
      </c>
      <c r="C64" s="19" t="s">
        <v>58</v>
      </c>
      <c r="D64" s="19" t="s">
        <v>59</v>
      </c>
      <c r="E64" s="19" t="s">
        <v>60</v>
      </c>
    </row>
    <row r="65" spans="1:5" x14ac:dyDescent="0.2">
      <c r="A65" s="16" t="s">
        <v>78</v>
      </c>
      <c r="B65" s="4" t="s">
        <v>142</v>
      </c>
      <c r="C65" s="4" t="s">
        <v>67</v>
      </c>
      <c r="D65" s="4" t="s">
        <v>320</v>
      </c>
      <c r="E65" s="8" t="s">
        <v>319</v>
      </c>
    </row>
    <row r="66" spans="1:5" x14ac:dyDescent="0.2">
      <c r="A66" s="16" t="s">
        <v>78</v>
      </c>
      <c r="B66" s="4" t="s">
        <v>142</v>
      </c>
      <c r="C66" s="4" t="s">
        <v>67</v>
      </c>
      <c r="D66" s="4" t="s">
        <v>320</v>
      </c>
      <c r="E66" s="8" t="s">
        <v>319</v>
      </c>
    </row>
    <row r="67" spans="1:5" x14ac:dyDescent="0.2">
      <c r="A67" s="16" t="s">
        <v>318</v>
      </c>
      <c r="B67" s="4" t="s">
        <v>142</v>
      </c>
      <c r="C67" s="4" t="s">
        <v>63</v>
      </c>
      <c r="D67" s="4" t="s">
        <v>246</v>
      </c>
      <c r="E67" s="8" t="s">
        <v>317</v>
      </c>
    </row>
    <row r="69" spans="1:5" ht="14.25" x14ac:dyDescent="0.2">
      <c r="A69" s="17"/>
      <c r="B69" s="18" t="s">
        <v>55</v>
      </c>
    </row>
    <row r="70" spans="1:5" ht="15" x14ac:dyDescent="0.2">
      <c r="A70" s="19" t="s">
        <v>56</v>
      </c>
      <c r="B70" s="19" t="s">
        <v>57</v>
      </c>
      <c r="C70" s="19" t="s">
        <v>58</v>
      </c>
      <c r="D70" s="19" t="s">
        <v>59</v>
      </c>
      <c r="E70" s="19" t="s">
        <v>60</v>
      </c>
    </row>
    <row r="71" spans="1:5" x14ac:dyDescent="0.2">
      <c r="A71" s="16" t="s">
        <v>234</v>
      </c>
      <c r="B71" s="4" t="s">
        <v>55</v>
      </c>
      <c r="C71" s="4" t="s">
        <v>233</v>
      </c>
      <c r="D71" s="4" t="s">
        <v>316</v>
      </c>
      <c r="E71" s="8" t="s">
        <v>315</v>
      </c>
    </row>
    <row r="72" spans="1:5" x14ac:dyDescent="0.2">
      <c r="A72" s="16" t="s">
        <v>314</v>
      </c>
      <c r="B72" s="4" t="s">
        <v>55</v>
      </c>
      <c r="C72" s="4" t="s">
        <v>313</v>
      </c>
      <c r="D72" s="4" t="s">
        <v>236</v>
      </c>
      <c r="E72" s="8" t="s">
        <v>312</v>
      </c>
    </row>
    <row r="73" spans="1:5" x14ac:dyDescent="0.2">
      <c r="A73" s="16" t="s">
        <v>311</v>
      </c>
      <c r="B73" s="4" t="s">
        <v>55</v>
      </c>
      <c r="C73" s="4" t="s">
        <v>61</v>
      </c>
      <c r="D73" s="4" t="s">
        <v>280</v>
      </c>
      <c r="E73" s="8" t="s">
        <v>310</v>
      </c>
    </row>
    <row r="74" spans="1:5" x14ac:dyDescent="0.2">
      <c r="A74" s="16" t="s">
        <v>309</v>
      </c>
      <c r="B74" s="4" t="s">
        <v>55</v>
      </c>
      <c r="C74" s="4" t="s">
        <v>63</v>
      </c>
      <c r="D74" s="4" t="s">
        <v>308</v>
      </c>
      <c r="E74" s="8" t="s">
        <v>307</v>
      </c>
    </row>
    <row r="75" spans="1:5" x14ac:dyDescent="0.2">
      <c r="A75" s="16" t="s">
        <v>306</v>
      </c>
      <c r="B75" s="4" t="s">
        <v>55</v>
      </c>
      <c r="C75" s="4" t="s">
        <v>61</v>
      </c>
      <c r="D75" s="4" t="s">
        <v>237</v>
      </c>
      <c r="E75" s="8" t="s">
        <v>305</v>
      </c>
    </row>
    <row r="76" spans="1:5" x14ac:dyDescent="0.2">
      <c r="A76" s="16" t="s">
        <v>304</v>
      </c>
      <c r="B76" s="4" t="s">
        <v>55</v>
      </c>
      <c r="C76" s="4" t="s">
        <v>71</v>
      </c>
      <c r="D76" s="4" t="s">
        <v>303</v>
      </c>
      <c r="E76" s="8" t="s">
        <v>302</v>
      </c>
    </row>
    <row r="77" spans="1:5" x14ac:dyDescent="0.2">
      <c r="A77" s="16" t="s">
        <v>301</v>
      </c>
      <c r="B77" s="4" t="s">
        <v>55</v>
      </c>
      <c r="C77" s="4" t="s">
        <v>188</v>
      </c>
      <c r="D77" s="4" t="s">
        <v>30</v>
      </c>
      <c r="E77" s="8" t="s">
        <v>300</v>
      </c>
    </row>
    <row r="79" spans="1:5" ht="14.25" x14ac:dyDescent="0.2">
      <c r="A79" s="17"/>
      <c r="B79" s="18" t="s">
        <v>75</v>
      </c>
    </row>
    <row r="80" spans="1:5" ht="15" x14ac:dyDescent="0.2">
      <c r="A80" s="19" t="s">
        <v>56</v>
      </c>
      <c r="B80" s="19" t="s">
        <v>57</v>
      </c>
      <c r="C80" s="19" t="s">
        <v>58</v>
      </c>
      <c r="D80" s="19" t="s">
        <v>59</v>
      </c>
      <c r="E80" s="19" t="s">
        <v>60</v>
      </c>
    </row>
    <row r="81" spans="1:5" x14ac:dyDescent="0.2">
      <c r="A81" s="16" t="s">
        <v>299</v>
      </c>
      <c r="B81" s="4" t="s">
        <v>298</v>
      </c>
      <c r="C81" s="4" t="s">
        <v>71</v>
      </c>
      <c r="D81" s="4" t="s">
        <v>297</v>
      </c>
      <c r="E81" s="8" t="s">
        <v>296</v>
      </c>
    </row>
  </sheetData>
  <mergeCells count="21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A37:J37"/>
    <mergeCell ref="A8:J8"/>
    <mergeCell ref="A12:J12"/>
    <mergeCell ref="A15:J15"/>
    <mergeCell ref="A18:J18"/>
    <mergeCell ref="A23:J23"/>
    <mergeCell ref="A27:J27"/>
    <mergeCell ref="F3:F4"/>
    <mergeCell ref="G3:J3"/>
    <mergeCell ref="A30:J30"/>
    <mergeCell ref="A34:J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57031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2" bestFit="1" customWidth="1"/>
    <col min="13" max="13" width="10.28515625" style="4" bestFit="1" customWidth="1"/>
    <col min="14" max="16384" width="9.140625" style="3"/>
  </cols>
  <sheetData>
    <row r="1" spans="1:13" s="2" customFormat="1" ht="29.1" customHeight="1" x14ac:dyDescent="0.2">
      <c r="A1" s="40" t="s">
        <v>404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253</v>
      </c>
      <c r="H3" s="50"/>
      <c r="I3" s="50"/>
      <c r="J3" s="50"/>
      <c r="K3" s="50" t="s">
        <v>17</v>
      </c>
      <c r="L3" s="50" t="s">
        <v>3</v>
      </c>
      <c r="M3" s="36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37"/>
    </row>
    <row r="5" spans="1:13" ht="15" x14ac:dyDescent="0.2">
      <c r="A5" s="38" t="s">
        <v>32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10" t="s">
        <v>403</v>
      </c>
      <c r="B6" s="10" t="s">
        <v>108</v>
      </c>
      <c r="C6" s="10" t="s">
        <v>107</v>
      </c>
      <c r="D6" s="10" t="str">
        <f>"0,5873"</f>
        <v>0,5873</v>
      </c>
      <c r="E6" s="10" t="s">
        <v>106</v>
      </c>
      <c r="F6" s="10" t="s">
        <v>105</v>
      </c>
      <c r="G6" s="11" t="s">
        <v>402</v>
      </c>
      <c r="H6" s="11" t="s">
        <v>402</v>
      </c>
      <c r="I6" s="11" t="s">
        <v>402</v>
      </c>
      <c r="J6" s="11"/>
      <c r="K6" s="13" t="str">
        <f>"0.00"</f>
        <v>0.00</v>
      </c>
      <c r="L6" s="14" t="str">
        <f>"0,0000"</f>
        <v>0,0000</v>
      </c>
      <c r="M6" s="10" t="s">
        <v>53</v>
      </c>
    </row>
    <row r="8" spans="1:13" ht="15" x14ac:dyDescent="0.2">
      <c r="A8" s="51" t="s">
        <v>341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10" t="s">
        <v>401</v>
      </c>
      <c r="B9" s="10" t="s">
        <v>400</v>
      </c>
      <c r="C9" s="10" t="s">
        <v>399</v>
      </c>
      <c r="D9" s="10" t="str">
        <f>"0,5495"</f>
        <v>0,5495</v>
      </c>
      <c r="E9" s="10" t="s">
        <v>398</v>
      </c>
      <c r="F9" s="10" t="s">
        <v>397</v>
      </c>
      <c r="G9" s="12" t="s">
        <v>396</v>
      </c>
      <c r="H9" s="11" t="s">
        <v>336</v>
      </c>
      <c r="I9" s="12" t="s">
        <v>336</v>
      </c>
      <c r="J9" s="11"/>
      <c r="K9" s="13" t="str">
        <f>"270,0"</f>
        <v>270,0</v>
      </c>
      <c r="L9" s="14" t="str">
        <f>"148,3650"</f>
        <v>148,3650</v>
      </c>
      <c r="M9" s="10" t="s">
        <v>395</v>
      </c>
    </row>
    <row r="11" spans="1:13" ht="15" x14ac:dyDescent="0.2">
      <c r="E11" s="7" t="s">
        <v>11</v>
      </c>
    </row>
    <row r="12" spans="1:13" ht="15" x14ac:dyDescent="0.2">
      <c r="E12" s="7" t="s">
        <v>12</v>
      </c>
    </row>
    <row r="13" spans="1:13" ht="15" x14ac:dyDescent="0.2">
      <c r="E13" s="7" t="s">
        <v>13</v>
      </c>
    </row>
    <row r="14" spans="1:13" ht="15" x14ac:dyDescent="0.2">
      <c r="E14" s="7" t="s">
        <v>14</v>
      </c>
    </row>
    <row r="15" spans="1:13" ht="15" x14ac:dyDescent="0.2">
      <c r="E15" s="7" t="s">
        <v>14</v>
      </c>
    </row>
    <row r="16" spans="1:13" ht="15" x14ac:dyDescent="0.2">
      <c r="E16" s="7" t="s">
        <v>15</v>
      </c>
    </row>
    <row r="17" spans="1:5" ht="15" x14ac:dyDescent="0.2">
      <c r="E17" s="7"/>
    </row>
    <row r="19" spans="1:5" ht="18" x14ac:dyDescent="0.25">
      <c r="A19" s="9" t="s">
        <v>16</v>
      </c>
      <c r="B19" s="9"/>
    </row>
    <row r="20" spans="1:5" ht="15" x14ac:dyDescent="0.2">
      <c r="A20" s="15" t="s">
        <v>54</v>
      </c>
      <c r="B20" s="15"/>
    </row>
    <row r="21" spans="1:5" ht="14.25" x14ac:dyDescent="0.2">
      <c r="A21" s="17"/>
      <c r="B21" s="18" t="s">
        <v>55</v>
      </c>
    </row>
    <row r="22" spans="1:5" ht="15" x14ac:dyDescent="0.2">
      <c r="A22" s="19" t="s">
        <v>56</v>
      </c>
      <c r="B22" s="19" t="s">
        <v>57</v>
      </c>
      <c r="C22" s="19" t="s">
        <v>58</v>
      </c>
      <c r="D22" s="19" t="s">
        <v>59</v>
      </c>
      <c r="E22" s="19" t="s">
        <v>60</v>
      </c>
    </row>
    <row r="23" spans="1:5" x14ac:dyDescent="0.2">
      <c r="A23" s="16" t="s">
        <v>394</v>
      </c>
      <c r="B23" s="4" t="s">
        <v>55</v>
      </c>
      <c r="C23" s="4" t="s">
        <v>313</v>
      </c>
      <c r="D23" s="4" t="s">
        <v>336</v>
      </c>
      <c r="E23" s="8" t="s">
        <v>393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2" bestFit="1" customWidth="1"/>
    <col min="13" max="13" width="11.140625" style="4" bestFit="1" customWidth="1"/>
    <col min="14" max="16384" width="9.140625" style="3"/>
  </cols>
  <sheetData>
    <row r="1" spans="1:13" s="2" customFormat="1" ht="29.1" customHeight="1" x14ac:dyDescent="0.2">
      <c r="A1" s="40" t="s">
        <v>413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253</v>
      </c>
      <c r="H3" s="50"/>
      <c r="I3" s="50"/>
      <c r="J3" s="50"/>
      <c r="K3" s="50" t="s">
        <v>17</v>
      </c>
      <c r="L3" s="50" t="s">
        <v>3</v>
      </c>
      <c r="M3" s="36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37"/>
    </row>
    <row r="5" spans="1:13" ht="15" x14ac:dyDescent="0.2">
      <c r="A5" s="38" t="s">
        <v>132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10" t="s">
        <v>412</v>
      </c>
      <c r="B6" s="10" t="s">
        <v>411</v>
      </c>
      <c r="C6" s="10" t="s">
        <v>410</v>
      </c>
      <c r="D6" s="10" t="str">
        <f>"0,6851"</f>
        <v>0,6851</v>
      </c>
      <c r="E6" s="10" t="s">
        <v>409</v>
      </c>
      <c r="F6" s="10" t="s">
        <v>105</v>
      </c>
      <c r="G6" s="12" t="s">
        <v>406</v>
      </c>
      <c r="H6" s="11" t="s">
        <v>292</v>
      </c>
      <c r="I6" s="11" t="s">
        <v>292</v>
      </c>
      <c r="J6" s="11"/>
      <c r="K6" s="13" t="str">
        <f>"162,5"</f>
        <v>162,5</v>
      </c>
      <c r="L6" s="14" t="str">
        <f>"130,5886"</f>
        <v>130,5886</v>
      </c>
      <c r="M6" s="10" t="s">
        <v>408</v>
      </c>
    </row>
    <row r="8" spans="1:13" ht="15" x14ac:dyDescent="0.2">
      <c r="E8" s="7" t="s">
        <v>11</v>
      </c>
    </row>
    <row r="9" spans="1:13" ht="15" x14ac:dyDescent="0.2">
      <c r="E9" s="7" t="s">
        <v>12</v>
      </c>
    </row>
    <row r="10" spans="1:13" ht="15" x14ac:dyDescent="0.2">
      <c r="E10" s="7" t="s">
        <v>13</v>
      </c>
    </row>
    <row r="11" spans="1:13" ht="15" x14ac:dyDescent="0.2">
      <c r="E11" s="7" t="s">
        <v>14</v>
      </c>
    </row>
    <row r="12" spans="1:13" ht="15" x14ac:dyDescent="0.2">
      <c r="E12" s="7" t="s">
        <v>14</v>
      </c>
    </row>
    <row r="13" spans="1:13" ht="15" x14ac:dyDescent="0.2">
      <c r="E13" s="7" t="s">
        <v>15</v>
      </c>
    </row>
    <row r="14" spans="1:13" ht="15" x14ac:dyDescent="0.2">
      <c r="E14" s="7"/>
    </row>
    <row r="16" spans="1:13" ht="18" x14ac:dyDescent="0.25">
      <c r="A16" s="9" t="s">
        <v>16</v>
      </c>
      <c r="B16" s="9"/>
    </row>
    <row r="17" spans="1:5" ht="15" x14ac:dyDescent="0.2">
      <c r="A17" s="15" t="s">
        <v>54</v>
      </c>
      <c r="B17" s="15"/>
    </row>
    <row r="18" spans="1:5" ht="14.25" x14ac:dyDescent="0.2">
      <c r="A18" s="17"/>
      <c r="B18" s="18" t="s">
        <v>75</v>
      </c>
    </row>
    <row r="19" spans="1:5" ht="15" x14ac:dyDescent="0.2">
      <c r="A19" s="19" t="s">
        <v>56</v>
      </c>
      <c r="B19" s="19" t="s">
        <v>57</v>
      </c>
      <c r="C19" s="19" t="s">
        <v>58</v>
      </c>
      <c r="D19" s="19" t="s">
        <v>59</v>
      </c>
      <c r="E19" s="19" t="s">
        <v>60</v>
      </c>
    </row>
    <row r="20" spans="1:5" x14ac:dyDescent="0.2">
      <c r="A20" s="16" t="s">
        <v>407</v>
      </c>
      <c r="B20" s="4" t="s">
        <v>72</v>
      </c>
      <c r="C20" s="4" t="s">
        <v>120</v>
      </c>
      <c r="D20" s="4" t="s">
        <v>406</v>
      </c>
      <c r="E20" s="8" t="s">
        <v>405</v>
      </c>
    </row>
  </sheetData>
  <mergeCells count="12"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2" bestFit="1" customWidth="1"/>
    <col min="13" max="13" width="16.28515625" style="4" bestFit="1" customWidth="1"/>
    <col min="14" max="16384" width="9.140625" style="3"/>
  </cols>
  <sheetData>
    <row r="1" spans="1:13" s="2" customFormat="1" ht="29.1" customHeight="1" x14ac:dyDescent="0.2">
      <c r="A1" s="40" t="s">
        <v>446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253</v>
      </c>
      <c r="H3" s="50"/>
      <c r="I3" s="50"/>
      <c r="J3" s="50"/>
      <c r="K3" s="50" t="s">
        <v>17</v>
      </c>
      <c r="L3" s="50" t="s">
        <v>3</v>
      </c>
      <c r="M3" s="36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37"/>
    </row>
    <row r="5" spans="1:13" ht="15" x14ac:dyDescent="0.2">
      <c r="A5" s="38" t="s">
        <v>21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10" t="s">
        <v>115</v>
      </c>
      <c r="B6" s="10" t="s">
        <v>114</v>
      </c>
      <c r="C6" s="10" t="s">
        <v>113</v>
      </c>
      <c r="D6" s="10" t="str">
        <f>"0,6329"</f>
        <v>0,6329</v>
      </c>
      <c r="E6" s="10" t="s">
        <v>112</v>
      </c>
      <c r="F6" s="10" t="s">
        <v>111</v>
      </c>
      <c r="G6" s="12" t="s">
        <v>328</v>
      </c>
      <c r="H6" s="12" t="s">
        <v>359</v>
      </c>
      <c r="I6" s="12" t="s">
        <v>246</v>
      </c>
      <c r="J6" s="11"/>
      <c r="K6" s="13" t="str">
        <f>"140,0"</f>
        <v>140,0</v>
      </c>
      <c r="L6" s="14" t="str">
        <f>"88,6060"</f>
        <v>88,6060</v>
      </c>
      <c r="M6" s="10" t="s">
        <v>53</v>
      </c>
    </row>
    <row r="8" spans="1:13" ht="15" x14ac:dyDescent="0.2">
      <c r="A8" s="51" t="s">
        <v>195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31" t="s">
        <v>445</v>
      </c>
      <c r="B9" s="31" t="s">
        <v>444</v>
      </c>
      <c r="C9" s="31" t="s">
        <v>443</v>
      </c>
      <c r="D9" s="31" t="str">
        <f>"0,5242"</f>
        <v>0,5242</v>
      </c>
      <c r="E9" s="31" t="s">
        <v>442</v>
      </c>
      <c r="F9" s="31" t="s">
        <v>441</v>
      </c>
      <c r="G9" s="35" t="s">
        <v>440</v>
      </c>
      <c r="H9" s="35" t="s">
        <v>237</v>
      </c>
      <c r="I9" s="35" t="s">
        <v>419</v>
      </c>
      <c r="J9" s="34"/>
      <c r="K9" s="33" t="str">
        <f>"205,0"</f>
        <v>205,0</v>
      </c>
      <c r="L9" s="32" t="str">
        <f>"107,4610"</f>
        <v>107,4610</v>
      </c>
      <c r="M9" s="31" t="s">
        <v>439</v>
      </c>
    </row>
    <row r="10" spans="1:13" x14ac:dyDescent="0.2">
      <c r="A10" s="21" t="s">
        <v>438</v>
      </c>
      <c r="B10" s="21" t="s">
        <v>437</v>
      </c>
      <c r="C10" s="21" t="s">
        <v>436</v>
      </c>
      <c r="D10" s="21" t="str">
        <f>"0,5249"</f>
        <v>0,5249</v>
      </c>
      <c r="E10" s="21" t="s">
        <v>435</v>
      </c>
      <c r="F10" s="21" t="s">
        <v>434</v>
      </c>
      <c r="G10" s="25" t="s">
        <v>415</v>
      </c>
      <c r="H10" s="24" t="s">
        <v>433</v>
      </c>
      <c r="I10" s="24" t="s">
        <v>432</v>
      </c>
      <c r="J10" s="24"/>
      <c r="K10" s="23" t="str">
        <f>"230,0"</f>
        <v>230,0</v>
      </c>
      <c r="L10" s="22" t="str">
        <f>"121,0892"</f>
        <v>121,0892</v>
      </c>
      <c r="M10" s="21" t="s">
        <v>431</v>
      </c>
    </row>
    <row r="12" spans="1:13" ht="15" x14ac:dyDescent="0.2">
      <c r="A12" s="51" t="s">
        <v>430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 x14ac:dyDescent="0.2">
      <c r="A13" s="10" t="s">
        <v>429</v>
      </c>
      <c r="B13" s="10" t="s">
        <v>428</v>
      </c>
      <c r="C13" s="10" t="s">
        <v>427</v>
      </c>
      <c r="D13" s="10" t="str">
        <f>"0,4844"</f>
        <v>0,4844</v>
      </c>
      <c r="E13" s="10" t="s">
        <v>426</v>
      </c>
      <c r="F13" s="10" t="s">
        <v>425</v>
      </c>
      <c r="G13" s="12" t="s">
        <v>320</v>
      </c>
      <c r="H13" s="12" t="s">
        <v>415</v>
      </c>
      <c r="I13" s="11" t="s">
        <v>348</v>
      </c>
      <c r="J13" s="11"/>
      <c r="K13" s="13" t="str">
        <f>"230,0"</f>
        <v>230,0</v>
      </c>
      <c r="L13" s="14" t="str">
        <f>"111,4120"</f>
        <v>111,4120</v>
      </c>
      <c r="M13" s="10" t="s">
        <v>424</v>
      </c>
    </row>
    <row r="15" spans="1:13" ht="15" x14ac:dyDescent="0.2">
      <c r="E15" s="7" t="s">
        <v>11</v>
      </c>
    </row>
    <row r="16" spans="1:13" ht="15" x14ac:dyDescent="0.2">
      <c r="E16" s="7" t="s">
        <v>12</v>
      </c>
    </row>
    <row r="17" spans="1:5" ht="15" x14ac:dyDescent="0.2">
      <c r="E17" s="7" t="s">
        <v>13</v>
      </c>
    </row>
    <row r="18" spans="1:5" ht="15" x14ac:dyDescent="0.2">
      <c r="E18" s="7" t="s">
        <v>14</v>
      </c>
    </row>
    <row r="19" spans="1:5" ht="15" x14ac:dyDescent="0.2">
      <c r="E19" s="7" t="s">
        <v>14</v>
      </c>
    </row>
    <row r="20" spans="1:5" ht="15" x14ac:dyDescent="0.2">
      <c r="E20" s="7" t="s">
        <v>15</v>
      </c>
    </row>
    <row r="21" spans="1:5" ht="15" x14ac:dyDescent="0.2">
      <c r="E21" s="7"/>
    </row>
    <row r="23" spans="1:5" ht="18" x14ac:dyDescent="0.25">
      <c r="A23" s="9" t="s">
        <v>16</v>
      </c>
      <c r="B23" s="9"/>
    </row>
    <row r="24" spans="1:5" ht="15" x14ac:dyDescent="0.2">
      <c r="A24" s="15" t="s">
        <v>54</v>
      </c>
      <c r="B24" s="15"/>
    </row>
    <row r="25" spans="1:5" ht="14.25" x14ac:dyDescent="0.2">
      <c r="A25" s="17"/>
      <c r="B25" s="18" t="s">
        <v>55</v>
      </c>
    </row>
    <row r="26" spans="1:5" ht="15" x14ac:dyDescent="0.2">
      <c r="A26" s="19" t="s">
        <v>56</v>
      </c>
      <c r="B26" s="19" t="s">
        <v>57</v>
      </c>
      <c r="C26" s="19" t="s">
        <v>58</v>
      </c>
      <c r="D26" s="19" t="s">
        <v>59</v>
      </c>
      <c r="E26" s="19" t="s">
        <v>60</v>
      </c>
    </row>
    <row r="27" spans="1:5" x14ac:dyDescent="0.2">
      <c r="A27" s="16" t="s">
        <v>423</v>
      </c>
      <c r="B27" s="4" t="s">
        <v>55</v>
      </c>
      <c r="C27" s="4" t="s">
        <v>422</v>
      </c>
      <c r="D27" s="4" t="s">
        <v>415</v>
      </c>
      <c r="E27" s="8" t="s">
        <v>421</v>
      </c>
    </row>
    <row r="28" spans="1:5" x14ac:dyDescent="0.2">
      <c r="A28" s="16" t="s">
        <v>420</v>
      </c>
      <c r="B28" s="4" t="s">
        <v>55</v>
      </c>
      <c r="C28" s="4" t="s">
        <v>179</v>
      </c>
      <c r="D28" s="4" t="s">
        <v>419</v>
      </c>
      <c r="E28" s="8" t="s">
        <v>418</v>
      </c>
    </row>
    <row r="29" spans="1:5" x14ac:dyDescent="0.2">
      <c r="A29" s="16" t="s">
        <v>103</v>
      </c>
      <c r="B29" s="4" t="s">
        <v>55</v>
      </c>
      <c r="C29" s="4" t="s">
        <v>63</v>
      </c>
      <c r="D29" s="4" t="s">
        <v>246</v>
      </c>
      <c r="E29" s="8" t="s">
        <v>417</v>
      </c>
    </row>
    <row r="31" spans="1:5" ht="14.25" x14ac:dyDescent="0.2">
      <c r="A31" s="17"/>
      <c r="B31" s="18" t="s">
        <v>75</v>
      </c>
    </row>
    <row r="32" spans="1:5" ht="15" x14ac:dyDescent="0.2">
      <c r="A32" s="19" t="s">
        <v>56</v>
      </c>
      <c r="B32" s="19" t="s">
        <v>57</v>
      </c>
      <c r="C32" s="19" t="s">
        <v>58</v>
      </c>
      <c r="D32" s="19" t="s">
        <v>59</v>
      </c>
      <c r="E32" s="19" t="s">
        <v>60</v>
      </c>
    </row>
    <row r="33" spans="1:5" x14ac:dyDescent="0.2">
      <c r="A33" s="16" t="s">
        <v>416</v>
      </c>
      <c r="B33" s="4" t="s">
        <v>298</v>
      </c>
      <c r="C33" s="4" t="s">
        <v>179</v>
      </c>
      <c r="D33" s="4" t="s">
        <v>415</v>
      </c>
      <c r="E33" s="8" t="s">
        <v>414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2:J12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140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8" bestFit="1" customWidth="1"/>
    <col min="20" max="20" width="8.5703125" style="2" bestFit="1" customWidth="1"/>
    <col min="21" max="21" width="10" style="4" bestFit="1" customWidth="1"/>
    <col min="22" max="16384" width="9.140625" style="3"/>
  </cols>
  <sheetData>
    <row r="1" spans="1:21" s="2" customFormat="1" ht="29.1" customHeight="1" x14ac:dyDescent="0.2">
      <c r="A1" s="40" t="s">
        <v>628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264</v>
      </c>
      <c r="H3" s="50"/>
      <c r="I3" s="50"/>
      <c r="J3" s="50"/>
      <c r="K3" s="50" t="s">
        <v>253</v>
      </c>
      <c r="L3" s="50"/>
      <c r="M3" s="50"/>
      <c r="N3" s="50"/>
      <c r="O3" s="50" t="s">
        <v>252</v>
      </c>
      <c r="P3" s="50"/>
      <c r="Q3" s="50"/>
      <c r="R3" s="50"/>
      <c r="S3" s="50" t="s">
        <v>1</v>
      </c>
      <c r="T3" s="50" t="s">
        <v>3</v>
      </c>
      <c r="U3" s="36" t="s">
        <v>2</v>
      </c>
    </row>
    <row r="4" spans="1:21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">
        <v>1</v>
      </c>
      <c r="P4" s="6">
        <v>2</v>
      </c>
      <c r="Q4" s="6">
        <v>3</v>
      </c>
      <c r="R4" s="6" t="s">
        <v>5</v>
      </c>
      <c r="S4" s="49"/>
      <c r="T4" s="49"/>
      <c r="U4" s="37"/>
    </row>
    <row r="5" spans="1:21" ht="15" x14ac:dyDescent="0.2">
      <c r="A5" s="38" t="s">
        <v>21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 x14ac:dyDescent="0.2">
      <c r="A6" s="10" t="s">
        <v>627</v>
      </c>
      <c r="B6" s="10" t="s">
        <v>626</v>
      </c>
      <c r="C6" s="10" t="s">
        <v>625</v>
      </c>
      <c r="D6" s="10" t="str">
        <f>"0,6301"</f>
        <v>0,6301</v>
      </c>
      <c r="E6" s="10" t="s">
        <v>260</v>
      </c>
      <c r="F6" s="10" t="s">
        <v>105</v>
      </c>
      <c r="G6" s="12" t="s">
        <v>51</v>
      </c>
      <c r="H6" s="12" t="s">
        <v>52</v>
      </c>
      <c r="I6" s="12" t="s">
        <v>45</v>
      </c>
      <c r="J6" s="11"/>
      <c r="K6" s="12" t="s">
        <v>481</v>
      </c>
      <c r="L6" s="12" t="s">
        <v>564</v>
      </c>
      <c r="M6" s="12" t="s">
        <v>146</v>
      </c>
      <c r="N6" s="11"/>
      <c r="O6" s="12" t="s">
        <v>303</v>
      </c>
      <c r="P6" s="12" t="s">
        <v>615</v>
      </c>
      <c r="Q6" s="12" t="s">
        <v>292</v>
      </c>
      <c r="R6" s="11"/>
      <c r="S6" s="13" t="str">
        <f>"380,0"</f>
        <v>380,0</v>
      </c>
      <c r="T6" s="14" t="str">
        <f>"239,4380"</f>
        <v>239,4380</v>
      </c>
      <c r="U6" s="10" t="s">
        <v>53</v>
      </c>
    </row>
    <row r="8" spans="1:21" ht="15" x14ac:dyDescent="0.2">
      <c r="A8" s="51" t="s">
        <v>32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 x14ac:dyDescent="0.2">
      <c r="A9" s="31" t="s">
        <v>624</v>
      </c>
      <c r="B9" s="31" t="s">
        <v>623</v>
      </c>
      <c r="C9" s="31" t="s">
        <v>622</v>
      </c>
      <c r="D9" s="31" t="str">
        <f>"0,6074"</f>
        <v>0,6074</v>
      </c>
      <c r="E9" s="31" t="s">
        <v>106</v>
      </c>
      <c r="F9" s="31" t="s">
        <v>105</v>
      </c>
      <c r="G9" s="35" t="s">
        <v>237</v>
      </c>
      <c r="H9" s="35" t="s">
        <v>277</v>
      </c>
      <c r="I9" s="35" t="s">
        <v>621</v>
      </c>
      <c r="J9" s="34"/>
      <c r="K9" s="35" t="s">
        <v>248</v>
      </c>
      <c r="L9" s="34" t="s">
        <v>246</v>
      </c>
      <c r="M9" s="34" t="s">
        <v>246</v>
      </c>
      <c r="N9" s="34"/>
      <c r="O9" s="35" t="s">
        <v>280</v>
      </c>
      <c r="P9" s="34" t="s">
        <v>267</v>
      </c>
      <c r="Q9" s="34"/>
      <c r="R9" s="34"/>
      <c r="S9" s="33" t="str">
        <f>"602,5"</f>
        <v>602,5</v>
      </c>
      <c r="T9" s="32" t="str">
        <f>"365,9585"</f>
        <v>365,9585</v>
      </c>
      <c r="U9" s="31" t="s">
        <v>291</v>
      </c>
    </row>
    <row r="10" spans="1:21" x14ac:dyDescent="0.2">
      <c r="A10" s="21" t="s">
        <v>620</v>
      </c>
      <c r="B10" s="21" t="s">
        <v>619</v>
      </c>
      <c r="C10" s="21" t="s">
        <v>618</v>
      </c>
      <c r="D10" s="21" t="str">
        <f>"0,5947"</f>
        <v>0,5947</v>
      </c>
      <c r="E10" s="21" t="s">
        <v>106</v>
      </c>
      <c r="F10" s="21" t="s">
        <v>617</v>
      </c>
      <c r="G10" s="25" t="s">
        <v>440</v>
      </c>
      <c r="H10" s="25" t="s">
        <v>616</v>
      </c>
      <c r="I10" s="24" t="s">
        <v>419</v>
      </c>
      <c r="J10" s="24"/>
      <c r="K10" s="25" t="s">
        <v>246</v>
      </c>
      <c r="L10" s="25" t="s">
        <v>381</v>
      </c>
      <c r="M10" s="24" t="s">
        <v>615</v>
      </c>
      <c r="N10" s="24"/>
      <c r="O10" s="25" t="s">
        <v>277</v>
      </c>
      <c r="P10" s="24" t="s">
        <v>415</v>
      </c>
      <c r="Q10" s="24" t="s">
        <v>415</v>
      </c>
      <c r="R10" s="24"/>
      <c r="S10" s="23" t="str">
        <f>"565,0"</f>
        <v>565,0</v>
      </c>
      <c r="T10" s="22" t="str">
        <f>"339,0295"</f>
        <v>339,0295</v>
      </c>
      <c r="U10" s="21" t="s">
        <v>53</v>
      </c>
    </row>
    <row r="12" spans="1:21" ht="15" x14ac:dyDescent="0.2">
      <c r="A12" s="51" t="s">
        <v>38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21" x14ac:dyDescent="0.2">
      <c r="A13" s="31" t="s">
        <v>613</v>
      </c>
      <c r="B13" s="31" t="s">
        <v>614</v>
      </c>
      <c r="C13" s="31" t="s">
        <v>283</v>
      </c>
      <c r="D13" s="31" t="str">
        <f>"0,5543"</f>
        <v>0,5543</v>
      </c>
      <c r="E13" s="31" t="s">
        <v>611</v>
      </c>
      <c r="F13" s="31" t="s">
        <v>105</v>
      </c>
      <c r="G13" s="35" t="s">
        <v>419</v>
      </c>
      <c r="H13" s="35" t="s">
        <v>415</v>
      </c>
      <c r="I13" s="34" t="s">
        <v>280</v>
      </c>
      <c r="J13" s="34"/>
      <c r="K13" s="35" t="s">
        <v>303</v>
      </c>
      <c r="L13" s="35" t="s">
        <v>406</v>
      </c>
      <c r="M13" s="34" t="s">
        <v>610</v>
      </c>
      <c r="N13" s="34"/>
      <c r="O13" s="35" t="s">
        <v>337</v>
      </c>
      <c r="P13" s="35" t="s">
        <v>609</v>
      </c>
      <c r="Q13" s="34"/>
      <c r="R13" s="34"/>
      <c r="S13" s="33" t="str">
        <f>"672,5"</f>
        <v>672,5</v>
      </c>
      <c r="T13" s="32" t="str">
        <f>"372,7668"</f>
        <v>372,7668</v>
      </c>
      <c r="U13" s="31" t="s">
        <v>53</v>
      </c>
    </row>
    <row r="14" spans="1:21" x14ac:dyDescent="0.2">
      <c r="A14" s="21" t="s">
        <v>613</v>
      </c>
      <c r="B14" s="21" t="s">
        <v>612</v>
      </c>
      <c r="C14" s="21" t="s">
        <v>283</v>
      </c>
      <c r="D14" s="21" t="str">
        <f>"0,5543"</f>
        <v>0,5543</v>
      </c>
      <c r="E14" s="21" t="s">
        <v>611</v>
      </c>
      <c r="F14" s="21" t="s">
        <v>105</v>
      </c>
      <c r="G14" s="25" t="s">
        <v>419</v>
      </c>
      <c r="H14" s="25" t="s">
        <v>415</v>
      </c>
      <c r="I14" s="24" t="s">
        <v>280</v>
      </c>
      <c r="J14" s="24"/>
      <c r="K14" s="25" t="s">
        <v>303</v>
      </c>
      <c r="L14" s="25" t="s">
        <v>406</v>
      </c>
      <c r="M14" s="24" t="s">
        <v>610</v>
      </c>
      <c r="N14" s="24"/>
      <c r="O14" s="25" t="s">
        <v>337</v>
      </c>
      <c r="P14" s="25" t="s">
        <v>609</v>
      </c>
      <c r="Q14" s="24"/>
      <c r="R14" s="24"/>
      <c r="S14" s="23" t="str">
        <f>"672,5"</f>
        <v>672,5</v>
      </c>
      <c r="T14" s="22" t="str">
        <f>"376,1217"</f>
        <v>376,1217</v>
      </c>
      <c r="U14" s="21" t="s">
        <v>53</v>
      </c>
    </row>
    <row r="16" spans="1:21" ht="15" x14ac:dyDescent="0.2">
      <c r="A16" s="51" t="s">
        <v>341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21" x14ac:dyDescent="0.2">
      <c r="A17" s="10" t="s">
        <v>608</v>
      </c>
      <c r="B17" s="10" t="s">
        <v>607</v>
      </c>
      <c r="C17" s="10" t="s">
        <v>606</v>
      </c>
      <c r="D17" s="10" t="str">
        <f>"0,5469"</f>
        <v>0,5469</v>
      </c>
      <c r="E17" s="10" t="s">
        <v>382</v>
      </c>
      <c r="F17" s="10" t="s">
        <v>605</v>
      </c>
      <c r="G17" s="12" t="s">
        <v>238</v>
      </c>
      <c r="H17" s="11" t="s">
        <v>419</v>
      </c>
      <c r="I17" s="12" t="s">
        <v>419</v>
      </c>
      <c r="J17" s="11"/>
      <c r="K17" s="12" t="s">
        <v>246</v>
      </c>
      <c r="L17" s="12" t="s">
        <v>303</v>
      </c>
      <c r="M17" s="12" t="s">
        <v>381</v>
      </c>
      <c r="N17" s="11"/>
      <c r="O17" s="12" t="s">
        <v>277</v>
      </c>
      <c r="P17" s="12" t="s">
        <v>280</v>
      </c>
      <c r="Q17" s="11" t="s">
        <v>267</v>
      </c>
      <c r="R17" s="11"/>
      <c r="S17" s="13" t="str">
        <f>"595,0"</f>
        <v>595,0</v>
      </c>
      <c r="T17" s="14" t="str">
        <f>"325,4055"</f>
        <v>325,4055</v>
      </c>
      <c r="U17" s="10" t="s">
        <v>604</v>
      </c>
    </row>
    <row r="19" spans="1:21" ht="15" x14ac:dyDescent="0.2">
      <c r="A19" s="51" t="s">
        <v>195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21" x14ac:dyDescent="0.2">
      <c r="A20" s="10" t="s">
        <v>603</v>
      </c>
      <c r="B20" s="10" t="s">
        <v>602</v>
      </c>
      <c r="C20" s="10" t="s">
        <v>601</v>
      </c>
      <c r="D20" s="10" t="str">
        <f>"0,5293"</f>
        <v>0,5293</v>
      </c>
      <c r="E20" s="10" t="s">
        <v>106</v>
      </c>
      <c r="F20" s="10" t="s">
        <v>105</v>
      </c>
      <c r="G20" s="12" t="s">
        <v>280</v>
      </c>
      <c r="H20" s="12" t="s">
        <v>337</v>
      </c>
      <c r="I20" s="12" t="s">
        <v>600</v>
      </c>
      <c r="J20" s="11"/>
      <c r="K20" s="12" t="s">
        <v>271</v>
      </c>
      <c r="L20" s="11"/>
      <c r="M20" s="11"/>
      <c r="N20" s="11"/>
      <c r="O20" s="12" t="s">
        <v>280</v>
      </c>
      <c r="P20" s="12" t="s">
        <v>337</v>
      </c>
      <c r="Q20" s="11" t="s">
        <v>236</v>
      </c>
      <c r="R20" s="11"/>
      <c r="S20" s="13" t="str">
        <f>"692,5"</f>
        <v>692,5</v>
      </c>
      <c r="T20" s="14" t="str">
        <f>"366,5402"</f>
        <v>366,5402</v>
      </c>
      <c r="U20" s="10" t="s">
        <v>291</v>
      </c>
    </row>
    <row r="22" spans="1:21" ht="15" x14ac:dyDescent="0.2">
      <c r="E22" s="7" t="s">
        <v>11</v>
      </c>
    </row>
    <row r="23" spans="1:21" ht="15" x14ac:dyDescent="0.2">
      <c r="E23" s="7" t="s">
        <v>12</v>
      </c>
    </row>
    <row r="24" spans="1:21" ht="15" x14ac:dyDescent="0.2">
      <c r="E24" s="7" t="s">
        <v>13</v>
      </c>
    </row>
    <row r="25" spans="1:21" ht="15" x14ac:dyDescent="0.2">
      <c r="E25" s="7" t="s">
        <v>14</v>
      </c>
    </row>
    <row r="26" spans="1:21" ht="15" x14ac:dyDescent="0.2">
      <c r="E26" s="7" t="s">
        <v>14</v>
      </c>
    </row>
    <row r="27" spans="1:21" ht="15" x14ac:dyDescent="0.2">
      <c r="E27" s="7" t="s">
        <v>15</v>
      </c>
    </row>
    <row r="28" spans="1:21" ht="15" x14ac:dyDescent="0.2">
      <c r="E28" s="7"/>
    </row>
    <row r="30" spans="1:21" ht="18" x14ac:dyDescent="0.25">
      <c r="A30" s="9" t="s">
        <v>16</v>
      </c>
      <c r="B30" s="9"/>
    </row>
    <row r="31" spans="1:21" ht="15" x14ac:dyDescent="0.2">
      <c r="A31" s="15" t="s">
        <v>54</v>
      </c>
      <c r="B31" s="15"/>
    </row>
    <row r="32" spans="1:21" ht="14.25" x14ac:dyDescent="0.2">
      <c r="A32" s="17"/>
      <c r="B32" s="18" t="s">
        <v>55</v>
      </c>
    </row>
    <row r="33" spans="1:5" ht="15" x14ac:dyDescent="0.2">
      <c r="A33" s="19" t="s">
        <v>56</v>
      </c>
      <c r="B33" s="19" t="s">
        <v>57</v>
      </c>
      <c r="C33" s="19" t="s">
        <v>58</v>
      </c>
      <c r="D33" s="19" t="s">
        <v>154</v>
      </c>
      <c r="E33" s="19" t="s">
        <v>60</v>
      </c>
    </row>
    <row r="34" spans="1:5" x14ac:dyDescent="0.2">
      <c r="A34" s="16" t="s">
        <v>587</v>
      </c>
      <c r="B34" s="4" t="s">
        <v>55</v>
      </c>
      <c r="C34" s="4" t="s">
        <v>61</v>
      </c>
      <c r="D34" s="4" t="s">
        <v>586</v>
      </c>
      <c r="E34" s="8" t="s">
        <v>599</v>
      </c>
    </row>
    <row r="35" spans="1:5" x14ac:dyDescent="0.2">
      <c r="A35" s="16" t="s">
        <v>598</v>
      </c>
      <c r="B35" s="4" t="s">
        <v>55</v>
      </c>
      <c r="C35" s="4" t="s">
        <v>179</v>
      </c>
      <c r="D35" s="4" t="s">
        <v>597</v>
      </c>
      <c r="E35" s="8" t="s">
        <v>596</v>
      </c>
    </row>
    <row r="36" spans="1:5" x14ac:dyDescent="0.2">
      <c r="A36" s="16" t="s">
        <v>595</v>
      </c>
      <c r="B36" s="4" t="s">
        <v>55</v>
      </c>
      <c r="C36" s="4" t="s">
        <v>67</v>
      </c>
      <c r="D36" s="4" t="s">
        <v>594</v>
      </c>
      <c r="E36" s="8" t="s">
        <v>593</v>
      </c>
    </row>
    <row r="37" spans="1:5" x14ac:dyDescent="0.2">
      <c r="A37" s="16" t="s">
        <v>592</v>
      </c>
      <c r="B37" s="4" t="s">
        <v>55</v>
      </c>
      <c r="C37" s="4" t="s">
        <v>313</v>
      </c>
      <c r="D37" s="4" t="s">
        <v>119</v>
      </c>
      <c r="E37" s="8" t="s">
        <v>591</v>
      </c>
    </row>
    <row r="38" spans="1:5" x14ac:dyDescent="0.2">
      <c r="A38" s="16" t="s">
        <v>590</v>
      </c>
      <c r="B38" s="4" t="s">
        <v>55</v>
      </c>
      <c r="C38" s="4" t="s">
        <v>63</v>
      </c>
      <c r="D38" s="4" t="s">
        <v>589</v>
      </c>
      <c r="E38" s="8" t="s">
        <v>588</v>
      </c>
    </row>
    <row r="40" spans="1:5" ht="14.25" x14ac:dyDescent="0.2">
      <c r="A40" s="17"/>
      <c r="B40" s="18" t="s">
        <v>75</v>
      </c>
    </row>
    <row r="41" spans="1:5" ht="15" x14ac:dyDescent="0.2">
      <c r="A41" s="19" t="s">
        <v>56</v>
      </c>
      <c r="B41" s="19" t="s">
        <v>57</v>
      </c>
      <c r="C41" s="19" t="s">
        <v>58</v>
      </c>
      <c r="D41" s="19" t="s">
        <v>154</v>
      </c>
      <c r="E41" s="19" t="s">
        <v>60</v>
      </c>
    </row>
    <row r="42" spans="1:5" x14ac:dyDescent="0.2">
      <c r="A42" s="16" t="s">
        <v>587</v>
      </c>
      <c r="B42" s="4" t="s">
        <v>298</v>
      </c>
      <c r="C42" s="4" t="s">
        <v>61</v>
      </c>
      <c r="D42" s="4" t="s">
        <v>586</v>
      </c>
      <c r="E42" s="8" t="s">
        <v>585</v>
      </c>
    </row>
    <row r="43" spans="1:5" x14ac:dyDescent="0.2">
      <c r="A43" s="16" t="s">
        <v>584</v>
      </c>
      <c r="B43" s="4" t="s">
        <v>298</v>
      </c>
      <c r="C43" s="4" t="s">
        <v>67</v>
      </c>
      <c r="D43" s="4" t="s">
        <v>583</v>
      </c>
      <c r="E43" s="8" t="s">
        <v>582</v>
      </c>
    </row>
  </sheetData>
  <mergeCells count="18"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A19:R19"/>
    <mergeCell ref="S3:S4"/>
    <mergeCell ref="G3:J3"/>
    <mergeCell ref="K3:N3"/>
    <mergeCell ref="O3:R3"/>
    <mergeCell ref="A8:R8"/>
    <mergeCell ref="A12:R12"/>
    <mergeCell ref="A16:R1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8" bestFit="1" customWidth="1"/>
    <col min="20" max="20" width="8.5703125" style="2" bestFit="1" customWidth="1"/>
    <col min="21" max="21" width="11.5703125" style="4" bestFit="1" customWidth="1"/>
    <col min="22" max="16384" width="9.140625" style="3"/>
  </cols>
  <sheetData>
    <row r="1" spans="1:21" s="2" customFormat="1" ht="29.1" customHeight="1" x14ac:dyDescent="0.2">
      <c r="A1" s="40" t="s">
        <v>731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264</v>
      </c>
      <c r="H3" s="50"/>
      <c r="I3" s="50"/>
      <c r="J3" s="50"/>
      <c r="K3" s="50" t="s">
        <v>253</v>
      </c>
      <c r="L3" s="50"/>
      <c r="M3" s="50"/>
      <c r="N3" s="50"/>
      <c r="O3" s="50" t="s">
        <v>252</v>
      </c>
      <c r="P3" s="50"/>
      <c r="Q3" s="50"/>
      <c r="R3" s="50"/>
      <c r="S3" s="50" t="s">
        <v>1</v>
      </c>
      <c r="T3" s="50" t="s">
        <v>3</v>
      </c>
      <c r="U3" s="36" t="s">
        <v>2</v>
      </c>
    </row>
    <row r="4" spans="1:21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">
        <v>1</v>
      </c>
      <c r="P4" s="6">
        <v>2</v>
      </c>
      <c r="Q4" s="6">
        <v>3</v>
      </c>
      <c r="R4" s="6" t="s">
        <v>5</v>
      </c>
      <c r="S4" s="49"/>
      <c r="T4" s="49"/>
      <c r="U4" s="37"/>
    </row>
    <row r="5" spans="1:21" ht="15" x14ac:dyDescent="0.2">
      <c r="A5" s="38" t="s">
        <v>195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 x14ac:dyDescent="0.2">
      <c r="A6" s="10" t="s">
        <v>730</v>
      </c>
      <c r="B6" s="10" t="s">
        <v>729</v>
      </c>
      <c r="C6" s="10" t="s">
        <v>728</v>
      </c>
      <c r="D6" s="10" t="str">
        <f>"0,5243"</f>
        <v>0,5243</v>
      </c>
      <c r="E6" s="10" t="s">
        <v>106</v>
      </c>
      <c r="F6" s="10" t="s">
        <v>105</v>
      </c>
      <c r="G6" s="11" t="s">
        <v>320</v>
      </c>
      <c r="H6" s="12" t="s">
        <v>348</v>
      </c>
      <c r="I6" s="11" t="s">
        <v>279</v>
      </c>
      <c r="J6" s="11"/>
      <c r="K6" s="12" t="s">
        <v>239</v>
      </c>
      <c r="L6" s="12" t="s">
        <v>440</v>
      </c>
      <c r="M6" s="11" t="s">
        <v>727</v>
      </c>
      <c r="N6" s="11"/>
      <c r="O6" s="12" t="s">
        <v>320</v>
      </c>
      <c r="P6" s="12" t="s">
        <v>348</v>
      </c>
      <c r="Q6" s="11" t="s">
        <v>279</v>
      </c>
      <c r="R6" s="11"/>
      <c r="S6" s="13" t="str">
        <f>"655,0"</f>
        <v>655,0</v>
      </c>
      <c r="T6" s="14" t="str">
        <f>"343,4165"</f>
        <v>343,4165</v>
      </c>
      <c r="U6" s="10" t="s">
        <v>342</v>
      </c>
    </row>
    <row r="8" spans="1:21" ht="15" x14ac:dyDescent="0.2">
      <c r="E8" s="7" t="s">
        <v>11</v>
      </c>
    </row>
    <row r="9" spans="1:21" ht="15" x14ac:dyDescent="0.2">
      <c r="E9" s="7" t="s">
        <v>12</v>
      </c>
    </row>
    <row r="10" spans="1:21" ht="15" x14ac:dyDescent="0.2">
      <c r="E10" s="7" t="s">
        <v>13</v>
      </c>
    </row>
    <row r="11" spans="1:21" ht="15" x14ac:dyDescent="0.2">
      <c r="E11" s="7" t="s">
        <v>14</v>
      </c>
    </row>
    <row r="12" spans="1:21" ht="15" x14ac:dyDescent="0.2">
      <c r="E12" s="7" t="s">
        <v>14</v>
      </c>
    </row>
    <row r="13" spans="1:21" ht="15" x14ac:dyDescent="0.2">
      <c r="E13" s="7" t="s">
        <v>15</v>
      </c>
    </row>
    <row r="14" spans="1:21" ht="15" x14ac:dyDescent="0.2">
      <c r="E14" s="7"/>
    </row>
    <row r="16" spans="1:21" ht="18" x14ac:dyDescent="0.25">
      <c r="A16" s="9" t="s">
        <v>16</v>
      </c>
      <c r="B16" s="9"/>
    </row>
    <row r="17" spans="1:5" ht="15" x14ac:dyDescent="0.2">
      <c r="A17" s="15" t="s">
        <v>54</v>
      </c>
      <c r="B17" s="15"/>
    </row>
    <row r="18" spans="1:5" ht="14.25" x14ac:dyDescent="0.2">
      <c r="A18" s="17"/>
      <c r="B18" s="18" t="s">
        <v>55</v>
      </c>
    </row>
    <row r="19" spans="1:5" ht="15" x14ac:dyDescent="0.2">
      <c r="A19" s="19" t="s">
        <v>56</v>
      </c>
      <c r="B19" s="19" t="s">
        <v>57</v>
      </c>
      <c r="C19" s="19" t="s">
        <v>58</v>
      </c>
      <c r="D19" s="19" t="s">
        <v>154</v>
      </c>
      <c r="E19" s="19" t="s">
        <v>60</v>
      </c>
    </row>
    <row r="20" spans="1:5" x14ac:dyDescent="0.2">
      <c r="A20" s="16" t="s">
        <v>726</v>
      </c>
      <c r="B20" s="4" t="s">
        <v>55</v>
      </c>
      <c r="C20" s="4" t="s">
        <v>179</v>
      </c>
      <c r="D20" s="4" t="s">
        <v>725</v>
      </c>
      <c r="E20" s="8" t="s">
        <v>724</v>
      </c>
    </row>
  </sheetData>
  <mergeCells count="14"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3" width="5.5703125" style="3" customWidth="1"/>
    <col min="14" max="14" width="4.85546875" style="3" customWidth="1"/>
    <col min="15" max="16" width="5.5703125" style="3" customWidth="1"/>
    <col min="17" max="17" width="2.140625" style="3" customWidth="1"/>
    <col min="18" max="18" width="4.85546875" style="3" customWidth="1"/>
    <col min="19" max="19" width="7.85546875" style="8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40" t="s">
        <v>739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264</v>
      </c>
      <c r="H3" s="50"/>
      <c r="I3" s="50"/>
      <c r="J3" s="50"/>
      <c r="K3" s="50" t="s">
        <v>253</v>
      </c>
      <c r="L3" s="50"/>
      <c r="M3" s="50"/>
      <c r="N3" s="50"/>
      <c r="O3" s="50" t="s">
        <v>252</v>
      </c>
      <c r="P3" s="50"/>
      <c r="Q3" s="50"/>
      <c r="R3" s="50"/>
      <c r="S3" s="50" t="s">
        <v>1</v>
      </c>
      <c r="T3" s="50" t="s">
        <v>3</v>
      </c>
      <c r="U3" s="36" t="s">
        <v>2</v>
      </c>
    </row>
    <row r="4" spans="1:21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">
        <v>1</v>
      </c>
      <c r="P4" s="6">
        <v>2</v>
      </c>
      <c r="Q4" s="6">
        <v>3</v>
      </c>
      <c r="R4" s="6" t="s">
        <v>5</v>
      </c>
      <c r="S4" s="49"/>
      <c r="T4" s="49"/>
      <c r="U4" s="37"/>
    </row>
    <row r="5" spans="1:21" ht="15" x14ac:dyDescent="0.2">
      <c r="A5" s="38" t="s">
        <v>38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 x14ac:dyDescent="0.2">
      <c r="A6" s="10" t="s">
        <v>738</v>
      </c>
      <c r="B6" s="10" t="s">
        <v>737</v>
      </c>
      <c r="C6" s="10" t="s">
        <v>695</v>
      </c>
      <c r="D6" s="10" t="str">
        <f>"0,5540"</f>
        <v>0,5540</v>
      </c>
      <c r="E6" s="10" t="s">
        <v>260</v>
      </c>
      <c r="F6" s="10" t="s">
        <v>105</v>
      </c>
      <c r="G6" s="12" t="s">
        <v>229</v>
      </c>
      <c r="H6" s="12" t="s">
        <v>736</v>
      </c>
      <c r="I6" s="11"/>
      <c r="J6" s="11"/>
      <c r="K6" s="12" t="s">
        <v>235</v>
      </c>
      <c r="L6" s="11" t="s">
        <v>735</v>
      </c>
      <c r="M6" s="11" t="s">
        <v>735</v>
      </c>
      <c r="N6" s="11"/>
      <c r="O6" s="12" t="s">
        <v>337</v>
      </c>
      <c r="P6" s="12" t="s">
        <v>609</v>
      </c>
      <c r="Q6" s="11"/>
      <c r="R6" s="11"/>
      <c r="S6" s="13" t="str">
        <f>"935,0"</f>
        <v>935,0</v>
      </c>
      <c r="T6" s="14" t="str">
        <f>"517,9900"</f>
        <v>517,9900</v>
      </c>
      <c r="U6" s="10" t="s">
        <v>53</v>
      </c>
    </row>
    <row r="8" spans="1:21" ht="15" x14ac:dyDescent="0.2">
      <c r="E8" s="7" t="s">
        <v>11</v>
      </c>
    </row>
    <row r="9" spans="1:21" ht="15" x14ac:dyDescent="0.2">
      <c r="E9" s="7" t="s">
        <v>12</v>
      </c>
    </row>
    <row r="10" spans="1:21" ht="15" x14ac:dyDescent="0.2">
      <c r="E10" s="7" t="s">
        <v>13</v>
      </c>
    </row>
    <row r="11" spans="1:21" ht="15" x14ac:dyDescent="0.2">
      <c r="E11" s="7" t="s">
        <v>14</v>
      </c>
    </row>
    <row r="12" spans="1:21" ht="15" x14ac:dyDescent="0.2">
      <c r="E12" s="7" t="s">
        <v>14</v>
      </c>
    </row>
    <row r="13" spans="1:21" ht="15" x14ac:dyDescent="0.2">
      <c r="E13" s="7" t="s">
        <v>15</v>
      </c>
    </row>
    <row r="14" spans="1:21" ht="15" x14ac:dyDescent="0.2">
      <c r="E14" s="7"/>
    </row>
    <row r="16" spans="1:21" ht="18" x14ac:dyDescent="0.25">
      <c r="A16" s="9" t="s">
        <v>16</v>
      </c>
      <c r="B16" s="9"/>
    </row>
    <row r="17" spans="1:5" ht="15" x14ac:dyDescent="0.2">
      <c r="A17" s="15" t="s">
        <v>54</v>
      </c>
      <c r="B17" s="15"/>
    </row>
    <row r="18" spans="1:5" ht="14.25" x14ac:dyDescent="0.2">
      <c r="A18" s="17"/>
      <c r="B18" s="18" t="s">
        <v>55</v>
      </c>
    </row>
    <row r="19" spans="1:5" ht="15" x14ac:dyDescent="0.2">
      <c r="A19" s="19" t="s">
        <v>56</v>
      </c>
      <c r="B19" s="19" t="s">
        <v>57</v>
      </c>
      <c r="C19" s="19" t="s">
        <v>58</v>
      </c>
      <c r="D19" s="19" t="s">
        <v>154</v>
      </c>
      <c r="E19" s="19" t="s">
        <v>60</v>
      </c>
    </row>
    <row r="20" spans="1:5" x14ac:dyDescent="0.2">
      <c r="A20" s="16" t="s">
        <v>734</v>
      </c>
      <c r="B20" s="4" t="s">
        <v>55</v>
      </c>
      <c r="C20" s="4" t="s">
        <v>61</v>
      </c>
      <c r="D20" s="4" t="s">
        <v>733</v>
      </c>
      <c r="E20" s="8" t="s">
        <v>732</v>
      </c>
    </row>
  </sheetData>
  <mergeCells count="14"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0" t="s">
        <v>750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749</v>
      </c>
      <c r="E3" s="50" t="s">
        <v>4</v>
      </c>
      <c r="F3" s="50" t="s">
        <v>7</v>
      </c>
      <c r="G3" s="50" t="s">
        <v>748</v>
      </c>
      <c r="H3" s="50"/>
      <c r="I3" s="50" t="s">
        <v>94</v>
      </c>
      <c r="J3" s="50" t="s">
        <v>3</v>
      </c>
      <c r="K3" s="36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37"/>
    </row>
    <row r="5" spans="1:11" ht="15" x14ac:dyDescent="0.2">
      <c r="A5" s="38" t="s">
        <v>747</v>
      </c>
      <c r="B5" s="39"/>
      <c r="C5" s="39"/>
      <c r="D5" s="39"/>
      <c r="E5" s="39"/>
      <c r="F5" s="39"/>
      <c r="G5" s="39"/>
      <c r="H5" s="39"/>
    </row>
    <row r="6" spans="1:11" x14ac:dyDescent="0.2">
      <c r="A6" s="10" t="s">
        <v>746</v>
      </c>
      <c r="B6" s="10" t="s">
        <v>745</v>
      </c>
      <c r="C6" s="10" t="s">
        <v>744</v>
      </c>
      <c r="D6" s="10" t="str">
        <f>"1,0000"</f>
        <v>1,0000</v>
      </c>
      <c r="E6" s="10" t="s">
        <v>205</v>
      </c>
      <c r="F6" s="10" t="s">
        <v>204</v>
      </c>
      <c r="G6" s="12" t="s">
        <v>160</v>
      </c>
      <c r="H6" s="12" t="s">
        <v>128</v>
      </c>
      <c r="I6" s="13" t="str">
        <f>"1750,0"</f>
        <v>1750,0</v>
      </c>
      <c r="J6" s="14" t="str">
        <f>"18,5774"</f>
        <v>18,5774</v>
      </c>
      <c r="K6" s="10" t="s">
        <v>53</v>
      </c>
    </row>
    <row r="8" spans="1:11" ht="15" x14ac:dyDescent="0.2">
      <c r="E8" s="7" t="s">
        <v>11</v>
      </c>
    </row>
    <row r="9" spans="1:11" ht="15" x14ac:dyDescent="0.2">
      <c r="E9" s="7" t="s">
        <v>12</v>
      </c>
    </row>
    <row r="10" spans="1:11" ht="15" x14ac:dyDescent="0.2">
      <c r="E10" s="7" t="s">
        <v>13</v>
      </c>
    </row>
    <row r="11" spans="1:11" ht="15" x14ac:dyDescent="0.2">
      <c r="E11" s="7" t="s">
        <v>14</v>
      </c>
    </row>
    <row r="12" spans="1:11" ht="15" x14ac:dyDescent="0.2">
      <c r="E12" s="7" t="s">
        <v>14</v>
      </c>
    </row>
    <row r="13" spans="1:11" ht="15" x14ac:dyDescent="0.2">
      <c r="E13" s="7" t="s">
        <v>15</v>
      </c>
    </row>
    <row r="14" spans="1:11" ht="15" x14ac:dyDescent="0.2">
      <c r="E14" s="7"/>
    </row>
    <row r="16" spans="1:11" ht="18" x14ac:dyDescent="0.25">
      <c r="A16" s="9" t="s">
        <v>16</v>
      </c>
      <c r="B16" s="9"/>
    </row>
    <row r="17" spans="1:5" ht="15" x14ac:dyDescent="0.2">
      <c r="A17" s="15" t="s">
        <v>54</v>
      </c>
      <c r="B17" s="15"/>
    </row>
    <row r="18" spans="1:5" ht="14.25" x14ac:dyDescent="0.2">
      <c r="A18" s="17"/>
      <c r="B18" s="18" t="s">
        <v>55</v>
      </c>
    </row>
    <row r="19" spans="1:5" ht="15" x14ac:dyDescent="0.2">
      <c r="A19" s="19" t="s">
        <v>56</v>
      </c>
      <c r="B19" s="19" t="s">
        <v>57</v>
      </c>
      <c r="C19" s="19" t="s">
        <v>58</v>
      </c>
      <c r="D19" s="19" t="s">
        <v>59</v>
      </c>
      <c r="E19" s="19" t="s">
        <v>743</v>
      </c>
    </row>
    <row r="20" spans="1:5" x14ac:dyDescent="0.2">
      <c r="A20" s="16" t="s">
        <v>742</v>
      </c>
      <c r="B20" s="4" t="s">
        <v>55</v>
      </c>
      <c r="C20" s="4" t="s">
        <v>741</v>
      </c>
      <c r="D20" s="4" t="s">
        <v>141</v>
      </c>
      <c r="E20" s="8" t="s">
        <v>740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7" width="5.5703125" style="3" customWidth="1"/>
    <col min="8" max="8" width="10.42578125" style="3" customWidth="1"/>
    <col min="9" max="9" width="7.85546875" style="8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0" t="s">
        <v>757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749</v>
      </c>
      <c r="E3" s="50" t="s">
        <v>4</v>
      </c>
      <c r="F3" s="50" t="s">
        <v>7</v>
      </c>
      <c r="G3" s="50" t="s">
        <v>748</v>
      </c>
      <c r="H3" s="50"/>
      <c r="I3" s="50" t="s">
        <v>94</v>
      </c>
      <c r="J3" s="50" t="s">
        <v>3</v>
      </c>
      <c r="K3" s="36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37"/>
    </row>
    <row r="5" spans="1:11" ht="15" x14ac:dyDescent="0.2">
      <c r="A5" s="38" t="s">
        <v>747</v>
      </c>
      <c r="B5" s="39"/>
      <c r="C5" s="39"/>
      <c r="D5" s="39"/>
      <c r="E5" s="39"/>
      <c r="F5" s="39"/>
      <c r="G5" s="39"/>
      <c r="H5" s="39"/>
    </row>
    <row r="6" spans="1:11" x14ac:dyDescent="0.2">
      <c r="A6" s="10" t="s">
        <v>756</v>
      </c>
      <c r="B6" s="10" t="s">
        <v>755</v>
      </c>
      <c r="C6" s="10" t="s">
        <v>754</v>
      </c>
      <c r="D6" s="10" t="str">
        <f>"1,0000"</f>
        <v>1,0000</v>
      </c>
      <c r="E6" s="10" t="s">
        <v>382</v>
      </c>
      <c r="F6" s="10" t="s">
        <v>105</v>
      </c>
      <c r="G6" s="12" t="s">
        <v>381</v>
      </c>
      <c r="H6" s="12" t="s">
        <v>145</v>
      </c>
      <c r="I6" s="13" t="str">
        <f>"3000,0"</f>
        <v>3000,0</v>
      </c>
      <c r="J6" s="14" t="str">
        <f>"31,7796"</f>
        <v>31,7796</v>
      </c>
      <c r="K6" s="10" t="s">
        <v>53</v>
      </c>
    </row>
    <row r="8" spans="1:11" ht="15" x14ac:dyDescent="0.2">
      <c r="E8" s="7" t="s">
        <v>11</v>
      </c>
    </row>
    <row r="9" spans="1:11" ht="15" x14ac:dyDescent="0.2">
      <c r="E9" s="7" t="s">
        <v>12</v>
      </c>
    </row>
    <row r="10" spans="1:11" ht="15" x14ac:dyDescent="0.2">
      <c r="E10" s="7" t="s">
        <v>13</v>
      </c>
    </row>
    <row r="11" spans="1:11" ht="15" x14ac:dyDescent="0.2">
      <c r="E11" s="7" t="s">
        <v>14</v>
      </c>
    </row>
    <row r="12" spans="1:11" ht="15" x14ac:dyDescent="0.2">
      <c r="E12" s="7" t="s">
        <v>14</v>
      </c>
    </row>
    <row r="13" spans="1:11" ht="15" x14ac:dyDescent="0.2">
      <c r="E13" s="7" t="s">
        <v>15</v>
      </c>
    </row>
    <row r="14" spans="1:11" ht="15" x14ac:dyDescent="0.2">
      <c r="E14" s="7"/>
    </row>
    <row r="16" spans="1:11" ht="18" x14ac:dyDescent="0.25">
      <c r="A16" s="9" t="s">
        <v>16</v>
      </c>
      <c r="B16" s="9"/>
    </row>
    <row r="17" spans="1:5" ht="15" x14ac:dyDescent="0.2">
      <c r="A17" s="15" t="s">
        <v>54</v>
      </c>
      <c r="B17" s="15"/>
    </row>
    <row r="18" spans="1:5" ht="14.25" x14ac:dyDescent="0.2">
      <c r="A18" s="17"/>
      <c r="B18" s="18" t="s">
        <v>55</v>
      </c>
    </row>
    <row r="19" spans="1:5" ht="15" x14ac:dyDescent="0.2">
      <c r="A19" s="19" t="s">
        <v>56</v>
      </c>
      <c r="B19" s="19" t="s">
        <v>57</v>
      </c>
      <c r="C19" s="19" t="s">
        <v>58</v>
      </c>
      <c r="D19" s="19" t="s">
        <v>59</v>
      </c>
      <c r="E19" s="19" t="s">
        <v>743</v>
      </c>
    </row>
    <row r="20" spans="1:5" x14ac:dyDescent="0.2">
      <c r="A20" s="16" t="s">
        <v>753</v>
      </c>
      <c r="B20" s="4" t="s">
        <v>55</v>
      </c>
      <c r="C20" s="4" t="s">
        <v>741</v>
      </c>
      <c r="D20" s="4" t="s">
        <v>752</v>
      </c>
      <c r="E20" s="8" t="s">
        <v>751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7" width="5.5703125" style="3" customWidth="1"/>
    <col min="8" max="8" width="10.42578125" style="3" customWidth="1"/>
    <col min="9" max="9" width="7.85546875" style="8" bestFit="1" customWidth="1"/>
    <col min="10" max="10" width="9.5703125" style="2" bestFit="1" customWidth="1"/>
    <col min="11" max="11" width="17.5703125" style="4" bestFit="1" customWidth="1"/>
    <col min="12" max="16384" width="9.140625" style="3"/>
  </cols>
  <sheetData>
    <row r="1" spans="1:11" s="2" customFormat="1" ht="29.1" customHeight="1" x14ac:dyDescent="0.2">
      <c r="A1" s="40" t="s">
        <v>97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96</v>
      </c>
      <c r="E3" s="50" t="s">
        <v>4</v>
      </c>
      <c r="F3" s="50" t="s">
        <v>7</v>
      </c>
      <c r="G3" s="50" t="s">
        <v>95</v>
      </c>
      <c r="H3" s="50"/>
      <c r="I3" s="50" t="s">
        <v>94</v>
      </c>
      <c r="J3" s="50" t="s">
        <v>3</v>
      </c>
      <c r="K3" s="36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37"/>
    </row>
    <row r="5" spans="1:11" ht="15" x14ac:dyDescent="0.2">
      <c r="A5" s="38" t="s">
        <v>93</v>
      </c>
      <c r="B5" s="39"/>
      <c r="C5" s="39"/>
      <c r="D5" s="39"/>
      <c r="E5" s="39"/>
      <c r="F5" s="39"/>
      <c r="G5" s="39"/>
      <c r="H5" s="39"/>
    </row>
    <row r="6" spans="1:11" x14ac:dyDescent="0.2">
      <c r="A6" s="10" t="s">
        <v>92</v>
      </c>
      <c r="B6" s="10" t="s">
        <v>91</v>
      </c>
      <c r="C6" s="10" t="s">
        <v>90</v>
      </c>
      <c r="D6" s="10" t="str">
        <f>"0,8434"</f>
        <v>0,8434</v>
      </c>
      <c r="E6" s="10" t="s">
        <v>89</v>
      </c>
      <c r="F6" s="10" t="s">
        <v>88</v>
      </c>
      <c r="G6" s="12" t="s">
        <v>30</v>
      </c>
      <c r="H6" s="12" t="s">
        <v>87</v>
      </c>
      <c r="I6" s="13" t="str">
        <f>"3900,0"</f>
        <v>3900,0</v>
      </c>
      <c r="J6" s="14" t="str">
        <f>"3289,2600"</f>
        <v>3289,2600</v>
      </c>
      <c r="K6" s="10" t="s">
        <v>53</v>
      </c>
    </row>
    <row r="8" spans="1:11" ht="15" x14ac:dyDescent="0.2">
      <c r="A8" s="51" t="s">
        <v>32</v>
      </c>
      <c r="B8" s="52"/>
      <c r="C8" s="52"/>
      <c r="D8" s="52"/>
      <c r="E8" s="52"/>
      <c r="F8" s="52"/>
      <c r="G8" s="52"/>
      <c r="H8" s="52"/>
    </row>
    <row r="9" spans="1:11" x14ac:dyDescent="0.2">
      <c r="A9" s="10" t="s">
        <v>86</v>
      </c>
      <c r="B9" s="10" t="s">
        <v>85</v>
      </c>
      <c r="C9" s="10" t="s">
        <v>84</v>
      </c>
      <c r="D9" s="10" t="str">
        <f>"0,7217"</f>
        <v>0,7217</v>
      </c>
      <c r="E9" s="10" t="s">
        <v>83</v>
      </c>
      <c r="F9" s="10" t="s">
        <v>82</v>
      </c>
      <c r="G9" s="12" t="s">
        <v>81</v>
      </c>
      <c r="H9" s="12" t="s">
        <v>80</v>
      </c>
      <c r="I9" s="13" t="str">
        <f>"5490,0"</f>
        <v>5490,0</v>
      </c>
      <c r="J9" s="14" t="str">
        <f>"3962,1331"</f>
        <v>3962,1331</v>
      </c>
      <c r="K9" s="10" t="s">
        <v>79</v>
      </c>
    </row>
    <row r="11" spans="1:11" ht="15" x14ac:dyDescent="0.2">
      <c r="E11" s="7" t="s">
        <v>11</v>
      </c>
    </row>
    <row r="12" spans="1:11" ht="15" x14ac:dyDescent="0.2">
      <c r="E12" s="7" t="s">
        <v>12</v>
      </c>
    </row>
    <row r="13" spans="1:11" ht="15" x14ac:dyDescent="0.2">
      <c r="E13" s="7" t="s">
        <v>13</v>
      </c>
    </row>
    <row r="14" spans="1:11" ht="15" x14ac:dyDescent="0.2">
      <c r="E14" s="7" t="s">
        <v>14</v>
      </c>
    </row>
    <row r="15" spans="1:11" ht="15" x14ac:dyDescent="0.2">
      <c r="E15" s="7" t="s">
        <v>14</v>
      </c>
    </row>
    <row r="16" spans="1:11" ht="15" x14ac:dyDescent="0.2">
      <c r="E16" s="7" t="s">
        <v>15</v>
      </c>
    </row>
    <row r="17" spans="1:5" ht="15" x14ac:dyDescent="0.2">
      <c r="E17" s="7"/>
    </row>
    <row r="19" spans="1:5" ht="18" x14ac:dyDescent="0.25">
      <c r="A19" s="9" t="s">
        <v>16</v>
      </c>
      <c r="B19" s="9"/>
    </row>
    <row r="20" spans="1:5" ht="15" x14ac:dyDescent="0.2">
      <c r="A20" s="15" t="s">
        <v>54</v>
      </c>
      <c r="B20" s="15"/>
    </row>
    <row r="21" spans="1:5" ht="14.25" x14ac:dyDescent="0.2">
      <c r="A21" s="17"/>
      <c r="B21" s="18" t="s">
        <v>55</v>
      </c>
    </row>
    <row r="22" spans="1:5" ht="15" x14ac:dyDescent="0.2">
      <c r="A22" s="19" t="s">
        <v>56</v>
      </c>
      <c r="B22" s="19" t="s">
        <v>57</v>
      </c>
      <c r="C22" s="19" t="s">
        <v>58</v>
      </c>
      <c r="D22" s="19" t="s">
        <v>59</v>
      </c>
      <c r="E22" s="19" t="s">
        <v>74</v>
      </c>
    </row>
    <row r="23" spans="1:5" x14ac:dyDescent="0.2">
      <c r="A23" s="16" t="s">
        <v>78</v>
      </c>
      <c r="B23" s="4" t="s">
        <v>55</v>
      </c>
      <c r="C23" s="4" t="s">
        <v>67</v>
      </c>
      <c r="D23" s="4" t="s">
        <v>77</v>
      </c>
      <c r="E23" s="8" t="s">
        <v>76</v>
      </c>
    </row>
    <row r="25" spans="1:5" ht="14.25" x14ac:dyDescent="0.2">
      <c r="A25" s="17"/>
      <c r="B25" s="18" t="s">
        <v>75</v>
      </c>
    </row>
    <row r="26" spans="1:5" ht="15" x14ac:dyDescent="0.2">
      <c r="A26" s="19" t="s">
        <v>56</v>
      </c>
      <c r="B26" s="19" t="s">
        <v>57</v>
      </c>
      <c r="C26" s="19" t="s">
        <v>58</v>
      </c>
      <c r="D26" s="19" t="s">
        <v>59</v>
      </c>
      <c r="E26" s="19" t="s">
        <v>74</v>
      </c>
    </row>
    <row r="27" spans="1:5" x14ac:dyDescent="0.2">
      <c r="A27" s="16" t="s">
        <v>73</v>
      </c>
      <c r="B27" s="4" t="s">
        <v>72</v>
      </c>
      <c r="C27" s="4" t="s">
        <v>71</v>
      </c>
      <c r="D27" s="4" t="s">
        <v>70</v>
      </c>
      <c r="E27" s="8" t="s">
        <v>69</v>
      </c>
    </row>
  </sheetData>
  <mergeCells count="13">
    <mergeCell ref="A1:K2"/>
    <mergeCell ref="A3:A4"/>
    <mergeCell ref="B3:B4"/>
    <mergeCell ref="C3:C4"/>
    <mergeCell ref="D3:D4"/>
    <mergeCell ref="E3:E4"/>
    <mergeCell ref="F3:F4"/>
    <mergeCell ref="A8:H8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7.5703125" style="2" bestFit="1" customWidth="1"/>
    <col min="11" max="11" width="10.7109375" style="4" bestFit="1" customWidth="1"/>
    <col min="12" max="16384" width="9.140625" style="3"/>
  </cols>
  <sheetData>
    <row r="1" spans="1:11" s="2" customFormat="1" ht="29.1" customHeight="1" x14ac:dyDescent="0.2">
      <c r="A1" s="40" t="s">
        <v>765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749</v>
      </c>
      <c r="E3" s="50" t="s">
        <v>4</v>
      </c>
      <c r="F3" s="50" t="s">
        <v>7</v>
      </c>
      <c r="G3" s="50" t="s">
        <v>748</v>
      </c>
      <c r="H3" s="50"/>
      <c r="I3" s="50" t="s">
        <v>94</v>
      </c>
      <c r="J3" s="50" t="s">
        <v>3</v>
      </c>
      <c r="K3" s="36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37"/>
    </row>
    <row r="5" spans="1:11" ht="15" x14ac:dyDescent="0.2">
      <c r="A5" s="38" t="s">
        <v>747</v>
      </c>
      <c r="B5" s="39"/>
      <c r="C5" s="39"/>
      <c r="D5" s="39"/>
      <c r="E5" s="39"/>
      <c r="F5" s="39"/>
      <c r="G5" s="39"/>
      <c r="H5" s="39"/>
    </row>
    <row r="6" spans="1:11" x14ac:dyDescent="0.2">
      <c r="A6" s="10" t="s">
        <v>764</v>
      </c>
      <c r="B6" s="10" t="s">
        <v>763</v>
      </c>
      <c r="C6" s="10" t="s">
        <v>554</v>
      </c>
      <c r="D6" s="10" t="str">
        <f>"1,0000"</f>
        <v>1,0000</v>
      </c>
      <c r="E6" s="10" t="s">
        <v>365</v>
      </c>
      <c r="F6" s="10" t="s">
        <v>204</v>
      </c>
      <c r="G6" s="12" t="s">
        <v>222</v>
      </c>
      <c r="H6" s="12" t="s">
        <v>762</v>
      </c>
      <c r="I6" s="13" t="str">
        <f>"1560,0"</f>
        <v>1560,0</v>
      </c>
      <c r="J6" s="14" t="str">
        <f>"19,0243"</f>
        <v>19,0243</v>
      </c>
      <c r="K6" s="10" t="s">
        <v>761</v>
      </c>
    </row>
    <row r="8" spans="1:11" ht="15" x14ac:dyDescent="0.2">
      <c r="E8" s="7" t="s">
        <v>11</v>
      </c>
    </row>
    <row r="9" spans="1:11" ht="15" x14ac:dyDescent="0.2">
      <c r="E9" s="7" t="s">
        <v>12</v>
      </c>
    </row>
    <row r="10" spans="1:11" ht="15" x14ac:dyDescent="0.2">
      <c r="E10" s="7" t="s">
        <v>13</v>
      </c>
    </row>
    <row r="11" spans="1:11" ht="15" x14ac:dyDescent="0.2">
      <c r="E11" s="7" t="s">
        <v>14</v>
      </c>
    </row>
    <row r="12" spans="1:11" ht="15" x14ac:dyDescent="0.2">
      <c r="E12" s="7" t="s">
        <v>14</v>
      </c>
    </row>
    <row r="13" spans="1:11" ht="15" x14ac:dyDescent="0.2">
      <c r="E13" s="7" t="s">
        <v>15</v>
      </c>
    </row>
    <row r="14" spans="1:11" ht="15" x14ac:dyDescent="0.2">
      <c r="E14" s="7"/>
    </row>
    <row r="16" spans="1:11" ht="18" x14ac:dyDescent="0.25">
      <c r="A16" s="9" t="s">
        <v>16</v>
      </c>
      <c r="B16" s="9"/>
    </row>
    <row r="17" spans="1:5" ht="15" x14ac:dyDescent="0.2">
      <c r="A17" s="15" t="s">
        <v>126</v>
      </c>
      <c r="B17" s="15"/>
    </row>
    <row r="18" spans="1:5" ht="14.25" x14ac:dyDescent="0.2">
      <c r="A18" s="17"/>
      <c r="B18" s="18" t="s">
        <v>75</v>
      </c>
    </row>
    <row r="19" spans="1:5" ht="15" x14ac:dyDescent="0.2">
      <c r="A19" s="19" t="s">
        <v>56</v>
      </c>
      <c r="B19" s="19" t="s">
        <v>57</v>
      </c>
      <c r="C19" s="19" t="s">
        <v>58</v>
      </c>
      <c r="D19" s="19" t="s">
        <v>59</v>
      </c>
      <c r="E19" s="19" t="s">
        <v>743</v>
      </c>
    </row>
    <row r="20" spans="1:5" x14ac:dyDescent="0.2">
      <c r="A20" s="16" t="s">
        <v>760</v>
      </c>
      <c r="B20" s="4" t="s">
        <v>72</v>
      </c>
      <c r="C20" s="4" t="s">
        <v>741</v>
      </c>
      <c r="D20" s="4" t="s">
        <v>759</v>
      </c>
      <c r="E20" s="8" t="s">
        <v>758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7109375" style="4" bestFit="1" customWidth="1"/>
    <col min="7" max="7" width="5.5703125" style="3" customWidth="1"/>
    <col min="8" max="8" width="10.42578125" style="3" customWidth="1"/>
    <col min="9" max="9" width="7.85546875" style="8" bestFit="1" customWidth="1"/>
    <col min="10" max="10" width="7.5703125" style="2" bestFit="1" customWidth="1"/>
    <col min="11" max="11" width="11.5703125" style="4" bestFit="1" customWidth="1"/>
    <col min="12" max="16384" width="9.140625" style="3"/>
  </cols>
  <sheetData>
    <row r="1" spans="1:11" s="2" customFormat="1" ht="29.1" customHeight="1" x14ac:dyDescent="0.2">
      <c r="A1" s="40" t="s">
        <v>778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749</v>
      </c>
      <c r="E3" s="50" t="s">
        <v>4</v>
      </c>
      <c r="F3" s="50" t="s">
        <v>7</v>
      </c>
      <c r="G3" s="50" t="s">
        <v>748</v>
      </c>
      <c r="H3" s="50"/>
      <c r="I3" s="50" t="s">
        <v>94</v>
      </c>
      <c r="J3" s="50" t="s">
        <v>3</v>
      </c>
      <c r="K3" s="36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37"/>
    </row>
    <row r="5" spans="1:11" ht="15" x14ac:dyDescent="0.2">
      <c r="A5" s="38" t="s">
        <v>747</v>
      </c>
      <c r="B5" s="39"/>
      <c r="C5" s="39"/>
      <c r="D5" s="39"/>
      <c r="E5" s="39"/>
      <c r="F5" s="39"/>
      <c r="G5" s="39"/>
      <c r="H5" s="39"/>
    </row>
    <row r="6" spans="1:11" x14ac:dyDescent="0.2">
      <c r="A6" s="31" t="s">
        <v>213</v>
      </c>
      <c r="B6" s="31" t="s">
        <v>212</v>
      </c>
      <c r="C6" s="31" t="s">
        <v>211</v>
      </c>
      <c r="D6" s="31" t="str">
        <f>"1,0000"</f>
        <v>1,0000</v>
      </c>
      <c r="E6" s="31" t="s">
        <v>210</v>
      </c>
      <c r="F6" s="31" t="s">
        <v>161</v>
      </c>
      <c r="G6" s="35" t="s">
        <v>30</v>
      </c>
      <c r="H6" s="35" t="s">
        <v>178</v>
      </c>
      <c r="I6" s="33" t="str">
        <f>"4200,0"</f>
        <v>4200,0</v>
      </c>
      <c r="J6" s="32" t="str">
        <f>"51,0328"</f>
        <v>51,0328</v>
      </c>
      <c r="K6" s="31" t="s">
        <v>209</v>
      </c>
    </row>
    <row r="7" spans="1:11" x14ac:dyDescent="0.2">
      <c r="A7" s="26" t="s">
        <v>777</v>
      </c>
      <c r="B7" s="26" t="s">
        <v>776</v>
      </c>
      <c r="C7" s="26" t="s">
        <v>775</v>
      </c>
      <c r="D7" s="26" t="str">
        <f>"1,0000"</f>
        <v>1,0000</v>
      </c>
      <c r="E7" s="26" t="s">
        <v>106</v>
      </c>
      <c r="F7" s="26" t="s">
        <v>105</v>
      </c>
      <c r="G7" s="30" t="s">
        <v>30</v>
      </c>
      <c r="H7" s="30" t="s">
        <v>774</v>
      </c>
      <c r="I7" s="28" t="str">
        <f>"5600,0"</f>
        <v>5600,0</v>
      </c>
      <c r="J7" s="27" t="str">
        <f>"75,6756"</f>
        <v>75,6756</v>
      </c>
      <c r="K7" s="26" t="s">
        <v>53</v>
      </c>
    </row>
    <row r="8" spans="1:11" x14ac:dyDescent="0.2">
      <c r="A8" s="21" t="s">
        <v>92</v>
      </c>
      <c r="B8" s="21" t="s">
        <v>91</v>
      </c>
      <c r="C8" s="21" t="s">
        <v>90</v>
      </c>
      <c r="D8" s="21" t="str">
        <f>"1,0000"</f>
        <v>1,0000</v>
      </c>
      <c r="E8" s="21" t="s">
        <v>89</v>
      </c>
      <c r="F8" s="21" t="s">
        <v>88</v>
      </c>
      <c r="G8" s="25" t="s">
        <v>30</v>
      </c>
      <c r="H8" s="25" t="s">
        <v>773</v>
      </c>
      <c r="I8" s="23" t="str">
        <f>"5300,0"</f>
        <v>5300,0</v>
      </c>
      <c r="J8" s="22" t="str">
        <f>"79,8192"</f>
        <v>79,8192</v>
      </c>
      <c r="K8" s="21" t="s">
        <v>53</v>
      </c>
    </row>
    <row r="10" spans="1:11" ht="15" x14ac:dyDescent="0.2">
      <c r="E10" s="7" t="s">
        <v>11</v>
      </c>
    </row>
    <row r="11" spans="1:11" ht="15" x14ac:dyDescent="0.2">
      <c r="E11" s="7" t="s">
        <v>12</v>
      </c>
    </row>
    <row r="12" spans="1:11" ht="15" x14ac:dyDescent="0.2">
      <c r="E12" s="7" t="s">
        <v>13</v>
      </c>
    </row>
    <row r="13" spans="1:11" ht="15" x14ac:dyDescent="0.2">
      <c r="E13" s="7" t="s">
        <v>14</v>
      </c>
    </row>
    <row r="14" spans="1:11" ht="15" x14ac:dyDescent="0.2">
      <c r="E14" s="7" t="s">
        <v>14</v>
      </c>
    </row>
    <row r="15" spans="1:11" ht="15" x14ac:dyDescent="0.2">
      <c r="E15" s="7" t="s">
        <v>15</v>
      </c>
    </row>
    <row r="16" spans="1:11" ht="15" x14ac:dyDescent="0.2">
      <c r="E16" s="7"/>
    </row>
    <row r="18" spans="1:5" ht="18" x14ac:dyDescent="0.25">
      <c r="A18" s="9" t="s">
        <v>16</v>
      </c>
      <c r="B18" s="9"/>
    </row>
    <row r="19" spans="1:5" ht="15" x14ac:dyDescent="0.2">
      <c r="A19" s="15" t="s">
        <v>54</v>
      </c>
      <c r="B19" s="15"/>
    </row>
    <row r="20" spans="1:5" ht="14.25" x14ac:dyDescent="0.2">
      <c r="A20" s="17"/>
      <c r="B20" s="18" t="s">
        <v>144</v>
      </c>
    </row>
    <row r="21" spans="1:5" ht="15" x14ac:dyDescent="0.2">
      <c r="A21" s="19" t="s">
        <v>56</v>
      </c>
      <c r="B21" s="19" t="s">
        <v>57</v>
      </c>
      <c r="C21" s="19" t="s">
        <v>58</v>
      </c>
      <c r="D21" s="19" t="s">
        <v>59</v>
      </c>
      <c r="E21" s="19" t="s">
        <v>743</v>
      </c>
    </row>
    <row r="22" spans="1:5" x14ac:dyDescent="0.2">
      <c r="A22" s="16" t="s">
        <v>176</v>
      </c>
      <c r="B22" s="4" t="s">
        <v>142</v>
      </c>
      <c r="C22" s="4" t="s">
        <v>741</v>
      </c>
      <c r="D22" s="4" t="s">
        <v>772</v>
      </c>
      <c r="E22" s="8" t="s">
        <v>771</v>
      </c>
    </row>
    <row r="24" spans="1:5" ht="14.25" x14ac:dyDescent="0.2">
      <c r="A24" s="17"/>
      <c r="B24" s="18" t="s">
        <v>55</v>
      </c>
    </row>
    <row r="25" spans="1:5" ht="15" x14ac:dyDescent="0.2">
      <c r="A25" s="19" t="s">
        <v>56</v>
      </c>
      <c r="B25" s="19" t="s">
        <v>57</v>
      </c>
      <c r="C25" s="19" t="s">
        <v>58</v>
      </c>
      <c r="D25" s="19" t="s">
        <v>59</v>
      </c>
      <c r="E25" s="19" t="s">
        <v>743</v>
      </c>
    </row>
    <row r="26" spans="1:5" x14ac:dyDescent="0.2">
      <c r="A26" s="16" t="s">
        <v>770</v>
      </c>
      <c r="B26" s="4" t="s">
        <v>55</v>
      </c>
      <c r="C26" s="4" t="s">
        <v>741</v>
      </c>
      <c r="D26" s="4" t="s">
        <v>769</v>
      </c>
      <c r="E26" s="8" t="s">
        <v>768</v>
      </c>
    </row>
    <row r="28" spans="1:5" ht="14.25" x14ac:dyDescent="0.2">
      <c r="A28" s="17"/>
      <c r="B28" s="18" t="s">
        <v>75</v>
      </c>
    </row>
    <row r="29" spans="1:5" ht="15" x14ac:dyDescent="0.2">
      <c r="A29" s="19" t="s">
        <v>56</v>
      </c>
      <c r="B29" s="19" t="s">
        <v>57</v>
      </c>
      <c r="C29" s="19" t="s">
        <v>58</v>
      </c>
      <c r="D29" s="19" t="s">
        <v>59</v>
      </c>
      <c r="E29" s="19" t="s">
        <v>743</v>
      </c>
    </row>
    <row r="30" spans="1:5" x14ac:dyDescent="0.2">
      <c r="A30" s="16" t="s">
        <v>73</v>
      </c>
      <c r="B30" s="4" t="s">
        <v>72</v>
      </c>
      <c r="C30" s="4" t="s">
        <v>741</v>
      </c>
      <c r="D30" s="4" t="s">
        <v>767</v>
      </c>
      <c r="E30" s="8" t="s">
        <v>766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0" t="s">
        <v>787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749</v>
      </c>
      <c r="E3" s="50" t="s">
        <v>4</v>
      </c>
      <c r="F3" s="50" t="s">
        <v>7</v>
      </c>
      <c r="G3" s="50" t="s">
        <v>748</v>
      </c>
      <c r="H3" s="50"/>
      <c r="I3" s="50" t="s">
        <v>94</v>
      </c>
      <c r="J3" s="50" t="s">
        <v>3</v>
      </c>
      <c r="K3" s="36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37"/>
    </row>
    <row r="5" spans="1:11" ht="15" x14ac:dyDescent="0.2">
      <c r="A5" s="38" t="s">
        <v>747</v>
      </c>
      <c r="B5" s="39"/>
      <c r="C5" s="39"/>
      <c r="D5" s="39"/>
      <c r="E5" s="39"/>
      <c r="F5" s="39"/>
      <c r="G5" s="39"/>
      <c r="H5" s="39"/>
    </row>
    <row r="6" spans="1:11" x14ac:dyDescent="0.2">
      <c r="A6" s="10" t="s">
        <v>786</v>
      </c>
      <c r="B6" s="10" t="s">
        <v>785</v>
      </c>
      <c r="C6" s="10" t="s">
        <v>719</v>
      </c>
      <c r="D6" s="10" t="str">
        <f>"1,0000"</f>
        <v>1,0000</v>
      </c>
      <c r="E6" s="10" t="s">
        <v>784</v>
      </c>
      <c r="F6" s="10" t="s">
        <v>364</v>
      </c>
      <c r="G6" s="12" t="s">
        <v>481</v>
      </c>
      <c r="H6" s="12" t="s">
        <v>783</v>
      </c>
      <c r="I6" s="13" t="str">
        <f>"2325,0"</f>
        <v>2325,0</v>
      </c>
      <c r="J6" s="14" t="str">
        <f>"34,9624"</f>
        <v>34,9624</v>
      </c>
      <c r="K6" s="10" t="s">
        <v>782</v>
      </c>
    </row>
    <row r="8" spans="1:11" ht="15" x14ac:dyDescent="0.2">
      <c r="E8" s="7" t="s">
        <v>11</v>
      </c>
    </row>
    <row r="9" spans="1:11" ht="15" x14ac:dyDescent="0.2">
      <c r="E9" s="7" t="s">
        <v>12</v>
      </c>
    </row>
    <row r="10" spans="1:11" ht="15" x14ac:dyDescent="0.2">
      <c r="E10" s="7" t="s">
        <v>13</v>
      </c>
    </row>
    <row r="11" spans="1:11" ht="15" x14ac:dyDescent="0.2">
      <c r="E11" s="7" t="s">
        <v>14</v>
      </c>
    </row>
    <row r="12" spans="1:11" ht="15" x14ac:dyDescent="0.2">
      <c r="E12" s="7" t="s">
        <v>14</v>
      </c>
    </row>
    <row r="13" spans="1:11" ht="15" x14ac:dyDescent="0.2">
      <c r="E13" s="7" t="s">
        <v>15</v>
      </c>
    </row>
    <row r="14" spans="1:11" ht="15" x14ac:dyDescent="0.2">
      <c r="E14" s="7"/>
    </row>
    <row r="16" spans="1:11" ht="18" x14ac:dyDescent="0.25">
      <c r="A16" s="9" t="s">
        <v>16</v>
      </c>
      <c r="B16" s="9"/>
    </row>
    <row r="17" spans="1:5" ht="15" x14ac:dyDescent="0.2">
      <c r="A17" s="15" t="s">
        <v>126</v>
      </c>
      <c r="B17" s="15"/>
    </row>
    <row r="18" spans="1:5" ht="14.25" x14ac:dyDescent="0.2">
      <c r="A18" s="17"/>
      <c r="B18" s="18" t="s">
        <v>55</v>
      </c>
    </row>
    <row r="19" spans="1:5" ht="15" x14ac:dyDescent="0.2">
      <c r="A19" s="19" t="s">
        <v>56</v>
      </c>
      <c r="B19" s="19" t="s">
        <v>57</v>
      </c>
      <c r="C19" s="19" t="s">
        <v>58</v>
      </c>
      <c r="D19" s="19" t="s">
        <v>59</v>
      </c>
      <c r="E19" s="19" t="s">
        <v>743</v>
      </c>
    </row>
    <row r="20" spans="1:5" x14ac:dyDescent="0.2">
      <c r="A20" s="16" t="s">
        <v>781</v>
      </c>
      <c r="B20" s="4" t="s">
        <v>55</v>
      </c>
      <c r="C20" s="4" t="s">
        <v>741</v>
      </c>
      <c r="D20" s="4" t="s">
        <v>780</v>
      </c>
      <c r="E20" s="8" t="s">
        <v>779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7.5703125" style="2" bestFit="1" customWidth="1"/>
    <col min="11" max="11" width="15" style="4" bestFit="1" customWidth="1"/>
    <col min="12" max="16384" width="9.140625" style="3"/>
  </cols>
  <sheetData>
    <row r="1" spans="1:11" s="2" customFormat="1" ht="29.1" customHeight="1" x14ac:dyDescent="0.2">
      <c r="A1" s="40" t="s">
        <v>794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749</v>
      </c>
      <c r="E3" s="50" t="s">
        <v>4</v>
      </c>
      <c r="F3" s="50" t="s">
        <v>7</v>
      </c>
      <c r="G3" s="50" t="s">
        <v>748</v>
      </c>
      <c r="H3" s="50"/>
      <c r="I3" s="50" t="s">
        <v>94</v>
      </c>
      <c r="J3" s="50" t="s">
        <v>3</v>
      </c>
      <c r="K3" s="36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37"/>
    </row>
    <row r="5" spans="1:11" ht="15" x14ac:dyDescent="0.2">
      <c r="A5" s="38" t="s">
        <v>747</v>
      </c>
      <c r="B5" s="39"/>
      <c r="C5" s="39"/>
      <c r="D5" s="39"/>
      <c r="E5" s="39"/>
      <c r="F5" s="39"/>
      <c r="G5" s="39"/>
      <c r="H5" s="39"/>
    </row>
    <row r="6" spans="1:11" x14ac:dyDescent="0.2">
      <c r="A6" s="10" t="s">
        <v>793</v>
      </c>
      <c r="B6" s="10" t="s">
        <v>792</v>
      </c>
      <c r="C6" s="10" t="s">
        <v>791</v>
      </c>
      <c r="D6" s="10" t="str">
        <f>"1,0000"</f>
        <v>1,0000</v>
      </c>
      <c r="E6" s="10" t="s">
        <v>282</v>
      </c>
      <c r="F6" s="10" t="s">
        <v>259</v>
      </c>
      <c r="G6" s="12" t="s">
        <v>158</v>
      </c>
      <c r="H6" s="12" t="s">
        <v>773</v>
      </c>
      <c r="I6" s="13" t="str">
        <f>"2915,0"</f>
        <v>2915,0</v>
      </c>
      <c r="J6" s="14" t="str">
        <f>"43,3779"</f>
        <v>43,3779</v>
      </c>
      <c r="K6" s="10" t="s">
        <v>257</v>
      </c>
    </row>
    <row r="8" spans="1:11" ht="15" x14ac:dyDescent="0.2">
      <c r="E8" s="7" t="s">
        <v>11</v>
      </c>
    </row>
    <row r="9" spans="1:11" ht="15" x14ac:dyDescent="0.2">
      <c r="E9" s="7" t="s">
        <v>12</v>
      </c>
    </row>
    <row r="10" spans="1:11" ht="15" x14ac:dyDescent="0.2">
      <c r="E10" s="7" t="s">
        <v>13</v>
      </c>
    </row>
    <row r="11" spans="1:11" ht="15" x14ac:dyDescent="0.2">
      <c r="E11" s="7" t="s">
        <v>14</v>
      </c>
    </row>
    <row r="12" spans="1:11" ht="15" x14ac:dyDescent="0.2">
      <c r="E12" s="7" t="s">
        <v>14</v>
      </c>
    </row>
    <row r="13" spans="1:11" ht="15" x14ac:dyDescent="0.2">
      <c r="E13" s="7" t="s">
        <v>15</v>
      </c>
    </row>
    <row r="14" spans="1:11" ht="15" x14ac:dyDescent="0.2">
      <c r="E14" s="7"/>
    </row>
    <row r="16" spans="1:11" ht="18" x14ac:dyDescent="0.25">
      <c r="A16" s="9" t="s">
        <v>16</v>
      </c>
      <c r="B16" s="9"/>
    </row>
    <row r="17" spans="1:5" ht="15" x14ac:dyDescent="0.2">
      <c r="A17" s="15" t="s">
        <v>126</v>
      </c>
      <c r="B17" s="15"/>
    </row>
    <row r="18" spans="1:5" ht="14.25" x14ac:dyDescent="0.2">
      <c r="A18" s="17"/>
      <c r="B18" s="18" t="s">
        <v>55</v>
      </c>
    </row>
    <row r="19" spans="1:5" ht="15" x14ac:dyDescent="0.2">
      <c r="A19" s="19" t="s">
        <v>56</v>
      </c>
      <c r="B19" s="19" t="s">
        <v>57</v>
      </c>
      <c r="C19" s="19" t="s">
        <v>58</v>
      </c>
      <c r="D19" s="19" t="s">
        <v>59</v>
      </c>
      <c r="E19" s="19" t="s">
        <v>743</v>
      </c>
    </row>
    <row r="20" spans="1:5" x14ac:dyDescent="0.2">
      <c r="A20" s="16" t="s">
        <v>790</v>
      </c>
      <c r="B20" s="4" t="s">
        <v>55</v>
      </c>
      <c r="C20" s="4" t="s">
        <v>741</v>
      </c>
      <c r="D20" s="4" t="s">
        <v>789</v>
      </c>
      <c r="E20" s="8" t="s">
        <v>788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710937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7.5703125" style="2" bestFit="1" customWidth="1"/>
    <col min="11" max="11" width="12.140625" style="4" bestFit="1" customWidth="1"/>
    <col min="12" max="16384" width="9.140625" style="3"/>
  </cols>
  <sheetData>
    <row r="1" spans="1:11" s="2" customFormat="1" ht="29.1" customHeight="1" x14ac:dyDescent="0.2">
      <c r="A1" s="40" t="s">
        <v>807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749</v>
      </c>
      <c r="E3" s="50" t="s">
        <v>4</v>
      </c>
      <c r="F3" s="50" t="s">
        <v>7</v>
      </c>
      <c r="G3" s="50" t="s">
        <v>806</v>
      </c>
      <c r="H3" s="50"/>
      <c r="I3" s="50" t="s">
        <v>94</v>
      </c>
      <c r="J3" s="50" t="s">
        <v>3</v>
      </c>
      <c r="K3" s="36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37"/>
    </row>
    <row r="5" spans="1:11" ht="15" x14ac:dyDescent="0.2">
      <c r="A5" s="38" t="s">
        <v>747</v>
      </c>
      <c r="B5" s="39"/>
      <c r="C5" s="39"/>
      <c r="D5" s="39"/>
      <c r="E5" s="39"/>
      <c r="F5" s="39"/>
      <c r="G5" s="39"/>
      <c r="H5" s="39"/>
    </row>
    <row r="6" spans="1:11" x14ac:dyDescent="0.2">
      <c r="A6" s="31" t="s">
        <v>803</v>
      </c>
      <c r="B6" s="31" t="s">
        <v>805</v>
      </c>
      <c r="C6" s="31" t="s">
        <v>801</v>
      </c>
      <c r="D6" s="31" t="str">
        <f>"1,0000"</f>
        <v>1,0000</v>
      </c>
      <c r="E6" s="31" t="s">
        <v>162</v>
      </c>
      <c r="F6" s="31" t="s">
        <v>161</v>
      </c>
      <c r="G6" s="35" t="s">
        <v>158</v>
      </c>
      <c r="H6" s="35" t="s">
        <v>800</v>
      </c>
      <c r="I6" s="33" t="str">
        <f>"3685,0"</f>
        <v>3685,0</v>
      </c>
      <c r="J6" s="32" t="str">
        <f>"42,7494"</f>
        <v>42,7494</v>
      </c>
      <c r="K6" s="31" t="s">
        <v>156</v>
      </c>
    </row>
    <row r="7" spans="1:11" x14ac:dyDescent="0.2">
      <c r="A7" s="26" t="s">
        <v>804</v>
      </c>
      <c r="B7" s="26" t="s">
        <v>114</v>
      </c>
      <c r="C7" s="26" t="s">
        <v>113</v>
      </c>
      <c r="D7" s="26" t="str">
        <f>"1,0000"</f>
        <v>1,0000</v>
      </c>
      <c r="E7" s="26" t="s">
        <v>112</v>
      </c>
      <c r="F7" s="26" t="s">
        <v>111</v>
      </c>
      <c r="G7" s="30" t="s">
        <v>158</v>
      </c>
      <c r="H7" s="30" t="s">
        <v>183</v>
      </c>
      <c r="I7" s="28" t="str">
        <f>"2475,0"</f>
        <v>2475,0</v>
      </c>
      <c r="J7" s="27" t="str">
        <f>"30,9375"</f>
        <v>30,9375</v>
      </c>
      <c r="K7" s="26" t="s">
        <v>53</v>
      </c>
    </row>
    <row r="8" spans="1:11" x14ac:dyDescent="0.2">
      <c r="A8" s="21" t="s">
        <v>803</v>
      </c>
      <c r="B8" s="21" t="s">
        <v>802</v>
      </c>
      <c r="C8" s="21" t="s">
        <v>801</v>
      </c>
      <c r="D8" s="21" t="str">
        <f>"1,0000"</f>
        <v>1,0000</v>
      </c>
      <c r="E8" s="21" t="s">
        <v>162</v>
      </c>
      <c r="F8" s="21" t="s">
        <v>161</v>
      </c>
      <c r="G8" s="25" t="s">
        <v>158</v>
      </c>
      <c r="H8" s="25" t="s">
        <v>800</v>
      </c>
      <c r="I8" s="23" t="str">
        <f>"3685,0"</f>
        <v>3685,0</v>
      </c>
      <c r="J8" s="22" t="str">
        <f>"42,7494"</f>
        <v>42,7494</v>
      </c>
      <c r="K8" s="21" t="s">
        <v>156</v>
      </c>
    </row>
    <row r="10" spans="1:11" ht="15" x14ac:dyDescent="0.2">
      <c r="E10" s="7" t="s">
        <v>11</v>
      </c>
    </row>
    <row r="11" spans="1:11" ht="15" x14ac:dyDescent="0.2">
      <c r="E11" s="7" t="s">
        <v>12</v>
      </c>
    </row>
    <row r="12" spans="1:11" ht="15" x14ac:dyDescent="0.2">
      <c r="E12" s="7" t="s">
        <v>13</v>
      </c>
    </row>
    <row r="13" spans="1:11" ht="15" x14ac:dyDescent="0.2">
      <c r="E13" s="7" t="s">
        <v>14</v>
      </c>
    </row>
    <row r="14" spans="1:11" ht="15" x14ac:dyDescent="0.2">
      <c r="E14" s="7" t="s">
        <v>14</v>
      </c>
    </row>
    <row r="15" spans="1:11" ht="15" x14ac:dyDescent="0.2">
      <c r="E15" s="7" t="s">
        <v>15</v>
      </c>
    </row>
    <row r="16" spans="1:11" ht="15" x14ac:dyDescent="0.2">
      <c r="E16" s="7"/>
    </row>
    <row r="18" spans="1:5" ht="18" x14ac:dyDescent="0.25">
      <c r="A18" s="9" t="s">
        <v>16</v>
      </c>
      <c r="B18" s="9"/>
    </row>
    <row r="19" spans="1:5" ht="15" x14ac:dyDescent="0.2">
      <c r="A19" s="15" t="s">
        <v>54</v>
      </c>
      <c r="B19" s="15"/>
    </row>
    <row r="20" spans="1:5" ht="14.25" x14ac:dyDescent="0.2">
      <c r="A20" s="17"/>
      <c r="B20" s="18" t="s">
        <v>55</v>
      </c>
    </row>
    <row r="21" spans="1:5" ht="15" x14ac:dyDescent="0.2">
      <c r="A21" s="19" t="s">
        <v>56</v>
      </c>
      <c r="B21" s="19" t="s">
        <v>57</v>
      </c>
      <c r="C21" s="19" t="s">
        <v>58</v>
      </c>
      <c r="D21" s="19" t="s">
        <v>59</v>
      </c>
      <c r="E21" s="19" t="s">
        <v>743</v>
      </c>
    </row>
    <row r="22" spans="1:5" x14ac:dyDescent="0.2">
      <c r="A22" s="16" t="s">
        <v>797</v>
      </c>
      <c r="B22" s="4" t="s">
        <v>55</v>
      </c>
      <c r="C22" s="4" t="s">
        <v>741</v>
      </c>
      <c r="D22" s="4" t="s">
        <v>796</v>
      </c>
      <c r="E22" s="8" t="s">
        <v>795</v>
      </c>
    </row>
    <row r="23" spans="1:5" x14ac:dyDescent="0.2">
      <c r="A23" s="16" t="s">
        <v>103</v>
      </c>
      <c r="B23" s="4" t="s">
        <v>55</v>
      </c>
      <c r="C23" s="4" t="s">
        <v>741</v>
      </c>
      <c r="D23" s="4" t="s">
        <v>799</v>
      </c>
      <c r="E23" s="8" t="s">
        <v>798</v>
      </c>
    </row>
    <row r="25" spans="1:5" ht="14.25" x14ac:dyDescent="0.2">
      <c r="A25" s="17"/>
      <c r="B25" s="18" t="s">
        <v>75</v>
      </c>
    </row>
    <row r="26" spans="1:5" ht="15" x14ac:dyDescent="0.2">
      <c r="A26" s="19" t="s">
        <v>56</v>
      </c>
      <c r="B26" s="19" t="s">
        <v>57</v>
      </c>
      <c r="C26" s="19" t="s">
        <v>58</v>
      </c>
      <c r="D26" s="19" t="s">
        <v>59</v>
      </c>
      <c r="E26" s="19" t="s">
        <v>743</v>
      </c>
    </row>
    <row r="27" spans="1:5" x14ac:dyDescent="0.2">
      <c r="A27" s="16" t="s">
        <v>797</v>
      </c>
      <c r="B27" s="4" t="s">
        <v>298</v>
      </c>
      <c r="C27" s="4" t="s">
        <v>741</v>
      </c>
      <c r="D27" s="4" t="s">
        <v>796</v>
      </c>
      <c r="E27" s="8" t="s">
        <v>795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3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8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8" bestFit="1" customWidth="1"/>
    <col min="20" max="20" width="8.5703125" style="2" bestFit="1" customWidth="1"/>
    <col min="21" max="21" width="17.5703125" style="4" bestFit="1" customWidth="1"/>
    <col min="22" max="16384" width="9.140625" style="3"/>
  </cols>
  <sheetData>
    <row r="1" spans="1:21" s="2" customFormat="1" ht="29.1" customHeight="1" x14ac:dyDescent="0.2">
      <c r="A1" s="40" t="s">
        <v>723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264</v>
      </c>
      <c r="H3" s="50"/>
      <c r="I3" s="50"/>
      <c r="J3" s="50"/>
      <c r="K3" s="50" t="s">
        <v>253</v>
      </c>
      <c r="L3" s="50"/>
      <c r="M3" s="50"/>
      <c r="N3" s="50"/>
      <c r="O3" s="50" t="s">
        <v>252</v>
      </c>
      <c r="P3" s="50"/>
      <c r="Q3" s="50"/>
      <c r="R3" s="50"/>
      <c r="S3" s="50" t="s">
        <v>1</v>
      </c>
      <c r="T3" s="50" t="s">
        <v>3</v>
      </c>
      <c r="U3" s="36" t="s">
        <v>2</v>
      </c>
    </row>
    <row r="4" spans="1:21" s="1" customFormat="1" ht="21" customHeight="1" thickBot="1" x14ac:dyDescent="0.25">
      <c r="A4" s="47"/>
      <c r="B4" s="49"/>
      <c r="C4" s="49"/>
      <c r="D4" s="49"/>
      <c r="E4" s="49"/>
      <c r="F4" s="49"/>
      <c r="G4" s="20">
        <v>1</v>
      </c>
      <c r="H4" s="20">
        <v>2</v>
      </c>
      <c r="I4" s="20">
        <v>3</v>
      </c>
      <c r="J4" s="20" t="s">
        <v>5</v>
      </c>
      <c r="K4" s="20">
        <v>1</v>
      </c>
      <c r="L4" s="20">
        <v>2</v>
      </c>
      <c r="M4" s="20">
        <v>3</v>
      </c>
      <c r="N4" s="20" t="s">
        <v>5</v>
      </c>
      <c r="O4" s="20">
        <v>1</v>
      </c>
      <c r="P4" s="20">
        <v>2</v>
      </c>
      <c r="Q4" s="20">
        <v>3</v>
      </c>
      <c r="R4" s="20" t="s">
        <v>5</v>
      </c>
      <c r="S4" s="49"/>
      <c r="T4" s="49"/>
      <c r="U4" s="37"/>
    </row>
    <row r="5" spans="1:21" ht="15" x14ac:dyDescent="0.2">
      <c r="A5" s="38" t="s">
        <v>138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 x14ac:dyDescent="0.2">
      <c r="A6" s="10" t="s">
        <v>137</v>
      </c>
      <c r="B6" s="10" t="s">
        <v>136</v>
      </c>
      <c r="C6" s="10" t="s">
        <v>722</v>
      </c>
      <c r="D6" s="10" t="str">
        <f>"0,9693"</f>
        <v>0,9693</v>
      </c>
      <c r="E6" s="10" t="s">
        <v>83</v>
      </c>
      <c r="F6" s="10" t="s">
        <v>82</v>
      </c>
      <c r="G6" s="12" t="s">
        <v>481</v>
      </c>
      <c r="H6" s="12" t="s">
        <v>28</v>
      </c>
      <c r="I6" s="11" t="s">
        <v>81</v>
      </c>
      <c r="J6" s="11"/>
      <c r="K6" s="12" t="s">
        <v>717</v>
      </c>
      <c r="L6" s="11" t="s">
        <v>214</v>
      </c>
      <c r="M6" s="11" t="s">
        <v>214</v>
      </c>
      <c r="N6" s="11"/>
      <c r="O6" s="12" t="s">
        <v>37</v>
      </c>
      <c r="P6" s="12" t="s">
        <v>81</v>
      </c>
      <c r="Q6" s="11" t="s">
        <v>30</v>
      </c>
      <c r="R6" s="11"/>
      <c r="S6" s="13" t="str">
        <f>"212,5"</f>
        <v>212,5</v>
      </c>
      <c r="T6" s="14" t="str">
        <f>"205,9869"</f>
        <v>205,9869</v>
      </c>
      <c r="U6" s="10" t="s">
        <v>79</v>
      </c>
    </row>
    <row r="8" spans="1:21" ht="15" x14ac:dyDescent="0.2">
      <c r="A8" s="51" t="s">
        <v>93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 x14ac:dyDescent="0.2">
      <c r="A9" s="31" t="s">
        <v>721</v>
      </c>
      <c r="B9" s="31" t="s">
        <v>720</v>
      </c>
      <c r="C9" s="31" t="s">
        <v>719</v>
      </c>
      <c r="D9" s="31" t="str">
        <f>"0,7893"</f>
        <v>0,7893</v>
      </c>
      <c r="E9" s="31" t="s">
        <v>537</v>
      </c>
      <c r="F9" s="31" t="s">
        <v>536</v>
      </c>
      <c r="G9" s="35" t="s">
        <v>564</v>
      </c>
      <c r="H9" s="35" t="s">
        <v>81</v>
      </c>
      <c r="I9" s="35" t="s">
        <v>461</v>
      </c>
      <c r="J9" s="34"/>
      <c r="K9" s="35" t="s">
        <v>183</v>
      </c>
      <c r="L9" s="35" t="s">
        <v>160</v>
      </c>
      <c r="M9" s="34" t="s">
        <v>718</v>
      </c>
      <c r="N9" s="34"/>
      <c r="O9" s="35" t="s">
        <v>559</v>
      </c>
      <c r="P9" s="35" t="s">
        <v>43</v>
      </c>
      <c r="Q9" s="35" t="s">
        <v>44</v>
      </c>
      <c r="R9" s="34"/>
      <c r="S9" s="33" t="str">
        <f>"265,0"</f>
        <v>265,0</v>
      </c>
      <c r="T9" s="32" t="str">
        <f>"209,1513"</f>
        <v>209,1513</v>
      </c>
      <c r="U9" s="31" t="s">
        <v>534</v>
      </c>
    </row>
    <row r="10" spans="1:21" x14ac:dyDescent="0.2">
      <c r="A10" s="21" t="s">
        <v>387</v>
      </c>
      <c r="B10" s="21" t="s">
        <v>386</v>
      </c>
      <c r="C10" s="21" t="s">
        <v>261</v>
      </c>
      <c r="D10" s="21" t="str">
        <f>"0,8047"</f>
        <v>0,8047</v>
      </c>
      <c r="E10" s="21" t="s">
        <v>162</v>
      </c>
      <c r="F10" s="21" t="s">
        <v>161</v>
      </c>
      <c r="G10" s="25" t="s">
        <v>197</v>
      </c>
      <c r="H10" s="24" t="s">
        <v>37</v>
      </c>
      <c r="I10" s="25" t="s">
        <v>37</v>
      </c>
      <c r="J10" s="24"/>
      <c r="K10" s="24" t="s">
        <v>222</v>
      </c>
      <c r="L10" s="25" t="s">
        <v>222</v>
      </c>
      <c r="M10" s="24" t="s">
        <v>717</v>
      </c>
      <c r="N10" s="24"/>
      <c r="O10" s="24" t="s">
        <v>81</v>
      </c>
      <c r="P10" s="25" t="s">
        <v>81</v>
      </c>
      <c r="Q10" s="25" t="s">
        <v>325</v>
      </c>
      <c r="R10" s="24"/>
      <c r="S10" s="23" t="str">
        <f>"202,5"</f>
        <v>202,5</v>
      </c>
      <c r="T10" s="22" t="str">
        <f>"162,9518"</f>
        <v>162,9518</v>
      </c>
      <c r="U10" s="21" t="s">
        <v>156</v>
      </c>
    </row>
    <row r="12" spans="1:21" ht="15" x14ac:dyDescent="0.2">
      <c r="A12" s="51" t="s">
        <v>132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21" x14ac:dyDescent="0.2">
      <c r="A13" s="10" t="s">
        <v>131</v>
      </c>
      <c r="B13" s="10" t="s">
        <v>130</v>
      </c>
      <c r="C13" s="10" t="s">
        <v>129</v>
      </c>
      <c r="D13" s="10" t="str">
        <f>"0,7584"</f>
        <v>0,7584</v>
      </c>
      <c r="E13" s="10" t="s">
        <v>83</v>
      </c>
      <c r="F13" s="10" t="s">
        <v>82</v>
      </c>
      <c r="G13" s="12" t="s">
        <v>197</v>
      </c>
      <c r="H13" s="11" t="s">
        <v>37</v>
      </c>
      <c r="I13" s="12" t="s">
        <v>37</v>
      </c>
      <c r="J13" s="11"/>
      <c r="K13" s="12" t="s">
        <v>717</v>
      </c>
      <c r="L13" s="12" t="s">
        <v>716</v>
      </c>
      <c r="M13" s="12" t="s">
        <v>183</v>
      </c>
      <c r="N13" s="11"/>
      <c r="O13" s="12" t="s">
        <v>37</v>
      </c>
      <c r="P13" s="11" t="s">
        <v>81</v>
      </c>
      <c r="Q13" s="12" t="s">
        <v>81</v>
      </c>
      <c r="R13" s="11"/>
      <c r="S13" s="13" t="str">
        <f>"215,0"</f>
        <v>215,0</v>
      </c>
      <c r="T13" s="14" t="str">
        <f>"163,0667"</f>
        <v>163,0667</v>
      </c>
      <c r="U13" s="10" t="s">
        <v>79</v>
      </c>
    </row>
    <row r="15" spans="1:21" ht="15" x14ac:dyDescent="0.2">
      <c r="A15" s="51" t="s">
        <v>226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21" x14ac:dyDescent="0.2">
      <c r="A16" s="10" t="s">
        <v>225</v>
      </c>
      <c r="B16" s="10" t="s">
        <v>224</v>
      </c>
      <c r="C16" s="10" t="s">
        <v>223</v>
      </c>
      <c r="D16" s="10" t="str">
        <f>"0,8128"</f>
        <v>0,8128</v>
      </c>
      <c r="E16" s="10" t="s">
        <v>162</v>
      </c>
      <c r="F16" s="10" t="s">
        <v>161</v>
      </c>
      <c r="G16" s="12" t="s">
        <v>715</v>
      </c>
      <c r="H16" s="12" t="s">
        <v>711</v>
      </c>
      <c r="I16" s="11" t="s">
        <v>37</v>
      </c>
      <c r="J16" s="11"/>
      <c r="K16" s="12" t="s">
        <v>183</v>
      </c>
      <c r="L16" s="12" t="s">
        <v>160</v>
      </c>
      <c r="M16" s="12" t="s">
        <v>158</v>
      </c>
      <c r="N16" s="11"/>
      <c r="O16" s="12" t="s">
        <v>81</v>
      </c>
      <c r="P16" s="12" t="s">
        <v>51</v>
      </c>
      <c r="Q16" s="12" t="s">
        <v>43</v>
      </c>
      <c r="R16" s="11"/>
      <c r="S16" s="13" t="str">
        <f>"237,5"</f>
        <v>237,5</v>
      </c>
      <c r="T16" s="14" t="str">
        <f>"227,7872"</f>
        <v>227,7872</v>
      </c>
      <c r="U16" s="10" t="s">
        <v>156</v>
      </c>
    </row>
    <row r="18" spans="1:21" ht="15" x14ac:dyDescent="0.2">
      <c r="A18" s="51" t="s">
        <v>93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21" x14ac:dyDescent="0.2">
      <c r="A19" s="10" t="s">
        <v>714</v>
      </c>
      <c r="B19" s="10" t="s">
        <v>713</v>
      </c>
      <c r="C19" s="10" t="s">
        <v>712</v>
      </c>
      <c r="D19" s="10" t="str">
        <f>"0,7953"</f>
        <v>0,7953</v>
      </c>
      <c r="E19" s="10" t="s">
        <v>83</v>
      </c>
      <c r="F19" s="10" t="s">
        <v>82</v>
      </c>
      <c r="G19" s="12" t="s">
        <v>481</v>
      </c>
      <c r="H19" s="12" t="s">
        <v>28</v>
      </c>
      <c r="I19" s="11" t="s">
        <v>30</v>
      </c>
      <c r="J19" s="11"/>
      <c r="K19" s="12" t="s">
        <v>158</v>
      </c>
      <c r="L19" s="12" t="s">
        <v>203</v>
      </c>
      <c r="M19" s="11" t="s">
        <v>711</v>
      </c>
      <c r="N19" s="11"/>
      <c r="O19" s="12" t="s">
        <v>37</v>
      </c>
      <c r="P19" s="12" t="s">
        <v>30</v>
      </c>
      <c r="Q19" s="12" t="s">
        <v>43</v>
      </c>
      <c r="R19" s="11"/>
      <c r="S19" s="13" t="str">
        <f>"260,0"</f>
        <v>260,0</v>
      </c>
      <c r="T19" s="14" t="str">
        <f>"233,6591"</f>
        <v>233,6591</v>
      </c>
      <c r="U19" s="10" t="s">
        <v>79</v>
      </c>
    </row>
    <row r="21" spans="1:21" ht="15" x14ac:dyDescent="0.2">
      <c r="A21" s="51" t="s">
        <v>21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21" x14ac:dyDescent="0.2">
      <c r="A22" s="31" t="s">
        <v>221</v>
      </c>
      <c r="B22" s="31" t="s">
        <v>220</v>
      </c>
      <c r="C22" s="31" t="s">
        <v>215</v>
      </c>
      <c r="D22" s="31" t="str">
        <f>"0,6193"</f>
        <v>0,6193</v>
      </c>
      <c r="E22" s="31" t="s">
        <v>162</v>
      </c>
      <c r="F22" s="31" t="s">
        <v>219</v>
      </c>
      <c r="G22" s="35" t="s">
        <v>564</v>
      </c>
      <c r="H22" s="35" t="s">
        <v>81</v>
      </c>
      <c r="I22" s="35" t="s">
        <v>29</v>
      </c>
      <c r="J22" s="34"/>
      <c r="K22" s="35" t="s">
        <v>203</v>
      </c>
      <c r="L22" s="34" t="s">
        <v>711</v>
      </c>
      <c r="M22" s="34" t="s">
        <v>711</v>
      </c>
      <c r="N22" s="34"/>
      <c r="O22" s="35" t="s">
        <v>43</v>
      </c>
      <c r="P22" s="35" t="s">
        <v>328</v>
      </c>
      <c r="Q22" s="35" t="s">
        <v>247</v>
      </c>
      <c r="R22" s="34"/>
      <c r="S22" s="33" t="str">
        <f>"295,0"</f>
        <v>295,0</v>
      </c>
      <c r="T22" s="32" t="str">
        <f>"197,3090"</f>
        <v>197,3090</v>
      </c>
      <c r="U22" s="31" t="s">
        <v>156</v>
      </c>
    </row>
    <row r="23" spans="1:21" x14ac:dyDescent="0.2">
      <c r="A23" s="26" t="s">
        <v>217</v>
      </c>
      <c r="B23" s="26" t="s">
        <v>216</v>
      </c>
      <c r="C23" s="26" t="s">
        <v>215</v>
      </c>
      <c r="D23" s="26" t="str">
        <f>"0,6193"</f>
        <v>0,6193</v>
      </c>
      <c r="E23" s="26" t="s">
        <v>162</v>
      </c>
      <c r="F23" s="26" t="s">
        <v>161</v>
      </c>
      <c r="G23" s="29" t="s">
        <v>43</v>
      </c>
      <c r="H23" s="30" t="s">
        <v>43</v>
      </c>
      <c r="I23" s="30" t="s">
        <v>44</v>
      </c>
      <c r="J23" s="29"/>
      <c r="K23" s="30" t="s">
        <v>37</v>
      </c>
      <c r="L23" s="30" t="s">
        <v>81</v>
      </c>
      <c r="M23" s="29" t="s">
        <v>325</v>
      </c>
      <c r="N23" s="29"/>
      <c r="O23" s="30" t="s">
        <v>381</v>
      </c>
      <c r="P23" s="30" t="s">
        <v>369</v>
      </c>
      <c r="Q23" s="29" t="s">
        <v>271</v>
      </c>
      <c r="R23" s="29"/>
      <c r="S23" s="28" t="str">
        <f>"362,5"</f>
        <v>362,5</v>
      </c>
      <c r="T23" s="27" t="str">
        <f>"237,9660"</f>
        <v>237,9660</v>
      </c>
      <c r="U23" s="26" t="s">
        <v>156</v>
      </c>
    </row>
    <row r="24" spans="1:21" x14ac:dyDescent="0.2">
      <c r="A24" s="26" t="s">
        <v>710</v>
      </c>
      <c r="B24" s="26" t="s">
        <v>709</v>
      </c>
      <c r="C24" s="26" t="s">
        <v>25</v>
      </c>
      <c r="D24" s="26" t="str">
        <f>"0,6209"</f>
        <v>0,6209</v>
      </c>
      <c r="E24" s="26" t="s">
        <v>537</v>
      </c>
      <c r="F24" s="26" t="s">
        <v>536</v>
      </c>
      <c r="G24" s="30" t="s">
        <v>292</v>
      </c>
      <c r="H24" s="30" t="s">
        <v>440</v>
      </c>
      <c r="I24" s="29" t="s">
        <v>708</v>
      </c>
      <c r="J24" s="29"/>
      <c r="K24" s="30" t="s">
        <v>248</v>
      </c>
      <c r="L24" s="30" t="s">
        <v>535</v>
      </c>
      <c r="M24" s="29" t="s">
        <v>246</v>
      </c>
      <c r="N24" s="29"/>
      <c r="O24" s="30" t="s">
        <v>237</v>
      </c>
      <c r="P24" s="30" t="s">
        <v>245</v>
      </c>
      <c r="Q24" s="30" t="s">
        <v>415</v>
      </c>
      <c r="R24" s="29"/>
      <c r="S24" s="28" t="str">
        <f>"552,5"</f>
        <v>552,5</v>
      </c>
      <c r="T24" s="27" t="str">
        <f>"343,0472"</f>
        <v>343,0472</v>
      </c>
      <c r="U24" s="26" t="s">
        <v>534</v>
      </c>
    </row>
    <row r="25" spans="1:21" x14ac:dyDescent="0.2">
      <c r="A25" s="26" t="s">
        <v>707</v>
      </c>
      <c r="B25" s="26" t="s">
        <v>706</v>
      </c>
      <c r="C25" s="26" t="s">
        <v>705</v>
      </c>
      <c r="D25" s="26" t="str">
        <f>"0,6246"</f>
        <v>0,6246</v>
      </c>
      <c r="E25" s="26" t="s">
        <v>553</v>
      </c>
      <c r="F25" s="26" t="s">
        <v>552</v>
      </c>
      <c r="G25" s="30" t="s">
        <v>381</v>
      </c>
      <c r="H25" s="30" t="s">
        <v>271</v>
      </c>
      <c r="I25" s="30" t="s">
        <v>491</v>
      </c>
      <c r="J25" s="29"/>
      <c r="K25" s="30" t="s">
        <v>44</v>
      </c>
      <c r="L25" s="30" t="s">
        <v>45</v>
      </c>
      <c r="M25" s="30" t="s">
        <v>690</v>
      </c>
      <c r="N25" s="29"/>
      <c r="O25" s="30" t="s">
        <v>271</v>
      </c>
      <c r="P25" s="30" t="s">
        <v>292</v>
      </c>
      <c r="Q25" s="30" t="s">
        <v>274</v>
      </c>
      <c r="R25" s="29"/>
      <c r="S25" s="28" t="str">
        <f>"475,0"</f>
        <v>475,0</v>
      </c>
      <c r="T25" s="27" t="str">
        <f>"296,6850"</f>
        <v>296,6850</v>
      </c>
      <c r="U25" s="26" t="s">
        <v>688</v>
      </c>
    </row>
    <row r="26" spans="1:21" x14ac:dyDescent="0.2">
      <c r="A26" s="21" t="s">
        <v>704</v>
      </c>
      <c r="B26" s="21" t="s">
        <v>555</v>
      </c>
      <c r="C26" s="21" t="s">
        <v>554</v>
      </c>
      <c r="D26" s="21" t="str">
        <f>"0,6219"</f>
        <v>0,6219</v>
      </c>
      <c r="E26" s="21" t="s">
        <v>553</v>
      </c>
      <c r="F26" s="21" t="s">
        <v>552</v>
      </c>
      <c r="G26" s="25" t="s">
        <v>160</v>
      </c>
      <c r="H26" s="24"/>
      <c r="I26" s="24"/>
      <c r="J26" s="24"/>
      <c r="K26" s="25" t="s">
        <v>246</v>
      </c>
      <c r="L26" s="25" t="s">
        <v>467</v>
      </c>
      <c r="M26" s="25" t="s">
        <v>551</v>
      </c>
      <c r="N26" s="24"/>
      <c r="O26" s="25" t="s">
        <v>481</v>
      </c>
      <c r="P26" s="24"/>
      <c r="Q26" s="24"/>
      <c r="R26" s="24"/>
      <c r="S26" s="23" t="str">
        <f>"277,5"</f>
        <v>277,5</v>
      </c>
      <c r="T26" s="22" t="str">
        <f>"172,5773"</f>
        <v>172,5773</v>
      </c>
      <c r="U26" s="21" t="s">
        <v>550</v>
      </c>
    </row>
    <row r="28" spans="1:21" ht="15" x14ac:dyDescent="0.2">
      <c r="A28" s="51" t="s">
        <v>32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21" x14ac:dyDescent="0.2">
      <c r="A29" s="31" t="s">
        <v>86</v>
      </c>
      <c r="B29" s="31" t="s">
        <v>85</v>
      </c>
      <c r="C29" s="31" t="s">
        <v>354</v>
      </c>
      <c r="D29" s="31" t="str">
        <f>"0,5861"</f>
        <v>0,5861</v>
      </c>
      <c r="E29" s="31" t="s">
        <v>83</v>
      </c>
      <c r="F29" s="31" t="s">
        <v>82</v>
      </c>
      <c r="G29" s="35" t="s">
        <v>238</v>
      </c>
      <c r="H29" s="35" t="s">
        <v>237</v>
      </c>
      <c r="I29" s="34" t="s">
        <v>419</v>
      </c>
      <c r="J29" s="34"/>
      <c r="K29" s="35" t="s">
        <v>81</v>
      </c>
      <c r="L29" s="35" t="s">
        <v>51</v>
      </c>
      <c r="M29" s="35" t="s">
        <v>52</v>
      </c>
      <c r="N29" s="34"/>
      <c r="O29" s="34" t="s">
        <v>287</v>
      </c>
      <c r="P29" s="35" t="s">
        <v>287</v>
      </c>
      <c r="Q29" s="35" t="s">
        <v>320</v>
      </c>
      <c r="R29" s="34"/>
      <c r="S29" s="33" t="str">
        <f>"540,0"</f>
        <v>540,0</v>
      </c>
      <c r="T29" s="32" t="str">
        <f>"316,4940"</f>
        <v>316,4940</v>
      </c>
      <c r="U29" s="31" t="s">
        <v>79</v>
      </c>
    </row>
    <row r="30" spans="1:21" x14ac:dyDescent="0.2">
      <c r="A30" s="26" t="s">
        <v>703</v>
      </c>
      <c r="B30" s="26" t="s">
        <v>702</v>
      </c>
      <c r="C30" s="26" t="s">
        <v>701</v>
      </c>
      <c r="D30" s="26" t="str">
        <f>"0,5901"</f>
        <v>0,5901</v>
      </c>
      <c r="E30" s="26" t="s">
        <v>83</v>
      </c>
      <c r="F30" s="26" t="s">
        <v>82</v>
      </c>
      <c r="G30" s="30" t="s">
        <v>246</v>
      </c>
      <c r="H30" s="30" t="s">
        <v>369</v>
      </c>
      <c r="I30" s="29" t="s">
        <v>343</v>
      </c>
      <c r="J30" s="29"/>
      <c r="K30" s="30" t="s">
        <v>197</v>
      </c>
      <c r="L30" s="30" t="s">
        <v>37</v>
      </c>
      <c r="M30" s="29" t="s">
        <v>81</v>
      </c>
      <c r="N30" s="29"/>
      <c r="O30" s="30" t="s">
        <v>381</v>
      </c>
      <c r="P30" s="30" t="s">
        <v>239</v>
      </c>
      <c r="Q30" s="30" t="s">
        <v>440</v>
      </c>
      <c r="R30" s="29"/>
      <c r="S30" s="28" t="str">
        <f>"420,0"</f>
        <v>420,0</v>
      </c>
      <c r="T30" s="27" t="str">
        <f>"247,8420"</f>
        <v>247,8420</v>
      </c>
      <c r="U30" s="26" t="s">
        <v>79</v>
      </c>
    </row>
    <row r="31" spans="1:21" x14ac:dyDescent="0.2">
      <c r="A31" s="21" t="s">
        <v>700</v>
      </c>
      <c r="B31" s="21" t="s">
        <v>699</v>
      </c>
      <c r="C31" s="21" t="s">
        <v>698</v>
      </c>
      <c r="D31" s="21" t="str">
        <f>"0,5960"</f>
        <v>0,5960</v>
      </c>
      <c r="E31" s="21" t="s">
        <v>537</v>
      </c>
      <c r="F31" s="21" t="s">
        <v>536</v>
      </c>
      <c r="G31" s="25" t="s">
        <v>246</v>
      </c>
      <c r="H31" s="25" t="s">
        <v>467</v>
      </c>
      <c r="I31" s="25" t="s">
        <v>369</v>
      </c>
      <c r="J31" s="24"/>
      <c r="K31" s="25" t="s">
        <v>29</v>
      </c>
      <c r="L31" s="25" t="s">
        <v>559</v>
      </c>
      <c r="M31" s="24" t="s">
        <v>43</v>
      </c>
      <c r="N31" s="24"/>
      <c r="O31" s="25" t="s">
        <v>271</v>
      </c>
      <c r="P31" s="25" t="s">
        <v>610</v>
      </c>
      <c r="Q31" s="25" t="s">
        <v>238</v>
      </c>
      <c r="R31" s="24"/>
      <c r="S31" s="23" t="str">
        <f>"447,5"</f>
        <v>447,5</v>
      </c>
      <c r="T31" s="22" t="str">
        <f>"297,9151"</f>
        <v>297,9151</v>
      </c>
      <c r="U31" s="21" t="s">
        <v>534</v>
      </c>
    </row>
    <row r="33" spans="1:21" ht="15" x14ac:dyDescent="0.2">
      <c r="A33" s="51" t="s">
        <v>38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1" x14ac:dyDescent="0.2">
      <c r="A34" s="10" t="s">
        <v>697</v>
      </c>
      <c r="B34" s="10" t="s">
        <v>696</v>
      </c>
      <c r="C34" s="10" t="s">
        <v>695</v>
      </c>
      <c r="D34" s="10" t="str">
        <f>"0,5540"</f>
        <v>0,5540</v>
      </c>
      <c r="E34" s="10" t="s">
        <v>537</v>
      </c>
      <c r="F34" s="10" t="s">
        <v>536</v>
      </c>
      <c r="G34" s="11" t="s">
        <v>237</v>
      </c>
      <c r="H34" s="12" t="s">
        <v>683</v>
      </c>
      <c r="I34" s="11" t="s">
        <v>277</v>
      </c>
      <c r="J34" s="11"/>
      <c r="K34" s="12" t="s">
        <v>248</v>
      </c>
      <c r="L34" s="12" t="s">
        <v>246</v>
      </c>
      <c r="M34" s="11" t="s">
        <v>381</v>
      </c>
      <c r="N34" s="11"/>
      <c r="O34" s="12" t="s">
        <v>287</v>
      </c>
      <c r="P34" s="12" t="s">
        <v>320</v>
      </c>
      <c r="Q34" s="11"/>
      <c r="R34" s="11"/>
      <c r="S34" s="13" t="str">
        <f>"572,5"</f>
        <v>572,5</v>
      </c>
      <c r="T34" s="14" t="str">
        <f>"317,1650"</f>
        <v>317,1650</v>
      </c>
      <c r="U34" s="10" t="s">
        <v>534</v>
      </c>
    </row>
    <row r="36" spans="1:21" ht="15" x14ac:dyDescent="0.2">
      <c r="A36" s="51" t="s">
        <v>341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1" x14ac:dyDescent="0.2">
      <c r="A37" s="31" t="s">
        <v>340</v>
      </c>
      <c r="B37" s="31" t="s">
        <v>694</v>
      </c>
      <c r="C37" s="31" t="s">
        <v>338</v>
      </c>
      <c r="D37" s="31" t="str">
        <f>"0,5448"</f>
        <v>0,5448</v>
      </c>
      <c r="E37" s="31" t="s">
        <v>83</v>
      </c>
      <c r="F37" s="31" t="s">
        <v>82</v>
      </c>
      <c r="G37" s="35" t="s">
        <v>237</v>
      </c>
      <c r="H37" s="34" t="s">
        <v>277</v>
      </c>
      <c r="I37" s="35" t="s">
        <v>277</v>
      </c>
      <c r="J37" s="34"/>
      <c r="K37" s="35" t="s">
        <v>246</v>
      </c>
      <c r="L37" s="35" t="s">
        <v>381</v>
      </c>
      <c r="M37" s="34" t="s">
        <v>271</v>
      </c>
      <c r="N37" s="34"/>
      <c r="O37" s="35" t="s">
        <v>381</v>
      </c>
      <c r="P37" s="34" t="s">
        <v>337</v>
      </c>
      <c r="Q37" s="35" t="s">
        <v>336</v>
      </c>
      <c r="R37" s="34"/>
      <c r="S37" s="33" t="str">
        <f>"640,0"</f>
        <v>640,0</v>
      </c>
      <c r="T37" s="32" t="str">
        <f>"348,6720"</f>
        <v>348,6720</v>
      </c>
      <c r="U37" s="31" t="s">
        <v>79</v>
      </c>
    </row>
    <row r="38" spans="1:21" x14ac:dyDescent="0.2">
      <c r="A38" s="26" t="s">
        <v>693</v>
      </c>
      <c r="B38" s="26" t="s">
        <v>692</v>
      </c>
      <c r="C38" s="26" t="s">
        <v>691</v>
      </c>
      <c r="D38" s="26" t="str">
        <f>"0,5426"</f>
        <v>0,5426</v>
      </c>
      <c r="E38" s="26" t="s">
        <v>553</v>
      </c>
      <c r="F38" s="26" t="s">
        <v>552</v>
      </c>
      <c r="G38" s="30" t="s">
        <v>237</v>
      </c>
      <c r="H38" s="30" t="s">
        <v>287</v>
      </c>
      <c r="I38" s="30" t="s">
        <v>277</v>
      </c>
      <c r="J38" s="29"/>
      <c r="K38" s="30" t="s">
        <v>690</v>
      </c>
      <c r="L38" s="30" t="s">
        <v>359</v>
      </c>
      <c r="M38" s="29" t="s">
        <v>535</v>
      </c>
      <c r="N38" s="29"/>
      <c r="O38" s="30" t="s">
        <v>348</v>
      </c>
      <c r="P38" s="30" t="s">
        <v>267</v>
      </c>
      <c r="Q38" s="30" t="s">
        <v>689</v>
      </c>
      <c r="R38" s="29"/>
      <c r="S38" s="28" t="str">
        <f>"615,0"</f>
        <v>615,0</v>
      </c>
      <c r="T38" s="27" t="str">
        <f>"334,7001"</f>
        <v>334,7001</v>
      </c>
      <c r="U38" s="26" t="s">
        <v>688</v>
      </c>
    </row>
    <row r="39" spans="1:21" x14ac:dyDescent="0.2">
      <c r="A39" s="21" t="s">
        <v>687</v>
      </c>
      <c r="B39" s="21" t="s">
        <v>686</v>
      </c>
      <c r="C39" s="21" t="s">
        <v>685</v>
      </c>
      <c r="D39" s="21" t="str">
        <f>"0,5382"</f>
        <v>0,5382</v>
      </c>
      <c r="E39" s="21" t="s">
        <v>684</v>
      </c>
      <c r="F39" s="21" t="s">
        <v>552</v>
      </c>
      <c r="G39" s="25" t="s">
        <v>237</v>
      </c>
      <c r="H39" s="25" t="s">
        <v>683</v>
      </c>
      <c r="I39" s="25" t="s">
        <v>673</v>
      </c>
      <c r="J39" s="24"/>
      <c r="K39" s="25" t="s">
        <v>246</v>
      </c>
      <c r="L39" s="25" t="s">
        <v>467</v>
      </c>
      <c r="M39" s="25" t="s">
        <v>551</v>
      </c>
      <c r="N39" s="24"/>
      <c r="O39" s="25" t="s">
        <v>348</v>
      </c>
      <c r="P39" s="25" t="s">
        <v>279</v>
      </c>
      <c r="Q39" s="25" t="s">
        <v>267</v>
      </c>
      <c r="R39" s="24"/>
      <c r="S39" s="23" t="str">
        <f>"615,0"</f>
        <v>615,0</v>
      </c>
      <c r="T39" s="22" t="str">
        <f>"346,8807"</f>
        <v>346,8807</v>
      </c>
      <c r="U39" s="21" t="s">
        <v>53</v>
      </c>
    </row>
    <row r="41" spans="1:21" ht="15" x14ac:dyDescent="0.2">
      <c r="A41" s="51" t="s">
        <v>195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21" x14ac:dyDescent="0.2">
      <c r="A42" s="31" t="s">
        <v>682</v>
      </c>
      <c r="B42" s="31" t="s">
        <v>681</v>
      </c>
      <c r="C42" s="31" t="s">
        <v>680</v>
      </c>
      <c r="D42" s="31" t="str">
        <f>"0,5296"</f>
        <v>0,5296</v>
      </c>
      <c r="E42" s="31" t="s">
        <v>83</v>
      </c>
      <c r="F42" s="31" t="s">
        <v>82</v>
      </c>
      <c r="G42" s="35" t="s">
        <v>248</v>
      </c>
      <c r="H42" s="35" t="s">
        <v>381</v>
      </c>
      <c r="I42" s="34" t="s">
        <v>292</v>
      </c>
      <c r="J42" s="34"/>
      <c r="K42" s="35" t="s">
        <v>37</v>
      </c>
      <c r="L42" s="35" t="s">
        <v>81</v>
      </c>
      <c r="M42" s="34" t="s">
        <v>29</v>
      </c>
      <c r="N42" s="34"/>
      <c r="O42" s="35" t="s">
        <v>381</v>
      </c>
      <c r="P42" s="35" t="s">
        <v>292</v>
      </c>
      <c r="Q42" s="35" t="s">
        <v>440</v>
      </c>
      <c r="R42" s="34"/>
      <c r="S42" s="33" t="str">
        <f>"425,0"</f>
        <v>425,0</v>
      </c>
      <c r="T42" s="32" t="str">
        <f>"254,3404"</f>
        <v>254,3404</v>
      </c>
      <c r="U42" s="31" t="s">
        <v>79</v>
      </c>
    </row>
    <row r="43" spans="1:21" x14ac:dyDescent="0.2">
      <c r="A43" s="26" t="s">
        <v>194</v>
      </c>
      <c r="B43" s="26" t="s">
        <v>193</v>
      </c>
      <c r="C43" s="26" t="s">
        <v>192</v>
      </c>
      <c r="D43" s="26" t="str">
        <f>"0,5210"</f>
        <v>0,5210</v>
      </c>
      <c r="E43" s="26" t="s">
        <v>162</v>
      </c>
      <c r="F43" s="26" t="s">
        <v>161</v>
      </c>
      <c r="G43" s="29" t="s">
        <v>197</v>
      </c>
      <c r="H43" s="30" t="s">
        <v>197</v>
      </c>
      <c r="I43" s="30" t="s">
        <v>81</v>
      </c>
      <c r="J43" s="29"/>
      <c r="K43" s="30" t="s">
        <v>203</v>
      </c>
      <c r="L43" s="30" t="s">
        <v>481</v>
      </c>
      <c r="M43" s="30" t="s">
        <v>564</v>
      </c>
      <c r="N43" s="29"/>
      <c r="O43" s="30" t="s">
        <v>328</v>
      </c>
      <c r="P43" s="30" t="s">
        <v>247</v>
      </c>
      <c r="Q43" s="30" t="s">
        <v>246</v>
      </c>
      <c r="R43" s="29"/>
      <c r="S43" s="28" t="str">
        <f>"312,5"</f>
        <v>312,5</v>
      </c>
      <c r="T43" s="27" t="str">
        <f>"172,5813"</f>
        <v>172,5813</v>
      </c>
      <c r="U43" s="26" t="s">
        <v>156</v>
      </c>
    </row>
    <row r="44" spans="1:21" x14ac:dyDescent="0.2">
      <c r="A44" s="21" t="s">
        <v>679</v>
      </c>
      <c r="B44" s="21" t="s">
        <v>678</v>
      </c>
      <c r="C44" s="21" t="s">
        <v>677</v>
      </c>
      <c r="D44" s="21" t="str">
        <f>"0,5246"</f>
        <v>0,5246</v>
      </c>
      <c r="E44" s="21" t="s">
        <v>83</v>
      </c>
      <c r="F44" s="21" t="s">
        <v>82</v>
      </c>
      <c r="G44" s="25" t="s">
        <v>277</v>
      </c>
      <c r="H44" s="24" t="s">
        <v>280</v>
      </c>
      <c r="I44" s="24" t="s">
        <v>280</v>
      </c>
      <c r="J44" s="24"/>
      <c r="K44" s="25" t="s">
        <v>246</v>
      </c>
      <c r="L44" s="25" t="s">
        <v>381</v>
      </c>
      <c r="M44" s="24" t="s">
        <v>271</v>
      </c>
      <c r="N44" s="24"/>
      <c r="O44" s="25" t="s">
        <v>287</v>
      </c>
      <c r="P44" s="25" t="s">
        <v>415</v>
      </c>
      <c r="Q44" s="25" t="s">
        <v>280</v>
      </c>
      <c r="R44" s="24"/>
      <c r="S44" s="23" t="str">
        <f>"610,0"</f>
        <v>610,0</v>
      </c>
      <c r="T44" s="22" t="str">
        <f>"320,0060"</f>
        <v>320,0060</v>
      </c>
      <c r="U44" s="21" t="s">
        <v>79</v>
      </c>
    </row>
    <row r="46" spans="1:21" ht="15" x14ac:dyDescent="0.2">
      <c r="A46" s="51" t="s">
        <v>243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1" x14ac:dyDescent="0.2">
      <c r="A47" s="10" t="s">
        <v>242</v>
      </c>
      <c r="B47" s="10" t="s">
        <v>241</v>
      </c>
      <c r="C47" s="10" t="s">
        <v>240</v>
      </c>
      <c r="D47" s="10" t="str">
        <f>"0,5174"</f>
        <v>0,5174</v>
      </c>
      <c r="E47" s="10" t="s">
        <v>83</v>
      </c>
      <c r="F47" s="10" t="s">
        <v>82</v>
      </c>
      <c r="G47" s="12" t="s">
        <v>245</v>
      </c>
      <c r="H47" s="12" t="s">
        <v>415</v>
      </c>
      <c r="I47" s="12" t="s">
        <v>280</v>
      </c>
      <c r="J47" s="11"/>
      <c r="K47" s="12" t="s">
        <v>274</v>
      </c>
      <c r="L47" s="12" t="s">
        <v>238</v>
      </c>
      <c r="M47" s="12" t="s">
        <v>237</v>
      </c>
      <c r="N47" s="11"/>
      <c r="O47" s="12" t="s">
        <v>335</v>
      </c>
      <c r="P47" s="12" t="s">
        <v>316</v>
      </c>
      <c r="Q47" s="11" t="s">
        <v>334</v>
      </c>
      <c r="R47" s="11"/>
      <c r="S47" s="13" t="str">
        <f>"740,0"</f>
        <v>740,0</v>
      </c>
      <c r="T47" s="14" t="str">
        <f>"382,8760"</f>
        <v>382,8760</v>
      </c>
      <c r="U47" s="10" t="s">
        <v>79</v>
      </c>
    </row>
    <row r="49" spans="1:5" ht="15" x14ac:dyDescent="0.2">
      <c r="E49" s="7" t="s">
        <v>11</v>
      </c>
    </row>
    <row r="50" spans="1:5" ht="15" x14ac:dyDescent="0.2">
      <c r="E50" s="7" t="s">
        <v>12</v>
      </c>
    </row>
    <row r="51" spans="1:5" ht="15" x14ac:dyDescent="0.2">
      <c r="E51" s="7" t="s">
        <v>13</v>
      </c>
    </row>
    <row r="52" spans="1:5" ht="15" x14ac:dyDescent="0.2">
      <c r="E52" s="7" t="s">
        <v>14</v>
      </c>
    </row>
    <row r="53" spans="1:5" ht="15" x14ac:dyDescent="0.2">
      <c r="E53" s="7" t="s">
        <v>14</v>
      </c>
    </row>
    <row r="54" spans="1:5" ht="15" x14ac:dyDescent="0.2">
      <c r="E54" s="7" t="s">
        <v>15</v>
      </c>
    </row>
    <row r="55" spans="1:5" ht="15" x14ac:dyDescent="0.2">
      <c r="E55" s="7"/>
    </row>
    <row r="57" spans="1:5" ht="18" x14ac:dyDescent="0.25">
      <c r="A57" s="9" t="s">
        <v>16</v>
      </c>
      <c r="B57" s="9"/>
    </row>
    <row r="58" spans="1:5" ht="15" x14ac:dyDescent="0.2">
      <c r="A58" s="15" t="s">
        <v>126</v>
      </c>
      <c r="B58" s="15"/>
    </row>
    <row r="59" spans="1:5" ht="14.25" x14ac:dyDescent="0.2">
      <c r="A59" s="17"/>
      <c r="B59" s="18" t="s">
        <v>55</v>
      </c>
    </row>
    <row r="60" spans="1:5" ht="15" x14ac:dyDescent="0.2">
      <c r="A60" s="19" t="s">
        <v>56</v>
      </c>
      <c r="B60" s="19" t="s">
        <v>57</v>
      </c>
      <c r="C60" s="19" t="s">
        <v>58</v>
      </c>
      <c r="D60" s="19" t="s">
        <v>154</v>
      </c>
      <c r="E60" s="19" t="s">
        <v>60</v>
      </c>
    </row>
    <row r="61" spans="1:5" x14ac:dyDescent="0.2">
      <c r="A61" s="16" t="s">
        <v>676</v>
      </c>
      <c r="B61" s="4" t="s">
        <v>55</v>
      </c>
      <c r="C61" s="4" t="s">
        <v>71</v>
      </c>
      <c r="D61" s="4" t="s">
        <v>675</v>
      </c>
      <c r="E61" s="8" t="s">
        <v>674</v>
      </c>
    </row>
    <row r="62" spans="1:5" x14ac:dyDescent="0.2">
      <c r="A62" s="16" t="s">
        <v>125</v>
      </c>
      <c r="B62" s="4" t="s">
        <v>55</v>
      </c>
      <c r="C62" s="4" t="s">
        <v>124</v>
      </c>
      <c r="D62" s="4" t="s">
        <v>673</v>
      </c>
      <c r="E62" s="8" t="s">
        <v>672</v>
      </c>
    </row>
    <row r="63" spans="1:5" x14ac:dyDescent="0.2">
      <c r="A63" s="16" t="s">
        <v>121</v>
      </c>
      <c r="B63" s="4" t="s">
        <v>55</v>
      </c>
      <c r="C63" s="4" t="s">
        <v>120</v>
      </c>
      <c r="D63" s="4" t="s">
        <v>245</v>
      </c>
      <c r="E63" s="8" t="s">
        <v>671</v>
      </c>
    </row>
    <row r="64" spans="1:5" x14ac:dyDescent="0.2">
      <c r="A64" s="16" t="s">
        <v>326</v>
      </c>
      <c r="B64" s="4" t="s">
        <v>55</v>
      </c>
      <c r="C64" s="4" t="s">
        <v>71</v>
      </c>
      <c r="D64" s="4" t="s">
        <v>670</v>
      </c>
      <c r="E64" s="8" t="s">
        <v>669</v>
      </c>
    </row>
    <row r="67" spans="1:5" ht="15" x14ac:dyDescent="0.2">
      <c r="A67" s="15" t="s">
        <v>54</v>
      </c>
      <c r="B67" s="15"/>
    </row>
    <row r="68" spans="1:5" ht="14.25" x14ac:dyDescent="0.2">
      <c r="A68" s="17"/>
      <c r="B68" s="18" t="s">
        <v>155</v>
      </c>
    </row>
    <row r="69" spans="1:5" ht="15" x14ac:dyDescent="0.2">
      <c r="A69" s="19" t="s">
        <v>56</v>
      </c>
      <c r="B69" s="19" t="s">
        <v>57</v>
      </c>
      <c r="C69" s="19" t="s">
        <v>58</v>
      </c>
      <c r="D69" s="19" t="s">
        <v>154</v>
      </c>
      <c r="E69" s="19" t="s">
        <v>60</v>
      </c>
    </row>
    <row r="70" spans="1:5" x14ac:dyDescent="0.2">
      <c r="A70" s="16" t="s">
        <v>668</v>
      </c>
      <c r="B70" s="4" t="s">
        <v>152</v>
      </c>
      <c r="C70" s="4" t="s">
        <v>179</v>
      </c>
      <c r="D70" s="4" t="s">
        <v>667</v>
      </c>
      <c r="E70" s="8" t="s">
        <v>666</v>
      </c>
    </row>
    <row r="71" spans="1:5" x14ac:dyDescent="0.2">
      <c r="A71" s="16" t="s">
        <v>186</v>
      </c>
      <c r="B71" s="4" t="s">
        <v>180</v>
      </c>
      <c r="C71" s="4" t="s">
        <v>63</v>
      </c>
      <c r="D71" s="4" t="s">
        <v>665</v>
      </c>
      <c r="E71" s="8" t="s">
        <v>664</v>
      </c>
    </row>
    <row r="72" spans="1:5" x14ac:dyDescent="0.2">
      <c r="A72" s="16" t="s">
        <v>663</v>
      </c>
      <c r="B72" s="4" t="s">
        <v>152</v>
      </c>
      <c r="C72" s="4" t="s">
        <v>71</v>
      </c>
      <c r="D72" s="4" t="s">
        <v>337</v>
      </c>
      <c r="E72" s="8" t="s">
        <v>662</v>
      </c>
    </row>
    <row r="73" spans="1:5" x14ac:dyDescent="0.2">
      <c r="A73" s="16" t="s">
        <v>190</v>
      </c>
      <c r="B73" s="4" t="s">
        <v>189</v>
      </c>
      <c r="C73" s="4" t="s">
        <v>188</v>
      </c>
      <c r="D73" s="4" t="s">
        <v>433</v>
      </c>
      <c r="E73" s="8" t="s">
        <v>661</v>
      </c>
    </row>
    <row r="74" spans="1:5" x14ac:dyDescent="0.2">
      <c r="A74" s="16" t="s">
        <v>184</v>
      </c>
      <c r="B74" s="4" t="s">
        <v>152</v>
      </c>
      <c r="C74" s="4" t="s">
        <v>63</v>
      </c>
      <c r="D74" s="4" t="s">
        <v>660</v>
      </c>
      <c r="E74" s="8" t="s">
        <v>659</v>
      </c>
    </row>
    <row r="75" spans="1:5" x14ac:dyDescent="0.2">
      <c r="A75" s="16" t="s">
        <v>181</v>
      </c>
      <c r="B75" s="4" t="s">
        <v>180</v>
      </c>
      <c r="C75" s="4" t="s">
        <v>179</v>
      </c>
      <c r="D75" s="4" t="s">
        <v>658</v>
      </c>
      <c r="E75" s="8" t="s">
        <v>657</v>
      </c>
    </row>
    <row r="77" spans="1:5" ht="14.25" x14ac:dyDescent="0.2">
      <c r="A77" s="17"/>
      <c r="B77" s="18" t="s">
        <v>55</v>
      </c>
    </row>
    <row r="78" spans="1:5" ht="15" x14ac:dyDescent="0.2">
      <c r="A78" s="19" t="s">
        <v>56</v>
      </c>
      <c r="B78" s="19" t="s">
        <v>57</v>
      </c>
      <c r="C78" s="19" t="s">
        <v>58</v>
      </c>
      <c r="D78" s="19" t="s">
        <v>154</v>
      </c>
      <c r="E78" s="19" t="s">
        <v>60</v>
      </c>
    </row>
    <row r="79" spans="1:5" x14ac:dyDescent="0.2">
      <c r="A79" s="16" t="s">
        <v>234</v>
      </c>
      <c r="B79" s="4" t="s">
        <v>55</v>
      </c>
      <c r="C79" s="4" t="s">
        <v>233</v>
      </c>
      <c r="D79" s="4" t="s">
        <v>656</v>
      </c>
      <c r="E79" s="8" t="s">
        <v>655</v>
      </c>
    </row>
    <row r="80" spans="1:5" x14ac:dyDescent="0.2">
      <c r="A80" s="16" t="s">
        <v>654</v>
      </c>
      <c r="B80" s="4" t="s">
        <v>55</v>
      </c>
      <c r="C80" s="4" t="s">
        <v>63</v>
      </c>
      <c r="D80" s="4" t="s">
        <v>653</v>
      </c>
      <c r="E80" s="8" t="s">
        <v>652</v>
      </c>
    </row>
    <row r="81" spans="1:5" x14ac:dyDescent="0.2">
      <c r="A81" s="16" t="s">
        <v>651</v>
      </c>
      <c r="B81" s="4" t="s">
        <v>55</v>
      </c>
      <c r="C81" s="4" t="s">
        <v>179</v>
      </c>
      <c r="D81" s="4" t="s">
        <v>650</v>
      </c>
      <c r="E81" s="8" t="s">
        <v>649</v>
      </c>
    </row>
    <row r="82" spans="1:5" x14ac:dyDescent="0.2">
      <c r="A82" s="16" t="s">
        <v>648</v>
      </c>
      <c r="B82" s="4" t="s">
        <v>55</v>
      </c>
      <c r="C82" s="4" t="s">
        <v>61</v>
      </c>
      <c r="D82" s="4" t="s">
        <v>647</v>
      </c>
      <c r="E82" s="8" t="s">
        <v>646</v>
      </c>
    </row>
    <row r="83" spans="1:5" x14ac:dyDescent="0.2">
      <c r="A83" s="16" t="s">
        <v>78</v>
      </c>
      <c r="B83" s="4" t="s">
        <v>55</v>
      </c>
      <c r="C83" s="4" t="s">
        <v>67</v>
      </c>
      <c r="D83" s="4" t="s">
        <v>645</v>
      </c>
      <c r="E83" s="8" t="s">
        <v>644</v>
      </c>
    </row>
    <row r="84" spans="1:5" x14ac:dyDescent="0.2">
      <c r="A84" s="16" t="s">
        <v>643</v>
      </c>
      <c r="B84" s="4" t="s">
        <v>55</v>
      </c>
      <c r="C84" s="4" t="s">
        <v>63</v>
      </c>
      <c r="D84" s="4" t="s">
        <v>232</v>
      </c>
      <c r="E84" s="8" t="s">
        <v>642</v>
      </c>
    </row>
    <row r="85" spans="1:5" x14ac:dyDescent="0.2">
      <c r="A85" s="16" t="s">
        <v>641</v>
      </c>
      <c r="B85" s="4" t="s">
        <v>55</v>
      </c>
      <c r="C85" s="4" t="s">
        <v>67</v>
      </c>
      <c r="D85" s="4" t="s">
        <v>640</v>
      </c>
      <c r="E85" s="8" t="s">
        <v>639</v>
      </c>
    </row>
    <row r="86" spans="1:5" x14ac:dyDescent="0.2">
      <c r="A86" s="16" t="s">
        <v>468</v>
      </c>
      <c r="B86" s="4" t="s">
        <v>55</v>
      </c>
      <c r="C86" s="4" t="s">
        <v>63</v>
      </c>
      <c r="D86" s="4" t="s">
        <v>809</v>
      </c>
      <c r="E86" s="8" t="s">
        <v>808</v>
      </c>
    </row>
    <row r="88" spans="1:5" ht="14.25" x14ac:dyDescent="0.2">
      <c r="A88" s="17"/>
      <c r="B88" s="18" t="s">
        <v>75</v>
      </c>
    </row>
    <row r="89" spans="1:5" ht="15" x14ac:dyDescent="0.2">
      <c r="A89" s="19" t="s">
        <v>56</v>
      </c>
      <c r="B89" s="19" t="s">
        <v>57</v>
      </c>
      <c r="C89" s="19" t="s">
        <v>58</v>
      </c>
      <c r="D89" s="19" t="s">
        <v>154</v>
      </c>
      <c r="E89" s="19" t="s">
        <v>60</v>
      </c>
    </row>
    <row r="90" spans="1:5" x14ac:dyDescent="0.2">
      <c r="A90" s="16" t="s">
        <v>314</v>
      </c>
      <c r="B90" s="4" t="s">
        <v>298</v>
      </c>
      <c r="C90" s="4" t="s">
        <v>313</v>
      </c>
      <c r="D90" s="4" t="s">
        <v>638</v>
      </c>
      <c r="E90" s="8" t="s">
        <v>637</v>
      </c>
    </row>
    <row r="91" spans="1:5" x14ac:dyDescent="0.2">
      <c r="A91" s="16" t="s">
        <v>636</v>
      </c>
      <c r="B91" s="4" t="s">
        <v>456</v>
      </c>
      <c r="C91" s="4" t="s">
        <v>313</v>
      </c>
      <c r="D91" s="4" t="s">
        <v>633</v>
      </c>
      <c r="E91" s="8" t="s">
        <v>635</v>
      </c>
    </row>
    <row r="92" spans="1:5" x14ac:dyDescent="0.2">
      <c r="A92" s="16" t="s">
        <v>634</v>
      </c>
      <c r="B92" s="4" t="s">
        <v>298</v>
      </c>
      <c r="C92" s="4" t="s">
        <v>313</v>
      </c>
      <c r="D92" s="4" t="s">
        <v>633</v>
      </c>
      <c r="E92" s="8" t="s">
        <v>632</v>
      </c>
    </row>
    <row r="93" spans="1:5" x14ac:dyDescent="0.2">
      <c r="A93" s="16" t="s">
        <v>631</v>
      </c>
      <c r="B93" s="4" t="s">
        <v>456</v>
      </c>
      <c r="C93" s="4" t="s">
        <v>67</v>
      </c>
      <c r="D93" s="4" t="s">
        <v>630</v>
      </c>
      <c r="E93" s="8" t="s">
        <v>629</v>
      </c>
    </row>
  </sheetData>
  <mergeCells count="24">
    <mergeCell ref="A15:R15"/>
    <mergeCell ref="A18:R18"/>
    <mergeCell ref="A46:R46"/>
    <mergeCell ref="A21:R21"/>
    <mergeCell ref="A28:R28"/>
    <mergeCell ref="A33:R33"/>
    <mergeCell ref="A36:R36"/>
    <mergeCell ref="A41:R41"/>
    <mergeCell ref="U3:U4"/>
    <mergeCell ref="F3:F4"/>
    <mergeCell ref="E3:E4"/>
    <mergeCell ref="A5:R5"/>
    <mergeCell ref="A8:R8"/>
    <mergeCell ref="A12:R12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140625" style="4" bestFit="1" customWidth="1"/>
    <col min="7" max="10" width="5.5703125" style="3" customWidth="1"/>
    <col min="11" max="11" width="7.85546875" style="8" bestFit="1" customWidth="1"/>
    <col min="12" max="12" width="8.5703125" style="2" bestFit="1" customWidth="1"/>
    <col min="13" max="13" width="17.5703125" style="4" bestFit="1" customWidth="1"/>
    <col min="14" max="16384" width="9.140625" style="3"/>
  </cols>
  <sheetData>
    <row r="1" spans="1:13" s="2" customFormat="1" ht="29.1" customHeight="1" x14ac:dyDescent="0.2">
      <c r="A1" s="40" t="s">
        <v>581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253</v>
      </c>
      <c r="H3" s="50"/>
      <c r="I3" s="50"/>
      <c r="J3" s="50"/>
      <c r="K3" s="50" t="s">
        <v>17</v>
      </c>
      <c r="L3" s="50" t="s">
        <v>3</v>
      </c>
      <c r="M3" s="36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20">
        <v>1</v>
      </c>
      <c r="H4" s="20">
        <v>2</v>
      </c>
      <c r="I4" s="20">
        <v>3</v>
      </c>
      <c r="J4" s="20" t="s">
        <v>5</v>
      </c>
      <c r="K4" s="49"/>
      <c r="L4" s="49"/>
      <c r="M4" s="37"/>
    </row>
    <row r="5" spans="1:13" ht="15" x14ac:dyDescent="0.2">
      <c r="A5" s="38" t="s">
        <v>580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10" t="s">
        <v>579</v>
      </c>
      <c r="B6" s="10" t="s">
        <v>578</v>
      </c>
      <c r="C6" s="10" t="s">
        <v>577</v>
      </c>
      <c r="D6" s="10" t="str">
        <f>"1,1938"</f>
        <v>1,1938</v>
      </c>
      <c r="E6" s="10" t="s">
        <v>282</v>
      </c>
      <c r="F6" s="10" t="s">
        <v>259</v>
      </c>
      <c r="G6" s="12" t="s">
        <v>145</v>
      </c>
      <c r="H6" s="11" t="s">
        <v>576</v>
      </c>
      <c r="I6" s="11" t="s">
        <v>576</v>
      </c>
      <c r="J6" s="11"/>
      <c r="K6" s="13" t="str">
        <f>"20,0"</f>
        <v>20,0</v>
      </c>
      <c r="L6" s="14" t="str">
        <f>"29,3675"</f>
        <v>29,3675</v>
      </c>
      <c r="M6" s="10" t="s">
        <v>257</v>
      </c>
    </row>
    <row r="8" spans="1:13" ht="15" x14ac:dyDescent="0.2">
      <c r="A8" s="51" t="s">
        <v>132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31" t="s">
        <v>575</v>
      </c>
      <c r="B9" s="31" t="s">
        <v>574</v>
      </c>
      <c r="C9" s="31" t="s">
        <v>573</v>
      </c>
      <c r="D9" s="31" t="str">
        <f>"0,6882"</f>
        <v>0,6882</v>
      </c>
      <c r="E9" s="31" t="s">
        <v>565</v>
      </c>
      <c r="F9" s="31" t="s">
        <v>517</v>
      </c>
      <c r="G9" s="35" t="s">
        <v>376</v>
      </c>
      <c r="H9" s="35" t="s">
        <v>258</v>
      </c>
      <c r="I9" s="35" t="s">
        <v>44</v>
      </c>
      <c r="J9" s="34"/>
      <c r="K9" s="33" t="str">
        <f>"117,5"</f>
        <v>117,5</v>
      </c>
      <c r="L9" s="32" t="str">
        <f>"91,3758"</f>
        <v>91,3758</v>
      </c>
      <c r="M9" s="31" t="s">
        <v>516</v>
      </c>
    </row>
    <row r="10" spans="1:13" x14ac:dyDescent="0.2">
      <c r="A10" s="26" t="s">
        <v>572</v>
      </c>
      <c r="B10" s="26" t="s">
        <v>571</v>
      </c>
      <c r="C10" s="26" t="s">
        <v>570</v>
      </c>
      <c r="D10" s="26" t="str">
        <f>"0,6673"</f>
        <v>0,6673</v>
      </c>
      <c r="E10" s="26" t="s">
        <v>260</v>
      </c>
      <c r="F10" s="26" t="s">
        <v>259</v>
      </c>
      <c r="G10" s="30" t="s">
        <v>30</v>
      </c>
      <c r="H10" s="30" t="s">
        <v>51</v>
      </c>
      <c r="I10" s="30" t="s">
        <v>376</v>
      </c>
      <c r="J10" s="29"/>
      <c r="K10" s="28" t="str">
        <f>"107,5"</f>
        <v>107,5</v>
      </c>
      <c r="L10" s="27" t="str">
        <f>"77,4735"</f>
        <v>77,4735</v>
      </c>
      <c r="M10" s="26" t="s">
        <v>569</v>
      </c>
    </row>
    <row r="11" spans="1:13" x14ac:dyDescent="0.2">
      <c r="A11" s="26" t="s">
        <v>568</v>
      </c>
      <c r="B11" s="26" t="s">
        <v>567</v>
      </c>
      <c r="C11" s="26" t="s">
        <v>566</v>
      </c>
      <c r="D11" s="26" t="str">
        <f>"0,7137"</f>
        <v>0,7137</v>
      </c>
      <c r="E11" s="26" t="s">
        <v>565</v>
      </c>
      <c r="F11" s="26" t="s">
        <v>517</v>
      </c>
      <c r="G11" s="30" t="s">
        <v>481</v>
      </c>
      <c r="H11" s="29" t="s">
        <v>564</v>
      </c>
      <c r="I11" s="29" t="s">
        <v>564</v>
      </c>
      <c r="J11" s="29"/>
      <c r="K11" s="28" t="str">
        <f>"75,0"</f>
        <v>75,0</v>
      </c>
      <c r="L11" s="27" t="str">
        <f>"55,6686"</f>
        <v>55,6686</v>
      </c>
      <c r="M11" s="26" t="s">
        <v>516</v>
      </c>
    </row>
    <row r="12" spans="1:13" x14ac:dyDescent="0.2">
      <c r="A12" s="21" t="s">
        <v>563</v>
      </c>
      <c r="B12" s="21" t="s">
        <v>562</v>
      </c>
      <c r="C12" s="21" t="s">
        <v>561</v>
      </c>
      <c r="D12" s="21" t="str">
        <f>"0,6645"</f>
        <v>0,6645</v>
      </c>
      <c r="E12" s="21" t="s">
        <v>560</v>
      </c>
      <c r="F12" s="21" t="s">
        <v>105</v>
      </c>
      <c r="G12" s="25" t="s">
        <v>461</v>
      </c>
      <c r="H12" s="24" t="s">
        <v>559</v>
      </c>
      <c r="I12" s="24" t="s">
        <v>559</v>
      </c>
      <c r="J12" s="24"/>
      <c r="K12" s="23" t="str">
        <f>"97,5"</f>
        <v>97,5</v>
      </c>
      <c r="L12" s="22" t="str">
        <f>"135,2141"</f>
        <v>135,2141</v>
      </c>
      <c r="M12" s="21" t="s">
        <v>558</v>
      </c>
    </row>
    <row r="14" spans="1:13" ht="15" x14ac:dyDescent="0.2">
      <c r="A14" s="51" t="s">
        <v>21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 x14ac:dyDescent="0.2">
      <c r="A15" s="31" t="s">
        <v>812</v>
      </c>
      <c r="B15" s="31" t="s">
        <v>555</v>
      </c>
      <c r="C15" s="31" t="s">
        <v>554</v>
      </c>
      <c r="D15" s="31" t="str">
        <f>"0,6219"</f>
        <v>0,6219</v>
      </c>
      <c r="E15" s="31" t="s">
        <v>553</v>
      </c>
      <c r="F15" s="31" t="s">
        <v>552</v>
      </c>
      <c r="G15" s="35" t="s">
        <v>246</v>
      </c>
      <c r="H15" s="35" t="s">
        <v>467</v>
      </c>
      <c r="I15" s="35" t="s">
        <v>551</v>
      </c>
      <c r="J15" s="34"/>
      <c r="K15" s="33" t="str">
        <f>"152,5"</f>
        <v>152,5</v>
      </c>
      <c r="L15" s="32" t="str">
        <f>"94,8398"</f>
        <v>94,8398</v>
      </c>
      <c r="M15" s="31" t="s">
        <v>550</v>
      </c>
    </row>
    <row r="16" spans="1:13" x14ac:dyDescent="0.2">
      <c r="A16" s="26" t="s">
        <v>811</v>
      </c>
      <c r="B16" s="26" t="s">
        <v>557</v>
      </c>
      <c r="C16" s="26" t="s">
        <v>360</v>
      </c>
      <c r="D16" s="26" t="str">
        <f>"0,6388"</f>
        <v>0,6388</v>
      </c>
      <c r="E16" s="26" t="s">
        <v>350</v>
      </c>
      <c r="F16" s="26" t="s">
        <v>105</v>
      </c>
      <c r="G16" s="30" t="s">
        <v>247</v>
      </c>
      <c r="H16" s="30" t="s">
        <v>556</v>
      </c>
      <c r="I16" s="30" t="s">
        <v>467</v>
      </c>
      <c r="J16" s="29"/>
      <c r="K16" s="28" t="str">
        <f>"147,5"</f>
        <v>147,5</v>
      </c>
      <c r="L16" s="27" t="str">
        <f>"94,2230"</f>
        <v>94,2230</v>
      </c>
      <c r="M16" s="26" t="s">
        <v>395</v>
      </c>
    </row>
    <row r="17" spans="1:13" x14ac:dyDescent="0.2">
      <c r="A17" s="26" t="s">
        <v>549</v>
      </c>
      <c r="B17" s="26" t="s">
        <v>548</v>
      </c>
      <c r="C17" s="26" t="s">
        <v>547</v>
      </c>
      <c r="D17" s="26" t="str">
        <f>"0,6364"</f>
        <v>0,6364</v>
      </c>
      <c r="E17" s="26" t="s">
        <v>260</v>
      </c>
      <c r="F17" s="26" t="s">
        <v>111</v>
      </c>
      <c r="G17" s="29" t="s">
        <v>297</v>
      </c>
      <c r="H17" s="29" t="s">
        <v>328</v>
      </c>
      <c r="I17" s="29" t="s">
        <v>328</v>
      </c>
      <c r="J17" s="29"/>
      <c r="K17" s="28" t="str">
        <f>"0.00"</f>
        <v>0.00</v>
      </c>
      <c r="L17" s="27" t="str">
        <f>"0,0000"</f>
        <v>0,0000</v>
      </c>
      <c r="M17" s="26" t="s">
        <v>546</v>
      </c>
    </row>
    <row r="18" spans="1:13" x14ac:dyDescent="0.2">
      <c r="A18" s="26" t="s">
        <v>545</v>
      </c>
      <c r="B18" s="26" t="s">
        <v>544</v>
      </c>
      <c r="C18" s="26" t="s">
        <v>543</v>
      </c>
      <c r="D18" s="26" t="str">
        <f>"0,6230"</f>
        <v>0,6230</v>
      </c>
      <c r="E18" s="26" t="s">
        <v>542</v>
      </c>
      <c r="F18" s="26" t="s">
        <v>105</v>
      </c>
      <c r="G18" s="29" t="s">
        <v>246</v>
      </c>
      <c r="H18" s="29" t="s">
        <v>246</v>
      </c>
      <c r="I18" s="29"/>
      <c r="J18" s="29"/>
      <c r="K18" s="28" t="str">
        <f>"0.00"</f>
        <v>0.00</v>
      </c>
      <c r="L18" s="27" t="str">
        <f>"0,0000"</f>
        <v>0,0000</v>
      </c>
      <c r="M18" s="26" t="s">
        <v>541</v>
      </c>
    </row>
    <row r="19" spans="1:13" x14ac:dyDescent="0.2">
      <c r="A19" s="21" t="s">
        <v>540</v>
      </c>
      <c r="B19" s="21" t="s">
        <v>539</v>
      </c>
      <c r="C19" s="21" t="s">
        <v>538</v>
      </c>
      <c r="D19" s="21" t="str">
        <f>"0,6198"</f>
        <v>0,6198</v>
      </c>
      <c r="E19" s="21" t="s">
        <v>537</v>
      </c>
      <c r="F19" s="21" t="s">
        <v>536</v>
      </c>
      <c r="G19" s="25" t="s">
        <v>248</v>
      </c>
      <c r="H19" s="24" t="s">
        <v>535</v>
      </c>
      <c r="I19" s="24" t="s">
        <v>246</v>
      </c>
      <c r="J19" s="24"/>
      <c r="K19" s="23" t="str">
        <f>"130,0"</f>
        <v>130,0</v>
      </c>
      <c r="L19" s="22" t="str">
        <f>"81,2992"</f>
        <v>81,2992</v>
      </c>
      <c r="M19" s="21" t="s">
        <v>534</v>
      </c>
    </row>
    <row r="21" spans="1:13" ht="15" x14ac:dyDescent="0.2">
      <c r="A21" s="51" t="s">
        <v>32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3" x14ac:dyDescent="0.2">
      <c r="A22" s="31" t="s">
        <v>533</v>
      </c>
      <c r="B22" s="31" t="s">
        <v>532</v>
      </c>
      <c r="C22" s="31" t="s">
        <v>354</v>
      </c>
      <c r="D22" s="31" t="str">
        <f>"0,5861"</f>
        <v>0,5861</v>
      </c>
      <c r="E22" s="31" t="s">
        <v>531</v>
      </c>
      <c r="F22" s="31" t="s">
        <v>105</v>
      </c>
      <c r="G22" s="35" t="s">
        <v>238</v>
      </c>
      <c r="H22" s="35" t="s">
        <v>530</v>
      </c>
      <c r="I22" s="35" t="s">
        <v>476</v>
      </c>
      <c r="J22" s="34" t="s">
        <v>476</v>
      </c>
      <c r="K22" s="33" t="str">
        <f>"207,0"</f>
        <v>207,0</v>
      </c>
      <c r="L22" s="32" t="str">
        <f>"121,3227"</f>
        <v>121,3227</v>
      </c>
      <c r="M22" s="31" t="s">
        <v>529</v>
      </c>
    </row>
    <row r="23" spans="1:13" x14ac:dyDescent="0.2">
      <c r="A23" s="26" t="s">
        <v>528</v>
      </c>
      <c r="B23" s="26" t="s">
        <v>527</v>
      </c>
      <c r="C23" s="26" t="s">
        <v>84</v>
      </c>
      <c r="D23" s="26" t="str">
        <f>"0,5893"</f>
        <v>0,5893</v>
      </c>
      <c r="E23" s="26" t="s">
        <v>526</v>
      </c>
      <c r="F23" s="26" t="s">
        <v>525</v>
      </c>
      <c r="G23" s="30" t="s">
        <v>343</v>
      </c>
      <c r="H23" s="29" t="s">
        <v>524</v>
      </c>
      <c r="I23" s="29" t="s">
        <v>524</v>
      </c>
      <c r="J23" s="29"/>
      <c r="K23" s="28" t="str">
        <f>"165,0"</f>
        <v>165,0</v>
      </c>
      <c r="L23" s="27" t="str">
        <f>"97,2345"</f>
        <v>97,2345</v>
      </c>
      <c r="M23" s="26" t="s">
        <v>523</v>
      </c>
    </row>
    <row r="24" spans="1:13" x14ac:dyDescent="0.2">
      <c r="A24" s="26" t="s">
        <v>522</v>
      </c>
      <c r="B24" s="26" t="s">
        <v>521</v>
      </c>
      <c r="C24" s="26" t="s">
        <v>36</v>
      </c>
      <c r="D24" s="26" t="str">
        <f>"0,5853"</f>
        <v>0,5853</v>
      </c>
      <c r="E24" s="26" t="s">
        <v>442</v>
      </c>
      <c r="F24" s="26" t="s">
        <v>441</v>
      </c>
      <c r="G24" s="30" t="s">
        <v>381</v>
      </c>
      <c r="H24" s="29" t="s">
        <v>271</v>
      </c>
      <c r="I24" s="30" t="s">
        <v>271</v>
      </c>
      <c r="J24" s="29"/>
      <c r="K24" s="28" t="str">
        <f>"160,0"</f>
        <v>160,0</v>
      </c>
      <c r="L24" s="27" t="str">
        <f>"95,3337"</f>
        <v>95,3337</v>
      </c>
      <c r="M24" s="26" t="s">
        <v>439</v>
      </c>
    </row>
    <row r="25" spans="1:13" x14ac:dyDescent="0.2">
      <c r="A25" s="21" t="s">
        <v>520</v>
      </c>
      <c r="B25" s="21" t="s">
        <v>519</v>
      </c>
      <c r="C25" s="21" t="s">
        <v>518</v>
      </c>
      <c r="D25" s="21" t="str">
        <f>"0,5877"</f>
        <v>0,5877</v>
      </c>
      <c r="E25" s="21" t="s">
        <v>26</v>
      </c>
      <c r="F25" s="21" t="s">
        <v>517</v>
      </c>
      <c r="G25" s="25" t="s">
        <v>376</v>
      </c>
      <c r="H25" s="24" t="s">
        <v>258</v>
      </c>
      <c r="I25" s="24" t="s">
        <v>52</v>
      </c>
      <c r="J25" s="24"/>
      <c r="K25" s="23" t="str">
        <f>"107,5"</f>
        <v>107,5</v>
      </c>
      <c r="L25" s="22" t="str">
        <f>"63,7464"</f>
        <v>63,7464</v>
      </c>
      <c r="M25" s="21" t="s">
        <v>516</v>
      </c>
    </row>
    <row r="27" spans="1:13" ht="15" x14ac:dyDescent="0.2">
      <c r="A27" s="51" t="s">
        <v>38</v>
      </c>
      <c r="B27" s="52"/>
      <c r="C27" s="52"/>
      <c r="D27" s="52"/>
      <c r="E27" s="52"/>
      <c r="F27" s="52"/>
      <c r="G27" s="52"/>
      <c r="H27" s="52"/>
      <c r="I27" s="52"/>
      <c r="J27" s="52"/>
    </row>
    <row r="28" spans="1:13" x14ac:dyDescent="0.2">
      <c r="A28" s="31" t="s">
        <v>515</v>
      </c>
      <c r="B28" s="31" t="s">
        <v>514</v>
      </c>
      <c r="C28" s="31" t="s">
        <v>513</v>
      </c>
      <c r="D28" s="31" t="str">
        <f>"0,5597"</f>
        <v>0,5597</v>
      </c>
      <c r="E28" s="31" t="s">
        <v>260</v>
      </c>
      <c r="F28" s="31" t="s">
        <v>111</v>
      </c>
      <c r="G28" s="34" t="s">
        <v>52</v>
      </c>
      <c r="H28" s="35" t="s">
        <v>328</v>
      </c>
      <c r="I28" s="34" t="s">
        <v>247</v>
      </c>
      <c r="J28" s="34"/>
      <c r="K28" s="33" t="str">
        <f>"125,0"</f>
        <v>125,0</v>
      </c>
      <c r="L28" s="32" t="str">
        <f>"69,9625"</f>
        <v>69,9625</v>
      </c>
      <c r="M28" s="31" t="s">
        <v>512</v>
      </c>
    </row>
    <row r="29" spans="1:13" x14ac:dyDescent="0.2">
      <c r="A29" s="21" t="s">
        <v>511</v>
      </c>
      <c r="B29" s="21" t="s">
        <v>510</v>
      </c>
      <c r="C29" s="21" t="s">
        <v>509</v>
      </c>
      <c r="D29" s="21" t="str">
        <f>"0,5575"</f>
        <v>0,5575</v>
      </c>
      <c r="E29" s="21" t="s">
        <v>508</v>
      </c>
      <c r="F29" s="21" t="s">
        <v>105</v>
      </c>
      <c r="G29" s="25" t="s">
        <v>369</v>
      </c>
      <c r="H29" s="24" t="s">
        <v>406</v>
      </c>
      <c r="I29" s="25" t="s">
        <v>406</v>
      </c>
      <c r="J29" s="24"/>
      <c r="K29" s="23" t="str">
        <f>"162,5"</f>
        <v>162,5</v>
      </c>
      <c r="L29" s="22" t="str">
        <f>"90,5938"</f>
        <v>90,5938</v>
      </c>
      <c r="M29" s="21" t="s">
        <v>53</v>
      </c>
    </row>
    <row r="31" spans="1:13" ht="15" x14ac:dyDescent="0.2">
      <c r="A31" s="51" t="s">
        <v>341</v>
      </c>
      <c r="B31" s="52"/>
      <c r="C31" s="52"/>
      <c r="D31" s="52"/>
      <c r="E31" s="52"/>
      <c r="F31" s="52"/>
      <c r="G31" s="52"/>
      <c r="H31" s="52"/>
      <c r="I31" s="52"/>
      <c r="J31" s="52"/>
    </row>
    <row r="32" spans="1:13" x14ac:dyDescent="0.2">
      <c r="A32" s="31" t="s">
        <v>507</v>
      </c>
      <c r="B32" s="31" t="s">
        <v>506</v>
      </c>
      <c r="C32" s="31" t="s">
        <v>505</v>
      </c>
      <c r="D32" s="31" t="str">
        <f>"0,5408"</f>
        <v>0,5408</v>
      </c>
      <c r="E32" s="31" t="s">
        <v>504</v>
      </c>
      <c r="F32" s="31" t="s">
        <v>105</v>
      </c>
      <c r="G32" s="35" t="s">
        <v>238</v>
      </c>
      <c r="H32" s="35" t="s">
        <v>237</v>
      </c>
      <c r="I32" s="34"/>
      <c r="J32" s="34"/>
      <c r="K32" s="33" t="str">
        <f>"200,0"</f>
        <v>200,0</v>
      </c>
      <c r="L32" s="32" t="str">
        <f>"108,1600"</f>
        <v>108,1600</v>
      </c>
      <c r="M32" s="31" t="s">
        <v>53</v>
      </c>
    </row>
    <row r="33" spans="1:13" x14ac:dyDescent="0.2">
      <c r="A33" s="26" t="s">
        <v>503</v>
      </c>
      <c r="B33" s="26" t="s">
        <v>502</v>
      </c>
      <c r="C33" s="26" t="s">
        <v>501</v>
      </c>
      <c r="D33" s="26" t="str">
        <f>"0,5393"</f>
        <v>0,5393</v>
      </c>
      <c r="E33" s="26" t="s">
        <v>83</v>
      </c>
      <c r="F33" s="26" t="s">
        <v>82</v>
      </c>
      <c r="G33" s="30" t="s">
        <v>271</v>
      </c>
      <c r="H33" s="30" t="s">
        <v>491</v>
      </c>
      <c r="I33" s="30" t="s">
        <v>292</v>
      </c>
      <c r="J33" s="29"/>
      <c r="K33" s="28" t="str">
        <f>"170,0"</f>
        <v>170,0</v>
      </c>
      <c r="L33" s="27" t="str">
        <f>"91,9560"</f>
        <v>91,9560</v>
      </c>
      <c r="M33" s="26" t="s">
        <v>79</v>
      </c>
    </row>
    <row r="34" spans="1:13" x14ac:dyDescent="0.2">
      <c r="A34" s="21" t="s">
        <v>500</v>
      </c>
      <c r="B34" s="21" t="s">
        <v>499</v>
      </c>
      <c r="C34" s="21" t="s">
        <v>498</v>
      </c>
      <c r="D34" s="21" t="str">
        <f>"0,5404"</f>
        <v>0,5404</v>
      </c>
      <c r="E34" s="21" t="s">
        <v>497</v>
      </c>
      <c r="F34" s="21" t="s">
        <v>364</v>
      </c>
      <c r="G34" s="24" t="s">
        <v>271</v>
      </c>
      <c r="H34" s="24" t="s">
        <v>271</v>
      </c>
      <c r="I34" s="25" t="s">
        <v>271</v>
      </c>
      <c r="J34" s="24"/>
      <c r="K34" s="23" t="str">
        <f>"160,0"</f>
        <v>160,0</v>
      </c>
      <c r="L34" s="22" t="str">
        <f>"87,2422"</f>
        <v>87,2422</v>
      </c>
      <c r="M34" s="21" t="s">
        <v>496</v>
      </c>
    </row>
    <row r="36" spans="1:13" ht="15" x14ac:dyDescent="0.2">
      <c r="A36" s="51" t="s">
        <v>195</v>
      </c>
      <c r="B36" s="52"/>
      <c r="C36" s="52"/>
      <c r="D36" s="52"/>
      <c r="E36" s="52"/>
      <c r="F36" s="52"/>
      <c r="G36" s="52"/>
      <c r="H36" s="52"/>
      <c r="I36" s="52"/>
      <c r="J36" s="52"/>
    </row>
    <row r="37" spans="1:13" x14ac:dyDescent="0.2">
      <c r="A37" s="31" t="s">
        <v>494</v>
      </c>
      <c r="B37" s="31" t="s">
        <v>495</v>
      </c>
      <c r="C37" s="31" t="s">
        <v>492</v>
      </c>
      <c r="D37" s="31" t="str">
        <f>"0,5258"</f>
        <v>0,5258</v>
      </c>
      <c r="E37" s="31" t="s">
        <v>83</v>
      </c>
      <c r="F37" s="31" t="s">
        <v>82</v>
      </c>
      <c r="G37" s="35" t="s">
        <v>369</v>
      </c>
      <c r="H37" s="35" t="s">
        <v>343</v>
      </c>
      <c r="I37" s="34" t="s">
        <v>491</v>
      </c>
      <c r="J37" s="34"/>
      <c r="K37" s="33" t="str">
        <f>"165,0"</f>
        <v>165,0</v>
      </c>
      <c r="L37" s="32" t="str">
        <f>"86,7570"</f>
        <v>86,7570</v>
      </c>
      <c r="M37" s="31" t="s">
        <v>79</v>
      </c>
    </row>
    <row r="38" spans="1:13" x14ac:dyDescent="0.2">
      <c r="A38" s="21" t="s">
        <v>494</v>
      </c>
      <c r="B38" s="21" t="s">
        <v>493</v>
      </c>
      <c r="C38" s="21" t="s">
        <v>492</v>
      </c>
      <c r="D38" s="21" t="str">
        <f>"0,5258"</f>
        <v>0,5258</v>
      </c>
      <c r="E38" s="21" t="s">
        <v>83</v>
      </c>
      <c r="F38" s="21" t="s">
        <v>82</v>
      </c>
      <c r="G38" s="25" t="s">
        <v>369</v>
      </c>
      <c r="H38" s="25" t="s">
        <v>343</v>
      </c>
      <c r="I38" s="24" t="s">
        <v>491</v>
      </c>
      <c r="J38" s="24"/>
      <c r="K38" s="23" t="str">
        <f>"165,0"</f>
        <v>165,0</v>
      </c>
      <c r="L38" s="22" t="str">
        <f>"92,7432"</f>
        <v>92,7432</v>
      </c>
      <c r="M38" s="21" t="s">
        <v>79</v>
      </c>
    </row>
    <row r="40" spans="1:13" ht="15" x14ac:dyDescent="0.2">
      <c r="E40" s="7" t="s">
        <v>11</v>
      </c>
    </row>
    <row r="41" spans="1:13" ht="15" x14ac:dyDescent="0.2">
      <c r="E41" s="7" t="s">
        <v>12</v>
      </c>
    </row>
    <row r="42" spans="1:13" ht="15" x14ac:dyDescent="0.2">
      <c r="E42" s="7" t="s">
        <v>13</v>
      </c>
    </row>
    <row r="43" spans="1:13" ht="15" x14ac:dyDescent="0.2">
      <c r="E43" s="7" t="s">
        <v>14</v>
      </c>
    </row>
    <row r="44" spans="1:13" ht="15" x14ac:dyDescent="0.2">
      <c r="E44" s="7" t="s">
        <v>14</v>
      </c>
    </row>
    <row r="45" spans="1:13" ht="15" x14ac:dyDescent="0.2">
      <c r="E45" s="7" t="s">
        <v>15</v>
      </c>
    </row>
    <row r="46" spans="1:13" ht="15" x14ac:dyDescent="0.2">
      <c r="E46" s="7"/>
    </row>
    <row r="48" spans="1:13" ht="18" x14ac:dyDescent="0.25">
      <c r="A48" s="9" t="s">
        <v>16</v>
      </c>
      <c r="B48" s="9"/>
    </row>
    <row r="49" spans="1:5" ht="15" x14ac:dyDescent="0.2">
      <c r="A49" s="15" t="s">
        <v>126</v>
      </c>
      <c r="B49" s="15"/>
    </row>
    <row r="50" spans="1:5" ht="14.25" x14ac:dyDescent="0.2">
      <c r="A50" s="17"/>
      <c r="B50" s="18" t="s">
        <v>490</v>
      </c>
    </row>
    <row r="51" spans="1:5" ht="15" x14ac:dyDescent="0.2">
      <c r="A51" s="19" t="s">
        <v>56</v>
      </c>
      <c r="B51" s="19" t="s">
        <v>57</v>
      </c>
      <c r="C51" s="19" t="s">
        <v>58</v>
      </c>
      <c r="D51" s="19" t="s">
        <v>59</v>
      </c>
      <c r="E51" s="19" t="s">
        <v>60</v>
      </c>
    </row>
    <row r="52" spans="1:5" x14ac:dyDescent="0.2">
      <c r="A52" s="16" t="s">
        <v>489</v>
      </c>
      <c r="B52" s="4" t="s">
        <v>322</v>
      </c>
      <c r="C52" s="4" t="s">
        <v>488</v>
      </c>
      <c r="D52" s="4" t="s">
        <v>145</v>
      </c>
      <c r="E52" s="8" t="s">
        <v>487</v>
      </c>
    </row>
    <row r="55" spans="1:5" ht="15" x14ac:dyDescent="0.2">
      <c r="A55" s="15" t="s">
        <v>54</v>
      </c>
      <c r="B55" s="15"/>
    </row>
    <row r="56" spans="1:5" ht="14.25" x14ac:dyDescent="0.2">
      <c r="A56" s="17"/>
      <c r="B56" s="18" t="s">
        <v>155</v>
      </c>
    </row>
    <row r="57" spans="1:5" ht="15" x14ac:dyDescent="0.2">
      <c r="A57" s="19" t="s">
        <v>56</v>
      </c>
      <c r="B57" s="19" t="s">
        <v>57</v>
      </c>
      <c r="C57" s="19" t="s">
        <v>58</v>
      </c>
      <c r="D57" s="19" t="s">
        <v>59</v>
      </c>
      <c r="E57" s="19" t="s">
        <v>60</v>
      </c>
    </row>
    <row r="58" spans="1:5" x14ac:dyDescent="0.2">
      <c r="A58" s="16" t="s">
        <v>486</v>
      </c>
      <c r="B58" s="4" t="s">
        <v>152</v>
      </c>
      <c r="C58" s="4" t="s">
        <v>120</v>
      </c>
      <c r="D58" s="4" t="s">
        <v>44</v>
      </c>
      <c r="E58" s="8" t="s">
        <v>485</v>
      </c>
    </row>
    <row r="59" spans="1:5" x14ac:dyDescent="0.2">
      <c r="A59" s="16" t="s">
        <v>484</v>
      </c>
      <c r="B59" s="4" t="s">
        <v>152</v>
      </c>
      <c r="C59" s="4" t="s">
        <v>120</v>
      </c>
      <c r="D59" s="4" t="s">
        <v>376</v>
      </c>
      <c r="E59" s="8" t="s">
        <v>483</v>
      </c>
    </row>
    <row r="60" spans="1:5" x14ac:dyDescent="0.2">
      <c r="A60" s="16" t="s">
        <v>482</v>
      </c>
      <c r="B60" s="4" t="s">
        <v>180</v>
      </c>
      <c r="C60" s="4" t="s">
        <v>120</v>
      </c>
      <c r="D60" s="4" t="s">
        <v>481</v>
      </c>
      <c r="E60" s="8" t="s">
        <v>480</v>
      </c>
    </row>
    <row r="62" spans="1:5" ht="14.25" x14ac:dyDescent="0.2">
      <c r="A62" s="17"/>
      <c r="B62" s="18" t="s">
        <v>144</v>
      </c>
    </row>
    <row r="63" spans="1:5" ht="15" x14ac:dyDescent="0.2">
      <c r="A63" s="19" t="s">
        <v>56</v>
      </c>
      <c r="B63" s="19" t="s">
        <v>57</v>
      </c>
      <c r="C63" s="19" t="s">
        <v>58</v>
      </c>
      <c r="D63" s="19" t="s">
        <v>59</v>
      </c>
      <c r="E63" s="19" t="s">
        <v>60</v>
      </c>
    </row>
    <row r="64" spans="1:5" x14ac:dyDescent="0.2">
      <c r="A64" s="16" t="s">
        <v>479</v>
      </c>
      <c r="B64" s="4" t="s">
        <v>142</v>
      </c>
      <c r="C64" s="4" t="s">
        <v>61</v>
      </c>
      <c r="D64" s="4" t="s">
        <v>328</v>
      </c>
      <c r="E64" s="8" t="s">
        <v>478</v>
      </c>
    </row>
    <row r="66" spans="1:5" ht="14.25" x14ac:dyDescent="0.2">
      <c r="A66" s="17"/>
      <c r="B66" s="18" t="s">
        <v>55</v>
      </c>
    </row>
    <row r="67" spans="1:5" ht="15" x14ac:dyDescent="0.2">
      <c r="A67" s="19" t="s">
        <v>56</v>
      </c>
      <c r="B67" s="19" t="s">
        <v>57</v>
      </c>
      <c r="C67" s="19" t="s">
        <v>58</v>
      </c>
      <c r="D67" s="19" t="s">
        <v>59</v>
      </c>
      <c r="E67" s="19" t="s">
        <v>60</v>
      </c>
    </row>
    <row r="68" spans="1:5" x14ac:dyDescent="0.2">
      <c r="A68" s="16" t="s">
        <v>477</v>
      </c>
      <c r="B68" s="4" t="s">
        <v>55</v>
      </c>
      <c r="C68" s="4" t="s">
        <v>67</v>
      </c>
      <c r="D68" s="4" t="s">
        <v>476</v>
      </c>
      <c r="E68" s="8" t="s">
        <v>475</v>
      </c>
    </row>
    <row r="69" spans="1:5" x14ac:dyDescent="0.2">
      <c r="A69" s="16" t="s">
        <v>474</v>
      </c>
      <c r="B69" s="4" t="s">
        <v>55</v>
      </c>
      <c r="C69" s="4" t="s">
        <v>313</v>
      </c>
      <c r="D69" s="4" t="s">
        <v>237</v>
      </c>
      <c r="E69" s="8" t="s">
        <v>473</v>
      </c>
    </row>
    <row r="70" spans="1:5" x14ac:dyDescent="0.2">
      <c r="A70" s="16" t="s">
        <v>472</v>
      </c>
      <c r="B70" s="4" t="s">
        <v>55</v>
      </c>
      <c r="C70" s="4" t="s">
        <v>67</v>
      </c>
      <c r="D70" s="4" t="s">
        <v>343</v>
      </c>
      <c r="E70" s="8" t="s">
        <v>471</v>
      </c>
    </row>
    <row r="71" spans="1:5" x14ac:dyDescent="0.2">
      <c r="A71" s="16" t="s">
        <v>468</v>
      </c>
      <c r="B71" s="4" t="s">
        <v>55</v>
      </c>
      <c r="C71" s="4" t="s">
        <v>63</v>
      </c>
      <c r="D71" s="4" t="s">
        <v>551</v>
      </c>
      <c r="E71" s="8" t="s">
        <v>810</v>
      </c>
    </row>
    <row r="72" spans="1:5" x14ac:dyDescent="0.2">
      <c r="A72" s="16" t="s">
        <v>470</v>
      </c>
      <c r="B72" s="4" t="s">
        <v>55</v>
      </c>
      <c r="C72" s="4" t="s">
        <v>63</v>
      </c>
      <c r="D72" s="4" t="s">
        <v>467</v>
      </c>
      <c r="E72" s="8" t="s">
        <v>469</v>
      </c>
    </row>
    <row r="73" spans="1:5" x14ac:dyDescent="0.2">
      <c r="A73" s="16" t="s">
        <v>466</v>
      </c>
      <c r="B73" s="4" t="s">
        <v>55</v>
      </c>
      <c r="C73" s="4" t="s">
        <v>61</v>
      </c>
      <c r="D73" s="4" t="s">
        <v>406</v>
      </c>
      <c r="E73" s="8" t="s">
        <v>465</v>
      </c>
    </row>
    <row r="74" spans="1:5" x14ac:dyDescent="0.2">
      <c r="A74" s="16" t="s">
        <v>457</v>
      </c>
      <c r="B74" s="4" t="s">
        <v>55</v>
      </c>
      <c r="C74" s="4" t="s">
        <v>179</v>
      </c>
      <c r="D74" s="4" t="s">
        <v>343</v>
      </c>
      <c r="E74" s="8" t="s">
        <v>464</v>
      </c>
    </row>
    <row r="76" spans="1:5" ht="14.25" x14ac:dyDescent="0.2">
      <c r="A76" s="17"/>
      <c r="B76" s="18" t="s">
        <v>75</v>
      </c>
    </row>
    <row r="77" spans="1:5" ht="15" x14ac:dyDescent="0.2">
      <c r="A77" s="19" t="s">
        <v>56</v>
      </c>
      <c r="B77" s="19" t="s">
        <v>57</v>
      </c>
      <c r="C77" s="19" t="s">
        <v>58</v>
      </c>
      <c r="D77" s="19" t="s">
        <v>59</v>
      </c>
      <c r="E77" s="19" t="s">
        <v>60</v>
      </c>
    </row>
    <row r="78" spans="1:5" x14ac:dyDescent="0.2">
      <c r="A78" s="16" t="s">
        <v>463</v>
      </c>
      <c r="B78" s="4" t="s">
        <v>462</v>
      </c>
      <c r="C78" s="4" t="s">
        <v>120</v>
      </c>
      <c r="D78" s="4" t="s">
        <v>461</v>
      </c>
      <c r="E78" s="8" t="s">
        <v>460</v>
      </c>
    </row>
    <row r="79" spans="1:5" x14ac:dyDescent="0.2">
      <c r="A79" s="16" t="s">
        <v>459</v>
      </c>
      <c r="B79" s="4" t="s">
        <v>298</v>
      </c>
      <c r="C79" s="4" t="s">
        <v>67</v>
      </c>
      <c r="D79" s="4" t="s">
        <v>271</v>
      </c>
      <c r="E79" s="8" t="s">
        <v>458</v>
      </c>
    </row>
    <row r="80" spans="1:5" x14ac:dyDescent="0.2">
      <c r="A80" s="16" t="s">
        <v>457</v>
      </c>
      <c r="B80" s="4" t="s">
        <v>456</v>
      </c>
      <c r="C80" s="4" t="s">
        <v>179</v>
      </c>
      <c r="D80" s="4" t="s">
        <v>343</v>
      </c>
      <c r="E80" s="8" t="s">
        <v>455</v>
      </c>
    </row>
    <row r="81" spans="1:5" x14ac:dyDescent="0.2">
      <c r="A81" s="16" t="s">
        <v>454</v>
      </c>
      <c r="B81" s="4" t="s">
        <v>298</v>
      </c>
      <c r="C81" s="4" t="s">
        <v>313</v>
      </c>
      <c r="D81" s="4" t="s">
        <v>292</v>
      </c>
      <c r="E81" s="8" t="s">
        <v>453</v>
      </c>
    </row>
    <row r="82" spans="1:5" x14ac:dyDescent="0.2">
      <c r="A82" s="16" t="s">
        <v>452</v>
      </c>
      <c r="B82" s="4" t="s">
        <v>298</v>
      </c>
      <c r="C82" s="4" t="s">
        <v>313</v>
      </c>
      <c r="D82" s="4" t="s">
        <v>271</v>
      </c>
      <c r="E82" s="8" t="s">
        <v>451</v>
      </c>
    </row>
    <row r="83" spans="1:5" x14ac:dyDescent="0.2">
      <c r="A83" s="16" t="s">
        <v>450</v>
      </c>
      <c r="B83" s="4" t="s">
        <v>298</v>
      </c>
      <c r="C83" s="4" t="s">
        <v>63</v>
      </c>
      <c r="D83" s="4" t="s">
        <v>248</v>
      </c>
      <c r="E83" s="8" t="s">
        <v>449</v>
      </c>
    </row>
    <row r="84" spans="1:5" x14ac:dyDescent="0.2">
      <c r="A84" s="16" t="s">
        <v>448</v>
      </c>
      <c r="B84" s="4" t="s">
        <v>298</v>
      </c>
      <c r="C84" s="4" t="s">
        <v>67</v>
      </c>
      <c r="D84" s="4" t="s">
        <v>376</v>
      </c>
      <c r="E84" s="8" t="s">
        <v>447</v>
      </c>
    </row>
  </sheetData>
  <mergeCells count="18">
    <mergeCell ref="E3:E4"/>
    <mergeCell ref="A31:J31"/>
    <mergeCell ref="A36:J36"/>
    <mergeCell ref="A5:J5"/>
    <mergeCell ref="A8:J8"/>
    <mergeCell ref="A14:J14"/>
    <mergeCell ref="A21:J21"/>
    <mergeCell ref="A27:J27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5703125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0" t="s">
        <v>117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96</v>
      </c>
      <c r="E3" s="50" t="s">
        <v>4</v>
      </c>
      <c r="F3" s="50" t="s">
        <v>7</v>
      </c>
      <c r="G3" s="50" t="s">
        <v>116</v>
      </c>
      <c r="H3" s="50"/>
      <c r="I3" s="50" t="s">
        <v>94</v>
      </c>
      <c r="J3" s="50" t="s">
        <v>3</v>
      </c>
      <c r="K3" s="36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37"/>
    </row>
    <row r="5" spans="1:11" ht="15" x14ac:dyDescent="0.2">
      <c r="A5" s="38" t="s">
        <v>21</v>
      </c>
      <c r="B5" s="39"/>
      <c r="C5" s="39"/>
      <c r="D5" s="39"/>
      <c r="E5" s="39"/>
      <c r="F5" s="39"/>
      <c r="G5" s="39"/>
      <c r="H5" s="39"/>
    </row>
    <row r="6" spans="1:11" x14ac:dyDescent="0.2">
      <c r="A6" s="10" t="s">
        <v>115</v>
      </c>
      <c r="B6" s="10" t="s">
        <v>114</v>
      </c>
      <c r="C6" s="10" t="s">
        <v>113</v>
      </c>
      <c r="D6" s="10" t="str">
        <f>"0,7800"</f>
        <v>0,7800</v>
      </c>
      <c r="E6" s="10" t="s">
        <v>112</v>
      </c>
      <c r="F6" s="10" t="s">
        <v>111</v>
      </c>
      <c r="G6" s="12" t="s">
        <v>37</v>
      </c>
      <c r="H6" s="12" t="s">
        <v>110</v>
      </c>
      <c r="I6" s="13" t="str">
        <f>"2720,0"</f>
        <v>2720,0</v>
      </c>
      <c r="J6" s="14" t="str">
        <f>"2121,5999"</f>
        <v>2121,5999</v>
      </c>
      <c r="K6" s="10" t="s">
        <v>53</v>
      </c>
    </row>
    <row r="8" spans="1:11" ht="15" x14ac:dyDescent="0.2">
      <c r="A8" s="51" t="s">
        <v>32</v>
      </c>
      <c r="B8" s="52"/>
      <c r="C8" s="52"/>
      <c r="D8" s="52"/>
      <c r="E8" s="52"/>
      <c r="F8" s="52"/>
      <c r="G8" s="52"/>
      <c r="H8" s="52"/>
    </row>
    <row r="9" spans="1:11" x14ac:dyDescent="0.2">
      <c r="A9" s="10" t="s">
        <v>109</v>
      </c>
      <c r="B9" s="10" t="s">
        <v>108</v>
      </c>
      <c r="C9" s="10" t="s">
        <v>107</v>
      </c>
      <c r="D9" s="10" t="str">
        <f>"0,7177"</f>
        <v>0,7177</v>
      </c>
      <c r="E9" s="10" t="s">
        <v>106</v>
      </c>
      <c r="F9" s="10" t="s">
        <v>105</v>
      </c>
      <c r="G9" s="12" t="s">
        <v>81</v>
      </c>
      <c r="H9" s="12" t="s">
        <v>104</v>
      </c>
      <c r="I9" s="13" t="str">
        <f>"2160,0"</f>
        <v>2160,0</v>
      </c>
      <c r="J9" s="14" t="str">
        <f>"1550,2320"</f>
        <v>1550,2320</v>
      </c>
      <c r="K9" s="10" t="s">
        <v>53</v>
      </c>
    </row>
    <row r="11" spans="1:11" ht="15" x14ac:dyDescent="0.2">
      <c r="E11" s="7" t="s">
        <v>11</v>
      </c>
    </row>
    <row r="12" spans="1:11" ht="15" x14ac:dyDescent="0.2">
      <c r="E12" s="7" t="s">
        <v>12</v>
      </c>
    </row>
    <row r="13" spans="1:11" ht="15" x14ac:dyDescent="0.2">
      <c r="E13" s="7" t="s">
        <v>13</v>
      </c>
    </row>
    <row r="14" spans="1:11" ht="15" x14ac:dyDescent="0.2">
      <c r="E14" s="7" t="s">
        <v>14</v>
      </c>
    </row>
    <row r="15" spans="1:11" ht="15" x14ac:dyDescent="0.2">
      <c r="E15" s="7" t="s">
        <v>14</v>
      </c>
    </row>
    <row r="16" spans="1:11" ht="15" x14ac:dyDescent="0.2">
      <c r="E16" s="7" t="s">
        <v>15</v>
      </c>
    </row>
    <row r="17" spans="1:5" ht="15" x14ac:dyDescent="0.2">
      <c r="E17" s="7"/>
    </row>
    <row r="19" spans="1:5" ht="18" x14ac:dyDescent="0.25">
      <c r="A19" s="9" t="s">
        <v>16</v>
      </c>
      <c r="B19" s="9"/>
    </row>
    <row r="20" spans="1:5" ht="15" x14ac:dyDescent="0.2">
      <c r="A20" s="15" t="s">
        <v>54</v>
      </c>
      <c r="B20" s="15"/>
    </row>
    <row r="21" spans="1:5" ht="14.25" x14ac:dyDescent="0.2">
      <c r="A21" s="17"/>
      <c r="B21" s="18" t="s">
        <v>55</v>
      </c>
    </row>
    <row r="22" spans="1:5" ht="15" x14ac:dyDescent="0.2">
      <c r="A22" s="19" t="s">
        <v>56</v>
      </c>
      <c r="B22" s="19" t="s">
        <v>57</v>
      </c>
      <c r="C22" s="19" t="s">
        <v>58</v>
      </c>
      <c r="D22" s="19" t="s">
        <v>59</v>
      </c>
      <c r="E22" s="19" t="s">
        <v>74</v>
      </c>
    </row>
    <row r="23" spans="1:5" x14ac:dyDescent="0.2">
      <c r="A23" s="16" t="s">
        <v>103</v>
      </c>
      <c r="B23" s="4" t="s">
        <v>55</v>
      </c>
      <c r="C23" s="4" t="s">
        <v>63</v>
      </c>
      <c r="D23" s="4" t="s">
        <v>102</v>
      </c>
      <c r="E23" s="8" t="s">
        <v>101</v>
      </c>
    </row>
    <row r="24" spans="1:5" x14ac:dyDescent="0.2">
      <c r="A24" s="16" t="s">
        <v>100</v>
      </c>
      <c r="B24" s="4" t="s">
        <v>55</v>
      </c>
      <c r="C24" s="4" t="s">
        <v>67</v>
      </c>
      <c r="D24" s="4" t="s">
        <v>99</v>
      </c>
      <c r="E24" s="8" t="s">
        <v>98</v>
      </c>
    </row>
  </sheetData>
  <mergeCells count="13">
    <mergeCell ref="A1:K2"/>
    <mergeCell ref="A3:A4"/>
    <mergeCell ref="B3:B4"/>
    <mergeCell ref="C3:C4"/>
    <mergeCell ref="D3:D4"/>
    <mergeCell ref="E3:E4"/>
    <mergeCell ref="F3:F4"/>
    <mergeCell ref="A8:H8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8.5703125" style="2" bestFit="1" customWidth="1"/>
    <col min="11" max="11" width="17.5703125" style="4" bestFit="1" customWidth="1"/>
    <col min="12" max="16384" width="9.140625" style="3"/>
  </cols>
  <sheetData>
    <row r="1" spans="1:11" s="2" customFormat="1" ht="29.1" customHeight="1" x14ac:dyDescent="0.2">
      <c r="A1" s="40" t="s">
        <v>139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96</v>
      </c>
      <c r="E3" s="50" t="s">
        <v>4</v>
      </c>
      <c r="F3" s="50" t="s">
        <v>7</v>
      </c>
      <c r="G3" s="50" t="s">
        <v>116</v>
      </c>
      <c r="H3" s="50"/>
      <c r="I3" s="50" t="s">
        <v>94</v>
      </c>
      <c r="J3" s="50" t="s">
        <v>3</v>
      </c>
      <c r="K3" s="36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37"/>
    </row>
    <row r="5" spans="1:11" ht="15" x14ac:dyDescent="0.2">
      <c r="A5" s="38" t="s">
        <v>138</v>
      </c>
      <c r="B5" s="39"/>
      <c r="C5" s="39"/>
      <c r="D5" s="39"/>
      <c r="E5" s="39"/>
      <c r="F5" s="39"/>
      <c r="G5" s="39"/>
      <c r="H5" s="39"/>
    </row>
    <row r="6" spans="1:11" x14ac:dyDescent="0.2">
      <c r="A6" s="10" t="s">
        <v>137</v>
      </c>
      <c r="B6" s="10" t="s">
        <v>136</v>
      </c>
      <c r="C6" s="10" t="s">
        <v>135</v>
      </c>
      <c r="D6" s="10" t="str">
        <f>"0,9536"</f>
        <v>0,9536</v>
      </c>
      <c r="E6" s="10" t="s">
        <v>83</v>
      </c>
      <c r="F6" s="10" t="s">
        <v>82</v>
      </c>
      <c r="G6" s="12" t="s">
        <v>134</v>
      </c>
      <c r="H6" s="12" t="s">
        <v>133</v>
      </c>
      <c r="I6" s="13" t="str">
        <f>"907,5"</f>
        <v>907,5</v>
      </c>
      <c r="J6" s="14" t="str">
        <f>"865,3920"</f>
        <v>865,3920</v>
      </c>
      <c r="K6" s="10" t="s">
        <v>79</v>
      </c>
    </row>
    <row r="8" spans="1:11" ht="15" x14ac:dyDescent="0.2">
      <c r="A8" s="51" t="s">
        <v>132</v>
      </c>
      <c r="B8" s="52"/>
      <c r="C8" s="52"/>
      <c r="D8" s="52"/>
      <c r="E8" s="52"/>
      <c r="F8" s="52"/>
      <c r="G8" s="52"/>
      <c r="H8" s="52"/>
    </row>
    <row r="9" spans="1:11" x14ac:dyDescent="0.2">
      <c r="A9" s="10" t="s">
        <v>131</v>
      </c>
      <c r="B9" s="10" t="s">
        <v>130</v>
      </c>
      <c r="C9" s="10" t="s">
        <v>129</v>
      </c>
      <c r="D9" s="10" t="str">
        <f>"0,8800"</f>
        <v>0,8800</v>
      </c>
      <c r="E9" s="10" t="s">
        <v>83</v>
      </c>
      <c r="F9" s="10" t="s">
        <v>82</v>
      </c>
      <c r="G9" s="12" t="s">
        <v>128</v>
      </c>
      <c r="H9" s="12" t="s">
        <v>127</v>
      </c>
      <c r="I9" s="13" t="str">
        <f>"595,0"</f>
        <v>595,0</v>
      </c>
      <c r="J9" s="14" t="str">
        <f>"523,6000"</f>
        <v>523,6000</v>
      </c>
      <c r="K9" s="10" t="s">
        <v>79</v>
      </c>
    </row>
    <row r="11" spans="1:11" ht="15" x14ac:dyDescent="0.2">
      <c r="E11" s="7" t="s">
        <v>11</v>
      </c>
    </row>
    <row r="12" spans="1:11" ht="15" x14ac:dyDescent="0.2">
      <c r="E12" s="7" t="s">
        <v>12</v>
      </c>
    </row>
    <row r="13" spans="1:11" ht="15" x14ac:dyDescent="0.2">
      <c r="E13" s="7" t="s">
        <v>13</v>
      </c>
    </row>
    <row r="14" spans="1:11" ht="15" x14ac:dyDescent="0.2">
      <c r="E14" s="7" t="s">
        <v>14</v>
      </c>
    </row>
    <row r="15" spans="1:11" ht="15" x14ac:dyDescent="0.2">
      <c r="E15" s="7" t="s">
        <v>14</v>
      </c>
    </row>
    <row r="16" spans="1:11" ht="15" x14ac:dyDescent="0.2">
      <c r="E16" s="7" t="s">
        <v>15</v>
      </c>
    </row>
    <row r="17" spans="1:5" ht="15" x14ac:dyDescent="0.2">
      <c r="E17" s="7"/>
    </row>
    <row r="19" spans="1:5" ht="18" x14ac:dyDescent="0.25">
      <c r="A19" s="9" t="s">
        <v>16</v>
      </c>
      <c r="B19" s="9"/>
    </row>
    <row r="20" spans="1:5" ht="15" x14ac:dyDescent="0.2">
      <c r="A20" s="15" t="s">
        <v>126</v>
      </c>
      <c r="B20" s="15"/>
    </row>
    <row r="21" spans="1:5" ht="14.25" x14ac:dyDescent="0.2">
      <c r="A21" s="17"/>
      <c r="B21" s="18" t="s">
        <v>55</v>
      </c>
    </row>
    <row r="22" spans="1:5" ht="15" x14ac:dyDescent="0.2">
      <c r="A22" s="19" t="s">
        <v>56</v>
      </c>
      <c r="B22" s="19" t="s">
        <v>57</v>
      </c>
      <c r="C22" s="19" t="s">
        <v>58</v>
      </c>
      <c r="D22" s="19" t="s">
        <v>59</v>
      </c>
      <c r="E22" s="19" t="s">
        <v>74</v>
      </c>
    </row>
    <row r="23" spans="1:5" x14ac:dyDescent="0.2">
      <c r="A23" s="16" t="s">
        <v>125</v>
      </c>
      <c r="B23" s="4" t="s">
        <v>55</v>
      </c>
      <c r="C23" s="4" t="s">
        <v>124</v>
      </c>
      <c r="D23" s="4" t="s">
        <v>123</v>
      </c>
      <c r="E23" s="8" t="s">
        <v>122</v>
      </c>
    </row>
    <row r="24" spans="1:5" x14ac:dyDescent="0.2">
      <c r="A24" s="16" t="s">
        <v>121</v>
      </c>
      <c r="B24" s="4" t="s">
        <v>55</v>
      </c>
      <c r="C24" s="4" t="s">
        <v>120</v>
      </c>
      <c r="D24" s="4" t="s">
        <v>119</v>
      </c>
      <c r="E24" s="8" t="s">
        <v>118</v>
      </c>
    </row>
  </sheetData>
  <mergeCells count="13">
    <mergeCell ref="A1:K2"/>
    <mergeCell ref="A3:A4"/>
    <mergeCell ref="B3:B4"/>
    <mergeCell ref="C3:C4"/>
    <mergeCell ref="D3:D4"/>
    <mergeCell ref="E3:E4"/>
    <mergeCell ref="F3:F4"/>
    <mergeCell ref="A8:H8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" style="4" bestFit="1" customWidth="1"/>
    <col min="7" max="7" width="5" style="3" customWidth="1"/>
    <col min="8" max="8" width="10.42578125" style="3" customWidth="1"/>
    <col min="9" max="9" width="7.85546875" style="8" bestFit="1" customWidth="1"/>
    <col min="10" max="10" width="9.5703125" style="2" bestFit="1" customWidth="1"/>
    <col min="11" max="11" width="17.5703125" style="4" bestFit="1" customWidth="1"/>
    <col min="12" max="16384" width="9.140625" style="3"/>
  </cols>
  <sheetData>
    <row r="1" spans="1:11" s="2" customFormat="1" ht="29.1" customHeight="1" x14ac:dyDescent="0.2">
      <c r="A1" s="40" t="s">
        <v>150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96</v>
      </c>
      <c r="E3" s="50" t="s">
        <v>4</v>
      </c>
      <c r="F3" s="50" t="s">
        <v>7</v>
      </c>
      <c r="G3" s="50" t="s">
        <v>116</v>
      </c>
      <c r="H3" s="50"/>
      <c r="I3" s="50" t="s">
        <v>94</v>
      </c>
      <c r="J3" s="50" t="s">
        <v>3</v>
      </c>
      <c r="K3" s="36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37"/>
    </row>
    <row r="5" spans="1:11" ht="15" x14ac:dyDescent="0.2">
      <c r="A5" s="38" t="s">
        <v>32</v>
      </c>
      <c r="B5" s="39"/>
      <c r="C5" s="39"/>
      <c r="D5" s="39"/>
      <c r="E5" s="39"/>
      <c r="F5" s="39"/>
      <c r="G5" s="39"/>
      <c r="H5" s="39"/>
    </row>
    <row r="6" spans="1:11" x14ac:dyDescent="0.2">
      <c r="A6" s="10" t="s">
        <v>149</v>
      </c>
      <c r="B6" s="10" t="s">
        <v>148</v>
      </c>
      <c r="C6" s="10" t="s">
        <v>147</v>
      </c>
      <c r="D6" s="10" t="str">
        <f>"0,7426"</f>
        <v>0,7426</v>
      </c>
      <c r="E6" s="10" t="s">
        <v>83</v>
      </c>
      <c r="F6" s="10" t="s">
        <v>82</v>
      </c>
      <c r="G6" s="12" t="s">
        <v>146</v>
      </c>
      <c r="H6" s="12" t="s">
        <v>145</v>
      </c>
      <c r="I6" s="13" t="str">
        <f>"1750,0"</f>
        <v>1750,0</v>
      </c>
      <c r="J6" s="14" t="str">
        <f>"1299,5500"</f>
        <v>1299,5500</v>
      </c>
      <c r="K6" s="10" t="s">
        <v>79</v>
      </c>
    </row>
    <row r="8" spans="1:11" ht="15" x14ac:dyDescent="0.2">
      <c r="E8" s="7" t="s">
        <v>11</v>
      </c>
    </row>
    <row r="9" spans="1:11" ht="15" x14ac:dyDescent="0.2">
      <c r="E9" s="7" t="s">
        <v>12</v>
      </c>
    </row>
    <row r="10" spans="1:11" ht="15" x14ac:dyDescent="0.2">
      <c r="E10" s="7" t="s">
        <v>13</v>
      </c>
    </row>
    <row r="11" spans="1:11" ht="15" x14ac:dyDescent="0.2">
      <c r="E11" s="7" t="s">
        <v>14</v>
      </c>
    </row>
    <row r="12" spans="1:11" ht="15" x14ac:dyDescent="0.2">
      <c r="E12" s="7" t="s">
        <v>14</v>
      </c>
    </row>
    <row r="13" spans="1:11" ht="15" x14ac:dyDescent="0.2">
      <c r="E13" s="7" t="s">
        <v>15</v>
      </c>
    </row>
    <row r="14" spans="1:11" ht="15" x14ac:dyDescent="0.2">
      <c r="E14" s="7"/>
    </row>
    <row r="16" spans="1:11" ht="18" x14ac:dyDescent="0.25">
      <c r="A16" s="9" t="s">
        <v>16</v>
      </c>
      <c r="B16" s="9"/>
    </row>
    <row r="17" spans="1:5" ht="15" x14ac:dyDescent="0.2">
      <c r="A17" s="15" t="s">
        <v>54</v>
      </c>
      <c r="B17" s="15"/>
    </row>
    <row r="18" spans="1:5" ht="14.25" x14ac:dyDescent="0.2">
      <c r="A18" s="17"/>
      <c r="B18" s="18" t="s">
        <v>144</v>
      </c>
    </row>
    <row r="19" spans="1:5" ht="15" x14ac:dyDescent="0.2">
      <c r="A19" s="19" t="s">
        <v>56</v>
      </c>
      <c r="B19" s="19" t="s">
        <v>57</v>
      </c>
      <c r="C19" s="19" t="s">
        <v>58</v>
      </c>
      <c r="D19" s="19" t="s">
        <v>59</v>
      </c>
      <c r="E19" s="19" t="s">
        <v>74</v>
      </c>
    </row>
    <row r="20" spans="1:5" x14ac:dyDescent="0.2">
      <c r="A20" s="16" t="s">
        <v>143</v>
      </c>
      <c r="B20" s="4" t="s">
        <v>142</v>
      </c>
      <c r="C20" s="4" t="s">
        <v>67</v>
      </c>
      <c r="D20" s="4" t="s">
        <v>141</v>
      </c>
      <c r="E20" s="8" t="s">
        <v>140</v>
      </c>
    </row>
  </sheetData>
  <mergeCells count="12">
    <mergeCell ref="J3:J4"/>
    <mergeCell ref="A1:K2"/>
    <mergeCell ref="A3:A4"/>
    <mergeCell ref="B3:B4"/>
    <mergeCell ref="C3:C4"/>
    <mergeCell ref="K3:K4"/>
    <mergeCell ref="F3:F4"/>
    <mergeCell ref="E3:E4"/>
    <mergeCell ref="G3:H3"/>
    <mergeCell ref="A5:H5"/>
    <mergeCell ref="D3:D4"/>
    <mergeCell ref="I3:I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8.7109375" style="4" bestFit="1" customWidth="1"/>
    <col min="7" max="7" width="4.5703125" style="3" customWidth="1"/>
    <col min="8" max="9" width="2.1406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8" bestFit="1" customWidth="1"/>
    <col min="16" max="16" width="7.5703125" style="2" bestFit="1" customWidth="1"/>
    <col min="17" max="17" width="12.140625" style="4" bestFit="1" customWidth="1"/>
    <col min="18" max="16384" width="9.140625" style="3"/>
  </cols>
  <sheetData>
    <row r="1" spans="1:17" s="2" customFormat="1" ht="29.1" customHeight="1" x14ac:dyDescent="0.2">
      <c r="A1" s="40" t="s">
        <v>168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167</v>
      </c>
      <c r="H3" s="50"/>
      <c r="I3" s="50"/>
      <c r="J3" s="50"/>
      <c r="K3" s="50" t="s">
        <v>166</v>
      </c>
      <c r="L3" s="50"/>
      <c r="M3" s="50"/>
      <c r="N3" s="50"/>
      <c r="O3" s="50" t="s">
        <v>1</v>
      </c>
      <c r="P3" s="50" t="s">
        <v>3</v>
      </c>
      <c r="Q3" s="36" t="s">
        <v>2</v>
      </c>
    </row>
    <row r="4" spans="1:17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9"/>
      <c r="P4" s="49"/>
      <c r="Q4" s="37"/>
    </row>
    <row r="5" spans="1:17" ht="15" x14ac:dyDescent="0.2">
      <c r="A5" s="38" t="s">
        <v>132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7" x14ac:dyDescent="0.2">
      <c r="A6" s="10" t="s">
        <v>165</v>
      </c>
      <c r="B6" s="10" t="s">
        <v>164</v>
      </c>
      <c r="C6" s="10" t="s">
        <v>163</v>
      </c>
      <c r="D6" s="10" t="str">
        <f>"0,6652"</f>
        <v>0,6652</v>
      </c>
      <c r="E6" s="10" t="s">
        <v>162</v>
      </c>
      <c r="F6" s="10" t="s">
        <v>161</v>
      </c>
      <c r="G6" s="12" t="s">
        <v>160</v>
      </c>
      <c r="H6" s="11"/>
      <c r="I6" s="11"/>
      <c r="J6" s="11"/>
      <c r="K6" s="12" t="s">
        <v>159</v>
      </c>
      <c r="L6" s="12" t="s">
        <v>158</v>
      </c>
      <c r="M6" s="11" t="s">
        <v>157</v>
      </c>
      <c r="N6" s="11"/>
      <c r="O6" s="13" t="str">
        <f>"105,0"</f>
        <v>105,0</v>
      </c>
      <c r="P6" s="14" t="str">
        <f>"75,4337"</f>
        <v>75,4337</v>
      </c>
      <c r="Q6" s="10" t="s">
        <v>156</v>
      </c>
    </row>
    <row r="8" spans="1:17" ht="15" x14ac:dyDescent="0.2">
      <c r="E8" s="7" t="s">
        <v>11</v>
      </c>
    </row>
    <row r="9" spans="1:17" ht="15" x14ac:dyDescent="0.2">
      <c r="E9" s="7" t="s">
        <v>12</v>
      </c>
    </row>
    <row r="10" spans="1:17" ht="15" x14ac:dyDescent="0.2">
      <c r="E10" s="7" t="s">
        <v>13</v>
      </c>
    </row>
    <row r="11" spans="1:17" ht="15" x14ac:dyDescent="0.2">
      <c r="E11" s="7" t="s">
        <v>14</v>
      </c>
    </row>
    <row r="12" spans="1:17" ht="15" x14ac:dyDescent="0.2">
      <c r="E12" s="7" t="s">
        <v>14</v>
      </c>
    </row>
    <row r="13" spans="1:17" ht="15" x14ac:dyDescent="0.2">
      <c r="E13" s="7" t="s">
        <v>15</v>
      </c>
    </row>
    <row r="14" spans="1:17" ht="15" x14ac:dyDescent="0.2">
      <c r="E14" s="7"/>
    </row>
    <row r="16" spans="1:17" ht="18" x14ac:dyDescent="0.25">
      <c r="A16" s="9" t="s">
        <v>16</v>
      </c>
      <c r="B16" s="9"/>
    </row>
    <row r="17" spans="1:5" ht="15" x14ac:dyDescent="0.2">
      <c r="A17" s="15" t="s">
        <v>54</v>
      </c>
      <c r="B17" s="15"/>
    </row>
    <row r="18" spans="1:5" ht="14.25" x14ac:dyDescent="0.2">
      <c r="A18" s="17"/>
      <c r="B18" s="18" t="s">
        <v>155</v>
      </c>
    </row>
    <row r="19" spans="1:5" ht="15" x14ac:dyDescent="0.2">
      <c r="A19" s="19" t="s">
        <v>56</v>
      </c>
      <c r="B19" s="19" t="s">
        <v>57</v>
      </c>
      <c r="C19" s="19" t="s">
        <v>58</v>
      </c>
      <c r="D19" s="19" t="s">
        <v>154</v>
      </c>
      <c r="E19" s="19" t="s">
        <v>60</v>
      </c>
    </row>
    <row r="20" spans="1:5" x14ac:dyDescent="0.2">
      <c r="A20" s="16" t="s">
        <v>153</v>
      </c>
      <c r="B20" s="4" t="s">
        <v>152</v>
      </c>
      <c r="C20" s="4" t="s">
        <v>120</v>
      </c>
      <c r="D20" s="4" t="s">
        <v>51</v>
      </c>
      <c r="E20" s="8" t="s">
        <v>151</v>
      </c>
    </row>
  </sheetData>
  <mergeCells count="13"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7109375" style="4" bestFit="1" customWidth="1"/>
    <col min="7" max="9" width="4.5703125" style="3" customWidth="1"/>
    <col min="10" max="10" width="4.85546875" style="3" customWidth="1"/>
    <col min="11" max="11" width="7.85546875" style="8" bestFit="1" customWidth="1"/>
    <col min="12" max="12" width="7.5703125" style="2" bestFit="1" customWidth="1"/>
    <col min="13" max="13" width="13.42578125" style="4" bestFit="1" customWidth="1"/>
    <col min="14" max="16384" width="9.140625" style="3"/>
  </cols>
  <sheetData>
    <row r="1" spans="1:13" s="2" customFormat="1" ht="29.1" customHeight="1" x14ac:dyDescent="0.2">
      <c r="A1" s="40" t="s">
        <v>227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166</v>
      </c>
      <c r="H3" s="50"/>
      <c r="I3" s="50"/>
      <c r="J3" s="50"/>
      <c r="K3" s="50" t="s">
        <v>17</v>
      </c>
      <c r="L3" s="50" t="s">
        <v>3</v>
      </c>
      <c r="M3" s="36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37"/>
    </row>
    <row r="5" spans="1:13" ht="15" x14ac:dyDescent="0.2">
      <c r="A5" s="38" t="s">
        <v>226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10" t="s">
        <v>225</v>
      </c>
      <c r="B6" s="10" t="s">
        <v>224</v>
      </c>
      <c r="C6" s="10" t="s">
        <v>223</v>
      </c>
      <c r="D6" s="10" t="str">
        <f>"0,8128"</f>
        <v>0,8128</v>
      </c>
      <c r="E6" s="10" t="s">
        <v>162</v>
      </c>
      <c r="F6" s="10" t="s">
        <v>161</v>
      </c>
      <c r="G6" s="12" t="s">
        <v>222</v>
      </c>
      <c r="H6" s="12" t="s">
        <v>128</v>
      </c>
      <c r="I6" s="11" t="s">
        <v>214</v>
      </c>
      <c r="J6" s="11"/>
      <c r="K6" s="13" t="str">
        <f>"35,0"</f>
        <v>35,0</v>
      </c>
      <c r="L6" s="14" t="str">
        <f>"33,5686"</f>
        <v>33,5686</v>
      </c>
      <c r="M6" s="10" t="s">
        <v>156</v>
      </c>
    </row>
    <row r="8" spans="1:13" ht="15" x14ac:dyDescent="0.2">
      <c r="A8" s="51" t="s">
        <v>132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x14ac:dyDescent="0.2">
      <c r="A9" s="10" t="s">
        <v>165</v>
      </c>
      <c r="B9" s="10" t="s">
        <v>164</v>
      </c>
      <c r="C9" s="10" t="s">
        <v>163</v>
      </c>
      <c r="D9" s="10" t="str">
        <f>"0,6652"</f>
        <v>0,6652</v>
      </c>
      <c r="E9" s="10" t="s">
        <v>162</v>
      </c>
      <c r="F9" s="10" t="s">
        <v>161</v>
      </c>
      <c r="G9" s="12" t="s">
        <v>159</v>
      </c>
      <c r="H9" s="12" t="s">
        <v>158</v>
      </c>
      <c r="I9" s="11" t="s">
        <v>157</v>
      </c>
      <c r="J9" s="11"/>
      <c r="K9" s="13" t="str">
        <f>"55,0"</f>
        <v>55,0</v>
      </c>
      <c r="L9" s="14" t="str">
        <f>"39,5129"</f>
        <v>39,5129</v>
      </c>
      <c r="M9" s="10" t="s">
        <v>156</v>
      </c>
    </row>
    <row r="11" spans="1:13" ht="15" x14ac:dyDescent="0.2">
      <c r="A11" s="51" t="s">
        <v>21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 x14ac:dyDescent="0.2">
      <c r="A12" s="31" t="s">
        <v>221</v>
      </c>
      <c r="B12" s="31" t="s">
        <v>220</v>
      </c>
      <c r="C12" s="31" t="s">
        <v>215</v>
      </c>
      <c r="D12" s="31" t="str">
        <f>"0,6193"</f>
        <v>0,6193</v>
      </c>
      <c r="E12" s="31" t="s">
        <v>162</v>
      </c>
      <c r="F12" s="31" t="s">
        <v>219</v>
      </c>
      <c r="G12" s="35" t="s">
        <v>214</v>
      </c>
      <c r="H12" s="35" t="s">
        <v>183</v>
      </c>
      <c r="I12" s="34" t="s">
        <v>218</v>
      </c>
      <c r="J12" s="34"/>
      <c r="K12" s="33" t="str">
        <f>"45,0"</f>
        <v>45,0</v>
      </c>
      <c r="L12" s="32" t="str">
        <f>"30,0980"</f>
        <v>30,0980</v>
      </c>
      <c r="M12" s="31" t="s">
        <v>156</v>
      </c>
    </row>
    <row r="13" spans="1:13" x14ac:dyDescent="0.2">
      <c r="A13" s="26" t="s">
        <v>217</v>
      </c>
      <c r="B13" s="26" t="s">
        <v>216</v>
      </c>
      <c r="C13" s="26" t="s">
        <v>215</v>
      </c>
      <c r="D13" s="26" t="str">
        <f>"0,6193"</f>
        <v>0,6193</v>
      </c>
      <c r="E13" s="26" t="s">
        <v>162</v>
      </c>
      <c r="F13" s="26" t="s">
        <v>161</v>
      </c>
      <c r="G13" s="30" t="s">
        <v>214</v>
      </c>
      <c r="H13" s="30" t="s">
        <v>159</v>
      </c>
      <c r="I13" s="29" t="s">
        <v>160</v>
      </c>
      <c r="J13" s="29"/>
      <c r="K13" s="28" t="str">
        <f>"47,0"</f>
        <v>47,0</v>
      </c>
      <c r="L13" s="27" t="str">
        <f>"30,8535"</f>
        <v>30,8535</v>
      </c>
      <c r="M13" s="26" t="s">
        <v>156</v>
      </c>
    </row>
    <row r="14" spans="1:13" x14ac:dyDescent="0.2">
      <c r="A14" s="21" t="s">
        <v>213</v>
      </c>
      <c r="B14" s="21" t="s">
        <v>212</v>
      </c>
      <c r="C14" s="21" t="s">
        <v>211</v>
      </c>
      <c r="D14" s="21" t="str">
        <f>"0,6203"</f>
        <v>0,6203</v>
      </c>
      <c r="E14" s="21" t="s">
        <v>210</v>
      </c>
      <c r="F14" s="21" t="s">
        <v>161</v>
      </c>
      <c r="G14" s="25" t="s">
        <v>175</v>
      </c>
      <c r="H14" s="24" t="s">
        <v>203</v>
      </c>
      <c r="I14" s="24" t="s">
        <v>203</v>
      </c>
      <c r="J14" s="24"/>
      <c r="K14" s="23" t="str">
        <f>"57,5"</f>
        <v>57,5</v>
      </c>
      <c r="L14" s="22" t="str">
        <f>"36,7373"</f>
        <v>36,7373</v>
      </c>
      <c r="M14" s="21" t="s">
        <v>209</v>
      </c>
    </row>
    <row r="16" spans="1:13" ht="15" x14ac:dyDescent="0.2">
      <c r="A16" s="51" t="s">
        <v>32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3" x14ac:dyDescent="0.2">
      <c r="A17" s="10" t="s">
        <v>208</v>
      </c>
      <c r="B17" s="10" t="s">
        <v>207</v>
      </c>
      <c r="C17" s="10" t="s">
        <v>206</v>
      </c>
      <c r="D17" s="10" t="str">
        <f>"0,5952"</f>
        <v>0,5952</v>
      </c>
      <c r="E17" s="10" t="s">
        <v>205</v>
      </c>
      <c r="F17" s="10" t="s">
        <v>204</v>
      </c>
      <c r="G17" s="12" t="s">
        <v>158</v>
      </c>
      <c r="H17" s="11" t="s">
        <v>203</v>
      </c>
      <c r="I17" s="11" t="s">
        <v>203</v>
      </c>
      <c r="J17" s="11"/>
      <c r="K17" s="13" t="str">
        <f>"55,0"</f>
        <v>55,0</v>
      </c>
      <c r="L17" s="14" t="str">
        <f>"32,7360"</f>
        <v>32,7360</v>
      </c>
      <c r="M17" s="10" t="s">
        <v>202</v>
      </c>
    </row>
    <row r="19" spans="1:13" ht="15" x14ac:dyDescent="0.2">
      <c r="A19" s="51" t="s">
        <v>38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13" x14ac:dyDescent="0.2">
      <c r="A20" s="10" t="s">
        <v>201</v>
      </c>
      <c r="B20" s="10" t="s">
        <v>200</v>
      </c>
      <c r="C20" s="10" t="s">
        <v>199</v>
      </c>
      <c r="D20" s="10" t="str">
        <f>"0,5737"</f>
        <v>0,5737</v>
      </c>
      <c r="E20" s="10" t="s">
        <v>198</v>
      </c>
      <c r="F20" s="10" t="s">
        <v>105</v>
      </c>
      <c r="G20" s="12" t="s">
        <v>172</v>
      </c>
      <c r="H20" s="11" t="s">
        <v>197</v>
      </c>
      <c r="I20" s="11" t="s">
        <v>197</v>
      </c>
      <c r="J20" s="11"/>
      <c r="K20" s="13" t="str">
        <f>"62,5"</f>
        <v>62,5</v>
      </c>
      <c r="L20" s="14" t="str">
        <f>"35,8563"</f>
        <v>35,8563</v>
      </c>
      <c r="M20" s="10" t="s">
        <v>196</v>
      </c>
    </row>
    <row r="22" spans="1:13" ht="15" x14ac:dyDescent="0.2">
      <c r="A22" s="51" t="s">
        <v>195</v>
      </c>
      <c r="B22" s="52"/>
      <c r="C22" s="52"/>
      <c r="D22" s="52"/>
      <c r="E22" s="52"/>
      <c r="F22" s="52"/>
      <c r="G22" s="52"/>
      <c r="H22" s="52"/>
      <c r="I22" s="52"/>
      <c r="J22" s="52"/>
    </row>
    <row r="23" spans="1:13" x14ac:dyDescent="0.2">
      <c r="A23" s="10" t="s">
        <v>194</v>
      </c>
      <c r="B23" s="10" t="s">
        <v>193</v>
      </c>
      <c r="C23" s="10" t="s">
        <v>192</v>
      </c>
      <c r="D23" s="10" t="str">
        <f>"0,5210"</f>
        <v>0,5210</v>
      </c>
      <c r="E23" s="10" t="s">
        <v>162</v>
      </c>
      <c r="F23" s="10" t="s">
        <v>161</v>
      </c>
      <c r="G23" s="12" t="s">
        <v>128</v>
      </c>
      <c r="H23" s="12" t="s">
        <v>178</v>
      </c>
      <c r="I23" s="11" t="s">
        <v>160</v>
      </c>
      <c r="J23" s="11"/>
      <c r="K23" s="13" t="str">
        <f>"42,0"</f>
        <v>42,0</v>
      </c>
      <c r="L23" s="14" t="str">
        <f>"23,1949"</f>
        <v>23,1949</v>
      </c>
      <c r="M23" s="10" t="s">
        <v>156</v>
      </c>
    </row>
    <row r="25" spans="1:13" ht="15" x14ac:dyDescent="0.2">
      <c r="E25" s="7" t="s">
        <v>11</v>
      </c>
    </row>
    <row r="26" spans="1:13" ht="15" x14ac:dyDescent="0.2">
      <c r="E26" s="7" t="s">
        <v>12</v>
      </c>
    </row>
    <row r="27" spans="1:13" ht="15" x14ac:dyDescent="0.2">
      <c r="E27" s="7" t="s">
        <v>13</v>
      </c>
    </row>
    <row r="28" spans="1:13" ht="15" x14ac:dyDescent="0.2">
      <c r="E28" s="7" t="s">
        <v>14</v>
      </c>
    </row>
    <row r="29" spans="1:13" ht="15" x14ac:dyDescent="0.2">
      <c r="E29" s="7" t="s">
        <v>14</v>
      </c>
    </row>
    <row r="30" spans="1:13" ht="15" x14ac:dyDescent="0.2">
      <c r="E30" s="7" t="s">
        <v>15</v>
      </c>
    </row>
    <row r="31" spans="1:13" ht="15" x14ac:dyDescent="0.2">
      <c r="E31" s="7"/>
    </row>
    <row r="33" spans="1:5" ht="18" x14ac:dyDescent="0.25">
      <c r="A33" s="9" t="s">
        <v>16</v>
      </c>
      <c r="B33" s="9"/>
    </row>
    <row r="34" spans="1:5" ht="15" x14ac:dyDescent="0.2">
      <c r="A34" s="15" t="s">
        <v>54</v>
      </c>
      <c r="B34" s="15"/>
    </row>
    <row r="35" spans="1:5" ht="14.25" x14ac:dyDescent="0.2">
      <c r="A35" s="17"/>
      <c r="B35" s="18" t="s">
        <v>155</v>
      </c>
    </row>
    <row r="36" spans="1:5" ht="15" x14ac:dyDescent="0.2">
      <c r="A36" s="19" t="s">
        <v>56</v>
      </c>
      <c r="B36" s="19" t="s">
        <v>57</v>
      </c>
      <c r="C36" s="19" t="s">
        <v>58</v>
      </c>
      <c r="D36" s="19" t="s">
        <v>59</v>
      </c>
      <c r="E36" s="19" t="s">
        <v>60</v>
      </c>
    </row>
    <row r="37" spans="1:5" x14ac:dyDescent="0.2">
      <c r="A37" s="16" t="s">
        <v>153</v>
      </c>
      <c r="B37" s="4" t="s">
        <v>152</v>
      </c>
      <c r="C37" s="4" t="s">
        <v>120</v>
      </c>
      <c r="D37" s="4" t="s">
        <v>158</v>
      </c>
      <c r="E37" s="8" t="s">
        <v>191</v>
      </c>
    </row>
    <row r="38" spans="1:5" x14ac:dyDescent="0.2">
      <c r="A38" s="16" t="s">
        <v>190</v>
      </c>
      <c r="B38" s="4" t="s">
        <v>189</v>
      </c>
      <c r="C38" s="4" t="s">
        <v>188</v>
      </c>
      <c r="D38" s="4" t="s">
        <v>128</v>
      </c>
      <c r="E38" s="8" t="s">
        <v>187</v>
      </c>
    </row>
    <row r="39" spans="1:5" x14ac:dyDescent="0.2">
      <c r="A39" s="16" t="s">
        <v>186</v>
      </c>
      <c r="B39" s="4" t="s">
        <v>180</v>
      </c>
      <c r="C39" s="4" t="s">
        <v>63</v>
      </c>
      <c r="D39" s="4" t="s">
        <v>159</v>
      </c>
      <c r="E39" s="8" t="s">
        <v>185</v>
      </c>
    </row>
    <row r="40" spans="1:5" x14ac:dyDescent="0.2">
      <c r="A40" s="16" t="s">
        <v>184</v>
      </c>
      <c r="B40" s="4" t="s">
        <v>152</v>
      </c>
      <c r="C40" s="4" t="s">
        <v>63</v>
      </c>
      <c r="D40" s="4" t="s">
        <v>183</v>
      </c>
      <c r="E40" s="8" t="s">
        <v>182</v>
      </c>
    </row>
    <row r="41" spans="1:5" x14ac:dyDescent="0.2">
      <c r="A41" s="16" t="s">
        <v>181</v>
      </c>
      <c r="B41" s="4" t="s">
        <v>180</v>
      </c>
      <c r="C41" s="4" t="s">
        <v>179</v>
      </c>
      <c r="D41" s="4" t="s">
        <v>178</v>
      </c>
      <c r="E41" s="8" t="s">
        <v>177</v>
      </c>
    </row>
    <row r="43" spans="1:5" ht="14.25" x14ac:dyDescent="0.2">
      <c r="A43" s="17"/>
      <c r="B43" s="18" t="s">
        <v>144</v>
      </c>
    </row>
    <row r="44" spans="1:5" ht="15" x14ac:dyDescent="0.2">
      <c r="A44" s="19" t="s">
        <v>56</v>
      </c>
      <c r="B44" s="19" t="s">
        <v>57</v>
      </c>
      <c r="C44" s="19" t="s">
        <v>58</v>
      </c>
      <c r="D44" s="19" t="s">
        <v>59</v>
      </c>
      <c r="E44" s="19" t="s">
        <v>60</v>
      </c>
    </row>
    <row r="45" spans="1:5" x14ac:dyDescent="0.2">
      <c r="A45" s="16" t="s">
        <v>176</v>
      </c>
      <c r="B45" s="4" t="s">
        <v>142</v>
      </c>
      <c r="C45" s="4" t="s">
        <v>63</v>
      </c>
      <c r="D45" s="4" t="s">
        <v>175</v>
      </c>
      <c r="E45" s="8" t="s">
        <v>174</v>
      </c>
    </row>
    <row r="47" spans="1:5" ht="14.25" x14ac:dyDescent="0.2">
      <c r="A47" s="17"/>
      <c r="B47" s="18" t="s">
        <v>55</v>
      </c>
    </row>
    <row r="48" spans="1:5" ht="15" x14ac:dyDescent="0.2">
      <c r="A48" s="19" t="s">
        <v>56</v>
      </c>
      <c r="B48" s="19" t="s">
        <v>57</v>
      </c>
      <c r="C48" s="19" t="s">
        <v>58</v>
      </c>
      <c r="D48" s="19" t="s">
        <v>59</v>
      </c>
      <c r="E48" s="19" t="s">
        <v>60</v>
      </c>
    </row>
    <row r="49" spans="1:5" x14ac:dyDescent="0.2">
      <c r="A49" s="16" t="s">
        <v>173</v>
      </c>
      <c r="B49" s="4" t="s">
        <v>55</v>
      </c>
      <c r="C49" s="4" t="s">
        <v>61</v>
      </c>
      <c r="D49" s="4" t="s">
        <v>172</v>
      </c>
      <c r="E49" s="8" t="s">
        <v>171</v>
      </c>
    </row>
    <row r="50" spans="1:5" x14ac:dyDescent="0.2">
      <c r="A50" s="16" t="s">
        <v>170</v>
      </c>
      <c r="B50" s="4" t="s">
        <v>55</v>
      </c>
      <c r="C50" s="4" t="s">
        <v>67</v>
      </c>
      <c r="D50" s="4" t="s">
        <v>158</v>
      </c>
      <c r="E50" s="8" t="s">
        <v>169</v>
      </c>
    </row>
  </sheetData>
  <mergeCells count="17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A22:J22"/>
    <mergeCell ref="F3:F4"/>
    <mergeCell ref="G3:J3"/>
    <mergeCell ref="A8:J8"/>
    <mergeCell ref="A11:J11"/>
    <mergeCell ref="A16:J16"/>
    <mergeCell ref="A19:J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2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8" bestFit="1" customWidth="1"/>
    <col min="16" max="16" width="8.5703125" style="2" bestFit="1" customWidth="1"/>
    <col min="17" max="17" width="17.5703125" style="4" bestFit="1" customWidth="1"/>
    <col min="18" max="16384" width="9.140625" style="3"/>
  </cols>
  <sheetData>
    <row r="1" spans="1:17" s="2" customFormat="1" ht="29.1" customHeight="1" x14ac:dyDescent="0.2">
      <c r="A1" s="40" t="s">
        <v>254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253</v>
      </c>
      <c r="H3" s="50"/>
      <c r="I3" s="50"/>
      <c r="J3" s="50"/>
      <c r="K3" s="50" t="s">
        <v>252</v>
      </c>
      <c r="L3" s="50"/>
      <c r="M3" s="50"/>
      <c r="N3" s="50"/>
      <c r="O3" s="50" t="s">
        <v>1</v>
      </c>
      <c r="P3" s="50" t="s">
        <v>3</v>
      </c>
      <c r="Q3" s="36" t="s">
        <v>2</v>
      </c>
    </row>
    <row r="4" spans="1:17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9"/>
      <c r="P4" s="49"/>
      <c r="Q4" s="37"/>
    </row>
    <row r="5" spans="1:17" ht="15" x14ac:dyDescent="0.2">
      <c r="A5" s="38" t="s">
        <v>38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7" x14ac:dyDescent="0.2">
      <c r="A6" s="10" t="s">
        <v>251</v>
      </c>
      <c r="B6" s="10" t="s">
        <v>250</v>
      </c>
      <c r="C6" s="10" t="s">
        <v>249</v>
      </c>
      <c r="D6" s="10" t="str">
        <f>"0,5555"</f>
        <v>0,5555</v>
      </c>
      <c r="E6" s="10" t="s">
        <v>106</v>
      </c>
      <c r="F6" s="10" t="s">
        <v>105</v>
      </c>
      <c r="G6" s="12" t="s">
        <v>248</v>
      </c>
      <c r="H6" s="12" t="s">
        <v>247</v>
      </c>
      <c r="I6" s="12" t="s">
        <v>246</v>
      </c>
      <c r="J6" s="11"/>
      <c r="K6" s="12" t="s">
        <v>238</v>
      </c>
      <c r="L6" s="12" t="s">
        <v>237</v>
      </c>
      <c r="M6" s="11" t="s">
        <v>245</v>
      </c>
      <c r="N6" s="11"/>
      <c r="O6" s="13" t="str">
        <f>"340,0"</f>
        <v>340,0</v>
      </c>
      <c r="P6" s="14" t="str">
        <f>"188,8700"</f>
        <v>188,8700</v>
      </c>
      <c r="Q6" s="10" t="s">
        <v>244</v>
      </c>
    </row>
    <row r="8" spans="1:17" ht="15" x14ac:dyDescent="0.2">
      <c r="A8" s="51" t="s">
        <v>243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7" x14ac:dyDescent="0.2">
      <c r="A9" s="10" t="s">
        <v>242</v>
      </c>
      <c r="B9" s="10" t="s">
        <v>241</v>
      </c>
      <c r="C9" s="10" t="s">
        <v>240</v>
      </c>
      <c r="D9" s="10" t="str">
        <f>"0,5174"</f>
        <v>0,5174</v>
      </c>
      <c r="E9" s="10" t="s">
        <v>83</v>
      </c>
      <c r="F9" s="10" t="s">
        <v>82</v>
      </c>
      <c r="G9" s="12" t="s">
        <v>239</v>
      </c>
      <c r="H9" s="12" t="s">
        <v>238</v>
      </c>
      <c r="I9" s="12" t="s">
        <v>237</v>
      </c>
      <c r="J9" s="11"/>
      <c r="K9" s="12" t="s">
        <v>236</v>
      </c>
      <c r="L9" s="11" t="s">
        <v>235</v>
      </c>
      <c r="M9" s="11" t="s">
        <v>235</v>
      </c>
      <c r="N9" s="11"/>
      <c r="O9" s="13" t="str">
        <f>"475,0"</f>
        <v>475,0</v>
      </c>
      <c r="P9" s="14" t="str">
        <f>"245,7650"</f>
        <v>245,7650</v>
      </c>
      <c r="Q9" s="10" t="s">
        <v>79</v>
      </c>
    </row>
    <row r="11" spans="1:17" ht="15" x14ac:dyDescent="0.2">
      <c r="E11" s="7" t="s">
        <v>11</v>
      </c>
    </row>
    <row r="12" spans="1:17" ht="15" x14ac:dyDescent="0.2">
      <c r="E12" s="7" t="s">
        <v>12</v>
      </c>
    </row>
    <row r="13" spans="1:17" ht="15" x14ac:dyDescent="0.2">
      <c r="E13" s="7" t="s">
        <v>13</v>
      </c>
    </row>
    <row r="14" spans="1:17" ht="15" x14ac:dyDescent="0.2">
      <c r="E14" s="7" t="s">
        <v>14</v>
      </c>
    </row>
    <row r="15" spans="1:17" ht="15" x14ac:dyDescent="0.2">
      <c r="E15" s="7" t="s">
        <v>14</v>
      </c>
    </row>
    <row r="16" spans="1:17" ht="15" x14ac:dyDescent="0.2">
      <c r="E16" s="7" t="s">
        <v>15</v>
      </c>
    </row>
    <row r="17" spans="1:5" ht="15" x14ac:dyDescent="0.2">
      <c r="E17" s="7"/>
    </row>
    <row r="19" spans="1:5" ht="18" x14ac:dyDescent="0.25">
      <c r="A19" s="9" t="s">
        <v>16</v>
      </c>
      <c r="B19" s="9"/>
    </row>
    <row r="20" spans="1:5" ht="15" x14ac:dyDescent="0.2">
      <c r="A20" s="15" t="s">
        <v>54</v>
      </c>
      <c r="B20" s="15"/>
    </row>
    <row r="21" spans="1:5" ht="14.25" x14ac:dyDescent="0.2">
      <c r="A21" s="17"/>
      <c r="B21" s="18" t="s">
        <v>55</v>
      </c>
    </row>
    <row r="22" spans="1:5" ht="15" x14ac:dyDescent="0.2">
      <c r="A22" s="19" t="s">
        <v>56</v>
      </c>
      <c r="B22" s="19" t="s">
        <v>57</v>
      </c>
      <c r="C22" s="19" t="s">
        <v>58</v>
      </c>
      <c r="D22" s="19" t="s">
        <v>154</v>
      </c>
      <c r="E22" s="19" t="s">
        <v>60</v>
      </c>
    </row>
    <row r="23" spans="1:5" x14ac:dyDescent="0.2">
      <c r="A23" s="16" t="s">
        <v>234</v>
      </c>
      <c r="B23" s="4" t="s">
        <v>55</v>
      </c>
      <c r="C23" s="4" t="s">
        <v>233</v>
      </c>
      <c r="D23" s="4" t="s">
        <v>232</v>
      </c>
      <c r="E23" s="8" t="s">
        <v>231</v>
      </c>
    </row>
    <row r="24" spans="1:5" x14ac:dyDescent="0.2">
      <c r="A24" s="16" t="s">
        <v>230</v>
      </c>
      <c r="B24" s="4" t="s">
        <v>55</v>
      </c>
      <c r="C24" s="4" t="s">
        <v>61</v>
      </c>
      <c r="D24" s="4" t="s">
        <v>229</v>
      </c>
      <c r="E24" s="8" t="s">
        <v>228</v>
      </c>
    </row>
  </sheetData>
  <mergeCells count="14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O3:O4"/>
    <mergeCell ref="P3:P4"/>
    <mergeCell ref="Q3:Q4"/>
    <mergeCell ref="A5:N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7.5703125" style="2" bestFit="1" customWidth="1"/>
    <col min="13" max="13" width="15" style="4" bestFit="1" customWidth="1"/>
    <col min="14" max="16384" width="9.140625" style="3"/>
  </cols>
  <sheetData>
    <row r="1" spans="1:13" s="2" customFormat="1" ht="29.1" customHeight="1" x14ac:dyDescent="0.2">
      <c r="A1" s="40" t="s">
        <v>265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19</v>
      </c>
      <c r="E3" s="50" t="s">
        <v>4</v>
      </c>
      <c r="F3" s="50" t="s">
        <v>7</v>
      </c>
      <c r="G3" s="50" t="s">
        <v>264</v>
      </c>
      <c r="H3" s="50"/>
      <c r="I3" s="50"/>
      <c r="J3" s="50"/>
      <c r="K3" s="50" t="s">
        <v>17</v>
      </c>
      <c r="L3" s="50" t="s">
        <v>3</v>
      </c>
      <c r="M3" s="36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37"/>
    </row>
    <row r="5" spans="1:13" ht="15" x14ac:dyDescent="0.2">
      <c r="A5" s="38" t="s">
        <v>93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10" t="s">
        <v>263</v>
      </c>
      <c r="B6" s="10" t="s">
        <v>262</v>
      </c>
      <c r="C6" s="10" t="s">
        <v>261</v>
      </c>
      <c r="D6" s="10" t="str">
        <f>"0,8047"</f>
        <v>0,8047</v>
      </c>
      <c r="E6" s="10" t="s">
        <v>260</v>
      </c>
      <c r="F6" s="10" t="s">
        <v>259</v>
      </c>
      <c r="G6" s="12" t="s">
        <v>51</v>
      </c>
      <c r="H6" s="12" t="s">
        <v>258</v>
      </c>
      <c r="I6" s="12" t="s">
        <v>44</v>
      </c>
      <c r="J6" s="11"/>
      <c r="K6" s="13" t="str">
        <f>"117,5"</f>
        <v>117,5</v>
      </c>
      <c r="L6" s="14" t="str">
        <f>"94,5523"</f>
        <v>94,5523</v>
      </c>
      <c r="M6" s="10" t="s">
        <v>257</v>
      </c>
    </row>
    <row r="8" spans="1:13" ht="15" x14ac:dyDescent="0.2">
      <c r="E8" s="7" t="s">
        <v>11</v>
      </c>
    </row>
    <row r="9" spans="1:13" ht="15" x14ac:dyDescent="0.2">
      <c r="E9" s="7" t="s">
        <v>12</v>
      </c>
    </row>
    <row r="10" spans="1:13" ht="15" x14ac:dyDescent="0.2">
      <c r="E10" s="7" t="s">
        <v>13</v>
      </c>
    </row>
    <row r="11" spans="1:13" ht="15" x14ac:dyDescent="0.2">
      <c r="E11" s="7" t="s">
        <v>14</v>
      </c>
    </row>
    <row r="12" spans="1:13" ht="15" x14ac:dyDescent="0.2">
      <c r="E12" s="7" t="s">
        <v>14</v>
      </c>
    </row>
    <row r="13" spans="1:13" ht="15" x14ac:dyDescent="0.2">
      <c r="E13" s="7" t="s">
        <v>15</v>
      </c>
    </row>
    <row r="14" spans="1:13" ht="15" x14ac:dyDescent="0.2">
      <c r="E14" s="7"/>
    </row>
    <row r="16" spans="1:13" ht="18" x14ac:dyDescent="0.25">
      <c r="A16" s="9" t="s">
        <v>16</v>
      </c>
      <c r="B16" s="9"/>
    </row>
    <row r="17" spans="1:5" ht="15" x14ac:dyDescent="0.2">
      <c r="A17" s="15" t="s">
        <v>126</v>
      </c>
      <c r="B17" s="15"/>
    </row>
    <row r="18" spans="1:5" ht="14.25" x14ac:dyDescent="0.2">
      <c r="A18" s="17"/>
      <c r="B18" s="18" t="s">
        <v>55</v>
      </c>
    </row>
    <row r="19" spans="1:5" ht="15" x14ac:dyDescent="0.2">
      <c r="A19" s="19" t="s">
        <v>56</v>
      </c>
      <c r="B19" s="19" t="s">
        <v>57</v>
      </c>
      <c r="C19" s="19" t="s">
        <v>58</v>
      </c>
      <c r="D19" s="19" t="s">
        <v>59</v>
      </c>
      <c r="E19" s="19" t="s">
        <v>60</v>
      </c>
    </row>
    <row r="20" spans="1:5" x14ac:dyDescent="0.2">
      <c r="A20" s="16" t="s">
        <v>256</v>
      </c>
      <c r="B20" s="4" t="s">
        <v>55</v>
      </c>
      <c r="C20" s="4" t="s">
        <v>71</v>
      </c>
      <c r="D20" s="4" t="s">
        <v>44</v>
      </c>
      <c r="E20" s="8" t="s">
        <v>255</v>
      </c>
    </row>
  </sheetData>
  <mergeCells count="12"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Люб. лог лифт</vt:lpstr>
      <vt:lpstr>Люб. становая тяга</vt:lpstr>
      <vt:lpstr>Проф. народный жим 1 вес</vt:lpstr>
      <vt:lpstr>Люб. народный жим 1_2 вес</vt:lpstr>
      <vt:lpstr>Люб. народный жим 1 вес</vt:lpstr>
      <vt:lpstr>Пауэрспорт Любители</vt:lpstr>
      <vt:lpstr>Бицепс Любители</vt:lpstr>
      <vt:lpstr>Двоеборье люб</vt:lpstr>
      <vt:lpstr>Люб. присед б.э.</vt:lpstr>
      <vt:lpstr>ПРО тяга б.э.</vt:lpstr>
      <vt:lpstr>Люб. тяга б.э.</vt:lpstr>
      <vt:lpstr>ПРО жим софт мн.петельная</vt:lpstr>
      <vt:lpstr>Люб. жим 1 петельная</vt:lpstr>
      <vt:lpstr>ПРО жим б.э.</vt:lpstr>
      <vt:lpstr>ПРО ПЛ. б.э.</vt:lpstr>
      <vt:lpstr>Люб. ПЛ. 1.петельная софт</vt:lpstr>
      <vt:lpstr>ПРО ПЛ. мн.слой</vt:lpstr>
      <vt:lpstr>Русская тяга проф. 150 кг.</vt:lpstr>
      <vt:lpstr>Русская тяга люб. 150 кг.</vt:lpstr>
      <vt:lpstr>Русская тяга проф. 100 кг.</vt:lpstr>
      <vt:lpstr>Русская тяга люб. 100 кг.</vt:lpstr>
      <vt:lpstr>Русская тяга люб. 75 кг.</vt:lpstr>
      <vt:lpstr>Русская тяга люб. 55 кг.</vt:lpstr>
      <vt:lpstr>РЖ Проф 55 кг.</vt:lpstr>
      <vt:lpstr>Протокол</vt:lpstr>
      <vt:lpstr>Протокол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2020-12-23T15:23:55Z</dcterms:modified>
</cp:coreProperties>
</file>