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480" yWindow="15" windowWidth="11340" windowHeight="9690" tabRatio="1000"/>
  </bookViews>
  <sheets>
    <sheet name="Люб. тяга б.э." sheetId="14" r:id="rId1"/>
    <sheet name="ПРО жим софт мн.петельная" sheetId="13" r:id="rId2"/>
    <sheet name="Люб. жим 1 петельная" sheetId="10" r:id="rId3"/>
    <sheet name="ПРО жим б.э." sheetId="9" r:id="rId4"/>
    <sheet name="Люб. жим б.э." sheetId="8" r:id="rId5"/>
    <sheet name="Люб. ПЛ. б.э." sheetId="5" r:id="rId6"/>
    <sheet name="HUB" sheetId="15" r:id="rId7"/>
    <sheet name="Rolling Thunder" sheetId="16" r:id="rId8"/>
    <sheet name="Excalibur" sheetId="17" r:id="rId9"/>
    <sheet name="Бицепс Профессионалы" sheetId="18" r:id="rId10"/>
    <sheet name="Бицепс Любители" sheetId="19" r:id="rId11"/>
    <sheet name="Люб. народный жим 1_2 вес" sheetId="20" r:id="rId12"/>
    <sheet name="Люб. народный жим 1 вес" sheetId="21" r:id="rId13"/>
  </sheets>
  <definedNames>
    <definedName name="_FilterDatabase" localSheetId="10" hidden="1">'Бицепс Любители'!$A$1:$J$3</definedName>
    <definedName name="_FilterDatabase" localSheetId="12" hidden="1">'Люб. народный жим 1 вес'!$A$1:$I$3</definedName>
    <definedName name="_FilterDatabase" localSheetId="5" hidden="1">'Люб. ПЛ. б.э.'!$A$1:$P$3</definedName>
    <definedName name="_xlnm._FilterDatabase" localSheetId="5" hidden="1">'Люб. ПЛ. б.э.'!$A$4:$R$89</definedName>
    <definedName name="_xlnm._FilterDatabase" localSheetId="0" hidden="1">'Люб. тяга б.э.'!$A$4:$L$64</definedName>
  </definedNames>
  <calcPr calcId="162913"/>
</workbook>
</file>

<file path=xl/calcChain.xml><?xml version="1.0" encoding="utf-8"?>
<calcChain xmlns="http://schemas.openxmlformats.org/spreadsheetml/2006/main">
  <c r="D6" i="21" l="1"/>
  <c r="D6" i="20"/>
  <c r="I6" i="20"/>
  <c r="J6" i="20"/>
  <c r="D9" i="20"/>
  <c r="I9" i="20"/>
  <c r="J9" i="20"/>
  <c r="D12" i="20"/>
  <c r="I12" i="20"/>
  <c r="J12" i="20"/>
  <c r="D15" i="20"/>
  <c r="I15" i="20"/>
  <c r="J15" i="20"/>
  <c r="D16" i="20"/>
  <c r="I16" i="20"/>
  <c r="J16" i="20"/>
  <c r="D6" i="19" l="1"/>
  <c r="J6" i="19"/>
  <c r="K6" i="19"/>
  <c r="D9" i="19"/>
  <c r="D12" i="19"/>
  <c r="J12" i="19"/>
  <c r="K12" i="19"/>
  <c r="D15" i="19"/>
  <c r="J15" i="19"/>
  <c r="K15" i="19"/>
  <c r="D16" i="19"/>
  <c r="J16" i="19"/>
  <c r="K16" i="19"/>
  <c r="D19" i="19"/>
  <c r="J19" i="19"/>
  <c r="K19" i="19"/>
  <c r="D20" i="19"/>
  <c r="J20" i="19"/>
  <c r="K20" i="19"/>
  <c r="D6" i="18"/>
  <c r="J6" i="18"/>
  <c r="K6" i="18"/>
  <c r="D9" i="18"/>
  <c r="J9" i="18"/>
  <c r="K9" i="18"/>
  <c r="D12" i="18"/>
  <c r="J12" i="18"/>
  <c r="K12" i="18"/>
  <c r="D6" i="17" l="1"/>
  <c r="K6" i="17"/>
  <c r="D9" i="17"/>
  <c r="D6" i="16"/>
  <c r="K6" i="16"/>
  <c r="D9" i="16"/>
  <c r="D12" i="16"/>
  <c r="D6" i="15"/>
  <c r="K6" i="15"/>
  <c r="D9" i="15"/>
  <c r="D23" i="5" l="1"/>
  <c r="P23" i="5"/>
  <c r="Q23" i="5"/>
  <c r="D24" i="5"/>
  <c r="P24" i="5"/>
  <c r="Q24" i="5"/>
  <c r="D14" i="9" l="1"/>
  <c r="J14" i="9"/>
  <c r="K14" i="9"/>
  <c r="K27" i="14" l="1"/>
  <c r="J27" i="14"/>
  <c r="D27" i="14"/>
  <c r="K26" i="14"/>
  <c r="J26" i="14"/>
  <c r="D26" i="14"/>
  <c r="K23" i="14"/>
  <c r="J23" i="14"/>
  <c r="D23" i="14"/>
  <c r="K20" i="14"/>
  <c r="J20" i="14"/>
  <c r="D20" i="14"/>
  <c r="K17" i="14"/>
  <c r="J17" i="14"/>
  <c r="D17" i="14"/>
  <c r="K14" i="14"/>
  <c r="J14" i="14"/>
  <c r="D14" i="14"/>
  <c r="K13" i="14"/>
  <c r="J13" i="14"/>
  <c r="D13" i="14"/>
  <c r="K12" i="14"/>
  <c r="J12" i="14"/>
  <c r="D12" i="14"/>
  <c r="K9" i="14"/>
  <c r="J9" i="14"/>
  <c r="D9" i="14"/>
  <c r="K6" i="14"/>
  <c r="J6" i="14"/>
  <c r="D6" i="14"/>
  <c r="K7" i="13"/>
  <c r="J7" i="13"/>
  <c r="D7" i="13"/>
  <c r="K6" i="13"/>
  <c r="J6" i="13"/>
  <c r="D6" i="13"/>
  <c r="K6" i="10"/>
  <c r="J6" i="10"/>
  <c r="D6" i="10"/>
  <c r="K19" i="9"/>
  <c r="J19" i="9"/>
  <c r="D19" i="9"/>
  <c r="K15" i="9"/>
  <c r="J15" i="9"/>
  <c r="D15" i="9"/>
  <c r="K13" i="9"/>
  <c r="J13" i="9"/>
  <c r="D13" i="9"/>
  <c r="K7" i="9"/>
  <c r="J7" i="9"/>
  <c r="D7" i="9"/>
  <c r="H35" i="9" s="1"/>
  <c r="K6" i="9"/>
  <c r="J6" i="9"/>
  <c r="D6" i="9"/>
  <c r="K45" i="8"/>
  <c r="J45" i="8"/>
  <c r="D45" i="8"/>
  <c r="K42" i="8"/>
  <c r="J42" i="8"/>
  <c r="D42" i="8"/>
  <c r="K41" i="8"/>
  <c r="J41" i="8"/>
  <c r="D41" i="8"/>
  <c r="K38" i="8"/>
  <c r="J38" i="8"/>
  <c r="D38" i="8"/>
  <c r="K37" i="8"/>
  <c r="J37" i="8"/>
  <c r="D37" i="8"/>
  <c r="K36" i="8"/>
  <c r="J36" i="8"/>
  <c r="D36" i="8"/>
  <c r="K33" i="8"/>
  <c r="J33" i="8"/>
  <c r="D33" i="8"/>
  <c r="K32" i="8"/>
  <c r="J32" i="8"/>
  <c r="D32" i="8"/>
  <c r="K29" i="8"/>
  <c r="J29" i="8"/>
  <c r="D29" i="8"/>
  <c r="K28" i="8"/>
  <c r="J28" i="8"/>
  <c r="D28" i="8"/>
  <c r="K27" i="8"/>
  <c r="J27" i="8"/>
  <c r="D27" i="8"/>
  <c r="K26" i="8"/>
  <c r="J26" i="8"/>
  <c r="D26" i="8"/>
  <c r="K23" i="8"/>
  <c r="D23" i="8"/>
  <c r="K22" i="8"/>
  <c r="J22" i="8"/>
  <c r="D22" i="8"/>
  <c r="K21" i="8"/>
  <c r="J21" i="8"/>
  <c r="D21" i="8"/>
  <c r="K18" i="8"/>
  <c r="J18" i="8"/>
  <c r="D18" i="8"/>
  <c r="K15" i="8"/>
  <c r="J15" i="8"/>
  <c r="D15" i="8"/>
  <c r="D12" i="8"/>
  <c r="K10" i="8"/>
  <c r="J10" i="8"/>
  <c r="D10" i="8"/>
  <c r="K6" i="8"/>
  <c r="J6" i="8"/>
  <c r="D6" i="8"/>
  <c r="Q35" i="5"/>
  <c r="P35" i="5"/>
  <c r="D35" i="5"/>
  <c r="Q32" i="5"/>
  <c r="P32" i="5"/>
  <c r="D32" i="5"/>
  <c r="Q29" i="5"/>
  <c r="P29" i="5"/>
  <c r="D29" i="5"/>
  <c r="Q28" i="5"/>
  <c r="P28" i="5"/>
  <c r="D28" i="5"/>
  <c r="Q27" i="5"/>
  <c r="P27" i="5"/>
  <c r="D27" i="5"/>
  <c r="Q20" i="5"/>
  <c r="P20" i="5"/>
  <c r="D20" i="5"/>
  <c r="Q19" i="5"/>
  <c r="P19" i="5"/>
  <c r="D19" i="5"/>
  <c r="Q16" i="5"/>
  <c r="P16" i="5"/>
  <c r="D16" i="5"/>
  <c r="Q13" i="5"/>
  <c r="P13" i="5"/>
  <c r="D13" i="5"/>
  <c r="Q10" i="5"/>
  <c r="P10" i="5"/>
  <c r="D10" i="5"/>
  <c r="Q7" i="5"/>
  <c r="P7" i="5"/>
  <c r="D7" i="5"/>
  <c r="Q6" i="5"/>
  <c r="P6" i="5"/>
  <c r="D6" i="5"/>
</calcChain>
</file>

<file path=xl/sharedStrings.xml><?xml version="1.0" encoding="utf-8"?>
<sst xmlns="http://schemas.openxmlformats.org/spreadsheetml/2006/main" count="1776" uniqueCount="599">
  <si>
    <t>ФИО</t>
  </si>
  <si>
    <t>Сумма</t>
  </si>
  <si>
    <t>Тренер</t>
  </si>
  <si>
    <t>Очки</t>
  </si>
  <si>
    <t>Команда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</si>
  <si>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</si>
  <si>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</si>
  <si>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</si>
  <si>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</si>
  <si>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</si>
  <si>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</si>
  <si>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</si>
  <si>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52</t>
  </si>
  <si>
    <t>Тайметова Светлана</t>
  </si>
  <si>
    <t>1. Тайметова Светлана</t>
  </si>
  <si>
    <t>Девушки 18 - 19 (01.06.2001)/18</t>
  </si>
  <si>
    <t>51,40</t>
  </si>
  <si>
    <t xml:space="preserve">лично </t>
  </si>
  <si>
    <t xml:space="preserve">Владивосток/Приморский край </t>
  </si>
  <si>
    <t>70,0</t>
  </si>
  <si>
    <t>75,0</t>
  </si>
  <si>
    <t>80,0</t>
  </si>
  <si>
    <t>35,0</t>
  </si>
  <si>
    <t>40,0</t>
  </si>
  <si>
    <t>45,0</t>
  </si>
  <si>
    <t>90,0</t>
  </si>
  <si>
    <t>100,0</t>
  </si>
  <si>
    <t>105,0</t>
  </si>
  <si>
    <t xml:space="preserve">Федореев А. </t>
  </si>
  <si>
    <t>Открытая (01.06.2001)/18</t>
  </si>
  <si>
    <t>ВЕСОВАЯ КАТЕГОРИЯ   56</t>
  </si>
  <si>
    <t>1. Мудрицкая Полина</t>
  </si>
  <si>
    <t>Открытая (11.04.1988)/31</t>
  </si>
  <si>
    <t>56,00</t>
  </si>
  <si>
    <t xml:space="preserve">SapsanGym </t>
  </si>
  <si>
    <t xml:space="preserve">Артём/Приморский край </t>
  </si>
  <si>
    <t>110,0</t>
  </si>
  <si>
    <t>50,0</t>
  </si>
  <si>
    <t>55,0</t>
  </si>
  <si>
    <t>57,5</t>
  </si>
  <si>
    <t xml:space="preserve">Бурцев А.В. </t>
  </si>
  <si>
    <t>ВЕСОВАЯ КАТЕГОРИЯ   60</t>
  </si>
  <si>
    <t>1. Драузина Екатерина</t>
  </si>
  <si>
    <t>Открытая (26.01.1990)/30</t>
  </si>
  <si>
    <t>59,85</t>
  </si>
  <si>
    <t>60,0</t>
  </si>
  <si>
    <t>ВЕСОВАЯ КАТЕГОРИЯ   67.5</t>
  </si>
  <si>
    <t>Шинкарская Валерия</t>
  </si>
  <si>
    <t>1. Шинкарская Валерия</t>
  </si>
  <si>
    <t>Девушки 18 - 19 (04.04.2001)/18</t>
  </si>
  <si>
    <t>63,85</t>
  </si>
  <si>
    <t>62,5</t>
  </si>
  <si>
    <t>107,5</t>
  </si>
  <si>
    <t>120,0</t>
  </si>
  <si>
    <t>140,0</t>
  </si>
  <si>
    <t>95,0</t>
  </si>
  <si>
    <t>130,0</t>
  </si>
  <si>
    <t>150,0</t>
  </si>
  <si>
    <t>170,0</t>
  </si>
  <si>
    <t xml:space="preserve">Самостоятельно </t>
  </si>
  <si>
    <t>157,5</t>
  </si>
  <si>
    <t>135,0</t>
  </si>
  <si>
    <t>190,0</t>
  </si>
  <si>
    <t>195,0</t>
  </si>
  <si>
    <t>ВЕСОВАЯ КАТЕГОРИЯ   75</t>
  </si>
  <si>
    <t>Зебольдт Роман</t>
  </si>
  <si>
    <t>1. Зебольдт Роман</t>
  </si>
  <si>
    <t>Открытая (22.07.1990)/29</t>
  </si>
  <si>
    <t>73,00</t>
  </si>
  <si>
    <t>147,5</t>
  </si>
  <si>
    <t>152,5</t>
  </si>
  <si>
    <t>145,0</t>
  </si>
  <si>
    <t>180,0</t>
  </si>
  <si>
    <t>200,0</t>
  </si>
  <si>
    <t>Соколов Артем</t>
  </si>
  <si>
    <t>2. Соколов Артем</t>
  </si>
  <si>
    <t>Открытая (12.12.1993)/26</t>
  </si>
  <si>
    <t>71,30</t>
  </si>
  <si>
    <t>155,0</t>
  </si>
  <si>
    <t>160,0</t>
  </si>
  <si>
    <t>115,0</t>
  </si>
  <si>
    <t>125,0</t>
  </si>
  <si>
    <t>185,0</t>
  </si>
  <si>
    <t>192,5</t>
  </si>
  <si>
    <t>ВЕСОВАЯ КАТЕГОРИЯ   82.5</t>
  </si>
  <si>
    <t>1. Городнянский Герман</t>
  </si>
  <si>
    <t>Юниоры 20 - 23 (16.08.1997)/22</t>
  </si>
  <si>
    <t>77,85</t>
  </si>
  <si>
    <t xml:space="preserve">ТОВМУ </t>
  </si>
  <si>
    <t>165,0</t>
  </si>
  <si>
    <t>172,5</t>
  </si>
  <si>
    <t>Кулаков Александр</t>
  </si>
  <si>
    <t>2. Кулаков Александр</t>
  </si>
  <si>
    <t>Открытая (24.03.1989)/30</t>
  </si>
  <si>
    <t>82,50</t>
  </si>
  <si>
    <t>205,0</t>
  </si>
  <si>
    <t>ВЕСОВАЯ КАТЕГОРИЯ   90</t>
  </si>
  <si>
    <t>1. Кулеш Герман</t>
  </si>
  <si>
    <t>Юниоры 20 - 23 (08.10.1997)/22</t>
  </si>
  <si>
    <t>89,65</t>
  </si>
  <si>
    <t>210,0</t>
  </si>
  <si>
    <t>220,0</t>
  </si>
  <si>
    <t>230,0</t>
  </si>
  <si>
    <t>240,0</t>
  </si>
  <si>
    <t xml:space="preserve">Попов Е.О </t>
  </si>
  <si>
    <t>1. Софонов Дмитрий</t>
  </si>
  <si>
    <t>Открытая (12.11.1991)/28</t>
  </si>
  <si>
    <t>86,50</t>
  </si>
  <si>
    <t>225,0</t>
  </si>
  <si>
    <t>235,0</t>
  </si>
  <si>
    <t>242,5</t>
  </si>
  <si>
    <t>175,0</t>
  </si>
  <si>
    <t>2. Гинатулин Артур</t>
  </si>
  <si>
    <t>Открытая (27.07.1987)/32</t>
  </si>
  <si>
    <t>86,60</t>
  </si>
  <si>
    <t xml:space="preserve">А.Невский </t>
  </si>
  <si>
    <t xml:space="preserve">Уссурийск/Приморский край </t>
  </si>
  <si>
    <t>247,5</t>
  </si>
  <si>
    <t>ВЕСОВАЯ КАТЕГОРИЯ   100</t>
  </si>
  <si>
    <t>255,0</t>
  </si>
  <si>
    <t>ВЕСОВАЯ КАТЕГОРИЯ   110</t>
  </si>
  <si>
    <t>250,0</t>
  </si>
  <si>
    <t>ВЕСОВАЯ КАТЕГОРИЯ   125</t>
  </si>
  <si>
    <t>Рушаков Максим</t>
  </si>
  <si>
    <t>Открытая (04.09.1990)/29</t>
  </si>
  <si>
    <t>113,00</t>
  </si>
  <si>
    <t xml:space="preserve">Волков А. </t>
  </si>
  <si>
    <t>ВЕСОВАЯ КАТЕГОРИЯ   140</t>
  </si>
  <si>
    <t>Кирилычев Антон</t>
  </si>
  <si>
    <t>1. Кирилычев Антон</t>
  </si>
  <si>
    <t>Открытая (07.01.1986)/34</t>
  </si>
  <si>
    <t>137,20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</si>
  <si>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</si>
  <si>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</si>
  <si>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</si>
  <si>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</si>
  <si>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</si>
  <si>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</si>
  <si>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</si>
  <si>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</si>
  <si>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</si>
  <si>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</si>
  <si>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</si>
  <si>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</si>
  <si>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</si>
  <si>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18 - 19 </t>
  </si>
  <si>
    <t>67.5</t>
  </si>
  <si>
    <t>265,0</t>
  </si>
  <si>
    <t>229,4953</t>
  </si>
  <si>
    <t>52</t>
  </si>
  <si>
    <t>228,1979</t>
  </si>
  <si>
    <t xml:space="preserve">Открытая </t>
  </si>
  <si>
    <t>56</t>
  </si>
  <si>
    <t>275,0</t>
  </si>
  <si>
    <t>250,9100</t>
  </si>
  <si>
    <t>60</t>
  </si>
  <si>
    <t>228,6420</t>
  </si>
  <si>
    <t>215,2810</t>
  </si>
  <si>
    <t xml:space="preserve">Мужчины </t>
  </si>
  <si>
    <t xml:space="preserve">Юниоры </t>
  </si>
  <si>
    <t xml:space="preserve">Юниоры 20 - 23 </t>
  </si>
  <si>
    <t>90</t>
  </si>
  <si>
    <t>605,0</t>
  </si>
  <si>
    <t>358,5030</t>
  </si>
  <si>
    <t>82.5</t>
  </si>
  <si>
    <t>420,0</t>
  </si>
  <si>
    <t>273,9271</t>
  </si>
  <si>
    <t>100</t>
  </si>
  <si>
    <t>662,5</t>
  </si>
  <si>
    <t>397,5000</t>
  </si>
  <si>
    <t>632,5</t>
  </si>
  <si>
    <t>379,1838</t>
  </si>
  <si>
    <t>125</t>
  </si>
  <si>
    <t>75</t>
  </si>
  <si>
    <t>497,5</t>
  </si>
  <si>
    <t>337,7528</t>
  </si>
  <si>
    <t>487,5</t>
  </si>
  <si>
    <t>337,4963</t>
  </si>
  <si>
    <t>110</t>
  </si>
  <si>
    <t>140</t>
  </si>
  <si>
    <t>630,0</t>
  </si>
  <si>
    <t>319,1454</t>
  </si>
  <si>
    <t>460,0</t>
  </si>
  <si>
    <t>284,8780</t>
  </si>
  <si>
    <t>415,0</t>
  </si>
  <si>
    <t>221,2780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</si>
  <si>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</si>
  <si>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</si>
  <si>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</si>
  <si>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</si>
  <si>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36(12+12+12) </t>
  </si>
  <si>
    <t xml:space="preserve">33(9+12+12) </t>
  </si>
  <si>
    <t xml:space="preserve">Рушаков Максим, Мудрицкая Полина, Драузина Екатерина </t>
  </si>
  <si>
    <t xml:space="preserve">Соколов Артем, Зебольдт Роман, Кирилычев Антон </t>
  </si>
  <si>
    <t xml:space="preserve">24(12+12) </t>
  </si>
  <si>
    <t xml:space="preserve">Кулеш Герман, Городнянский Герман </t>
  </si>
  <si>
    <t xml:space="preserve">12(12) </t>
  </si>
  <si>
    <t xml:space="preserve">9(9) </t>
  </si>
  <si>
    <t xml:space="preserve">Гинатулин Артур </t>
  </si>
  <si>
    <t xml:space="preserve">Кулаков Александр </t>
  </si>
  <si>
    <t>Результат</t>
  </si>
  <si>
    <t xml:space="preserve">Качалка Елисеева </t>
  </si>
  <si>
    <t xml:space="preserve">Вольно-Надеждинское/Приморский край </t>
  </si>
  <si>
    <t>40,0o</t>
  </si>
  <si>
    <t xml:space="preserve">Елисеев А.С. </t>
  </si>
  <si>
    <t>1. Усанова Юлия</t>
  </si>
  <si>
    <t>Открытая (22.07.1984)/35</t>
  </si>
  <si>
    <t>66,20</t>
  </si>
  <si>
    <t xml:space="preserve">SportLife </t>
  </si>
  <si>
    <t>55,0o</t>
  </si>
  <si>
    <t xml:space="preserve">Быстрова Я.Г. </t>
  </si>
  <si>
    <t>Федосеева Екатерина</t>
  </si>
  <si>
    <t>1. Федосеева Екатерина</t>
  </si>
  <si>
    <t>Открытая (17.10.1977)/42</t>
  </si>
  <si>
    <t>73,75</t>
  </si>
  <si>
    <t xml:space="preserve">СтартДжим </t>
  </si>
  <si>
    <t>77,5o</t>
  </si>
  <si>
    <t>2. Харина Анна</t>
  </si>
  <si>
    <t>Открытая (19.11.1990)/29</t>
  </si>
  <si>
    <t>74,00</t>
  </si>
  <si>
    <t>47,5o</t>
  </si>
  <si>
    <t>Мастера 40 - 44 (17.10.1977)/42</t>
  </si>
  <si>
    <t>-. Алексейко Евгения</t>
  </si>
  <si>
    <t>Мастера 40 - 44 (14.02.1977)/43</t>
  </si>
  <si>
    <t>75,00</t>
  </si>
  <si>
    <t xml:space="preserve">Руденко М. </t>
  </si>
  <si>
    <t xml:space="preserve">НАП Дальнереченск </t>
  </si>
  <si>
    <t xml:space="preserve">Дальнереченск/Приморский край </t>
  </si>
  <si>
    <t xml:space="preserve">Проценко В.В. </t>
  </si>
  <si>
    <t>Миронов Эдуард</t>
  </si>
  <si>
    <t>1. Миронов Эдуард</t>
  </si>
  <si>
    <t>Юноши 16 - 17 (08.06.2002)/17</t>
  </si>
  <si>
    <t>50,00</t>
  </si>
  <si>
    <t xml:space="preserve">Авиатор </t>
  </si>
  <si>
    <t xml:space="preserve">Николаевка/Приморский край </t>
  </si>
  <si>
    <t xml:space="preserve">Симонов Е.Ю </t>
  </si>
  <si>
    <t>Романов Денис</t>
  </si>
  <si>
    <t>1. Романов Денис</t>
  </si>
  <si>
    <t>Юноши 0-13 (10.10.2008)/11</t>
  </si>
  <si>
    <t>52,50</t>
  </si>
  <si>
    <t>37,5o</t>
  </si>
  <si>
    <t>42,5</t>
  </si>
  <si>
    <t>Удовиченко Максим</t>
  </si>
  <si>
    <t>1. Удовиченко Максим</t>
  </si>
  <si>
    <t>Юноши 14-15 (01.07.2005)/14</t>
  </si>
  <si>
    <t>63,80</t>
  </si>
  <si>
    <t>57,5o</t>
  </si>
  <si>
    <t>65,0</t>
  </si>
  <si>
    <t>Баушев Александр</t>
  </si>
  <si>
    <t>1. Баушев Александр</t>
  </si>
  <si>
    <t>Юноши 16 - 17 (22.11.2002)/17</t>
  </si>
  <si>
    <t>67,20</t>
  </si>
  <si>
    <t>0,0</t>
  </si>
  <si>
    <t>-. Кузьменко Владислав</t>
  </si>
  <si>
    <t>Юноши 16 - 17 (19.11.2003)/16</t>
  </si>
  <si>
    <t>60,60</t>
  </si>
  <si>
    <t>72,5</t>
  </si>
  <si>
    <t>Симонов Никита</t>
  </si>
  <si>
    <t>1. Симонов Никита</t>
  </si>
  <si>
    <t>Юноши 14-15 (29.04.2004)/15</t>
  </si>
  <si>
    <t>73,90</t>
  </si>
  <si>
    <t>Гедзышин Владислав</t>
  </si>
  <si>
    <t>1. Гедзышин Владислав</t>
  </si>
  <si>
    <t>Юноши 16 - 17 (14.02.2003)/17</t>
  </si>
  <si>
    <t>73,40</t>
  </si>
  <si>
    <t xml:space="preserve">ССК Звезда </t>
  </si>
  <si>
    <t xml:space="preserve">Большой Камень/Приморский край </t>
  </si>
  <si>
    <t xml:space="preserve">Таах А.Н. </t>
  </si>
  <si>
    <t>1. Маркитанчук Никита</t>
  </si>
  <si>
    <t>Юниоры 20 - 23 (07.06.1999)/20</t>
  </si>
  <si>
    <t>73,15</t>
  </si>
  <si>
    <t>Кравченко Максим</t>
  </si>
  <si>
    <t>2. Кравченко Максим</t>
  </si>
  <si>
    <t>Юниоры 20 - 23 (24.10.1997)/22</t>
  </si>
  <si>
    <t>71,50</t>
  </si>
  <si>
    <t>1. Служалюк Валерий</t>
  </si>
  <si>
    <t>Открытая (23.06.1982)/37</t>
  </si>
  <si>
    <t>78,50</t>
  </si>
  <si>
    <t>100,0o</t>
  </si>
  <si>
    <t>102,5</t>
  </si>
  <si>
    <t>-. Борок Антон</t>
  </si>
  <si>
    <t>Открытая (16.12.1985)/34</t>
  </si>
  <si>
    <t>81,60</t>
  </si>
  <si>
    <t xml:space="preserve">ООО СКК Звезда </t>
  </si>
  <si>
    <t>2. Абдуллаев Шадиг</t>
  </si>
  <si>
    <t>Юниоры 20 - 23 (29.05.1996)/23</t>
  </si>
  <si>
    <t>83,85</t>
  </si>
  <si>
    <t>120,0o</t>
  </si>
  <si>
    <t>1. Коваль Алексей</t>
  </si>
  <si>
    <t>Открытая (19.02.1989)/31</t>
  </si>
  <si>
    <t>88,80</t>
  </si>
  <si>
    <t>1. Жабин Даниил</t>
  </si>
  <si>
    <t>Юноши 18 - 19 (02.08.2001)/18</t>
  </si>
  <si>
    <t>98,85</t>
  </si>
  <si>
    <t>132,5</t>
  </si>
  <si>
    <t xml:space="preserve">Зозуля К.К. </t>
  </si>
  <si>
    <t>2. Никитенко Никита</t>
  </si>
  <si>
    <t>Юноши 18 - 19 (24.11.2000)/19</t>
  </si>
  <si>
    <t>90,45</t>
  </si>
  <si>
    <t>1. Зимелис Андрей</t>
  </si>
  <si>
    <t>Открытая (01.01.1987)/33</t>
  </si>
  <si>
    <t>109,60</t>
  </si>
  <si>
    <t>177,5</t>
  </si>
  <si>
    <t xml:space="preserve">Юноши 0-13 </t>
  </si>
  <si>
    <t>82,5</t>
  </si>
  <si>
    <t>43,5765</t>
  </si>
  <si>
    <t>47,5</t>
  </si>
  <si>
    <t>34,6251</t>
  </si>
  <si>
    <t xml:space="preserve">Мастера </t>
  </si>
  <si>
    <t xml:space="preserve">Мастера 40 - 44 </t>
  </si>
  <si>
    <t xml:space="preserve">Юноши </t>
  </si>
  <si>
    <t>85,5955</t>
  </si>
  <si>
    <t>75,8680</t>
  </si>
  <si>
    <t xml:space="preserve">Юноши 16 - 17 </t>
  </si>
  <si>
    <t>74,7646</t>
  </si>
  <si>
    <t xml:space="preserve">Юноши 14-15 </t>
  </si>
  <si>
    <t>71,3983</t>
  </si>
  <si>
    <t>59,1980</t>
  </si>
  <si>
    <t>56,4349</t>
  </si>
  <si>
    <t>51,1056</t>
  </si>
  <si>
    <t>46,2972</t>
  </si>
  <si>
    <t>97,7736</t>
  </si>
  <si>
    <t>73,4940</t>
  </si>
  <si>
    <t>73,3041</t>
  </si>
  <si>
    <t>69,7506</t>
  </si>
  <si>
    <t>95,3175</t>
  </si>
  <si>
    <t>82,6140</t>
  </si>
  <si>
    <t>64,1800</t>
  </si>
  <si>
    <t xml:space="preserve">Симонов Никита, Миронов Эдуард, Баушев Александр </t>
  </si>
  <si>
    <t xml:space="preserve">33(12+9+12) </t>
  </si>
  <si>
    <t xml:space="preserve">Кулеш Герман, Никитенко Никита, Маркитанчук Никита </t>
  </si>
  <si>
    <t xml:space="preserve">Федосеева Екатерина, Федосеева Екатерина </t>
  </si>
  <si>
    <t xml:space="preserve">21(9+12) </t>
  </si>
  <si>
    <t xml:space="preserve">Харина Анна, Усанова Юлия </t>
  </si>
  <si>
    <t xml:space="preserve">Зимелис Андрей </t>
  </si>
  <si>
    <t xml:space="preserve">Гедзышин Владислав </t>
  </si>
  <si>
    <t xml:space="preserve">Абдуллаев Шадиг </t>
  </si>
  <si>
    <t>1. Зозуля Константин</t>
  </si>
  <si>
    <t>Открытая (04.09.1993)/26</t>
  </si>
  <si>
    <t>74,50</t>
  </si>
  <si>
    <t xml:space="preserve">Толстых А.О. </t>
  </si>
  <si>
    <t>Тяжлов Владислав</t>
  </si>
  <si>
    <t>2. Тяжлов Владислав</t>
  </si>
  <si>
    <t>Открытая (14.02.1989)/31</t>
  </si>
  <si>
    <t>Пышненко Евгений</t>
  </si>
  <si>
    <t>1. Пышненко Евгений</t>
  </si>
  <si>
    <t>Юноши 18 - 19 (14.10.2000)/19</t>
  </si>
  <si>
    <t>93,05</t>
  </si>
  <si>
    <t xml:space="preserve">Тында/Амурская область </t>
  </si>
  <si>
    <t>1. Лалетин Артём</t>
  </si>
  <si>
    <t>Открытая (20.05.1989)/30</t>
  </si>
  <si>
    <t>99,30</t>
  </si>
  <si>
    <t>2. Пышненко Евгений</t>
  </si>
  <si>
    <t>Открытая (14.10.2000)/19</t>
  </si>
  <si>
    <t>1. Казаков Роман</t>
  </si>
  <si>
    <t>Открытая (13.11.1981)/38</t>
  </si>
  <si>
    <t>108,85</t>
  </si>
  <si>
    <t>98,5327</t>
  </si>
  <si>
    <t>118,3380</t>
  </si>
  <si>
    <t>110,2200</t>
  </si>
  <si>
    <t>102,8230</t>
  </si>
  <si>
    <t>94,7430</t>
  </si>
  <si>
    <t>84,1687</t>
  </si>
  <si>
    <t>Бондарева Екатерина</t>
  </si>
  <si>
    <t>1. Бондарева Екатерина</t>
  </si>
  <si>
    <t>Открытая (10.04.1983)/36</t>
  </si>
  <si>
    <t xml:space="preserve">Прометей </t>
  </si>
  <si>
    <t>77,5</t>
  </si>
  <si>
    <t>87,5</t>
  </si>
  <si>
    <t xml:space="preserve">Якуш С.А. </t>
  </si>
  <si>
    <t>79,8350</t>
  </si>
  <si>
    <t xml:space="preserve">Бондарева Екатерина </t>
  </si>
  <si>
    <t>1. Галеев Артур</t>
  </si>
  <si>
    <t>Юниоры 20 - 23 (20.11.1999)/20</t>
  </si>
  <si>
    <t>86,00</t>
  </si>
  <si>
    <t xml:space="preserve">PowerGym </t>
  </si>
  <si>
    <t>210,0o</t>
  </si>
  <si>
    <t xml:space="preserve">Дудников А.А. </t>
  </si>
  <si>
    <t>1. Минашкин Сергей</t>
  </si>
  <si>
    <t>Открытая (04.11.1985)/34</t>
  </si>
  <si>
    <t>89,50</t>
  </si>
  <si>
    <t xml:space="preserve">Находка/Приморский край </t>
  </si>
  <si>
    <t>265,0o</t>
  </si>
  <si>
    <t>275,0o</t>
  </si>
  <si>
    <t xml:space="preserve">Варшавский И. </t>
  </si>
  <si>
    <t>161,5075</t>
  </si>
  <si>
    <t>126,4620</t>
  </si>
  <si>
    <t xml:space="preserve">Галеев Артур, Галеев Артур, Минашкин Сергей </t>
  </si>
  <si>
    <t>65,0o</t>
  </si>
  <si>
    <t>92,5</t>
  </si>
  <si>
    <t>75,0o</t>
  </si>
  <si>
    <t>80,0o</t>
  </si>
  <si>
    <t>85,0o</t>
  </si>
  <si>
    <t>90,0o</t>
  </si>
  <si>
    <t>2. Кузьменко Владислав</t>
  </si>
  <si>
    <t>127,5</t>
  </si>
  <si>
    <t>Селищев Ярослав</t>
  </si>
  <si>
    <t>1. Селищев Ярослав</t>
  </si>
  <si>
    <t>Юноши 16 - 17 (16.07.2002)/17</t>
  </si>
  <si>
    <t>78,40</t>
  </si>
  <si>
    <t>220,0o</t>
  </si>
  <si>
    <t>245,0</t>
  </si>
  <si>
    <t>144,6269</t>
  </si>
  <si>
    <t>115,3194</t>
  </si>
  <si>
    <t>113,6498</t>
  </si>
  <si>
    <t>105,8033</t>
  </si>
  <si>
    <t>102,3095</t>
  </si>
  <si>
    <t>99,5603</t>
  </si>
  <si>
    <t>87,6096</t>
  </si>
  <si>
    <t>86,8072</t>
  </si>
  <si>
    <t>84,6523</t>
  </si>
  <si>
    <t>134,7390</t>
  </si>
  <si>
    <t xml:space="preserve">Романов Денис, Чернега Полина, Удовиченко Максим </t>
  </si>
  <si>
    <t xml:space="preserve">33(12+12+9) </t>
  </si>
  <si>
    <t xml:space="preserve">Миронов Эдуард, Баушев Александр, Кузьменко Владислав </t>
  </si>
  <si>
    <t xml:space="preserve">Абдуллаев Шадиг, Гедзышин Владислав </t>
  </si>
  <si>
    <t xml:space="preserve">Селищев Ярослав </t>
  </si>
  <si>
    <t xml:space="preserve">Никитенко Никита </t>
  </si>
  <si>
    <t>Азовцева Екатерина</t>
  </si>
  <si>
    <t>Филимонова Анастасия</t>
  </si>
  <si>
    <t>Шанцин Юрий</t>
  </si>
  <si>
    <t>Богданова Кристина</t>
  </si>
  <si>
    <t>Александр Свитин</t>
  </si>
  <si>
    <t>Открытый Кубок ТОФ России
ПРО жим лежа без экипировки
Владивосток/Приморский край 21 - 23 февраля 2020 г.</t>
  </si>
  <si>
    <t>Открытый Кубок ТОФ России
Любители жим лежа в Софт экипировка однопетельная
Владивосток/Приморский край 21 - 23 февраля 2020 г.</t>
  </si>
  <si>
    <t>2. Зозуля Константин</t>
  </si>
  <si>
    <t>3. Лалетин Артём</t>
  </si>
  <si>
    <t>Открытый Кубок ТОФ России
Любители жим лежа без экипировки
Владивосток/Приморский край 21 - 23 февраля 2020 г.</t>
  </si>
  <si>
    <t>НЕЯВКА</t>
  </si>
  <si>
    <t>-</t>
  </si>
  <si>
    <t>1.Федосеева Екатерина</t>
  </si>
  <si>
    <t>2.Усанова Юлия</t>
  </si>
  <si>
    <t>3.Харина Анна</t>
  </si>
  <si>
    <t>1.Жабин Даниил</t>
  </si>
  <si>
    <t>2.Никитенко Никита</t>
  </si>
  <si>
    <t>3.Баушев Александр</t>
  </si>
  <si>
    <t>1.Кулеш Герман</t>
  </si>
  <si>
    <t>2.Абдуллаев Шадиг</t>
  </si>
  <si>
    <t>3.Маркитанчук Никита</t>
  </si>
  <si>
    <t>2.Коваль Алексей</t>
  </si>
  <si>
    <t>1.Зимелис Андрей</t>
  </si>
  <si>
    <t>Открытый Кубок ТОФ России
Любители пауэрлифтинг без экипировки
Владивосток/Приморский край 21 - 23 февраля 2020 г.</t>
  </si>
  <si>
    <t xml:space="preserve"> Арсенал </t>
  </si>
  <si>
    <t>SapsanGym</t>
  </si>
  <si>
    <t>1.Мудрицкая Полина</t>
  </si>
  <si>
    <t>2.Драузина Екатерина</t>
  </si>
  <si>
    <t>3.Тайметова Светлана</t>
  </si>
  <si>
    <t>2.Софонов Дмитрий</t>
  </si>
  <si>
    <t>3.Гинатулин Артур</t>
  </si>
  <si>
    <t xml:space="preserve">Арсенал </t>
  </si>
  <si>
    <t>Мастер Джим</t>
  </si>
  <si>
    <t>1.Минашкин Сергей</t>
  </si>
  <si>
    <t>Открытый Кубок ТОФ России 
Любители становая тяга без экипировки
Владивосток/Приморский край 21 - 23 февраля 2020 г.</t>
  </si>
  <si>
    <t>Открытый Кубок ТОФ России 
ПРО жим лежа в Софт экипировка многопетельная
Владивосток/Приморский край 21 - 23 февраля 2020 г.</t>
  </si>
  <si>
    <t>3.Кузьменко Владислав</t>
  </si>
  <si>
    <t>1. Рушаков Максим</t>
  </si>
  <si>
    <t>2.Городнянский Герман</t>
  </si>
  <si>
    <t>1.Абдуллаев Шадиг</t>
  </si>
  <si>
    <t>2.Галеев Артур</t>
  </si>
  <si>
    <t>12(12)</t>
  </si>
  <si>
    <t>1. Абдуллаев Шадиг</t>
  </si>
  <si>
    <t>3.Служалюк Валерий</t>
  </si>
  <si>
    <t>81,8</t>
  </si>
  <si>
    <t>0,6230</t>
  </si>
  <si>
    <t>лично</t>
  </si>
  <si>
    <t>Благовещенск/Амурская область</t>
  </si>
  <si>
    <t>185</t>
  </si>
  <si>
    <t>170</t>
  </si>
  <si>
    <t>1.Афанасьев Александр</t>
  </si>
  <si>
    <t>Афанасьев Александр</t>
  </si>
  <si>
    <t>Утенков Игорь</t>
  </si>
  <si>
    <t>Мастера 50-54 (02.09.1966)53</t>
  </si>
  <si>
    <t>97</t>
  </si>
  <si>
    <t>190</t>
  </si>
  <si>
    <t>Мастера 50-54</t>
  </si>
  <si>
    <t>106,76</t>
  </si>
  <si>
    <t>1.Утенков Игорь</t>
  </si>
  <si>
    <t>Открытая (27.07.1981)/38</t>
  </si>
  <si>
    <t>90o</t>
  </si>
  <si>
    <t>0,723</t>
  </si>
  <si>
    <t>65,07</t>
  </si>
  <si>
    <t>Елисеев А.А.</t>
  </si>
  <si>
    <t>101,6579</t>
  </si>
  <si>
    <t>20</t>
  </si>
  <si>
    <t>17,5</t>
  </si>
  <si>
    <t>15</t>
  </si>
  <si>
    <t>78,6</t>
  </si>
  <si>
    <t>Открытая</t>
  </si>
  <si>
    <t>ВЕСОВАЯ КАТЕГОРИЯ   80</t>
  </si>
  <si>
    <t>Толстых А.О.</t>
  </si>
  <si>
    <t>13</t>
  </si>
  <si>
    <t>11,25</t>
  </si>
  <si>
    <t>10</t>
  </si>
  <si>
    <t>СпортЛайф</t>
  </si>
  <si>
    <t>59,82</t>
  </si>
  <si>
    <t>1. Рада Наталья</t>
  </si>
  <si>
    <t>Попытки</t>
  </si>
  <si>
    <t xml:space="preserve">Возрастная группа
</t>
  </si>
  <si>
    <t>Открытый Кубок ТОФ России
Армлифтинг HUB
Владивосток/Приморский край 21 - 23 февраля 2020 г.</t>
  </si>
  <si>
    <t>Пургин П.О</t>
  </si>
  <si>
    <t>135,6579</t>
  </si>
  <si>
    <t>85</t>
  </si>
  <si>
    <t>80</t>
  </si>
  <si>
    <t>Юпитер</t>
  </si>
  <si>
    <t>81,5</t>
  </si>
  <si>
    <t>1. Птицын Вячеслав</t>
  </si>
  <si>
    <t>65</t>
  </si>
  <si>
    <t>50</t>
  </si>
  <si>
    <t>28,75</t>
  </si>
  <si>
    <t>27,5</t>
  </si>
  <si>
    <t>22</t>
  </si>
  <si>
    <t>Открытый Кубок ТОФ России
Армлифтинг Rolling Thunder
Владивосток/Приморский край 21 - 23 февраля 2020 г.</t>
  </si>
  <si>
    <t>40</t>
  </si>
  <si>
    <t>32,5</t>
  </si>
  <si>
    <t>28</t>
  </si>
  <si>
    <t>Открытый Кубок ТОФ России
Армлифтинг Excalibur
Владивосток/Приморский край 21 - 23 февраля 2020 г.</t>
  </si>
  <si>
    <t xml:space="preserve">Чернега Наталья, Шайдуров Алексей, Елисеев Александр </t>
  </si>
  <si>
    <t>41,5055</t>
  </si>
  <si>
    <t xml:space="preserve">Мастера 45 - 49 </t>
  </si>
  <si>
    <t>Елисеев Александр</t>
  </si>
  <si>
    <t>32,9040</t>
  </si>
  <si>
    <t>Шайдуров Алексей</t>
  </si>
  <si>
    <t>33,3690</t>
  </si>
  <si>
    <t>Голубев Сергей</t>
  </si>
  <si>
    <t>99,15</t>
  </si>
  <si>
    <t>Открытая (01.03.1986)/33</t>
  </si>
  <si>
    <t>1. Голубев Сергей</t>
  </si>
  <si>
    <t>60,0o</t>
  </si>
  <si>
    <t>52,5o</t>
  </si>
  <si>
    <t>Мастера 45 - 49 (18.12.1971)/48</t>
  </si>
  <si>
    <t>1. Елисеев Александр</t>
  </si>
  <si>
    <t>45,0o</t>
  </si>
  <si>
    <t>35,0o</t>
  </si>
  <si>
    <t>66,95</t>
  </si>
  <si>
    <t>Открытая (26.09.1985)/34</t>
  </si>
  <si>
    <t>1. Шайдуров Алексей</t>
  </si>
  <si>
    <t>Подъем на бицепс</t>
  </si>
  <si>
    <t>Открытый Кубок ТОФ России
Одиночный подъём штанги на бицепс Профессионалы
Владивосток/Приморский край 21 - 23 февраля 2020 г.</t>
  </si>
  <si>
    <t>Кубик Илья, Романов Денис, Чернега Полина, Удовиченко Максим</t>
  </si>
  <si>
    <t xml:space="preserve">48(12+12+12+12) </t>
  </si>
  <si>
    <t>42,0525</t>
  </si>
  <si>
    <t>67,5</t>
  </si>
  <si>
    <t>Саченко Николай</t>
  </si>
  <si>
    <t>22,1811</t>
  </si>
  <si>
    <t>25,0</t>
  </si>
  <si>
    <t>Кубик Илья</t>
  </si>
  <si>
    <t>26,0422</t>
  </si>
  <si>
    <t>22,5</t>
  </si>
  <si>
    <t>30,5689</t>
  </si>
  <si>
    <t>2. Удовиченко Максим</t>
  </si>
  <si>
    <t>32,9551</t>
  </si>
  <si>
    <t>23,3848</t>
  </si>
  <si>
    <t>20,0</t>
  </si>
  <si>
    <t>Чернега Полина</t>
  </si>
  <si>
    <t xml:space="preserve">Чугуевка/Приморский край </t>
  </si>
  <si>
    <t>81,80</t>
  </si>
  <si>
    <t>Открытая (26.02.1988)/31</t>
  </si>
  <si>
    <t>1. Саченко Николай</t>
  </si>
  <si>
    <t>64,95</t>
  </si>
  <si>
    <t>Юноши 16 - 17 (28.12.2004)/15</t>
  </si>
  <si>
    <t>1. Кубик Илья</t>
  </si>
  <si>
    <t>20,0o</t>
  </si>
  <si>
    <t>22,5o</t>
  </si>
  <si>
    <t>61,20</t>
  </si>
  <si>
    <t>Девушки 18 - 19 (25.04.2002)/17</t>
  </si>
  <si>
    <t>-. Чернега Александра</t>
  </si>
  <si>
    <t>53,25</t>
  </si>
  <si>
    <t>Девушки 0-13 (02.04.2008)/11</t>
  </si>
  <si>
    <t>1. Чернега Полина</t>
  </si>
  <si>
    <t>Открытый Кубок ТОФ России
Одиночный подъём штанги на бицепс Любители
Владивосток/Приморский край 21 - 23 февраля 2020 г.</t>
  </si>
  <si>
    <t xml:space="preserve">Кубик Илья, Романов Денис, Чернега Полина, Удовиченко Максим </t>
  </si>
  <si>
    <t>390,6210</t>
  </si>
  <si>
    <t>385,0</t>
  </si>
  <si>
    <t>392,3010</t>
  </si>
  <si>
    <t>455,0</t>
  </si>
  <si>
    <t>998,3837</t>
  </si>
  <si>
    <t>1137,5</t>
  </si>
  <si>
    <t xml:space="preserve">НАП Н.Ж. </t>
  </si>
  <si>
    <t>636,2400</t>
  </si>
  <si>
    <t>660,0</t>
  </si>
  <si>
    <t>14,0</t>
  </si>
  <si>
    <t>32,5o</t>
  </si>
  <si>
    <t>1,0</t>
  </si>
  <si>
    <t>24,0</t>
  </si>
  <si>
    <t>27,5o</t>
  </si>
  <si>
    <t>Повторы</t>
  </si>
  <si>
    <t>Вес</t>
  </si>
  <si>
    <t>Тоннаж</t>
  </si>
  <si>
    <t>Народный жим</t>
  </si>
  <si>
    <t>НАП Н.Ж.</t>
  </si>
  <si>
    <t>Открытый Кубок ТОФ России по народному жиму
Любители народный жим (1/2 вес)
Владивосток/Приморский край 21 - 23 февраля 2020 г.</t>
  </si>
  <si>
    <t>2207,7059</t>
  </si>
  <si>
    <t>2887</t>
  </si>
  <si>
    <t>Урюпин Валентин</t>
  </si>
  <si>
    <t>самостоятельно</t>
  </si>
  <si>
    <t>пос.Пограничный/Приморский край</t>
  </si>
  <si>
    <t>Открытая (23.09.1986)/33</t>
  </si>
  <si>
    <t>1.Урюпин Валентин</t>
  </si>
  <si>
    <t>Открытый Кубок ТОФ России по народному жиму
Любители народный жим (1 вес)
Владивосток/Приморский край 21 - 23 февраля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</si>
</sst>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indent="1"/>
    </xf>
    <xf numFmtId="49" fontId="1" fillId="0" borderId="15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center"/>
    </xf>
    <xf numFmtId="0" fontId="10" fillId="0" borderId="0" xfId="1"/>
    <xf numFmtId="49" fontId="10" fillId="0" borderId="0" xfId="1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left"/>
    </xf>
    <xf numFmtId="49" fontId="10" fillId="0" borderId="13" xfId="1" applyNumberFormat="1" applyFont="1" applyFill="1" applyBorder="1" applyAlignment="1">
      <alignment horizontal="left"/>
    </xf>
    <xf numFmtId="49" fontId="10" fillId="0" borderId="13" xfId="1" applyNumberFormat="1" applyFont="1" applyFill="1" applyBorder="1" applyAlignment="1">
      <alignment horizontal="center"/>
    </xf>
    <xf numFmtId="49" fontId="1" fillId="0" borderId="13" xfId="1" applyNumberFormat="1" applyFont="1" applyFill="1" applyBorder="1" applyAlignment="1">
      <alignment horizontal="center"/>
    </xf>
    <xf numFmtId="49" fontId="9" fillId="0" borderId="13" xfId="1" applyNumberFormat="1" applyFont="1" applyFill="1" applyBorder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49" fontId="5" fillId="0" borderId="6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center" vertical="top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top" wrapText="1"/>
    </xf>
    <xf numFmtId="49" fontId="2" fillId="0" borderId="11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49" fontId="11" fillId="0" borderId="13" xfId="1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90" zoomScaleNormal="90" workbookViewId="0">
      <selection activeCell="E21" sqref="E21"/>
    </sheetView>
  </sheetViews>
  <sheetFormatPr defaultRowHeight="12.75" x14ac:dyDescent="0.2"/>
  <cols>
    <col min="1" max="1" width="31.85546875" style="4" bestFit="1" customWidth="1"/>
    <col min="2" max="2" width="28.42578125" style="4" bestFit="1" customWidth="1"/>
    <col min="3" max="3" width="17.5703125" style="4" customWidth="1"/>
    <col min="4" max="4" width="9.28515625" style="4" bestFit="1" customWidth="1"/>
    <col min="5" max="5" width="22.7109375" style="4" bestFit="1" customWidth="1"/>
    <col min="6" max="6" width="37.42578125" style="4" bestFit="1" customWidth="1"/>
    <col min="7" max="8" width="6.5703125" style="3" bestFit="1" customWidth="1"/>
    <col min="9" max="9" width="5.5703125" style="3" bestFit="1" customWidth="1"/>
    <col min="10" max="10" width="11.7109375" style="2" bestFit="1" customWidth="1"/>
    <col min="11" max="11" width="8.5703125" style="3" bestFit="1" customWidth="1"/>
    <col min="12" max="12" width="15.7109375" style="4" bestFit="1" customWidth="1"/>
    <col min="13" max="16384" width="9.140625" style="3"/>
  </cols>
  <sheetData>
    <row r="1" spans="1:12" s="2" customFormat="1" ht="29.1" customHeight="1" x14ac:dyDescent="0.2">
      <c r="A1" s="38" t="s">
        <v>452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2" customFormat="1" ht="61.5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11</v>
      </c>
      <c r="H3" s="48"/>
      <c r="I3" s="48"/>
      <c r="J3" s="48" t="s">
        <v>200</v>
      </c>
      <c r="K3" s="48" t="s">
        <v>3</v>
      </c>
      <c r="L3" s="49" t="s">
        <v>2</v>
      </c>
    </row>
    <row r="4" spans="1:12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47"/>
      <c r="K4" s="47"/>
      <c r="L4" s="50"/>
    </row>
    <row r="5" spans="1:12" ht="15" x14ac:dyDescent="0.2">
      <c r="A5" s="36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x14ac:dyDescent="0.2">
      <c r="A6" s="12" t="s">
        <v>230</v>
      </c>
      <c r="B6" s="12" t="s">
        <v>231</v>
      </c>
      <c r="C6" s="12" t="s">
        <v>232</v>
      </c>
      <c r="D6" s="12" t="str">
        <f>"0,9966"</f>
        <v>0,9966</v>
      </c>
      <c r="E6" s="12" t="s">
        <v>233</v>
      </c>
      <c r="F6" s="12" t="s">
        <v>234</v>
      </c>
      <c r="G6" s="13" t="s">
        <v>304</v>
      </c>
      <c r="H6" s="13" t="s">
        <v>368</v>
      </c>
      <c r="I6" s="13" t="s">
        <v>389</v>
      </c>
      <c r="J6" s="28" t="str">
        <f>"92,5"</f>
        <v>92,5</v>
      </c>
      <c r="K6" s="13" t="str">
        <f>"99,5603"</f>
        <v>99,5603</v>
      </c>
      <c r="L6" s="12" t="s">
        <v>235</v>
      </c>
    </row>
    <row r="8" spans="1:12" ht="15" x14ac:dyDescent="0.2">
      <c r="A8" s="36" t="s">
        <v>30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2" x14ac:dyDescent="0.2">
      <c r="A9" s="12" t="s">
        <v>237</v>
      </c>
      <c r="B9" s="12" t="s">
        <v>238</v>
      </c>
      <c r="C9" s="12" t="s">
        <v>239</v>
      </c>
      <c r="D9" s="12" t="str">
        <f>"0,9410"</f>
        <v>0,9410</v>
      </c>
      <c r="E9" s="12" t="s">
        <v>201</v>
      </c>
      <c r="F9" s="12" t="s">
        <v>202</v>
      </c>
      <c r="G9" s="13" t="s">
        <v>388</v>
      </c>
      <c r="H9" s="14" t="s">
        <v>256</v>
      </c>
      <c r="I9" s="13" t="s">
        <v>390</v>
      </c>
      <c r="J9" s="28" t="str">
        <f>"75,0"</f>
        <v>75,0</v>
      </c>
      <c r="K9" s="13" t="str">
        <f>"86,8072"</f>
        <v>86,8072</v>
      </c>
      <c r="L9" s="12" t="s">
        <v>204</v>
      </c>
    </row>
    <row r="11" spans="1:12" ht="15" x14ac:dyDescent="0.2">
      <c r="A11" s="36" t="s">
        <v>46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2" x14ac:dyDescent="0.2">
      <c r="A12" s="6" t="s">
        <v>243</v>
      </c>
      <c r="B12" s="6" t="s">
        <v>244</v>
      </c>
      <c r="C12" s="6" t="s">
        <v>245</v>
      </c>
      <c r="D12" s="6" t="str">
        <f>"0,7647"</f>
        <v>0,7647</v>
      </c>
      <c r="E12" s="6" t="s">
        <v>201</v>
      </c>
      <c r="F12" s="6" t="s">
        <v>202</v>
      </c>
      <c r="G12" s="7" t="s">
        <v>391</v>
      </c>
      <c r="H12" s="7" t="s">
        <v>392</v>
      </c>
      <c r="I12" s="7" t="s">
        <v>393</v>
      </c>
      <c r="J12" s="29" t="str">
        <f>"90,0"</f>
        <v>90,0</v>
      </c>
      <c r="K12" s="7" t="str">
        <f>"84,6523"</f>
        <v>84,6523</v>
      </c>
      <c r="L12" s="6" t="s">
        <v>204</v>
      </c>
    </row>
    <row r="13" spans="1:12" x14ac:dyDescent="0.2">
      <c r="A13" s="15" t="s">
        <v>249</v>
      </c>
      <c r="B13" s="15" t="s">
        <v>250</v>
      </c>
      <c r="C13" s="15" t="s">
        <v>251</v>
      </c>
      <c r="D13" s="15" t="str">
        <f>"0,7287"</f>
        <v>0,7287</v>
      </c>
      <c r="E13" s="15" t="s">
        <v>233</v>
      </c>
      <c r="F13" s="15" t="s">
        <v>234</v>
      </c>
      <c r="G13" s="17" t="s">
        <v>53</v>
      </c>
      <c r="H13" s="17" t="s">
        <v>81</v>
      </c>
      <c r="I13" s="17" t="s">
        <v>56</v>
      </c>
      <c r="J13" s="30" t="str">
        <f>"130,0"</f>
        <v>130,0</v>
      </c>
      <c r="K13" s="17" t="str">
        <f>"102,3095"</f>
        <v>102,3095</v>
      </c>
      <c r="L13" s="15" t="s">
        <v>235</v>
      </c>
    </row>
    <row r="14" spans="1:12" x14ac:dyDescent="0.2">
      <c r="A14" s="9" t="s">
        <v>394</v>
      </c>
      <c r="B14" s="9" t="s">
        <v>254</v>
      </c>
      <c r="C14" s="9" t="s">
        <v>255</v>
      </c>
      <c r="D14" s="9" t="str">
        <f>"0,8046"</f>
        <v>0,8046</v>
      </c>
      <c r="E14" s="9" t="s">
        <v>233</v>
      </c>
      <c r="F14" s="9" t="s">
        <v>234</v>
      </c>
      <c r="G14" s="10" t="s">
        <v>80</v>
      </c>
      <c r="H14" s="10" t="s">
        <v>53</v>
      </c>
      <c r="I14" s="10" t="s">
        <v>81</v>
      </c>
      <c r="J14" s="27" t="str">
        <f>"125,0"</f>
        <v>125,0</v>
      </c>
      <c r="K14" s="10" t="str">
        <f>"113,6498"</f>
        <v>113,6498</v>
      </c>
      <c r="L14" s="9" t="s">
        <v>235</v>
      </c>
    </row>
    <row r="16" spans="1:12" ht="15" x14ac:dyDescent="0.2">
      <c r="A16" s="36" t="s">
        <v>64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2" x14ac:dyDescent="0.2">
      <c r="A17" s="12" t="s">
        <v>262</v>
      </c>
      <c r="B17" s="12" t="s">
        <v>263</v>
      </c>
      <c r="C17" s="12" t="s">
        <v>264</v>
      </c>
      <c r="D17" s="12" t="str">
        <f>"0,6760"</f>
        <v>0,6760</v>
      </c>
      <c r="E17" s="12" t="s">
        <v>283</v>
      </c>
      <c r="F17" s="12" t="s">
        <v>266</v>
      </c>
      <c r="G17" s="13" t="s">
        <v>36</v>
      </c>
      <c r="H17" s="13" t="s">
        <v>287</v>
      </c>
      <c r="I17" s="14" t="s">
        <v>395</v>
      </c>
      <c r="J17" s="28" t="str">
        <f>"120,0"</f>
        <v>120,0</v>
      </c>
      <c r="K17" s="13" t="str">
        <f>"87,6096"</f>
        <v>87,6096</v>
      </c>
      <c r="L17" s="12" t="s">
        <v>267</v>
      </c>
    </row>
    <row r="19" spans="1:12" ht="15" x14ac:dyDescent="0.2">
      <c r="A19" s="36" t="s">
        <v>84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x14ac:dyDescent="0.2">
      <c r="A20" s="12" t="s">
        <v>397</v>
      </c>
      <c r="B20" s="12" t="s">
        <v>398</v>
      </c>
      <c r="C20" s="12" t="s">
        <v>399</v>
      </c>
      <c r="D20" s="12" t="str">
        <f>"0,6424"</f>
        <v>0,6424</v>
      </c>
      <c r="E20" s="12" t="s">
        <v>226</v>
      </c>
      <c r="F20" s="12" t="s">
        <v>227</v>
      </c>
      <c r="G20" s="13" t="s">
        <v>70</v>
      </c>
      <c r="H20" s="14" t="s">
        <v>89</v>
      </c>
      <c r="I20" s="14" t="s">
        <v>89</v>
      </c>
      <c r="J20" s="28" t="str">
        <f>"152,5"</f>
        <v>152,5</v>
      </c>
      <c r="K20" s="13" t="str">
        <f>"105,8033"</f>
        <v>105,8033</v>
      </c>
      <c r="L20" s="12" t="s">
        <v>228</v>
      </c>
    </row>
    <row r="22" spans="1:12" ht="15" x14ac:dyDescent="0.2">
      <c r="A22" s="36" t="s">
        <v>96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2" x14ac:dyDescent="0.2">
      <c r="A23" s="15" t="s">
        <v>460</v>
      </c>
      <c r="B23" s="15" t="s">
        <v>285</v>
      </c>
      <c r="C23" s="15" t="s">
        <v>286</v>
      </c>
      <c r="D23" s="15" t="str">
        <f>"0,6125"</f>
        <v>0,6125</v>
      </c>
      <c r="E23" s="15" t="s">
        <v>283</v>
      </c>
      <c r="F23" s="15" t="s">
        <v>266</v>
      </c>
      <c r="G23" s="17" t="s">
        <v>376</v>
      </c>
      <c r="H23" s="17" t="s">
        <v>400</v>
      </c>
      <c r="I23" s="16" t="s">
        <v>108</v>
      </c>
      <c r="J23" s="30" t="str">
        <f>"220,0"</f>
        <v>220,0</v>
      </c>
      <c r="K23" s="17" t="str">
        <f>"134,7390"</f>
        <v>134,7390</v>
      </c>
      <c r="L23" s="15" t="s">
        <v>59</v>
      </c>
    </row>
    <row r="25" spans="1:12" ht="15" x14ac:dyDescent="0.2">
      <c r="A25" s="36" t="s">
        <v>118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2" x14ac:dyDescent="0.2">
      <c r="A26" s="6" t="s">
        <v>291</v>
      </c>
      <c r="B26" s="6" t="s">
        <v>292</v>
      </c>
      <c r="C26" s="6" t="s">
        <v>293</v>
      </c>
      <c r="D26" s="6" t="str">
        <f>"0,5569"</f>
        <v>0,5569</v>
      </c>
      <c r="E26" s="6" t="s">
        <v>17</v>
      </c>
      <c r="F26" s="6" t="s">
        <v>18</v>
      </c>
      <c r="G26" s="8" t="s">
        <v>109</v>
      </c>
      <c r="H26" s="7" t="s">
        <v>109</v>
      </c>
      <c r="I26" s="7" t="s">
        <v>401</v>
      </c>
      <c r="J26" s="29" t="str">
        <f>"245,0"</f>
        <v>245,0</v>
      </c>
      <c r="K26" s="7" t="str">
        <f>"144,6269"</f>
        <v>144,6269</v>
      </c>
      <c r="L26" s="6" t="s">
        <v>295</v>
      </c>
    </row>
    <row r="27" spans="1:12" x14ac:dyDescent="0.2">
      <c r="A27" s="9" t="s">
        <v>296</v>
      </c>
      <c r="B27" s="9" t="s">
        <v>297</v>
      </c>
      <c r="C27" s="9" t="s">
        <v>298</v>
      </c>
      <c r="D27" s="9" t="str">
        <f>"0,5836"</f>
        <v>0,5836</v>
      </c>
      <c r="E27" s="9" t="s">
        <v>88</v>
      </c>
      <c r="F27" s="9" t="s">
        <v>18</v>
      </c>
      <c r="G27" s="10" t="s">
        <v>62</v>
      </c>
      <c r="H27" s="11" t="s">
        <v>95</v>
      </c>
      <c r="I27" s="11" t="s">
        <v>95</v>
      </c>
      <c r="J27" s="27" t="str">
        <f>"190,0"</f>
        <v>190,0</v>
      </c>
      <c r="K27" s="10" t="str">
        <f>"115,3194"</f>
        <v>115,3194</v>
      </c>
      <c r="L27" s="9" t="s">
        <v>59</v>
      </c>
    </row>
    <row r="29" spans="1:12" ht="15" x14ac:dyDescent="0.2">
      <c r="E29" s="18" t="s">
        <v>132</v>
      </c>
      <c r="F29" s="4" t="s">
        <v>418</v>
      </c>
    </row>
    <row r="30" spans="1:12" ht="15" x14ac:dyDescent="0.2">
      <c r="E30" s="18" t="s">
        <v>133</v>
      </c>
      <c r="F30" s="4" t="s">
        <v>419</v>
      </c>
    </row>
    <row r="31" spans="1:12" ht="15" x14ac:dyDescent="0.2">
      <c r="E31" s="18" t="s">
        <v>134</v>
      </c>
      <c r="F31" s="4" t="s">
        <v>422</v>
      </c>
    </row>
    <row r="32" spans="1:12" ht="15" x14ac:dyDescent="0.2">
      <c r="E32" s="18" t="s">
        <v>135</v>
      </c>
      <c r="F32" s="4" t="s">
        <v>421</v>
      </c>
    </row>
    <row r="33" spans="1:6" ht="15" x14ac:dyDescent="0.2">
      <c r="E33" s="18" t="s">
        <v>135</v>
      </c>
      <c r="F33" s="4" t="s">
        <v>420</v>
      </c>
    </row>
    <row r="34" spans="1:6" ht="15" x14ac:dyDescent="0.2">
      <c r="E34" s="18" t="s">
        <v>136</v>
      </c>
      <c r="F34" s="4" t="s">
        <v>419</v>
      </c>
    </row>
    <row r="35" spans="1:6" ht="15" x14ac:dyDescent="0.2">
      <c r="E35" s="18"/>
    </row>
    <row r="37" spans="1:6" ht="18" x14ac:dyDescent="0.25">
      <c r="A37" s="19" t="s">
        <v>137</v>
      </c>
      <c r="B37" s="19"/>
    </row>
    <row r="38" spans="1:6" ht="15" x14ac:dyDescent="0.2">
      <c r="A38" s="20" t="s">
        <v>158</v>
      </c>
      <c r="B38" s="20"/>
    </row>
    <row r="39" spans="1:6" ht="14.25" x14ac:dyDescent="0.2">
      <c r="A39" s="22"/>
      <c r="B39" s="23" t="s">
        <v>310</v>
      </c>
    </row>
    <row r="40" spans="1:6" ht="15" x14ac:dyDescent="0.2">
      <c r="A40" s="24" t="s">
        <v>140</v>
      </c>
      <c r="B40" s="24" t="s">
        <v>141</v>
      </c>
      <c r="C40" s="24" t="s">
        <v>142</v>
      </c>
      <c r="D40" s="24" t="s">
        <v>143</v>
      </c>
      <c r="E40" s="24" t="s">
        <v>144</v>
      </c>
    </row>
    <row r="41" spans="1:6" x14ac:dyDescent="0.2">
      <c r="A41" s="26" t="s">
        <v>433</v>
      </c>
      <c r="B41" s="25" t="s">
        <v>145</v>
      </c>
      <c r="C41" s="25" t="s">
        <v>167</v>
      </c>
      <c r="D41" s="25" t="s">
        <v>401</v>
      </c>
      <c r="E41" s="25" t="s">
        <v>402</v>
      </c>
    </row>
    <row r="42" spans="1:6" x14ac:dyDescent="0.2">
      <c r="A42" s="26" t="s">
        <v>434</v>
      </c>
      <c r="B42" s="25" t="s">
        <v>145</v>
      </c>
      <c r="C42" s="25" t="s">
        <v>167</v>
      </c>
      <c r="D42" s="25" t="s">
        <v>62</v>
      </c>
      <c r="E42" s="25" t="s">
        <v>403</v>
      </c>
    </row>
    <row r="43" spans="1:6" x14ac:dyDescent="0.2">
      <c r="A43" s="26" t="s">
        <v>454</v>
      </c>
      <c r="B43" s="25" t="s">
        <v>313</v>
      </c>
      <c r="C43" s="25" t="s">
        <v>146</v>
      </c>
      <c r="D43" s="25" t="s">
        <v>81</v>
      </c>
      <c r="E43" s="25" t="s">
        <v>404</v>
      </c>
    </row>
    <row r="44" spans="1:6" x14ac:dyDescent="0.2">
      <c r="A44" s="21" t="s">
        <v>396</v>
      </c>
      <c r="B44" s="4" t="s">
        <v>313</v>
      </c>
      <c r="C44" s="4" t="s">
        <v>164</v>
      </c>
      <c r="D44" s="4" t="s">
        <v>70</v>
      </c>
      <c r="E44" s="25" t="s">
        <v>405</v>
      </c>
    </row>
    <row r="45" spans="1:6" x14ac:dyDescent="0.2">
      <c r="A45" s="21" t="s">
        <v>248</v>
      </c>
      <c r="B45" s="4" t="s">
        <v>313</v>
      </c>
      <c r="C45" s="4" t="s">
        <v>146</v>
      </c>
      <c r="D45" s="4" t="s">
        <v>56</v>
      </c>
      <c r="E45" s="25" t="s">
        <v>406</v>
      </c>
    </row>
    <row r="46" spans="1:6" x14ac:dyDescent="0.2">
      <c r="A46" s="21" t="s">
        <v>229</v>
      </c>
      <c r="B46" s="4" t="s">
        <v>313</v>
      </c>
      <c r="C46" s="4" t="s">
        <v>149</v>
      </c>
      <c r="D46" s="4" t="s">
        <v>389</v>
      </c>
      <c r="E46" s="25" t="s">
        <v>407</v>
      </c>
    </row>
    <row r="47" spans="1:6" x14ac:dyDescent="0.2">
      <c r="A47" s="21" t="s">
        <v>261</v>
      </c>
      <c r="B47" s="4" t="s">
        <v>313</v>
      </c>
      <c r="C47" s="4" t="s">
        <v>173</v>
      </c>
      <c r="D47" s="4" t="s">
        <v>53</v>
      </c>
      <c r="E47" s="25" t="s">
        <v>408</v>
      </c>
    </row>
    <row r="48" spans="1:6" x14ac:dyDescent="0.2">
      <c r="A48" s="21" t="s">
        <v>236</v>
      </c>
      <c r="B48" s="4" t="s">
        <v>303</v>
      </c>
      <c r="C48" s="4" t="s">
        <v>152</v>
      </c>
      <c r="D48" s="4" t="s">
        <v>20</v>
      </c>
      <c r="E48" s="25" t="s">
        <v>409</v>
      </c>
    </row>
    <row r="49" spans="1:5" x14ac:dyDescent="0.2">
      <c r="A49" s="21" t="s">
        <v>242</v>
      </c>
      <c r="B49" s="4" t="s">
        <v>315</v>
      </c>
      <c r="C49" s="4" t="s">
        <v>146</v>
      </c>
      <c r="D49" s="4" t="s">
        <v>25</v>
      </c>
      <c r="E49" s="25" t="s">
        <v>410</v>
      </c>
    </row>
    <row r="52" spans="1:5" ht="14.25" x14ac:dyDescent="0.2">
      <c r="A52" s="22"/>
      <c r="B52" s="23" t="s">
        <v>151</v>
      </c>
    </row>
    <row r="53" spans="1:5" ht="15" x14ac:dyDescent="0.2">
      <c r="A53" s="24" t="s">
        <v>140</v>
      </c>
      <c r="B53" s="24" t="s">
        <v>141</v>
      </c>
      <c r="C53" s="24" t="s">
        <v>142</v>
      </c>
      <c r="D53" s="24" t="s">
        <v>143</v>
      </c>
      <c r="E53" s="24" t="s">
        <v>144</v>
      </c>
    </row>
    <row r="54" spans="1:5" x14ac:dyDescent="0.2">
      <c r="A54" s="26" t="s">
        <v>457</v>
      </c>
      <c r="B54" s="25" t="s">
        <v>151</v>
      </c>
      <c r="C54" s="25" t="s">
        <v>161</v>
      </c>
      <c r="D54" s="25" t="s">
        <v>101</v>
      </c>
      <c r="E54" s="25" t="s">
        <v>411</v>
      </c>
    </row>
    <row r="58" spans="1:5" ht="18" x14ac:dyDescent="0.25">
      <c r="A58" s="19" t="s">
        <v>186</v>
      </c>
      <c r="B58" s="19"/>
    </row>
    <row r="59" spans="1:5" ht="15" x14ac:dyDescent="0.2">
      <c r="A59" s="24" t="s">
        <v>187</v>
      </c>
      <c r="B59" s="24" t="s">
        <v>188</v>
      </c>
      <c r="C59" s="24" t="s">
        <v>189</v>
      </c>
    </row>
    <row r="60" spans="1:5" x14ac:dyDescent="0.2">
      <c r="A60" s="4" t="s">
        <v>201</v>
      </c>
      <c r="B60" s="4" t="s">
        <v>190</v>
      </c>
      <c r="C60" s="4" t="s">
        <v>412</v>
      </c>
    </row>
    <row r="61" spans="1:5" x14ac:dyDescent="0.2">
      <c r="A61" s="4" t="s">
        <v>233</v>
      </c>
      <c r="B61" s="4" t="s">
        <v>413</v>
      </c>
      <c r="C61" s="4" t="s">
        <v>414</v>
      </c>
    </row>
    <row r="62" spans="1:5" x14ac:dyDescent="0.2">
      <c r="A62" s="4" t="s">
        <v>283</v>
      </c>
      <c r="B62" s="4" t="s">
        <v>332</v>
      </c>
      <c r="C62" s="4" t="s">
        <v>415</v>
      </c>
    </row>
    <row r="63" spans="1:5" x14ac:dyDescent="0.2">
      <c r="A63" s="4" t="s">
        <v>226</v>
      </c>
      <c r="B63" s="4" t="s">
        <v>196</v>
      </c>
      <c r="C63" s="4" t="s">
        <v>416</v>
      </c>
    </row>
    <row r="64" spans="1:5" x14ac:dyDescent="0.2">
      <c r="A64" s="4" t="s">
        <v>88</v>
      </c>
      <c r="B64" s="4" t="s">
        <v>197</v>
      </c>
      <c r="C64" s="4" t="s">
        <v>417</v>
      </c>
    </row>
  </sheetData>
  <mergeCells count="18">
    <mergeCell ref="A8:K8"/>
    <mergeCell ref="A1:L2"/>
    <mergeCell ref="A3:A4"/>
    <mergeCell ref="B3:B4"/>
    <mergeCell ref="C3:C4"/>
    <mergeCell ref="D3:D4"/>
    <mergeCell ref="E3:E4"/>
    <mergeCell ref="F3:F4"/>
    <mergeCell ref="G3:I3"/>
    <mergeCell ref="J3:J4"/>
    <mergeCell ref="K3:K4"/>
    <mergeCell ref="L3:L4"/>
    <mergeCell ref="A5:K5"/>
    <mergeCell ref="A11:K11"/>
    <mergeCell ref="A16:K16"/>
    <mergeCell ref="A19:K19"/>
    <mergeCell ref="A22:K22"/>
    <mergeCell ref="A25:K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>
      <selection activeCell="B45" sqref="B45"/>
    </sheetView>
  </sheetViews>
  <sheetFormatPr defaultRowHeight="12.75" x14ac:dyDescent="0.2"/>
  <cols>
    <col min="1" max="1" width="31.85546875" style="4" bestFit="1" customWidth="1"/>
    <col min="2" max="2" width="28.5703125" style="3" bestFit="1" customWidth="1"/>
    <col min="3" max="3" width="19.28515625" style="3" customWidth="1"/>
    <col min="4" max="4" width="9.28515625" style="3" bestFit="1" customWidth="1"/>
    <col min="5" max="5" width="22.7109375" style="3" bestFit="1" customWidth="1"/>
    <col min="6" max="6" width="38.5703125" style="3" bestFit="1" customWidth="1"/>
    <col min="7" max="7" width="7.7109375" style="3" customWidth="1"/>
    <col min="8" max="8" width="7" style="3" customWidth="1"/>
    <col min="9" max="9" width="7.5703125" style="3" customWidth="1"/>
    <col min="10" max="10" width="11.42578125" style="2" bestFit="1" customWidth="1"/>
    <col min="11" max="11" width="8.140625" style="3" bestFit="1" customWidth="1"/>
    <col min="12" max="12" width="16.7109375" style="3" bestFit="1" customWidth="1"/>
    <col min="13" max="16384" width="9.140625" style="3"/>
  </cols>
  <sheetData>
    <row r="1" spans="1:12" s="2" customFormat="1" ht="29.1" customHeight="1" x14ac:dyDescent="0.2">
      <c r="A1" s="38" t="s">
        <v>537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536</v>
      </c>
      <c r="H3" s="48"/>
      <c r="I3" s="48"/>
      <c r="J3" s="48" t="s">
        <v>200</v>
      </c>
      <c r="K3" s="48" t="s">
        <v>3</v>
      </c>
      <c r="L3" s="49" t="s">
        <v>2</v>
      </c>
    </row>
    <row r="4" spans="1:12" s="1" customFormat="1" ht="21" customHeight="1" thickBot="1" x14ac:dyDescent="0.25">
      <c r="A4" s="45"/>
      <c r="B4" s="47"/>
      <c r="C4" s="47"/>
      <c r="D4" s="47"/>
      <c r="E4" s="47"/>
      <c r="F4" s="47"/>
      <c r="G4" s="34">
        <v>1</v>
      </c>
      <c r="H4" s="34">
        <v>2</v>
      </c>
      <c r="I4" s="34">
        <v>3</v>
      </c>
      <c r="J4" s="47"/>
      <c r="K4" s="47"/>
      <c r="L4" s="50"/>
    </row>
    <row r="5" spans="1:12" ht="15" x14ac:dyDescent="0.2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x14ac:dyDescent="0.2">
      <c r="A6" s="12" t="s">
        <v>535</v>
      </c>
      <c r="B6" s="13" t="s">
        <v>534</v>
      </c>
      <c r="C6" s="13" t="s">
        <v>533</v>
      </c>
      <c r="D6" s="13" t="str">
        <f>"0,7312"</f>
        <v>0,7312</v>
      </c>
      <c r="E6" s="13" t="s">
        <v>201</v>
      </c>
      <c r="F6" s="13" t="s">
        <v>202</v>
      </c>
      <c r="G6" s="13" t="s">
        <v>532</v>
      </c>
      <c r="H6" s="13" t="s">
        <v>203</v>
      </c>
      <c r="I6" s="13" t="s">
        <v>531</v>
      </c>
      <c r="J6" s="35" t="str">
        <f>"45,0"</f>
        <v>45,0</v>
      </c>
      <c r="K6" s="13" t="str">
        <f>"32,9040"</f>
        <v>32,9040</v>
      </c>
      <c r="L6" s="13" t="s">
        <v>204</v>
      </c>
    </row>
    <row r="8" spans="1:12" ht="15" x14ac:dyDescent="0.2">
      <c r="A8" s="36" t="s">
        <v>84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2" x14ac:dyDescent="0.2">
      <c r="A9" s="12" t="s">
        <v>530</v>
      </c>
      <c r="B9" s="13" t="s">
        <v>529</v>
      </c>
      <c r="C9" s="13" t="s">
        <v>94</v>
      </c>
      <c r="D9" s="13" t="str">
        <f>"0,6193"</f>
        <v>0,6193</v>
      </c>
      <c r="E9" s="13" t="s">
        <v>201</v>
      </c>
      <c r="F9" s="13" t="s">
        <v>202</v>
      </c>
      <c r="G9" s="13" t="s">
        <v>528</v>
      </c>
      <c r="H9" s="13" t="s">
        <v>209</v>
      </c>
      <c r="I9" s="13" t="s">
        <v>527</v>
      </c>
      <c r="J9" s="35" t="str">
        <f>"60,0"</f>
        <v>60,0</v>
      </c>
      <c r="K9" s="13" t="str">
        <f>"41,5055"</f>
        <v>41,5055</v>
      </c>
      <c r="L9" s="13" t="s">
        <v>59</v>
      </c>
    </row>
    <row r="11" spans="1:12" ht="15" x14ac:dyDescent="0.2">
      <c r="A11" s="36" t="s">
        <v>118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2" x14ac:dyDescent="0.2">
      <c r="A12" s="12" t="s">
        <v>526</v>
      </c>
      <c r="B12" s="13" t="s">
        <v>525</v>
      </c>
      <c r="C12" s="13" t="s">
        <v>524</v>
      </c>
      <c r="D12" s="13" t="str">
        <f>"0,5562"</f>
        <v>0,5562</v>
      </c>
      <c r="E12" s="13" t="s">
        <v>17</v>
      </c>
      <c r="F12" s="13" t="s">
        <v>35</v>
      </c>
      <c r="G12" s="13" t="s">
        <v>45</v>
      </c>
      <c r="H12" s="14" t="s">
        <v>247</v>
      </c>
      <c r="I12" s="14" t="s">
        <v>19</v>
      </c>
      <c r="J12" s="35" t="str">
        <f>"60,0"</f>
        <v>60,0</v>
      </c>
      <c r="K12" s="13" t="str">
        <f>"33,3690"</f>
        <v>33,3690</v>
      </c>
      <c r="L12" s="13" t="s">
        <v>59</v>
      </c>
    </row>
    <row r="14" spans="1:12" ht="15" x14ac:dyDescent="0.2">
      <c r="E14" s="90" t="s">
        <v>132</v>
      </c>
      <c r="F14" s="3" t="s">
        <v>418</v>
      </c>
    </row>
    <row r="15" spans="1:12" ht="15" x14ac:dyDescent="0.2">
      <c r="E15" s="90" t="s">
        <v>133</v>
      </c>
      <c r="F15" s="3" t="s">
        <v>419</v>
      </c>
    </row>
    <row r="16" spans="1:12" ht="15" x14ac:dyDescent="0.2">
      <c r="E16" s="90" t="s">
        <v>134</v>
      </c>
      <c r="F16" s="3" t="s">
        <v>420</v>
      </c>
    </row>
    <row r="17" spans="1:6" ht="15" x14ac:dyDescent="0.2">
      <c r="E17" s="90" t="s">
        <v>135</v>
      </c>
      <c r="F17" s="3" t="s">
        <v>422</v>
      </c>
    </row>
    <row r="18" spans="1:6" ht="15" x14ac:dyDescent="0.2">
      <c r="E18" s="90" t="s">
        <v>136</v>
      </c>
      <c r="F18" s="3" t="s">
        <v>419</v>
      </c>
    </row>
    <row r="19" spans="1:6" ht="15" x14ac:dyDescent="0.2">
      <c r="E19" s="90"/>
    </row>
    <row r="21" spans="1:6" ht="18" x14ac:dyDescent="0.25">
      <c r="A21" s="19" t="s">
        <v>137</v>
      </c>
      <c r="B21" s="88"/>
    </row>
    <row r="22" spans="1:6" ht="15" x14ac:dyDescent="0.2">
      <c r="A22" s="20" t="s">
        <v>158</v>
      </c>
      <c r="B22" s="33"/>
    </row>
    <row r="23" spans="1:6" ht="14.25" x14ac:dyDescent="0.2">
      <c r="A23" s="22"/>
      <c r="B23" s="89" t="s">
        <v>151</v>
      </c>
    </row>
    <row r="24" spans="1:6" ht="15" x14ac:dyDescent="0.2">
      <c r="A24" s="24" t="s">
        <v>140</v>
      </c>
      <c r="B24" s="24" t="s">
        <v>141</v>
      </c>
      <c r="C24" s="24" t="s">
        <v>142</v>
      </c>
      <c r="D24" s="24" t="s">
        <v>143</v>
      </c>
      <c r="E24" s="24" t="s">
        <v>144</v>
      </c>
    </row>
    <row r="25" spans="1:6" x14ac:dyDescent="0.2">
      <c r="A25" s="21" t="s">
        <v>523</v>
      </c>
      <c r="B25" s="3" t="s">
        <v>151</v>
      </c>
      <c r="C25" s="3" t="s">
        <v>167</v>
      </c>
      <c r="D25" s="3" t="s">
        <v>45</v>
      </c>
      <c r="E25" s="2" t="s">
        <v>522</v>
      </c>
    </row>
    <row r="26" spans="1:6" x14ac:dyDescent="0.2">
      <c r="A26" s="21" t="s">
        <v>521</v>
      </c>
      <c r="B26" s="3" t="s">
        <v>151</v>
      </c>
      <c r="C26" s="3" t="s">
        <v>146</v>
      </c>
      <c r="D26" s="3" t="s">
        <v>24</v>
      </c>
      <c r="E26" s="2" t="s">
        <v>520</v>
      </c>
    </row>
    <row r="28" spans="1:6" ht="14.25" x14ac:dyDescent="0.2">
      <c r="A28" s="22"/>
      <c r="B28" s="89" t="s">
        <v>308</v>
      </c>
    </row>
    <row r="29" spans="1:6" ht="15" x14ac:dyDescent="0.2">
      <c r="A29" s="24" t="s">
        <v>140</v>
      </c>
      <c r="B29" s="24" t="s">
        <v>141</v>
      </c>
      <c r="C29" s="24" t="s">
        <v>142</v>
      </c>
      <c r="D29" s="24" t="s">
        <v>143</v>
      </c>
      <c r="E29" s="24" t="s">
        <v>144</v>
      </c>
    </row>
    <row r="30" spans="1:6" x14ac:dyDescent="0.2">
      <c r="A30" s="21" t="s">
        <v>519</v>
      </c>
      <c r="B30" s="3" t="s">
        <v>518</v>
      </c>
      <c r="C30" s="3" t="s">
        <v>164</v>
      </c>
      <c r="D30" s="3" t="s">
        <v>45</v>
      </c>
      <c r="E30" s="2" t="s">
        <v>517</v>
      </c>
    </row>
    <row r="35" spans="1:3" ht="18" x14ac:dyDescent="0.25">
      <c r="A35" s="19" t="s">
        <v>186</v>
      </c>
      <c r="B35" s="88"/>
    </row>
    <row r="36" spans="1:3" ht="15" x14ac:dyDescent="0.2">
      <c r="A36" s="24" t="s">
        <v>187</v>
      </c>
      <c r="B36" s="24" t="s">
        <v>188</v>
      </c>
      <c r="C36" s="24" t="s">
        <v>189</v>
      </c>
    </row>
    <row r="37" spans="1:3" x14ac:dyDescent="0.2">
      <c r="A37" s="4" t="s">
        <v>201</v>
      </c>
      <c r="B37" s="3" t="s">
        <v>190</v>
      </c>
      <c r="C37" s="3" t="s">
        <v>516</v>
      </c>
    </row>
  </sheetData>
  <mergeCells count="14">
    <mergeCell ref="A11:K11"/>
    <mergeCell ref="J3:J4"/>
    <mergeCell ref="K3:K4"/>
    <mergeCell ref="L3:L4"/>
    <mergeCell ref="A5:K5"/>
    <mergeCell ref="A8:K8"/>
    <mergeCell ref="A1:L2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opLeftCell="A25" zoomScale="80" zoomScaleNormal="80" workbookViewId="0">
      <selection activeCell="A26" sqref="A26"/>
    </sheetView>
  </sheetViews>
  <sheetFormatPr defaultRowHeight="12.75" x14ac:dyDescent="0.2"/>
  <cols>
    <col min="1" max="1" width="31.85546875" style="4" bestFit="1" customWidth="1"/>
    <col min="2" max="2" width="29" style="3" bestFit="1" customWidth="1"/>
    <col min="3" max="3" width="16.140625" style="3" customWidth="1"/>
    <col min="4" max="4" width="9.85546875" style="3" bestFit="1" customWidth="1"/>
    <col min="5" max="5" width="22.7109375" style="3" bestFit="1" customWidth="1"/>
    <col min="6" max="6" width="39" style="3" customWidth="1"/>
    <col min="7" max="9" width="10.140625" style="3" customWidth="1"/>
    <col min="10" max="10" width="11.7109375" style="2" bestFit="1" customWidth="1"/>
    <col min="11" max="11" width="8.140625" style="3" bestFit="1" customWidth="1"/>
    <col min="12" max="12" width="15.7109375" style="3" bestFit="1" customWidth="1"/>
    <col min="13" max="16384" width="9.140625" style="3"/>
  </cols>
  <sheetData>
    <row r="1" spans="1:12" s="2" customFormat="1" ht="29.1" customHeight="1" x14ac:dyDescent="0.2">
      <c r="A1" s="38" t="s">
        <v>569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536</v>
      </c>
      <c r="H3" s="48"/>
      <c r="I3" s="48"/>
      <c r="J3" s="48" t="s">
        <v>200</v>
      </c>
      <c r="K3" s="48" t="s">
        <v>3</v>
      </c>
      <c r="L3" s="49" t="s">
        <v>2</v>
      </c>
    </row>
    <row r="4" spans="1:12" s="1" customFormat="1" ht="15.75" thickBot="1" x14ac:dyDescent="0.25">
      <c r="A4" s="45"/>
      <c r="B4" s="47"/>
      <c r="C4" s="47"/>
      <c r="D4" s="47"/>
      <c r="E4" s="47"/>
      <c r="F4" s="47"/>
      <c r="G4" s="34">
        <v>1</v>
      </c>
      <c r="H4" s="34">
        <v>2</v>
      </c>
      <c r="I4" s="34">
        <v>3</v>
      </c>
      <c r="J4" s="47"/>
      <c r="K4" s="47"/>
      <c r="L4" s="50"/>
    </row>
    <row r="5" spans="1:12" ht="15" x14ac:dyDescent="0.2">
      <c r="A5" s="51" t="s">
        <v>41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2" x14ac:dyDescent="0.2">
      <c r="A6" s="12" t="s">
        <v>568</v>
      </c>
      <c r="B6" s="13" t="s">
        <v>567</v>
      </c>
      <c r="C6" s="13" t="s">
        <v>566</v>
      </c>
      <c r="D6" s="13" t="str">
        <f>"0,9506"</f>
        <v>0,9506</v>
      </c>
      <c r="E6" s="13" t="s">
        <v>201</v>
      </c>
      <c r="F6" s="13" t="s">
        <v>202</v>
      </c>
      <c r="G6" s="14" t="s">
        <v>552</v>
      </c>
      <c r="H6" s="13" t="s">
        <v>561</v>
      </c>
      <c r="I6" s="14" t="s">
        <v>429</v>
      </c>
      <c r="J6" s="35" t="str">
        <f>"20,0"</f>
        <v>20,0</v>
      </c>
      <c r="K6" s="13" t="str">
        <f>"23,3848"</f>
        <v>23,3848</v>
      </c>
      <c r="L6" s="13" t="s">
        <v>204</v>
      </c>
    </row>
    <row r="8" spans="1:12" ht="15" x14ac:dyDescent="0.2">
      <c r="A8" s="36" t="s">
        <v>46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2" x14ac:dyDescent="0.2">
      <c r="A9" s="12" t="s">
        <v>565</v>
      </c>
      <c r="B9" s="13" t="s">
        <v>564</v>
      </c>
      <c r="C9" s="13" t="s">
        <v>563</v>
      </c>
      <c r="D9" s="13" t="str">
        <f>"0,8468"</f>
        <v>0,8468</v>
      </c>
      <c r="E9" s="13" t="s">
        <v>201</v>
      </c>
      <c r="F9" s="13" t="s">
        <v>202</v>
      </c>
      <c r="G9" s="14" t="s">
        <v>552</v>
      </c>
      <c r="H9" s="14" t="s">
        <v>552</v>
      </c>
      <c r="I9" s="14" t="s">
        <v>552</v>
      </c>
      <c r="J9" s="35" t="s">
        <v>429</v>
      </c>
      <c r="K9" s="13" t="s">
        <v>429</v>
      </c>
      <c r="L9" s="13" t="s">
        <v>204</v>
      </c>
    </row>
    <row r="11" spans="1:12" ht="15" x14ac:dyDescent="0.2">
      <c r="A11" s="36" t="s">
        <v>30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2" x14ac:dyDescent="0.2">
      <c r="A12" s="12" t="s">
        <v>237</v>
      </c>
      <c r="B12" s="13" t="s">
        <v>238</v>
      </c>
      <c r="C12" s="13" t="s">
        <v>239</v>
      </c>
      <c r="D12" s="13" t="str">
        <f>"0,9410"</f>
        <v>0,9410</v>
      </c>
      <c r="E12" s="13" t="s">
        <v>201</v>
      </c>
      <c r="F12" s="13" t="s">
        <v>202</v>
      </c>
      <c r="G12" s="13" t="s">
        <v>561</v>
      </c>
      <c r="H12" s="13" t="s">
        <v>562</v>
      </c>
      <c r="I12" s="14" t="s">
        <v>429</v>
      </c>
      <c r="J12" s="35" t="str">
        <f>"22,5"</f>
        <v>22,5</v>
      </c>
      <c r="K12" s="13" t="str">
        <f>"26,0422"</f>
        <v>26,0422</v>
      </c>
      <c r="L12" s="13" t="s">
        <v>204</v>
      </c>
    </row>
    <row r="14" spans="1:12" ht="15" x14ac:dyDescent="0.2">
      <c r="A14" s="36" t="s">
        <v>46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2" x14ac:dyDescent="0.2">
      <c r="A15" s="6" t="s">
        <v>243</v>
      </c>
      <c r="B15" s="7" t="s">
        <v>244</v>
      </c>
      <c r="C15" s="7" t="s">
        <v>245</v>
      </c>
      <c r="D15" s="7" t="str">
        <f>"0,7647"</f>
        <v>0,7647</v>
      </c>
      <c r="E15" s="7" t="s">
        <v>201</v>
      </c>
      <c r="F15" s="7" t="s">
        <v>202</v>
      </c>
      <c r="G15" s="7" t="s">
        <v>561</v>
      </c>
      <c r="H15" s="7" t="s">
        <v>509</v>
      </c>
      <c r="I15" s="7" t="s">
        <v>513</v>
      </c>
      <c r="J15" s="29" t="str">
        <f>"32,5"</f>
        <v>32,5</v>
      </c>
      <c r="K15" s="7" t="str">
        <f>"30,5689"</f>
        <v>30,5689</v>
      </c>
      <c r="L15" s="7" t="s">
        <v>204</v>
      </c>
    </row>
    <row r="16" spans="1:12" x14ac:dyDescent="0.2">
      <c r="A16" s="9" t="s">
        <v>560</v>
      </c>
      <c r="B16" s="10" t="s">
        <v>559</v>
      </c>
      <c r="C16" s="10" t="s">
        <v>558</v>
      </c>
      <c r="D16" s="10" t="str">
        <f>"0,7519"</f>
        <v>0,7519</v>
      </c>
      <c r="E16" s="10" t="s">
        <v>201</v>
      </c>
      <c r="F16" s="10" t="s">
        <v>202</v>
      </c>
      <c r="G16" s="10" t="s">
        <v>552</v>
      </c>
      <c r="H16" s="11" t="s">
        <v>547</v>
      </c>
      <c r="I16" s="10" t="s">
        <v>544</v>
      </c>
      <c r="J16" s="27" t="str">
        <f>"25,0"</f>
        <v>25,0</v>
      </c>
      <c r="K16" s="10" t="str">
        <f>"22,1811"</f>
        <v>22,1811</v>
      </c>
      <c r="L16" s="10" t="s">
        <v>204</v>
      </c>
    </row>
    <row r="18" spans="1:12" ht="15" x14ac:dyDescent="0.2">
      <c r="A18" s="36" t="s">
        <v>84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2" x14ac:dyDescent="0.2">
      <c r="A19" s="6" t="s">
        <v>397</v>
      </c>
      <c r="B19" s="7" t="s">
        <v>398</v>
      </c>
      <c r="C19" s="7" t="s">
        <v>399</v>
      </c>
      <c r="D19" s="7" t="str">
        <f>"0,6424"</f>
        <v>0,6424</v>
      </c>
      <c r="E19" s="7" t="s">
        <v>226</v>
      </c>
      <c r="F19" s="7" t="s">
        <v>227</v>
      </c>
      <c r="G19" s="7" t="s">
        <v>306</v>
      </c>
      <c r="H19" s="8" t="s">
        <v>38</v>
      </c>
      <c r="I19" s="8" t="s">
        <v>38</v>
      </c>
      <c r="J19" s="29" t="str">
        <f>"47,5"</f>
        <v>47,5</v>
      </c>
      <c r="K19" s="7" t="str">
        <f>"32,9551"</f>
        <v>32,9551</v>
      </c>
      <c r="L19" s="7" t="s">
        <v>228</v>
      </c>
    </row>
    <row r="20" spans="1:12" x14ac:dyDescent="0.2">
      <c r="A20" s="9" t="s">
        <v>557</v>
      </c>
      <c r="B20" s="10" t="s">
        <v>556</v>
      </c>
      <c r="C20" s="10" t="s">
        <v>555</v>
      </c>
      <c r="D20" s="10" t="str">
        <f>"0,6230"</f>
        <v>0,6230</v>
      </c>
      <c r="E20" s="10" t="s">
        <v>17</v>
      </c>
      <c r="F20" s="10" t="s">
        <v>554</v>
      </c>
      <c r="G20" s="10" t="s">
        <v>51</v>
      </c>
      <c r="H20" s="10" t="s">
        <v>541</v>
      </c>
      <c r="I20" s="11" t="s">
        <v>256</v>
      </c>
      <c r="J20" s="27" t="str">
        <f>"67,5"</f>
        <v>67,5</v>
      </c>
      <c r="K20" s="10" t="str">
        <f>"42,0525"</f>
        <v>42,0525</v>
      </c>
      <c r="L20" s="10" t="s">
        <v>59</v>
      </c>
    </row>
    <row r="22" spans="1:12" ht="15" x14ac:dyDescent="0.2">
      <c r="E22" s="90" t="s">
        <v>132</v>
      </c>
      <c r="F22" s="3" t="s">
        <v>418</v>
      </c>
    </row>
    <row r="23" spans="1:12" ht="15" x14ac:dyDescent="0.2">
      <c r="E23" s="90" t="s">
        <v>133</v>
      </c>
      <c r="F23" s="3" t="s">
        <v>419</v>
      </c>
    </row>
    <row r="24" spans="1:12" ht="15" x14ac:dyDescent="0.2">
      <c r="E24" s="90" t="s">
        <v>134</v>
      </c>
      <c r="F24" s="3" t="s">
        <v>420</v>
      </c>
    </row>
    <row r="25" spans="1:12" ht="15" x14ac:dyDescent="0.2">
      <c r="E25" s="90" t="s">
        <v>135</v>
      </c>
      <c r="F25" s="3" t="s">
        <v>421</v>
      </c>
    </row>
    <row r="26" spans="1:12" ht="15" x14ac:dyDescent="0.2">
      <c r="E26" s="90" t="s">
        <v>136</v>
      </c>
      <c r="F26" s="3" t="s">
        <v>419</v>
      </c>
    </row>
    <row r="27" spans="1:12" ht="15" x14ac:dyDescent="0.2">
      <c r="E27" s="90"/>
    </row>
    <row r="29" spans="1:12" ht="18" x14ac:dyDescent="0.25">
      <c r="A29" s="19" t="s">
        <v>137</v>
      </c>
      <c r="B29" s="88"/>
    </row>
    <row r="30" spans="1:12" ht="15" x14ac:dyDescent="0.2">
      <c r="A30" s="20" t="s">
        <v>138</v>
      </c>
      <c r="B30" s="33"/>
    </row>
    <row r="31" spans="1:12" ht="14.25" x14ac:dyDescent="0.2">
      <c r="A31" s="22"/>
      <c r="B31" s="89" t="s">
        <v>139</v>
      </c>
    </row>
    <row r="32" spans="1:12" ht="15" x14ac:dyDescent="0.2">
      <c r="A32" s="24" t="s">
        <v>140</v>
      </c>
      <c r="B32" s="24" t="s">
        <v>141</v>
      </c>
      <c r="C32" s="24" t="s">
        <v>142</v>
      </c>
      <c r="D32" s="24" t="s">
        <v>143</v>
      </c>
      <c r="E32" s="24" t="s">
        <v>144</v>
      </c>
    </row>
    <row r="33" spans="1:5" x14ac:dyDescent="0.2">
      <c r="A33" s="21" t="s">
        <v>553</v>
      </c>
      <c r="B33" s="3" t="s">
        <v>303</v>
      </c>
      <c r="C33" s="3" t="s">
        <v>155</v>
      </c>
      <c r="D33" s="3" t="s">
        <v>552</v>
      </c>
      <c r="E33" s="2" t="s">
        <v>551</v>
      </c>
    </row>
    <row r="36" spans="1:5" ht="15" x14ac:dyDescent="0.2">
      <c r="A36" s="20" t="s">
        <v>158</v>
      </c>
      <c r="B36" s="33"/>
    </row>
    <row r="37" spans="1:5" ht="14.25" x14ac:dyDescent="0.2">
      <c r="A37" s="22"/>
      <c r="B37" s="89" t="s">
        <v>310</v>
      </c>
    </row>
    <row r="38" spans="1:5" ht="15" x14ac:dyDescent="0.2">
      <c r="A38" s="24" t="s">
        <v>140</v>
      </c>
      <c r="B38" s="24" t="s">
        <v>141</v>
      </c>
      <c r="C38" s="24" t="s">
        <v>142</v>
      </c>
      <c r="D38" s="24" t="s">
        <v>143</v>
      </c>
      <c r="E38" s="24" t="s">
        <v>144</v>
      </c>
    </row>
    <row r="39" spans="1:5" x14ac:dyDescent="0.2">
      <c r="A39" s="26" t="s">
        <v>397</v>
      </c>
      <c r="B39" s="2" t="s">
        <v>313</v>
      </c>
      <c r="C39" s="2" t="s">
        <v>164</v>
      </c>
      <c r="D39" s="2" t="s">
        <v>306</v>
      </c>
      <c r="E39" s="2" t="s">
        <v>550</v>
      </c>
    </row>
    <row r="40" spans="1:5" x14ac:dyDescent="0.2">
      <c r="A40" s="26" t="s">
        <v>549</v>
      </c>
      <c r="B40" s="2" t="s">
        <v>315</v>
      </c>
      <c r="C40" s="2" t="s">
        <v>146</v>
      </c>
      <c r="D40" s="2" t="s">
        <v>513</v>
      </c>
      <c r="E40" s="2" t="s">
        <v>548</v>
      </c>
    </row>
    <row r="41" spans="1:5" x14ac:dyDescent="0.2">
      <c r="A41" s="26" t="s">
        <v>236</v>
      </c>
      <c r="B41" s="2" t="s">
        <v>303</v>
      </c>
      <c r="C41" s="2" t="s">
        <v>152</v>
      </c>
      <c r="D41" s="2" t="s">
        <v>547</v>
      </c>
      <c r="E41" s="2" t="s">
        <v>546</v>
      </c>
    </row>
    <row r="42" spans="1:5" x14ac:dyDescent="0.2">
      <c r="A42" s="26" t="s">
        <v>545</v>
      </c>
      <c r="B42" s="2" t="s">
        <v>313</v>
      </c>
      <c r="C42" s="2" t="s">
        <v>146</v>
      </c>
      <c r="D42" s="2" t="s">
        <v>544</v>
      </c>
      <c r="E42" s="2" t="s">
        <v>543</v>
      </c>
    </row>
    <row r="44" spans="1:5" ht="14.25" x14ac:dyDescent="0.2">
      <c r="A44" s="22"/>
      <c r="B44" s="89" t="s">
        <v>151</v>
      </c>
    </row>
    <row r="45" spans="1:5" ht="15" x14ac:dyDescent="0.2">
      <c r="A45" s="24" t="s">
        <v>140</v>
      </c>
      <c r="B45" s="24" t="s">
        <v>141</v>
      </c>
      <c r="C45" s="24" t="s">
        <v>142</v>
      </c>
      <c r="D45" s="24" t="s">
        <v>143</v>
      </c>
      <c r="E45" s="24" t="s">
        <v>144</v>
      </c>
    </row>
    <row r="46" spans="1:5" x14ac:dyDescent="0.2">
      <c r="A46" s="21" t="s">
        <v>542</v>
      </c>
      <c r="B46" s="3" t="s">
        <v>151</v>
      </c>
      <c r="C46" s="3" t="s">
        <v>164</v>
      </c>
      <c r="D46" s="3" t="s">
        <v>541</v>
      </c>
      <c r="E46" s="2" t="s">
        <v>540</v>
      </c>
    </row>
    <row r="51" spans="1:3" ht="18" x14ac:dyDescent="0.25">
      <c r="A51" s="19" t="s">
        <v>186</v>
      </c>
      <c r="B51" s="88"/>
    </row>
    <row r="52" spans="1:3" ht="15" x14ac:dyDescent="0.2">
      <c r="A52" s="24" t="s">
        <v>187</v>
      </c>
      <c r="B52" s="24" t="s">
        <v>188</v>
      </c>
      <c r="C52" s="24" t="s">
        <v>189</v>
      </c>
    </row>
    <row r="53" spans="1:3" x14ac:dyDescent="0.2">
      <c r="A53" s="4" t="s">
        <v>201</v>
      </c>
      <c r="B53" s="3" t="s">
        <v>539</v>
      </c>
      <c r="C53" s="3" t="s">
        <v>538</v>
      </c>
    </row>
    <row r="54" spans="1:3" x14ac:dyDescent="0.2">
      <c r="A54" s="4" t="s">
        <v>226</v>
      </c>
      <c r="B54" s="3" t="s">
        <v>196</v>
      </c>
      <c r="C54" s="3" t="s">
        <v>416</v>
      </c>
    </row>
  </sheetData>
  <mergeCells count="16">
    <mergeCell ref="E3:E4"/>
    <mergeCell ref="A5:K5"/>
    <mergeCell ref="A8:K8"/>
    <mergeCell ref="A11:K11"/>
    <mergeCell ref="A14:K14"/>
    <mergeCell ref="A18:K18"/>
    <mergeCell ref="D3:D4"/>
    <mergeCell ref="J3:J4"/>
    <mergeCell ref="K3:K4"/>
    <mergeCell ref="A1:L2"/>
    <mergeCell ref="G3:I3"/>
    <mergeCell ref="A3:A4"/>
    <mergeCell ref="B3:B4"/>
    <mergeCell ref="C3:C4"/>
    <mergeCell ref="L3:L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80" zoomScaleNormal="80" workbookViewId="0">
      <selection activeCell="E30" sqref="E30"/>
    </sheetView>
  </sheetViews>
  <sheetFormatPr defaultRowHeight="12.75" x14ac:dyDescent="0.2"/>
  <cols>
    <col min="1" max="1" width="31.85546875" style="4" bestFit="1" customWidth="1"/>
    <col min="2" max="2" width="29" style="4" bestFit="1" customWidth="1"/>
    <col min="3" max="3" width="22.85546875" style="4" customWidth="1"/>
    <col min="4" max="4" width="10.7109375" style="4" bestFit="1" customWidth="1"/>
    <col min="5" max="5" width="22.7109375" style="4" bestFit="1" customWidth="1"/>
    <col min="6" max="6" width="37.42578125" style="4" bestFit="1" customWidth="1"/>
    <col min="7" max="7" width="8.28515625" style="3" customWidth="1"/>
    <col min="8" max="8" width="11.85546875" style="91" customWidth="1"/>
    <col min="9" max="9" width="10.5703125" style="4" customWidth="1"/>
    <col min="10" max="10" width="8.5703125" style="3" bestFit="1" customWidth="1"/>
    <col min="11" max="11" width="13.28515625" style="4" bestFit="1" customWidth="1"/>
    <col min="12" max="16384" width="9.140625" style="3"/>
  </cols>
  <sheetData>
    <row r="1" spans="1:11" s="2" customFormat="1" ht="29.1" customHeight="1" x14ac:dyDescent="0.2">
      <c r="A1" s="38" t="s">
        <v>590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589</v>
      </c>
      <c r="E3" s="48" t="s">
        <v>4</v>
      </c>
      <c r="F3" s="48" t="s">
        <v>7</v>
      </c>
      <c r="G3" s="48" t="s">
        <v>588</v>
      </c>
      <c r="H3" s="48"/>
      <c r="I3" s="48" t="s">
        <v>587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34" t="s">
        <v>586</v>
      </c>
      <c r="H4" s="95" t="s">
        <v>585</v>
      </c>
      <c r="I4" s="47"/>
      <c r="J4" s="47"/>
      <c r="K4" s="50"/>
    </row>
    <row r="5" spans="1:11" ht="15" x14ac:dyDescent="0.2">
      <c r="A5" s="51" t="s">
        <v>30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x14ac:dyDescent="0.2">
      <c r="A6" s="12" t="s">
        <v>568</v>
      </c>
      <c r="B6" s="12" t="s">
        <v>567</v>
      </c>
      <c r="C6" s="12" t="s">
        <v>566</v>
      </c>
      <c r="D6" s="12" t="str">
        <f>"0,9640"</f>
        <v>0,9640</v>
      </c>
      <c r="E6" s="12" t="s">
        <v>201</v>
      </c>
      <c r="F6" s="12" t="s">
        <v>202</v>
      </c>
      <c r="G6" s="13" t="s">
        <v>584</v>
      </c>
      <c r="H6" s="94" t="s">
        <v>583</v>
      </c>
      <c r="I6" s="12" t="str">
        <f>"660,0"</f>
        <v>660,0</v>
      </c>
      <c r="J6" s="13" t="str">
        <f>"636,2400"</f>
        <v>636,2400</v>
      </c>
      <c r="K6" s="12" t="s">
        <v>204</v>
      </c>
    </row>
    <row r="8" spans="1:11" ht="15" x14ac:dyDescent="0.2">
      <c r="A8" s="36" t="s">
        <v>46</v>
      </c>
      <c r="B8" s="37"/>
      <c r="C8" s="37"/>
      <c r="D8" s="37"/>
      <c r="E8" s="37"/>
      <c r="F8" s="37"/>
      <c r="G8" s="37"/>
      <c r="H8" s="37"/>
      <c r="I8" s="37"/>
      <c r="J8" s="37"/>
    </row>
    <row r="9" spans="1:11" x14ac:dyDescent="0.2">
      <c r="A9" s="12" t="s">
        <v>565</v>
      </c>
      <c r="B9" s="12" t="s">
        <v>564</v>
      </c>
      <c r="C9" s="12" t="s">
        <v>563</v>
      </c>
      <c r="D9" s="12" t="str">
        <f>"0,9436"</f>
        <v>0,9436</v>
      </c>
      <c r="E9" s="12" t="s">
        <v>201</v>
      </c>
      <c r="F9" s="12" t="s">
        <v>202</v>
      </c>
      <c r="G9" s="13" t="s">
        <v>513</v>
      </c>
      <c r="H9" s="94" t="s">
        <v>582</v>
      </c>
      <c r="I9" s="12" t="str">
        <f>"0.00"</f>
        <v>0.00</v>
      </c>
      <c r="J9" s="13" t="str">
        <f>"0,0000"</f>
        <v>0,0000</v>
      </c>
      <c r="K9" s="12" t="s">
        <v>204</v>
      </c>
    </row>
    <row r="11" spans="1:11" ht="15" x14ac:dyDescent="0.2">
      <c r="A11" s="36" t="s">
        <v>30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1" x14ac:dyDescent="0.2">
      <c r="A12" s="12" t="s">
        <v>237</v>
      </c>
      <c r="B12" s="12" t="s">
        <v>238</v>
      </c>
      <c r="C12" s="12" t="s">
        <v>239</v>
      </c>
      <c r="D12" s="12" t="str">
        <f>"1,0146"</f>
        <v>1,0146</v>
      </c>
      <c r="E12" s="12" t="s">
        <v>201</v>
      </c>
      <c r="F12" s="12" t="s">
        <v>202</v>
      </c>
      <c r="G12" s="13" t="s">
        <v>509</v>
      </c>
      <c r="H12" s="94" t="s">
        <v>580</v>
      </c>
      <c r="I12" s="12" t="str">
        <f>"385,0"</f>
        <v>385,0</v>
      </c>
      <c r="J12" s="13" t="str">
        <f>"390,6210"</f>
        <v>390,6210</v>
      </c>
      <c r="K12" s="12" t="s">
        <v>204</v>
      </c>
    </row>
    <row r="14" spans="1:11" ht="15" x14ac:dyDescent="0.2">
      <c r="A14" s="36" t="s">
        <v>46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1" x14ac:dyDescent="0.2">
      <c r="A15" s="6" t="s">
        <v>243</v>
      </c>
      <c r="B15" s="6" t="s">
        <v>244</v>
      </c>
      <c r="C15" s="6" t="s">
        <v>245</v>
      </c>
      <c r="D15" s="6" t="str">
        <f>"0,8777"</f>
        <v>0,8777</v>
      </c>
      <c r="E15" s="6" t="s">
        <v>201</v>
      </c>
      <c r="F15" s="6" t="s">
        <v>202</v>
      </c>
      <c r="G15" s="7" t="s">
        <v>581</v>
      </c>
      <c r="H15" s="93" t="s">
        <v>22</v>
      </c>
      <c r="I15" s="6" t="str">
        <f>"1137,5"</f>
        <v>1137,5</v>
      </c>
      <c r="J15" s="7" t="str">
        <f>"998,3837"</f>
        <v>998,3837</v>
      </c>
      <c r="K15" s="6" t="s">
        <v>204</v>
      </c>
    </row>
    <row r="16" spans="1:11" x14ac:dyDescent="0.2">
      <c r="A16" s="9" t="s">
        <v>560</v>
      </c>
      <c r="B16" s="9" t="s">
        <v>559</v>
      </c>
      <c r="C16" s="9" t="s">
        <v>558</v>
      </c>
      <c r="D16" s="9" t="str">
        <f>"0,8622"</f>
        <v>0,8622</v>
      </c>
      <c r="E16" s="9" t="s">
        <v>201</v>
      </c>
      <c r="F16" s="9" t="s">
        <v>202</v>
      </c>
      <c r="G16" s="10" t="s">
        <v>513</v>
      </c>
      <c r="H16" s="92" t="s">
        <v>580</v>
      </c>
      <c r="I16" s="9" t="str">
        <f>"455,0"</f>
        <v>455,0</v>
      </c>
      <c r="J16" s="10" t="str">
        <f>"392,3010"</f>
        <v>392,3010</v>
      </c>
      <c r="K16" s="9" t="s">
        <v>204</v>
      </c>
    </row>
    <row r="18" spans="1:6" ht="15" x14ac:dyDescent="0.2">
      <c r="E18" s="18" t="s">
        <v>132</v>
      </c>
      <c r="F18" s="4" t="s">
        <v>418</v>
      </c>
    </row>
    <row r="19" spans="1:6" ht="15" x14ac:dyDescent="0.2">
      <c r="E19" s="18" t="s">
        <v>133</v>
      </c>
      <c r="F19" s="4" t="s">
        <v>419</v>
      </c>
    </row>
    <row r="20" spans="1:6" ht="15" x14ac:dyDescent="0.2">
      <c r="E20" s="18" t="s">
        <v>134</v>
      </c>
      <c r="F20" s="4" t="s">
        <v>420</v>
      </c>
    </row>
    <row r="21" spans="1:6" ht="15" x14ac:dyDescent="0.2">
      <c r="E21" s="18" t="s">
        <v>135</v>
      </c>
      <c r="F21" s="4" t="s">
        <v>421</v>
      </c>
    </row>
    <row r="22" spans="1:6" ht="15" x14ac:dyDescent="0.2">
      <c r="E22" s="18" t="s">
        <v>136</v>
      </c>
      <c r="F22" s="4" t="s">
        <v>419</v>
      </c>
    </row>
    <row r="23" spans="1:6" ht="15" x14ac:dyDescent="0.2">
      <c r="E23" s="18"/>
    </row>
    <row r="25" spans="1:6" ht="18" x14ac:dyDescent="0.25">
      <c r="A25" s="19" t="s">
        <v>137</v>
      </c>
      <c r="B25" s="19"/>
    </row>
    <row r="26" spans="1:6" ht="15" x14ac:dyDescent="0.2">
      <c r="A26" s="20" t="s">
        <v>138</v>
      </c>
      <c r="B26" s="20"/>
    </row>
    <row r="27" spans="1:6" ht="14.25" x14ac:dyDescent="0.2">
      <c r="A27" s="22"/>
      <c r="B27" s="23" t="s">
        <v>139</v>
      </c>
    </row>
    <row r="28" spans="1:6" ht="15" x14ac:dyDescent="0.2">
      <c r="A28" s="24" t="s">
        <v>140</v>
      </c>
      <c r="B28" s="24" t="s">
        <v>141</v>
      </c>
      <c r="C28" s="24" t="s">
        <v>142</v>
      </c>
      <c r="D28" s="24" t="s">
        <v>143</v>
      </c>
      <c r="E28" s="24" t="s">
        <v>577</v>
      </c>
    </row>
    <row r="29" spans="1:6" x14ac:dyDescent="0.2">
      <c r="A29" s="21" t="s">
        <v>553</v>
      </c>
      <c r="B29" s="4" t="s">
        <v>303</v>
      </c>
      <c r="C29" s="4" t="s">
        <v>152</v>
      </c>
      <c r="D29" s="4" t="s">
        <v>579</v>
      </c>
      <c r="E29" s="25" t="s">
        <v>578</v>
      </c>
    </row>
    <row r="32" spans="1:6" ht="15" x14ac:dyDescent="0.2">
      <c r="A32" s="20" t="s">
        <v>158</v>
      </c>
      <c r="B32" s="20"/>
    </row>
    <row r="33" spans="1:5" ht="14.25" x14ac:dyDescent="0.2">
      <c r="A33" s="22"/>
      <c r="B33" s="23" t="s">
        <v>310</v>
      </c>
    </row>
    <row r="34" spans="1:5" ht="15" x14ac:dyDescent="0.2">
      <c r="A34" s="24" t="s">
        <v>140</v>
      </c>
      <c r="B34" s="24" t="s">
        <v>141</v>
      </c>
      <c r="C34" s="24" t="s">
        <v>142</v>
      </c>
      <c r="D34" s="24" t="s">
        <v>143</v>
      </c>
      <c r="E34" s="24" t="s">
        <v>577</v>
      </c>
    </row>
    <row r="35" spans="1:5" x14ac:dyDescent="0.2">
      <c r="A35" s="21" t="s">
        <v>242</v>
      </c>
      <c r="B35" s="4" t="s">
        <v>315</v>
      </c>
      <c r="C35" s="4" t="s">
        <v>146</v>
      </c>
      <c r="D35" s="4" t="s">
        <v>576</v>
      </c>
      <c r="E35" s="25" t="s">
        <v>575</v>
      </c>
    </row>
    <row r="36" spans="1:5" x14ac:dyDescent="0.2">
      <c r="A36" s="21" t="s">
        <v>545</v>
      </c>
      <c r="B36" s="4" t="s">
        <v>313</v>
      </c>
      <c r="C36" s="4" t="s">
        <v>146</v>
      </c>
      <c r="D36" s="4" t="s">
        <v>574</v>
      </c>
      <c r="E36" s="25" t="s">
        <v>573</v>
      </c>
    </row>
    <row r="37" spans="1:5" x14ac:dyDescent="0.2">
      <c r="A37" s="21" t="s">
        <v>236</v>
      </c>
      <c r="B37" s="4" t="s">
        <v>303</v>
      </c>
      <c r="C37" s="4" t="s">
        <v>152</v>
      </c>
      <c r="D37" s="4" t="s">
        <v>572</v>
      </c>
      <c r="E37" s="25" t="s">
        <v>571</v>
      </c>
    </row>
    <row r="42" spans="1:5" ht="18" x14ac:dyDescent="0.25">
      <c r="A42" s="19" t="s">
        <v>186</v>
      </c>
      <c r="B42" s="19"/>
    </row>
    <row r="43" spans="1:5" ht="15" x14ac:dyDescent="0.2">
      <c r="A43" s="24" t="s">
        <v>187</v>
      </c>
      <c r="B43" s="24" t="s">
        <v>188</v>
      </c>
      <c r="C43" s="24" t="s">
        <v>189</v>
      </c>
    </row>
    <row r="44" spans="1:5" x14ac:dyDescent="0.2">
      <c r="A44" s="4" t="s">
        <v>201</v>
      </c>
      <c r="B44" s="4" t="s">
        <v>539</v>
      </c>
      <c r="C44" s="4" t="s">
        <v>570</v>
      </c>
    </row>
  </sheetData>
  <mergeCells count="15">
    <mergeCell ref="A14:J14"/>
    <mergeCell ref="I3:I4"/>
    <mergeCell ref="J3:J4"/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80" zoomScaleNormal="80" workbookViewId="0">
      <selection activeCell="A16" sqref="A16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8.5703125" style="4" bestFit="1" customWidth="1"/>
    <col min="4" max="4" width="10.7109375" style="4" bestFit="1" customWidth="1"/>
    <col min="5" max="5" width="22.7109375" style="4" bestFit="1" customWidth="1"/>
    <col min="6" max="6" width="37.42578125" style="4" bestFit="1" customWidth="1"/>
    <col min="7" max="7" width="9.42578125" style="3" customWidth="1"/>
    <col min="8" max="8" width="11.42578125" style="91" customWidth="1"/>
    <col min="9" max="9" width="7.85546875" style="4" bestFit="1" customWidth="1"/>
    <col min="10" max="10" width="15.28515625" style="3" customWidth="1"/>
    <col min="11" max="11" width="13.28515625" style="4" bestFit="1" customWidth="1"/>
    <col min="12" max="16384" width="9.140625" style="3"/>
  </cols>
  <sheetData>
    <row r="1" spans="1:11" s="2" customFormat="1" ht="29.1" customHeight="1" x14ac:dyDescent="0.2">
      <c r="A1" s="38" t="s">
        <v>598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589</v>
      </c>
      <c r="E3" s="48" t="s">
        <v>4</v>
      </c>
      <c r="F3" s="48" t="s">
        <v>7</v>
      </c>
      <c r="G3" s="48" t="s">
        <v>588</v>
      </c>
      <c r="H3" s="48"/>
      <c r="I3" s="48" t="s">
        <v>587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34" t="s">
        <v>586</v>
      </c>
      <c r="H4" s="95" t="s">
        <v>585</v>
      </c>
      <c r="I4" s="47"/>
      <c r="J4" s="47"/>
      <c r="K4" s="50"/>
    </row>
    <row r="5" spans="1:11" ht="15" x14ac:dyDescent="0.2">
      <c r="A5" s="51" t="s">
        <v>84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x14ac:dyDescent="0.2">
      <c r="A6" s="6" t="s">
        <v>597</v>
      </c>
      <c r="B6" s="6" t="s">
        <v>596</v>
      </c>
      <c r="C6" s="6" t="s">
        <v>282</v>
      </c>
      <c r="D6" s="6" t="str">
        <f>"0,7647"</f>
        <v>0,7647</v>
      </c>
      <c r="E6" s="6" t="s">
        <v>464</v>
      </c>
      <c r="F6" s="6" t="s">
        <v>595</v>
      </c>
      <c r="G6" s="7" t="s">
        <v>304</v>
      </c>
      <c r="H6" s="93">
        <v>35</v>
      </c>
      <c r="I6" s="6" t="s">
        <v>592</v>
      </c>
      <c r="J6" s="3" t="s">
        <v>591</v>
      </c>
      <c r="K6" s="6" t="s">
        <v>594</v>
      </c>
    </row>
    <row r="7" spans="1:11" x14ac:dyDescent="0.2">
      <c r="H7" s="96"/>
    </row>
    <row r="8" spans="1:11" ht="15" x14ac:dyDescent="0.2">
      <c r="E8" s="18" t="s">
        <v>132</v>
      </c>
      <c r="F8" s="4" t="s">
        <v>418</v>
      </c>
    </row>
    <row r="9" spans="1:11" ht="15" x14ac:dyDescent="0.2">
      <c r="E9" s="18" t="s">
        <v>133</v>
      </c>
      <c r="F9" s="4" t="s">
        <v>419</v>
      </c>
    </row>
    <row r="10" spans="1:11" ht="15" x14ac:dyDescent="0.2">
      <c r="E10" s="18" t="s">
        <v>134</v>
      </c>
      <c r="F10" s="4" t="s">
        <v>420</v>
      </c>
    </row>
    <row r="11" spans="1:11" ht="15" x14ac:dyDescent="0.2">
      <c r="E11" s="18" t="s">
        <v>135</v>
      </c>
      <c r="F11" s="4" t="s">
        <v>421</v>
      </c>
    </row>
    <row r="12" spans="1:11" ht="15" x14ac:dyDescent="0.2">
      <c r="E12" s="18" t="s">
        <v>136</v>
      </c>
      <c r="F12" s="4" t="s">
        <v>419</v>
      </c>
    </row>
    <row r="13" spans="1:11" ht="15" x14ac:dyDescent="0.2">
      <c r="E13" s="18"/>
    </row>
    <row r="15" spans="1:11" ht="18" x14ac:dyDescent="0.25">
      <c r="A15" s="19" t="s">
        <v>137</v>
      </c>
      <c r="B15" s="19"/>
    </row>
    <row r="16" spans="1:11" s="4" customFormat="1" ht="15" x14ac:dyDescent="0.2">
      <c r="A16" s="20" t="s">
        <v>158</v>
      </c>
      <c r="B16" s="20"/>
      <c r="G16" s="3"/>
      <c r="H16" s="91"/>
      <c r="J16" s="3"/>
    </row>
    <row r="17" spans="1:10" s="4" customFormat="1" ht="14.25" x14ac:dyDescent="0.2">
      <c r="A17" s="22"/>
      <c r="B17" s="23" t="s">
        <v>151</v>
      </c>
      <c r="G17" s="3"/>
      <c r="H17" s="91"/>
      <c r="J17" s="3"/>
    </row>
    <row r="18" spans="1:10" s="4" customFormat="1" ht="15" x14ac:dyDescent="0.2">
      <c r="A18" s="24" t="s">
        <v>140</v>
      </c>
      <c r="B18" s="24" t="s">
        <v>141</v>
      </c>
      <c r="C18" s="24" t="s">
        <v>142</v>
      </c>
      <c r="D18" s="24" t="s">
        <v>143</v>
      </c>
      <c r="E18" s="24" t="s">
        <v>577</v>
      </c>
      <c r="G18" s="3"/>
      <c r="H18" s="91"/>
      <c r="J18" s="3"/>
    </row>
    <row r="19" spans="1:10" s="4" customFormat="1" x14ac:dyDescent="0.2">
      <c r="A19" s="21" t="s">
        <v>593</v>
      </c>
      <c r="B19" s="4" t="s">
        <v>151</v>
      </c>
      <c r="C19" s="4" t="s">
        <v>164</v>
      </c>
      <c r="D19" s="4" t="s">
        <v>592</v>
      </c>
      <c r="E19" s="25" t="s">
        <v>591</v>
      </c>
      <c r="G19" s="3"/>
      <c r="H19" s="91"/>
      <c r="J19" s="3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zoomScaleNormal="80" workbookViewId="0">
      <selection activeCell="C14" sqref="C14"/>
    </sheetView>
  </sheetViews>
  <sheetFormatPr defaultRowHeight="12.75" x14ac:dyDescent="0.2"/>
  <cols>
    <col min="1" max="1" width="31.85546875" style="4" bestFit="1" customWidth="1"/>
    <col min="2" max="2" width="28.42578125" style="4" bestFit="1" customWidth="1"/>
    <col min="3" max="3" width="43.710937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7" width="5.5703125" style="3" bestFit="1" customWidth="1"/>
    <col min="8" max="9" width="6.5703125" style="3" bestFit="1" customWidth="1"/>
    <col min="10" max="10" width="11.7109375" style="2" bestFit="1" customWidth="1"/>
    <col min="11" max="11" width="8.5703125" style="3" bestFit="1" customWidth="1"/>
    <col min="12" max="12" width="14.85546875" style="4" bestFit="1" customWidth="1"/>
    <col min="13" max="16384" width="9.140625" style="3"/>
  </cols>
  <sheetData>
    <row r="1" spans="1:12" s="2" customFormat="1" ht="29.1" customHeight="1" x14ac:dyDescent="0.2">
      <c r="A1" s="38" t="s">
        <v>453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10</v>
      </c>
      <c r="H3" s="48"/>
      <c r="I3" s="48"/>
      <c r="J3" s="48" t="s">
        <v>200</v>
      </c>
      <c r="K3" s="48" t="s">
        <v>3</v>
      </c>
      <c r="L3" s="49" t="s">
        <v>2</v>
      </c>
    </row>
    <row r="4" spans="1:12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47"/>
      <c r="K4" s="47"/>
      <c r="L4" s="50"/>
    </row>
    <row r="5" spans="1:12" ht="15" x14ac:dyDescent="0.2">
      <c r="A5" s="51" t="s">
        <v>96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2" x14ac:dyDescent="0.2">
      <c r="A6" s="6" t="s">
        <v>372</v>
      </c>
      <c r="B6" s="6" t="s">
        <v>373</v>
      </c>
      <c r="C6" s="6" t="s">
        <v>374</v>
      </c>
      <c r="D6" s="6" t="str">
        <f>"0,6022"</f>
        <v>0,6022</v>
      </c>
      <c r="E6" s="6" t="s">
        <v>375</v>
      </c>
      <c r="F6" s="6" t="s">
        <v>35</v>
      </c>
      <c r="G6" s="7" t="s">
        <v>62</v>
      </c>
      <c r="H6" s="8" t="s">
        <v>73</v>
      </c>
      <c r="I6" s="7" t="s">
        <v>376</v>
      </c>
      <c r="J6" s="29" t="str">
        <f>"210,0"</f>
        <v>210,0</v>
      </c>
      <c r="K6" s="7" t="str">
        <f>"130,2559"</f>
        <v>130,2559</v>
      </c>
      <c r="L6" s="6" t="s">
        <v>377</v>
      </c>
    </row>
    <row r="7" spans="1:12" x14ac:dyDescent="0.2">
      <c r="A7" s="15" t="s">
        <v>378</v>
      </c>
      <c r="B7" s="15" t="s">
        <v>379</v>
      </c>
      <c r="C7" s="15" t="s">
        <v>380</v>
      </c>
      <c r="D7" s="15" t="str">
        <f>"0,5873"</f>
        <v>0,5873</v>
      </c>
      <c r="E7" s="15" t="s">
        <v>375</v>
      </c>
      <c r="F7" s="15" t="s">
        <v>381</v>
      </c>
      <c r="G7" s="17" t="s">
        <v>119</v>
      </c>
      <c r="H7" s="17" t="s">
        <v>382</v>
      </c>
      <c r="I7" s="17" t="s">
        <v>383</v>
      </c>
      <c r="J7" s="30" t="str">
        <f>"275,0"</f>
        <v>275,0</v>
      </c>
      <c r="K7" s="17" t="str">
        <f>"161,5075"</f>
        <v>161,5075</v>
      </c>
      <c r="L7" s="15" t="s">
        <v>384</v>
      </c>
    </row>
    <row r="9" spans="1:12" ht="15" x14ac:dyDescent="0.2">
      <c r="E9" s="18" t="s">
        <v>132</v>
      </c>
      <c r="F9" s="4" t="s">
        <v>418</v>
      </c>
    </row>
    <row r="10" spans="1:12" ht="15" x14ac:dyDescent="0.2">
      <c r="E10" s="18" t="s">
        <v>133</v>
      </c>
      <c r="F10" s="4" t="s">
        <v>419</v>
      </c>
    </row>
    <row r="11" spans="1:12" ht="15" x14ac:dyDescent="0.2">
      <c r="E11" s="18" t="s">
        <v>134</v>
      </c>
      <c r="F11" s="4" t="s">
        <v>422</v>
      </c>
    </row>
    <row r="12" spans="1:12" ht="15" x14ac:dyDescent="0.2">
      <c r="E12" s="18" t="s">
        <v>135</v>
      </c>
      <c r="F12" s="4" t="s">
        <v>421</v>
      </c>
    </row>
    <row r="13" spans="1:12" ht="15" x14ac:dyDescent="0.2">
      <c r="E13" s="18" t="s">
        <v>135</v>
      </c>
      <c r="F13" s="4" t="s">
        <v>420</v>
      </c>
    </row>
    <row r="14" spans="1:12" ht="15" x14ac:dyDescent="0.2">
      <c r="E14" s="18" t="s">
        <v>136</v>
      </c>
      <c r="F14" s="4" t="s">
        <v>419</v>
      </c>
    </row>
    <row r="15" spans="1:12" ht="15" x14ac:dyDescent="0.2">
      <c r="E15" s="18"/>
    </row>
    <row r="17" spans="1:12" ht="18" x14ac:dyDescent="0.25">
      <c r="A17" s="19" t="s">
        <v>137</v>
      </c>
      <c r="B17" s="19"/>
    </row>
    <row r="18" spans="1:12" ht="15" x14ac:dyDescent="0.2">
      <c r="A18" s="20" t="s">
        <v>158</v>
      </c>
      <c r="B18" s="20"/>
    </row>
    <row r="19" spans="1:12" ht="14.25" x14ac:dyDescent="0.2">
      <c r="A19" s="22"/>
      <c r="B19" s="23" t="s">
        <v>151</v>
      </c>
    </row>
    <row r="20" spans="1:12" ht="15" x14ac:dyDescent="0.2">
      <c r="A20" s="24" t="s">
        <v>140</v>
      </c>
      <c r="B20" s="24" t="s">
        <v>141</v>
      </c>
      <c r="C20" s="24" t="s">
        <v>142</v>
      </c>
      <c r="D20" s="24" t="s">
        <v>143</v>
      </c>
      <c r="E20" s="24" t="s">
        <v>144</v>
      </c>
    </row>
    <row r="21" spans="1:12" s="2" customFormat="1" x14ac:dyDescent="0.2">
      <c r="A21" s="26" t="s">
        <v>451</v>
      </c>
      <c r="B21" s="25" t="s">
        <v>151</v>
      </c>
      <c r="C21" s="25" t="s">
        <v>161</v>
      </c>
      <c r="D21" s="25" t="s">
        <v>153</v>
      </c>
      <c r="E21" s="25" t="s">
        <v>385</v>
      </c>
      <c r="F21" s="25"/>
      <c r="L21" s="25"/>
    </row>
    <row r="22" spans="1:12" s="2" customFormat="1" x14ac:dyDescent="0.2">
      <c r="A22" s="26" t="s">
        <v>458</v>
      </c>
      <c r="B22" s="25" t="s">
        <v>151</v>
      </c>
      <c r="C22" s="25" t="s">
        <v>161</v>
      </c>
      <c r="D22" s="25" t="s">
        <v>100</v>
      </c>
      <c r="E22" s="25" t="s">
        <v>386</v>
      </c>
      <c r="F22" s="25"/>
      <c r="L22" s="25"/>
    </row>
    <row r="27" spans="1:12" ht="18" x14ac:dyDescent="0.25">
      <c r="A27" s="19" t="s">
        <v>186</v>
      </c>
      <c r="B27" s="19"/>
    </row>
    <row r="28" spans="1:12" ht="15" x14ac:dyDescent="0.2">
      <c r="A28" s="24" t="s">
        <v>187</v>
      </c>
      <c r="B28" s="24" t="s">
        <v>188</v>
      </c>
      <c r="C28" s="24" t="s">
        <v>189</v>
      </c>
    </row>
    <row r="29" spans="1:12" x14ac:dyDescent="0.2">
      <c r="A29" s="4" t="s">
        <v>375</v>
      </c>
      <c r="B29" s="4" t="s">
        <v>459</v>
      </c>
      <c r="C29" s="4" t="s">
        <v>387</v>
      </c>
    </row>
  </sheetData>
  <mergeCells count="12">
    <mergeCell ref="J3:J4"/>
    <mergeCell ref="K3:K4"/>
    <mergeCell ref="L3:L4"/>
    <mergeCell ref="A5:K5"/>
    <mergeCell ref="A1:L2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workbookViewId="0">
      <selection activeCell="F19" sqref="F19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20.7109375" style="4" bestFit="1" customWidth="1"/>
    <col min="4" max="4" width="9.28515625" style="4" bestFit="1" customWidth="1"/>
    <col min="5" max="5" width="22.7109375" style="4" bestFit="1" customWidth="1"/>
    <col min="6" max="6" width="28.5703125" style="4" bestFit="1" customWidth="1"/>
    <col min="7" max="9" width="4.5703125" style="3" bestFit="1" customWidth="1"/>
    <col min="10" max="10" width="11.7109375" style="2" bestFit="1" customWidth="1"/>
    <col min="11" max="11" width="7.5703125" style="3" bestFit="1" customWidth="1"/>
    <col min="12" max="12" width="10.5703125" style="4" bestFit="1" customWidth="1"/>
    <col min="13" max="16384" width="9.140625" style="3"/>
  </cols>
  <sheetData>
    <row r="1" spans="1:12" s="2" customFormat="1" ht="29.1" customHeight="1" x14ac:dyDescent="0.2">
      <c r="A1" s="38" t="s">
        <v>424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10</v>
      </c>
      <c r="H3" s="48"/>
      <c r="I3" s="48"/>
      <c r="J3" s="48" t="s">
        <v>200</v>
      </c>
      <c r="K3" s="48" t="s">
        <v>3</v>
      </c>
      <c r="L3" s="49" t="s">
        <v>2</v>
      </c>
    </row>
    <row r="4" spans="1:12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47"/>
      <c r="K4" s="47"/>
      <c r="L4" s="50"/>
    </row>
    <row r="5" spans="1:12" ht="15" x14ac:dyDescent="0.2">
      <c r="A5" s="51" t="s">
        <v>30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2" x14ac:dyDescent="0.2">
      <c r="A6" s="12" t="s">
        <v>364</v>
      </c>
      <c r="B6" s="12" t="s">
        <v>365</v>
      </c>
      <c r="C6" s="12" t="s">
        <v>33</v>
      </c>
      <c r="D6" s="12" t="str">
        <f>"0,9124"</f>
        <v>0,9124</v>
      </c>
      <c r="E6" s="12" t="s">
        <v>366</v>
      </c>
      <c r="F6" s="12" t="s">
        <v>18</v>
      </c>
      <c r="G6" s="13" t="s">
        <v>367</v>
      </c>
      <c r="H6" s="13" t="s">
        <v>304</v>
      </c>
      <c r="I6" s="13" t="s">
        <v>368</v>
      </c>
      <c r="J6" s="28" t="str">
        <f>"87,5"</f>
        <v>87,5</v>
      </c>
      <c r="K6" s="13" t="str">
        <f>"79,8350"</f>
        <v>79,8350</v>
      </c>
      <c r="L6" s="12" t="s">
        <v>369</v>
      </c>
    </row>
    <row r="8" spans="1:12" ht="15" x14ac:dyDescent="0.2">
      <c r="E8" s="18" t="s">
        <v>132</v>
      </c>
      <c r="F8" s="4" t="s">
        <v>418</v>
      </c>
    </row>
    <row r="9" spans="1:12" ht="15" x14ac:dyDescent="0.2">
      <c r="E9" s="18" t="s">
        <v>133</v>
      </c>
      <c r="F9" s="4" t="s">
        <v>419</v>
      </c>
    </row>
    <row r="10" spans="1:12" ht="15" x14ac:dyDescent="0.2">
      <c r="E10" s="18" t="s">
        <v>134</v>
      </c>
      <c r="F10" s="4" t="s">
        <v>422</v>
      </c>
    </row>
    <row r="11" spans="1:12" ht="15" x14ac:dyDescent="0.2">
      <c r="E11" s="18" t="s">
        <v>135</v>
      </c>
      <c r="F11" s="4" t="s">
        <v>421</v>
      </c>
    </row>
    <row r="12" spans="1:12" ht="15" x14ac:dyDescent="0.2">
      <c r="E12" s="18" t="s">
        <v>135</v>
      </c>
      <c r="F12" s="4" t="s">
        <v>420</v>
      </c>
    </row>
    <row r="13" spans="1:12" ht="15" x14ac:dyDescent="0.2">
      <c r="E13" s="18" t="s">
        <v>136</v>
      </c>
      <c r="F13" s="4" t="s">
        <v>419</v>
      </c>
    </row>
    <row r="14" spans="1:12" ht="15" x14ac:dyDescent="0.2">
      <c r="E14" s="18"/>
    </row>
    <row r="16" spans="1:12" ht="18" x14ac:dyDescent="0.25">
      <c r="A16" s="19" t="s">
        <v>137</v>
      </c>
      <c r="B16" s="19"/>
    </row>
    <row r="17" spans="1:5" ht="15" x14ac:dyDescent="0.2">
      <c r="A17" s="20" t="s">
        <v>138</v>
      </c>
      <c r="B17" s="20"/>
    </row>
    <row r="18" spans="1:5" ht="14.25" x14ac:dyDescent="0.2">
      <c r="A18" s="22"/>
      <c r="B18" s="23" t="s">
        <v>151</v>
      </c>
    </row>
    <row r="19" spans="1:5" ht="15" x14ac:dyDescent="0.2">
      <c r="A19" s="24" t="s">
        <v>140</v>
      </c>
      <c r="B19" s="24" t="s">
        <v>141</v>
      </c>
      <c r="C19" s="24" t="s">
        <v>142</v>
      </c>
      <c r="D19" s="24" t="s">
        <v>143</v>
      </c>
      <c r="E19" s="24" t="s">
        <v>144</v>
      </c>
    </row>
    <row r="20" spans="1:5" x14ac:dyDescent="0.2">
      <c r="A20" s="21" t="s">
        <v>363</v>
      </c>
      <c r="B20" s="4" t="s">
        <v>151</v>
      </c>
      <c r="C20" s="4" t="s">
        <v>152</v>
      </c>
      <c r="D20" s="4" t="s">
        <v>368</v>
      </c>
      <c r="E20" s="25" t="s">
        <v>370</v>
      </c>
    </row>
    <row r="25" spans="1:5" ht="18" x14ac:dyDescent="0.25">
      <c r="A25" s="19" t="s">
        <v>186</v>
      </c>
      <c r="B25" s="19"/>
    </row>
    <row r="26" spans="1:5" ht="15" x14ac:dyDescent="0.2">
      <c r="A26" s="24" t="s">
        <v>187</v>
      </c>
      <c r="B26" s="24" t="s">
        <v>188</v>
      </c>
      <c r="C26" s="24" t="s">
        <v>189</v>
      </c>
    </row>
    <row r="27" spans="1:5" x14ac:dyDescent="0.2">
      <c r="A27" s="4" t="s">
        <v>366</v>
      </c>
      <c r="B27" s="4" t="s">
        <v>196</v>
      </c>
      <c r="C27" s="4" t="s">
        <v>371</v>
      </c>
    </row>
  </sheetData>
  <mergeCells count="12">
    <mergeCell ref="J3:J4"/>
    <mergeCell ref="K3:K4"/>
    <mergeCell ref="L3:L4"/>
    <mergeCell ref="A5:K5"/>
    <mergeCell ref="A1:L2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B15" sqref="B15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9" style="4" bestFit="1" customWidth="1"/>
    <col min="4" max="4" width="9.28515625" style="4" bestFit="1" customWidth="1"/>
    <col min="5" max="5" width="22.7109375" style="4" bestFit="1" customWidth="1"/>
    <col min="6" max="6" width="37.42578125" style="4" bestFit="1" customWidth="1"/>
    <col min="7" max="7" width="5.5703125" style="3" bestFit="1" customWidth="1"/>
    <col min="8" max="8" width="7.140625" style="3" bestFit="1" customWidth="1"/>
    <col min="9" max="9" width="6.5703125" style="3" bestFit="1" customWidth="1"/>
    <col min="10" max="10" width="11.7109375" style="2" bestFit="1" customWidth="1"/>
    <col min="11" max="11" width="8.5703125" style="3" bestFit="1" customWidth="1"/>
    <col min="12" max="12" width="15.7109375" style="4" bestFit="1" customWidth="1"/>
    <col min="13" max="16384" width="9.140625" style="3"/>
  </cols>
  <sheetData>
    <row r="1" spans="1:14" s="2" customFormat="1" ht="29.1" customHeight="1" x14ac:dyDescent="0.2">
      <c r="A1" s="38" t="s">
        <v>423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4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N2" s="32"/>
    </row>
    <row r="3" spans="1:14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10</v>
      </c>
      <c r="H3" s="48"/>
      <c r="I3" s="48"/>
      <c r="J3" s="48" t="s">
        <v>200</v>
      </c>
      <c r="K3" s="48" t="s">
        <v>3</v>
      </c>
      <c r="L3" s="49" t="s">
        <v>2</v>
      </c>
      <c r="N3" s="32"/>
    </row>
    <row r="4" spans="1:14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47"/>
      <c r="K4" s="47"/>
      <c r="L4" s="50"/>
      <c r="N4" s="32"/>
    </row>
    <row r="5" spans="1:14" ht="15" x14ac:dyDescent="0.2">
      <c r="A5" s="36" t="s">
        <v>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N5" s="32"/>
    </row>
    <row r="6" spans="1:14" x14ac:dyDescent="0.2">
      <c r="A6" s="6" t="s">
        <v>337</v>
      </c>
      <c r="B6" s="6" t="s">
        <v>338</v>
      </c>
      <c r="C6" s="6" t="s">
        <v>339</v>
      </c>
      <c r="D6" s="6" t="str">
        <f>"0,6680"</f>
        <v>0,6680</v>
      </c>
      <c r="E6" s="6" t="s">
        <v>17</v>
      </c>
      <c r="F6" s="6" t="s">
        <v>18</v>
      </c>
      <c r="G6" s="8" t="s">
        <v>89</v>
      </c>
      <c r="H6" s="7" t="s">
        <v>89</v>
      </c>
      <c r="I6" s="8" t="s">
        <v>72</v>
      </c>
      <c r="J6" s="29" t="str">
        <f>"165,0"</f>
        <v>165,0</v>
      </c>
      <c r="K6" s="7" t="str">
        <f>"110,2200"</f>
        <v>110,2200</v>
      </c>
      <c r="L6" s="6" t="s">
        <v>340</v>
      </c>
      <c r="N6" s="32"/>
    </row>
    <row r="7" spans="1:14" x14ac:dyDescent="0.2">
      <c r="A7" s="9" t="s">
        <v>342</v>
      </c>
      <c r="B7" s="9" t="s">
        <v>343</v>
      </c>
      <c r="C7" s="9" t="s">
        <v>214</v>
      </c>
      <c r="D7" s="9" t="str">
        <f>"0,6733"</f>
        <v>0,6733</v>
      </c>
      <c r="E7" s="9" t="s">
        <v>17</v>
      </c>
      <c r="F7" s="9" t="s">
        <v>18</v>
      </c>
      <c r="G7" s="11" t="s">
        <v>81</v>
      </c>
      <c r="H7" s="10" t="s">
        <v>81</v>
      </c>
      <c r="I7" s="11" t="s">
        <v>56</v>
      </c>
      <c r="J7" s="27" t="str">
        <f>"125,0"</f>
        <v>125,0</v>
      </c>
      <c r="K7" s="10" t="str">
        <f>"84,1687"</f>
        <v>84,1687</v>
      </c>
      <c r="L7" s="9" t="s">
        <v>59</v>
      </c>
      <c r="N7" s="32"/>
    </row>
    <row r="9" spans="1:14" ht="15" x14ac:dyDescent="0.2">
      <c r="A9" s="36" t="s">
        <v>84</v>
      </c>
      <c r="B9" s="37"/>
      <c r="C9" s="37"/>
      <c r="D9" s="37"/>
      <c r="E9" s="37"/>
      <c r="F9" s="37"/>
      <c r="G9" s="37"/>
      <c r="H9" s="37"/>
      <c r="I9" s="37"/>
      <c r="J9" s="37"/>
      <c r="K9" s="37"/>
      <c r="N9" s="32"/>
    </row>
    <row r="10" spans="1:14" x14ac:dyDescent="0.2">
      <c r="A10" s="12" t="s">
        <v>468</v>
      </c>
      <c r="B10" s="12" t="s">
        <v>477</v>
      </c>
      <c r="C10" s="12" t="s">
        <v>462</v>
      </c>
      <c r="D10" s="12" t="s">
        <v>463</v>
      </c>
      <c r="E10" s="12" t="s">
        <v>464</v>
      </c>
      <c r="F10" s="12" t="s">
        <v>465</v>
      </c>
      <c r="G10" s="13" t="s">
        <v>467</v>
      </c>
      <c r="H10" s="14" t="s">
        <v>466</v>
      </c>
      <c r="I10" s="13" t="s">
        <v>466</v>
      </c>
      <c r="J10" s="31" t="s">
        <v>466</v>
      </c>
      <c r="K10" s="13">
        <v>115.255</v>
      </c>
      <c r="L10" s="12" t="s">
        <v>59</v>
      </c>
    </row>
    <row r="11" spans="1:14" x14ac:dyDescent="0.2">
      <c r="N11" s="32"/>
    </row>
    <row r="12" spans="1:14" ht="15" x14ac:dyDescent="0.2">
      <c r="A12" s="36" t="s">
        <v>118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4" x14ac:dyDescent="0.2">
      <c r="A13" s="6" t="s">
        <v>345</v>
      </c>
      <c r="B13" s="6" t="s">
        <v>346</v>
      </c>
      <c r="C13" s="6" t="s">
        <v>347</v>
      </c>
      <c r="D13" s="6" t="str">
        <f>"0,5742"</f>
        <v>0,5742</v>
      </c>
      <c r="E13" s="6" t="s">
        <v>17</v>
      </c>
      <c r="F13" s="6" t="s">
        <v>348</v>
      </c>
      <c r="G13" s="7" t="s">
        <v>89</v>
      </c>
      <c r="H13" s="8" t="s">
        <v>58</v>
      </c>
      <c r="I13" s="8" t="s">
        <v>58</v>
      </c>
      <c r="J13" s="29" t="str">
        <f>"165,0"</f>
        <v>165,0</v>
      </c>
      <c r="K13" s="7" t="str">
        <f>"98,5327"</f>
        <v>98,5327</v>
      </c>
      <c r="L13" s="6" t="s">
        <v>59</v>
      </c>
      <c r="N13" s="32"/>
    </row>
    <row r="14" spans="1:14" x14ac:dyDescent="0.2">
      <c r="A14" s="15" t="s">
        <v>349</v>
      </c>
      <c r="B14" s="15" t="s">
        <v>350</v>
      </c>
      <c r="C14" s="15" t="s">
        <v>351</v>
      </c>
      <c r="D14" s="15" t="str">
        <f>"0,5558"</f>
        <v>0,5558</v>
      </c>
      <c r="E14" s="15" t="s">
        <v>17</v>
      </c>
      <c r="F14" s="15" t="s">
        <v>18</v>
      </c>
      <c r="G14" s="17" t="s">
        <v>72</v>
      </c>
      <c r="H14" s="17" t="s">
        <v>82</v>
      </c>
      <c r="I14" s="16" t="s">
        <v>83</v>
      </c>
      <c r="J14" s="30" t="str">
        <f>"185,0"</f>
        <v>185,0</v>
      </c>
      <c r="K14" s="17" t="str">
        <f>"102,8230"</f>
        <v>102,8230</v>
      </c>
      <c r="L14" s="15" t="s">
        <v>59</v>
      </c>
    </row>
    <row r="15" spans="1:14" x14ac:dyDescent="0.2">
      <c r="A15" s="15" t="s">
        <v>352</v>
      </c>
      <c r="B15" s="15" t="s">
        <v>353</v>
      </c>
      <c r="C15" s="15" t="s">
        <v>347</v>
      </c>
      <c r="D15" s="15" t="str">
        <f>"0,5742"</f>
        <v>0,5742</v>
      </c>
      <c r="E15" s="15" t="s">
        <v>17</v>
      </c>
      <c r="F15" s="15" t="s">
        <v>348</v>
      </c>
      <c r="G15" s="17" t="s">
        <v>89</v>
      </c>
      <c r="H15" s="16" t="s">
        <v>58</v>
      </c>
      <c r="I15" s="16" t="s">
        <v>58</v>
      </c>
      <c r="J15" s="30" t="str">
        <f>"165,0"</f>
        <v>165,0</v>
      </c>
      <c r="K15" s="17" t="str">
        <f>"94,7430"</f>
        <v>94,7430</v>
      </c>
      <c r="L15" s="15" t="s">
        <v>59</v>
      </c>
      <c r="N15" s="32"/>
    </row>
    <row r="16" spans="1:14" x14ac:dyDescent="0.2">
      <c r="A16" s="4" t="s">
        <v>476</v>
      </c>
      <c r="B16" s="4" t="s">
        <v>471</v>
      </c>
      <c r="C16" s="4" t="s">
        <v>472</v>
      </c>
      <c r="D16" s="4">
        <v>0.56189999999999996</v>
      </c>
      <c r="E16" s="15" t="s">
        <v>17</v>
      </c>
      <c r="F16" s="15" t="s">
        <v>18</v>
      </c>
      <c r="G16" s="3" t="s">
        <v>466</v>
      </c>
      <c r="H16" s="16" t="s">
        <v>473</v>
      </c>
      <c r="I16" s="3" t="s">
        <v>473</v>
      </c>
      <c r="J16" s="2" t="s">
        <v>473</v>
      </c>
      <c r="K16" s="32">
        <v>106.761</v>
      </c>
      <c r="L16" s="4" t="s">
        <v>59</v>
      </c>
    </row>
    <row r="18" spans="1:12" ht="15" x14ac:dyDescent="0.2">
      <c r="A18" s="36" t="s">
        <v>120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2" x14ac:dyDescent="0.2">
      <c r="A19" s="12" t="s">
        <v>354</v>
      </c>
      <c r="B19" s="12" t="s">
        <v>355</v>
      </c>
      <c r="C19" s="12" t="s">
        <v>356</v>
      </c>
      <c r="D19" s="12" t="str">
        <f>"0,5379"</f>
        <v>0,5379</v>
      </c>
      <c r="E19" s="12" t="s">
        <v>17</v>
      </c>
      <c r="F19" s="12" t="s">
        <v>18</v>
      </c>
      <c r="G19" s="13" t="s">
        <v>101</v>
      </c>
      <c r="H19" s="14" t="s">
        <v>102</v>
      </c>
      <c r="I19" s="13" t="s">
        <v>252</v>
      </c>
      <c r="J19" s="28" t="str">
        <f>"220,0"</f>
        <v>220,0</v>
      </c>
      <c r="K19" s="13" t="str">
        <f>"118,3380"</f>
        <v>118,3380</v>
      </c>
      <c r="L19" s="12" t="s">
        <v>59</v>
      </c>
    </row>
    <row r="21" spans="1:12" ht="15" x14ac:dyDescent="0.2">
      <c r="E21" s="18" t="s">
        <v>132</v>
      </c>
      <c r="F21" s="4" t="s">
        <v>418</v>
      </c>
    </row>
    <row r="22" spans="1:12" ht="15" x14ac:dyDescent="0.2">
      <c r="E22" s="18" t="s">
        <v>133</v>
      </c>
      <c r="F22" s="4" t="s">
        <v>419</v>
      </c>
    </row>
    <row r="23" spans="1:12" ht="15" x14ac:dyDescent="0.2">
      <c r="E23" s="18" t="s">
        <v>134</v>
      </c>
      <c r="F23" s="4" t="s">
        <v>422</v>
      </c>
    </row>
    <row r="24" spans="1:12" ht="15" x14ac:dyDescent="0.2">
      <c r="E24" s="18" t="s">
        <v>135</v>
      </c>
      <c r="F24" s="4" t="s">
        <v>421</v>
      </c>
    </row>
    <row r="25" spans="1:12" ht="15" x14ac:dyDescent="0.2">
      <c r="E25" s="18" t="s">
        <v>135</v>
      </c>
      <c r="F25" s="4" t="s">
        <v>420</v>
      </c>
    </row>
    <row r="26" spans="1:12" ht="15" x14ac:dyDescent="0.2">
      <c r="E26" s="18" t="s">
        <v>136</v>
      </c>
      <c r="F26" s="4" t="s">
        <v>419</v>
      </c>
    </row>
    <row r="27" spans="1:12" ht="15" x14ac:dyDescent="0.2">
      <c r="E27" s="18"/>
    </row>
    <row r="29" spans="1:12" ht="18" x14ac:dyDescent="0.25">
      <c r="A29" s="19" t="s">
        <v>137</v>
      </c>
      <c r="B29" s="19"/>
    </row>
    <row r="30" spans="1:12" ht="15" x14ac:dyDescent="0.2">
      <c r="A30" s="20" t="s">
        <v>158</v>
      </c>
      <c r="B30" s="20"/>
    </row>
    <row r="31" spans="1:12" ht="14.25" x14ac:dyDescent="0.2">
      <c r="A31" s="22"/>
      <c r="B31" s="23" t="s">
        <v>310</v>
      </c>
    </row>
    <row r="32" spans="1:12" ht="15" x14ac:dyDescent="0.2">
      <c r="A32" s="24" t="s">
        <v>140</v>
      </c>
      <c r="B32" s="24" t="s">
        <v>141</v>
      </c>
      <c r="C32" s="24" t="s">
        <v>142</v>
      </c>
      <c r="D32" s="24" t="s">
        <v>143</v>
      </c>
      <c r="E32" s="24" t="s">
        <v>144</v>
      </c>
    </row>
    <row r="33" spans="1:12" x14ac:dyDescent="0.2">
      <c r="A33" s="21" t="s">
        <v>344</v>
      </c>
      <c r="B33" s="4" t="s">
        <v>145</v>
      </c>
      <c r="C33" s="4" t="s">
        <v>167</v>
      </c>
      <c r="D33" s="4" t="s">
        <v>89</v>
      </c>
      <c r="E33" s="25" t="s">
        <v>357</v>
      </c>
    </row>
    <row r="35" spans="1:12" ht="14.25" x14ac:dyDescent="0.2">
      <c r="A35" s="22"/>
      <c r="B35" s="23" t="s">
        <v>151</v>
      </c>
      <c r="H35" s="32">
        <f>E41/D7</f>
        <v>125.00920837665231</v>
      </c>
    </row>
    <row r="36" spans="1:12" ht="15" x14ac:dyDescent="0.2">
      <c r="A36" s="24" t="s">
        <v>140</v>
      </c>
      <c r="B36" s="24" t="s">
        <v>141</v>
      </c>
      <c r="C36" s="24" t="s">
        <v>142</v>
      </c>
      <c r="D36" s="24" t="s">
        <v>143</v>
      </c>
      <c r="E36" s="24" t="s">
        <v>144</v>
      </c>
    </row>
    <row r="37" spans="1:12" s="2" customFormat="1" x14ac:dyDescent="0.2">
      <c r="A37" s="26" t="s">
        <v>354</v>
      </c>
      <c r="B37" s="25" t="s">
        <v>151</v>
      </c>
      <c r="C37" s="25" t="s">
        <v>178</v>
      </c>
      <c r="D37" s="25" t="s">
        <v>101</v>
      </c>
      <c r="E37" s="25" t="s">
        <v>358</v>
      </c>
      <c r="F37" s="25"/>
      <c r="L37" s="25"/>
    </row>
    <row r="38" spans="1:12" s="2" customFormat="1" x14ac:dyDescent="0.2">
      <c r="A38" s="26" t="s">
        <v>425</v>
      </c>
      <c r="B38" s="25" t="s">
        <v>151</v>
      </c>
      <c r="C38" s="25" t="s">
        <v>173</v>
      </c>
      <c r="D38" s="25" t="s">
        <v>89</v>
      </c>
      <c r="E38" s="25" t="s">
        <v>359</v>
      </c>
      <c r="F38" s="25"/>
      <c r="L38" s="25"/>
    </row>
    <row r="39" spans="1:12" s="2" customFormat="1" x14ac:dyDescent="0.2">
      <c r="A39" s="26" t="s">
        <v>426</v>
      </c>
      <c r="B39" s="25" t="s">
        <v>151</v>
      </c>
      <c r="C39" s="25" t="s">
        <v>167</v>
      </c>
      <c r="D39" s="25" t="s">
        <v>82</v>
      </c>
      <c r="E39" s="25" t="s">
        <v>360</v>
      </c>
      <c r="F39" s="25"/>
      <c r="L39" s="25"/>
    </row>
    <row r="40" spans="1:12" x14ac:dyDescent="0.2">
      <c r="A40" s="21" t="s">
        <v>344</v>
      </c>
      <c r="B40" s="4" t="s">
        <v>151</v>
      </c>
      <c r="C40" s="4" t="s">
        <v>167</v>
      </c>
      <c r="D40" s="4" t="s">
        <v>89</v>
      </c>
      <c r="E40" s="25" t="s">
        <v>361</v>
      </c>
    </row>
    <row r="41" spans="1:12" x14ac:dyDescent="0.2">
      <c r="A41" s="21" t="s">
        <v>341</v>
      </c>
      <c r="B41" s="4" t="s">
        <v>151</v>
      </c>
      <c r="C41" s="4" t="s">
        <v>173</v>
      </c>
      <c r="D41" s="4" t="s">
        <v>81</v>
      </c>
      <c r="E41" s="25" t="s">
        <v>362</v>
      </c>
    </row>
    <row r="42" spans="1:12" x14ac:dyDescent="0.2">
      <c r="A42" s="21" t="s">
        <v>469</v>
      </c>
      <c r="B42" s="4" t="s">
        <v>151</v>
      </c>
      <c r="C42" s="4">
        <v>82.5</v>
      </c>
      <c r="D42" s="4">
        <v>185</v>
      </c>
      <c r="E42" s="25">
        <v>115.26</v>
      </c>
    </row>
    <row r="44" spans="1:12" ht="14.25" x14ac:dyDescent="0.2">
      <c r="A44" s="22"/>
      <c r="B44" s="23" t="s">
        <v>308</v>
      </c>
    </row>
    <row r="45" spans="1:12" ht="15" x14ac:dyDescent="0.2">
      <c r="A45" s="24" t="s">
        <v>140</v>
      </c>
      <c r="B45" s="24" t="s">
        <v>141</v>
      </c>
      <c r="C45" s="24" t="s">
        <v>142</v>
      </c>
      <c r="D45" s="24" t="s">
        <v>143</v>
      </c>
      <c r="E45" s="24" t="s">
        <v>144</v>
      </c>
    </row>
    <row r="46" spans="1:12" x14ac:dyDescent="0.2">
      <c r="A46" s="21" t="s">
        <v>470</v>
      </c>
      <c r="B46" s="4" t="s">
        <v>474</v>
      </c>
      <c r="C46" s="4" t="s">
        <v>167</v>
      </c>
      <c r="D46" s="4" t="s">
        <v>473</v>
      </c>
      <c r="E46" s="25" t="s">
        <v>475</v>
      </c>
    </row>
  </sheetData>
  <mergeCells count="15">
    <mergeCell ref="A1:L2"/>
    <mergeCell ref="A3:A4"/>
    <mergeCell ref="B3:B4"/>
    <mergeCell ref="C3:C4"/>
    <mergeCell ref="D3:D4"/>
    <mergeCell ref="E3:E4"/>
    <mergeCell ref="F3:F4"/>
    <mergeCell ref="G3:I3"/>
    <mergeCell ref="A12:K12"/>
    <mergeCell ref="A18:K18"/>
    <mergeCell ref="J3:J4"/>
    <mergeCell ref="K3:K4"/>
    <mergeCell ref="L3:L4"/>
    <mergeCell ref="A5:K5"/>
    <mergeCell ref="A9:K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="80" zoomScaleNormal="80" workbookViewId="0">
      <selection activeCell="L9" sqref="L9"/>
    </sheetView>
  </sheetViews>
  <sheetFormatPr defaultRowHeight="12.75" x14ac:dyDescent="0.2"/>
  <cols>
    <col min="1" max="1" width="31.85546875" style="4" bestFit="1" customWidth="1"/>
    <col min="2" max="2" width="30.7109375" style="4" bestFit="1" customWidth="1"/>
    <col min="3" max="3" width="18.7109375" style="4" customWidth="1"/>
    <col min="4" max="4" width="9.28515625" style="4" bestFit="1" customWidth="1"/>
    <col min="5" max="5" width="22.7109375" style="4" bestFit="1" customWidth="1"/>
    <col min="6" max="6" width="37.42578125" style="4" bestFit="1" customWidth="1"/>
    <col min="7" max="8" width="6.5703125" style="3" bestFit="1" customWidth="1"/>
    <col min="9" max="9" width="5.5703125" style="3" bestFit="1" customWidth="1"/>
    <col min="10" max="10" width="11.42578125" style="2" bestFit="1" customWidth="1"/>
    <col min="11" max="11" width="7.5703125" style="3" bestFit="1" customWidth="1"/>
    <col min="12" max="12" width="17.42578125" style="4" bestFit="1" customWidth="1"/>
    <col min="13" max="13" width="9.140625" style="3"/>
    <col min="14" max="14" width="16.7109375" style="3" customWidth="1"/>
    <col min="15" max="16384" width="9.140625" style="3"/>
  </cols>
  <sheetData>
    <row r="1" spans="1:14" s="2" customFormat="1" ht="29.1" customHeight="1" x14ac:dyDescent="0.2">
      <c r="A1" s="38" t="s">
        <v>427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4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4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10</v>
      </c>
      <c r="H3" s="48"/>
      <c r="I3" s="48"/>
      <c r="J3" s="48" t="s">
        <v>200</v>
      </c>
      <c r="K3" s="48" t="s">
        <v>3</v>
      </c>
      <c r="L3" s="49" t="s">
        <v>2</v>
      </c>
    </row>
    <row r="4" spans="1:14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47"/>
      <c r="K4" s="47"/>
      <c r="L4" s="50"/>
    </row>
    <row r="5" spans="1:14" ht="15" x14ac:dyDescent="0.2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N5" s="32"/>
    </row>
    <row r="6" spans="1:14" x14ac:dyDescent="0.2">
      <c r="A6" s="12" t="s">
        <v>205</v>
      </c>
      <c r="B6" s="12" t="s">
        <v>206</v>
      </c>
      <c r="C6" s="12" t="s">
        <v>207</v>
      </c>
      <c r="D6" s="12" t="str">
        <f>"0,7923"</f>
        <v>0,7923</v>
      </c>
      <c r="E6" s="12" t="s">
        <v>208</v>
      </c>
      <c r="F6" s="12" t="s">
        <v>18</v>
      </c>
      <c r="G6" s="13" t="s">
        <v>209</v>
      </c>
      <c r="H6" s="14" t="s">
        <v>45</v>
      </c>
      <c r="I6" s="14" t="s">
        <v>45</v>
      </c>
      <c r="J6" s="28" t="str">
        <f>"55,0"</f>
        <v>55,0</v>
      </c>
      <c r="K6" s="13" t="str">
        <f>"43,5765"</f>
        <v>43,5765</v>
      </c>
      <c r="L6" s="12" t="s">
        <v>210</v>
      </c>
      <c r="N6" s="32"/>
    </row>
    <row r="8" spans="1:14" ht="15" x14ac:dyDescent="0.2">
      <c r="A8" s="36" t="s">
        <v>64</v>
      </c>
      <c r="B8" s="37"/>
      <c r="C8" s="37"/>
      <c r="D8" s="37"/>
      <c r="E8" s="37"/>
      <c r="F8" s="37"/>
      <c r="G8" s="37"/>
      <c r="H8" s="37"/>
      <c r="I8" s="37"/>
      <c r="J8" s="37"/>
      <c r="K8" s="37"/>
      <c r="N8" s="32"/>
    </row>
    <row r="9" spans="1:14" x14ac:dyDescent="0.2">
      <c r="A9" s="6" t="s">
        <v>212</v>
      </c>
      <c r="B9" s="6" t="s">
        <v>213</v>
      </c>
      <c r="C9" s="6" t="s">
        <v>214</v>
      </c>
      <c r="D9" s="6" t="s">
        <v>479</v>
      </c>
      <c r="E9" s="6" t="s">
        <v>215</v>
      </c>
      <c r="F9" s="6" t="s">
        <v>18</v>
      </c>
      <c r="G9" s="7" t="s">
        <v>20</v>
      </c>
      <c r="H9" s="7" t="s">
        <v>216</v>
      </c>
      <c r="I9" s="17" t="s">
        <v>478</v>
      </c>
      <c r="J9" s="30" t="s">
        <v>161</v>
      </c>
      <c r="K9" s="7" t="s">
        <v>480</v>
      </c>
      <c r="L9" s="6" t="s">
        <v>59</v>
      </c>
      <c r="N9" s="32"/>
    </row>
    <row r="10" spans="1:14" x14ac:dyDescent="0.2">
      <c r="A10" s="15" t="s">
        <v>217</v>
      </c>
      <c r="B10" s="15" t="s">
        <v>218</v>
      </c>
      <c r="C10" s="15" t="s">
        <v>219</v>
      </c>
      <c r="D10" s="15" t="str">
        <f>"0,7290"</f>
        <v>0,7290</v>
      </c>
      <c r="E10" s="15" t="s">
        <v>208</v>
      </c>
      <c r="F10" s="15" t="s">
        <v>18</v>
      </c>
      <c r="G10" s="16" t="s">
        <v>24</v>
      </c>
      <c r="H10" s="17" t="s">
        <v>220</v>
      </c>
      <c r="I10" s="16" t="s">
        <v>37</v>
      </c>
      <c r="J10" s="30" t="str">
        <f>"47,5"</f>
        <v>47,5</v>
      </c>
      <c r="K10" s="17" t="str">
        <f>"34,6251"</f>
        <v>34,6251</v>
      </c>
      <c r="L10" s="15" t="s">
        <v>210</v>
      </c>
      <c r="N10" s="32"/>
    </row>
    <row r="11" spans="1:14" x14ac:dyDescent="0.2">
      <c r="A11" s="15" t="s">
        <v>212</v>
      </c>
      <c r="B11" s="15" t="s">
        <v>221</v>
      </c>
      <c r="C11" s="15" t="s">
        <v>214</v>
      </c>
      <c r="D11" s="15" t="s">
        <v>479</v>
      </c>
      <c r="E11" s="15" t="s">
        <v>215</v>
      </c>
      <c r="F11" s="15" t="s">
        <v>18</v>
      </c>
      <c r="G11" s="17" t="s">
        <v>20</v>
      </c>
      <c r="H11" s="17" t="s">
        <v>216</v>
      </c>
      <c r="I11" s="17" t="s">
        <v>478</v>
      </c>
      <c r="J11" s="30" t="s">
        <v>161</v>
      </c>
      <c r="K11" s="17" t="s">
        <v>480</v>
      </c>
      <c r="L11" s="15" t="s">
        <v>59</v>
      </c>
    </row>
    <row r="12" spans="1:14" x14ac:dyDescent="0.2">
      <c r="A12" s="9" t="s">
        <v>222</v>
      </c>
      <c r="B12" s="9" t="s">
        <v>223</v>
      </c>
      <c r="C12" s="9" t="s">
        <v>224</v>
      </c>
      <c r="D12" s="9" t="str">
        <f>"0,7219"</f>
        <v>0,7219</v>
      </c>
      <c r="E12" s="9" t="s">
        <v>17</v>
      </c>
      <c r="F12" s="9" t="s">
        <v>18</v>
      </c>
      <c r="G12" s="53" t="s">
        <v>428</v>
      </c>
      <c r="H12" s="53"/>
      <c r="I12" s="53"/>
      <c r="J12" s="53"/>
      <c r="K12" s="53"/>
      <c r="L12" s="9" t="s">
        <v>225</v>
      </c>
    </row>
    <row r="14" spans="1:14" ht="15" x14ac:dyDescent="0.2">
      <c r="A14" s="36" t="s">
        <v>12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4" x14ac:dyDescent="0.2">
      <c r="A15" s="9" t="s">
        <v>230</v>
      </c>
      <c r="B15" s="9" t="s">
        <v>231</v>
      </c>
      <c r="C15" s="9" t="s">
        <v>232</v>
      </c>
      <c r="D15" s="9" t="str">
        <f>"0,9966"</f>
        <v>0,9966</v>
      </c>
      <c r="E15" s="9" t="s">
        <v>233</v>
      </c>
      <c r="F15" s="9" t="s">
        <v>234</v>
      </c>
      <c r="G15" s="10" t="s">
        <v>38</v>
      </c>
      <c r="H15" s="11" t="s">
        <v>429</v>
      </c>
      <c r="I15" s="11" t="s">
        <v>429</v>
      </c>
      <c r="J15" s="27" t="str">
        <f>"55,0"</f>
        <v>55,0</v>
      </c>
      <c r="K15" s="10" t="str">
        <f>"59,1980"</f>
        <v>59,1980</v>
      </c>
      <c r="L15" s="9" t="s">
        <v>235</v>
      </c>
    </row>
    <row r="17" spans="1:12" ht="15" x14ac:dyDescent="0.2">
      <c r="A17" s="36" t="s">
        <v>30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2" x14ac:dyDescent="0.2">
      <c r="A18" s="6" t="s">
        <v>237</v>
      </c>
      <c r="B18" s="6" t="s">
        <v>238</v>
      </c>
      <c r="C18" s="6" t="s">
        <v>239</v>
      </c>
      <c r="D18" s="6" t="str">
        <f>"0,9410"</f>
        <v>0,9410</v>
      </c>
      <c r="E18" s="6" t="s">
        <v>201</v>
      </c>
      <c r="F18" s="6" t="s">
        <v>202</v>
      </c>
      <c r="G18" s="7" t="s">
        <v>240</v>
      </c>
      <c r="H18" s="7" t="s">
        <v>203</v>
      </c>
      <c r="I18" s="8" t="s">
        <v>241</v>
      </c>
      <c r="J18" s="29" t="str">
        <f>"40,0"</f>
        <v>40,0</v>
      </c>
      <c r="K18" s="7" t="str">
        <f>"46,2972"</f>
        <v>46,2972</v>
      </c>
      <c r="L18" s="6" t="s">
        <v>204</v>
      </c>
    </row>
    <row r="20" spans="1:12" ht="15" x14ac:dyDescent="0.2">
      <c r="A20" s="36" t="s">
        <v>46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2" x14ac:dyDescent="0.2">
      <c r="A21" s="6" t="s">
        <v>243</v>
      </c>
      <c r="B21" s="6" t="s">
        <v>244</v>
      </c>
      <c r="C21" s="6" t="s">
        <v>245</v>
      </c>
      <c r="D21" s="6" t="str">
        <f>"0,7647"</f>
        <v>0,7647</v>
      </c>
      <c r="E21" s="6" t="s">
        <v>201</v>
      </c>
      <c r="F21" s="6" t="s">
        <v>202</v>
      </c>
      <c r="G21" s="7" t="s">
        <v>246</v>
      </c>
      <c r="H21" s="7" t="s">
        <v>45</v>
      </c>
      <c r="I21" s="8" t="s">
        <v>247</v>
      </c>
      <c r="J21" s="29" t="str">
        <f>"60,0"</f>
        <v>60,0</v>
      </c>
      <c r="K21" s="7" t="str">
        <f>"56,4349"</f>
        <v>56,4349</v>
      </c>
      <c r="L21" s="6" t="s">
        <v>204</v>
      </c>
    </row>
    <row r="22" spans="1:12" x14ac:dyDescent="0.2">
      <c r="A22" s="15" t="s">
        <v>249</v>
      </c>
      <c r="B22" s="15" t="s">
        <v>250</v>
      </c>
      <c r="C22" s="15" t="s">
        <v>251</v>
      </c>
      <c r="D22" s="15" t="str">
        <f>"0,7287"</f>
        <v>0,7287</v>
      </c>
      <c r="E22" s="15" t="s">
        <v>233</v>
      </c>
      <c r="F22" s="15" t="s">
        <v>234</v>
      </c>
      <c r="G22" s="17" t="s">
        <v>55</v>
      </c>
      <c r="H22" s="16" t="s">
        <v>429</v>
      </c>
      <c r="I22" s="16" t="s">
        <v>429</v>
      </c>
      <c r="J22" s="30" t="str">
        <f>"95,0"</f>
        <v>95,0</v>
      </c>
      <c r="K22" s="17" t="str">
        <f>"74,7646"</f>
        <v>74,7646</v>
      </c>
      <c r="L22" s="15" t="s">
        <v>235</v>
      </c>
    </row>
    <row r="23" spans="1:12" x14ac:dyDescent="0.2">
      <c r="A23" s="9" t="s">
        <v>253</v>
      </c>
      <c r="B23" s="9" t="s">
        <v>254</v>
      </c>
      <c r="C23" s="9" t="s">
        <v>255</v>
      </c>
      <c r="D23" s="9" t="str">
        <f>"0,8046"</f>
        <v>0,8046</v>
      </c>
      <c r="E23" s="9" t="s">
        <v>233</v>
      </c>
      <c r="F23" s="9" t="s">
        <v>234</v>
      </c>
      <c r="G23" s="11" t="s">
        <v>256</v>
      </c>
      <c r="H23" s="11" t="s">
        <v>429</v>
      </c>
      <c r="I23" s="11" t="s">
        <v>429</v>
      </c>
      <c r="J23" s="27" t="s">
        <v>429</v>
      </c>
      <c r="K23" s="10" t="str">
        <f>"0,0000"</f>
        <v>0,0000</v>
      </c>
      <c r="L23" s="9" t="s">
        <v>235</v>
      </c>
    </row>
    <row r="25" spans="1:12" ht="15" x14ac:dyDescent="0.2">
      <c r="A25" s="36" t="s">
        <v>64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2" x14ac:dyDescent="0.2">
      <c r="A26" s="6" t="s">
        <v>258</v>
      </c>
      <c r="B26" s="6" t="s">
        <v>259</v>
      </c>
      <c r="C26" s="6" t="s">
        <v>260</v>
      </c>
      <c r="D26" s="6" t="str">
        <f>"0,6723"</f>
        <v>0,6723</v>
      </c>
      <c r="E26" s="6" t="s">
        <v>233</v>
      </c>
      <c r="F26" s="6" t="s">
        <v>234</v>
      </c>
      <c r="G26" s="7" t="s">
        <v>25</v>
      </c>
      <c r="H26" s="8" t="s">
        <v>429</v>
      </c>
      <c r="I26" s="8" t="s">
        <v>429</v>
      </c>
      <c r="J26" s="29" t="str">
        <f>"90,0"</f>
        <v>90,0</v>
      </c>
      <c r="K26" s="7" t="str">
        <f>"71,3983"</f>
        <v>71,3983</v>
      </c>
      <c r="L26" s="6" t="s">
        <v>235</v>
      </c>
    </row>
    <row r="27" spans="1:12" x14ac:dyDescent="0.2">
      <c r="A27" s="15" t="s">
        <v>262</v>
      </c>
      <c r="B27" s="15" t="s">
        <v>263</v>
      </c>
      <c r="C27" s="15" t="s">
        <v>264</v>
      </c>
      <c r="D27" s="15" t="str">
        <f>"0,6760"</f>
        <v>0,6760</v>
      </c>
      <c r="E27" s="15" t="s">
        <v>265</v>
      </c>
      <c r="F27" s="15" t="s">
        <v>266</v>
      </c>
      <c r="G27" s="17" t="s">
        <v>45</v>
      </c>
      <c r="H27" s="17" t="s">
        <v>247</v>
      </c>
      <c r="I27" s="17" t="s">
        <v>19</v>
      </c>
      <c r="J27" s="30" t="str">
        <f>"70,0"</f>
        <v>70,0</v>
      </c>
      <c r="K27" s="17" t="str">
        <f>"51,1056"</f>
        <v>51,1056</v>
      </c>
      <c r="L27" s="15" t="s">
        <v>267</v>
      </c>
    </row>
    <row r="28" spans="1:12" x14ac:dyDescent="0.2">
      <c r="A28" s="15" t="s">
        <v>268</v>
      </c>
      <c r="B28" s="15" t="s">
        <v>269</v>
      </c>
      <c r="C28" s="15" t="s">
        <v>270</v>
      </c>
      <c r="D28" s="15" t="str">
        <f>"0,6778"</f>
        <v>0,6778</v>
      </c>
      <c r="E28" s="15" t="s">
        <v>88</v>
      </c>
      <c r="F28" s="15" t="s">
        <v>18</v>
      </c>
      <c r="G28" s="17" t="s">
        <v>27</v>
      </c>
      <c r="H28" s="16" t="s">
        <v>52</v>
      </c>
      <c r="I28" s="16" t="s">
        <v>52</v>
      </c>
      <c r="J28" s="30" t="str">
        <f>"105,0"</f>
        <v>105,0</v>
      </c>
      <c r="K28" s="17" t="str">
        <f>"73,3041"</f>
        <v>73,3041</v>
      </c>
      <c r="L28" s="15" t="s">
        <v>59</v>
      </c>
    </row>
    <row r="29" spans="1:12" x14ac:dyDescent="0.2">
      <c r="A29" s="15" t="s">
        <v>272</v>
      </c>
      <c r="B29" s="15" t="s">
        <v>273</v>
      </c>
      <c r="C29" s="15" t="s">
        <v>274</v>
      </c>
      <c r="D29" s="15" t="str">
        <f>"0,6906"</f>
        <v>0,6906</v>
      </c>
      <c r="E29" s="15" t="s">
        <v>17</v>
      </c>
      <c r="F29" s="15" t="s">
        <v>35</v>
      </c>
      <c r="G29" s="17" t="s">
        <v>26</v>
      </c>
      <c r="H29" s="16" t="s">
        <v>36</v>
      </c>
      <c r="I29" s="16" t="s">
        <v>36</v>
      </c>
      <c r="J29" s="30" t="str">
        <f>"100,0"</f>
        <v>100,0</v>
      </c>
      <c r="K29" s="17" t="str">
        <f>"69,7506"</f>
        <v>69,7506</v>
      </c>
      <c r="L29" s="15" t="s">
        <v>59</v>
      </c>
    </row>
    <row r="31" spans="1:12" ht="15" x14ac:dyDescent="0.2">
      <c r="A31" s="36" t="s">
        <v>84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">
      <c r="A32" s="6" t="s">
        <v>275</v>
      </c>
      <c r="B32" s="6" t="s">
        <v>276</v>
      </c>
      <c r="C32" s="6" t="s">
        <v>277</v>
      </c>
      <c r="D32" s="6" t="str">
        <f>"0,6418"</f>
        <v>0,6418</v>
      </c>
      <c r="E32" s="6" t="s">
        <v>201</v>
      </c>
      <c r="F32" s="6" t="s">
        <v>202</v>
      </c>
      <c r="G32" s="7" t="s">
        <v>25</v>
      </c>
      <c r="H32" s="7" t="s">
        <v>278</v>
      </c>
      <c r="I32" s="8" t="s">
        <v>279</v>
      </c>
      <c r="J32" s="29" t="str">
        <f>"100,0"</f>
        <v>100,0</v>
      </c>
      <c r="K32" s="7" t="str">
        <f>"64,1800"</f>
        <v>64,1800</v>
      </c>
      <c r="L32" s="6" t="s">
        <v>204</v>
      </c>
    </row>
    <row r="33" spans="1:12" x14ac:dyDescent="0.2">
      <c r="A33" s="9" t="s">
        <v>280</v>
      </c>
      <c r="B33" s="9" t="s">
        <v>281</v>
      </c>
      <c r="C33" s="9" t="s">
        <v>282</v>
      </c>
      <c r="D33" s="9" t="str">
        <f>"0,6241"</f>
        <v>0,6241</v>
      </c>
      <c r="E33" s="9" t="s">
        <v>283</v>
      </c>
      <c r="F33" s="9" t="s">
        <v>266</v>
      </c>
      <c r="G33" s="11" t="s">
        <v>57</v>
      </c>
      <c r="H33" s="11" t="s">
        <v>57</v>
      </c>
      <c r="I33" s="11" t="s">
        <v>57</v>
      </c>
      <c r="J33" s="27" t="str">
        <f>"0.00"</f>
        <v>0.00</v>
      </c>
      <c r="K33" s="10" t="str">
        <f>"0,0000"</f>
        <v>0,0000</v>
      </c>
      <c r="L33" s="9" t="s">
        <v>267</v>
      </c>
    </row>
    <row r="35" spans="1:12" ht="15" x14ac:dyDescent="0.2">
      <c r="A35" s="36" t="s">
        <v>96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2" x14ac:dyDescent="0.2">
      <c r="A36" s="6" t="s">
        <v>97</v>
      </c>
      <c r="B36" s="6" t="s">
        <v>98</v>
      </c>
      <c r="C36" s="6" t="s">
        <v>99</v>
      </c>
      <c r="D36" s="6" t="str">
        <f>"0,5867"</f>
        <v>0,5867</v>
      </c>
      <c r="E36" s="6" t="s">
        <v>88</v>
      </c>
      <c r="F36" s="6" t="s">
        <v>18</v>
      </c>
      <c r="G36" s="7" t="s">
        <v>71</v>
      </c>
      <c r="H36" s="7" t="s">
        <v>78</v>
      </c>
      <c r="I36" s="7" t="s">
        <v>89</v>
      </c>
      <c r="J36" s="29" t="str">
        <f>"165,0"</f>
        <v>165,0</v>
      </c>
      <c r="K36" s="7" t="str">
        <f>"97,7736"</f>
        <v>97,7736</v>
      </c>
      <c r="L36" s="6" t="s">
        <v>104</v>
      </c>
    </row>
    <row r="37" spans="1:12" x14ac:dyDescent="0.2">
      <c r="A37" s="15" t="s">
        <v>284</v>
      </c>
      <c r="B37" s="15" t="s">
        <v>285</v>
      </c>
      <c r="C37" s="15" t="s">
        <v>286</v>
      </c>
      <c r="D37" s="15" t="str">
        <f>"0,6125"</f>
        <v>0,6125</v>
      </c>
      <c r="E37" s="15" t="s">
        <v>283</v>
      </c>
      <c r="F37" s="15" t="s">
        <v>266</v>
      </c>
      <c r="G37" s="17" t="s">
        <v>287</v>
      </c>
      <c r="H37" s="16" t="s">
        <v>81</v>
      </c>
      <c r="I37" s="16" t="s">
        <v>81</v>
      </c>
      <c r="J37" s="30" t="str">
        <f>"120,0"</f>
        <v>120,0</v>
      </c>
      <c r="K37" s="17" t="str">
        <f>"73,4940"</f>
        <v>73,4940</v>
      </c>
      <c r="L37" s="15" t="s">
        <v>59</v>
      </c>
    </row>
    <row r="38" spans="1:12" x14ac:dyDescent="0.2">
      <c r="A38" s="9" t="s">
        <v>288</v>
      </c>
      <c r="B38" s="9" t="s">
        <v>289</v>
      </c>
      <c r="C38" s="9" t="s">
        <v>290</v>
      </c>
      <c r="D38" s="9" t="str">
        <f>"0,5901"</f>
        <v>0,5901</v>
      </c>
      <c r="E38" s="9" t="s">
        <v>17</v>
      </c>
      <c r="F38" s="9" t="s">
        <v>35</v>
      </c>
      <c r="G38" s="10" t="s">
        <v>81</v>
      </c>
      <c r="H38" s="10" t="s">
        <v>61</v>
      </c>
      <c r="I38" s="10" t="s">
        <v>54</v>
      </c>
      <c r="J38" s="27" t="str">
        <f>"140,0"</f>
        <v>140,0</v>
      </c>
      <c r="K38" s="10" t="str">
        <f>"82,6140"</f>
        <v>82,6140</v>
      </c>
      <c r="L38" s="9" t="s">
        <v>40</v>
      </c>
    </row>
    <row r="40" spans="1:12" ht="15" x14ac:dyDescent="0.2">
      <c r="A40" s="36" t="s">
        <v>118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2" x14ac:dyDescent="0.2">
      <c r="A41" s="6" t="s">
        <v>291</v>
      </c>
      <c r="B41" s="6" t="s">
        <v>292</v>
      </c>
      <c r="C41" s="6" t="s">
        <v>293</v>
      </c>
      <c r="D41" s="6" t="str">
        <f>"0,5569"</f>
        <v>0,5569</v>
      </c>
      <c r="E41" s="6" t="s">
        <v>17</v>
      </c>
      <c r="F41" s="6" t="s">
        <v>18</v>
      </c>
      <c r="G41" s="8" t="s">
        <v>294</v>
      </c>
      <c r="H41" s="7" t="s">
        <v>294</v>
      </c>
      <c r="I41" s="7" t="s">
        <v>71</v>
      </c>
      <c r="J41" s="29" t="str">
        <f>"145,0"</f>
        <v>145,0</v>
      </c>
      <c r="K41" s="7" t="str">
        <f>"85,5955"</f>
        <v>85,5955</v>
      </c>
      <c r="L41" s="6" t="s">
        <v>295</v>
      </c>
    </row>
    <row r="42" spans="1:12" x14ac:dyDescent="0.2">
      <c r="A42" s="9" t="s">
        <v>296</v>
      </c>
      <c r="B42" s="9" t="s">
        <v>297</v>
      </c>
      <c r="C42" s="9" t="s">
        <v>298</v>
      </c>
      <c r="D42" s="9" t="str">
        <f>"0,5836"</f>
        <v>0,5836</v>
      </c>
      <c r="E42" s="9" t="s">
        <v>88</v>
      </c>
      <c r="F42" s="9" t="s">
        <v>18</v>
      </c>
      <c r="G42" s="10" t="s">
        <v>81</v>
      </c>
      <c r="H42" s="11" t="s">
        <v>61</v>
      </c>
      <c r="I42" s="11" t="s">
        <v>61</v>
      </c>
      <c r="J42" s="27" t="str">
        <f>"125,0"</f>
        <v>125,0</v>
      </c>
      <c r="K42" s="10" t="str">
        <f>"75,8680"</f>
        <v>75,8680</v>
      </c>
      <c r="L42" s="9" t="s">
        <v>59</v>
      </c>
    </row>
    <row r="44" spans="1:12" ht="15" x14ac:dyDescent="0.2">
      <c r="A44" s="36" t="s">
        <v>120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2" x14ac:dyDescent="0.2">
      <c r="A45" s="12" t="s">
        <v>299</v>
      </c>
      <c r="B45" s="12" t="s">
        <v>300</v>
      </c>
      <c r="C45" s="12" t="s">
        <v>301</v>
      </c>
      <c r="D45" s="12" t="str">
        <f>"0,5370"</f>
        <v>0,5370</v>
      </c>
      <c r="E45" s="12" t="s">
        <v>34</v>
      </c>
      <c r="F45" s="12" t="s">
        <v>35</v>
      </c>
      <c r="G45" s="13" t="s">
        <v>89</v>
      </c>
      <c r="H45" s="13" t="s">
        <v>90</v>
      </c>
      <c r="I45" s="13" t="s">
        <v>302</v>
      </c>
      <c r="J45" s="28" t="str">
        <f>"177,5"</f>
        <v>177,5</v>
      </c>
      <c r="K45" s="13" t="str">
        <f>"95,3175"</f>
        <v>95,3175</v>
      </c>
      <c r="L45" s="12" t="s">
        <v>40</v>
      </c>
    </row>
    <row r="47" spans="1:12" ht="15" x14ac:dyDescent="0.2">
      <c r="E47" s="18" t="s">
        <v>132</v>
      </c>
      <c r="F47" s="4" t="s">
        <v>418</v>
      </c>
    </row>
    <row r="48" spans="1:12" ht="15" x14ac:dyDescent="0.2">
      <c r="E48" s="18" t="s">
        <v>133</v>
      </c>
      <c r="F48" s="4" t="s">
        <v>419</v>
      </c>
    </row>
    <row r="49" spans="1:6" ht="15" x14ac:dyDescent="0.2">
      <c r="E49" s="18" t="s">
        <v>134</v>
      </c>
      <c r="F49" s="4" t="s">
        <v>422</v>
      </c>
    </row>
    <row r="50" spans="1:6" ht="15" x14ac:dyDescent="0.2">
      <c r="E50" s="18" t="s">
        <v>135</v>
      </c>
      <c r="F50" s="4" t="s">
        <v>421</v>
      </c>
    </row>
    <row r="51" spans="1:6" ht="15" x14ac:dyDescent="0.2">
      <c r="E51" s="18" t="s">
        <v>135</v>
      </c>
      <c r="F51" s="4" t="s">
        <v>420</v>
      </c>
    </row>
    <row r="52" spans="1:6" ht="15" customHeight="1" x14ac:dyDescent="0.2">
      <c r="E52" s="54" t="s">
        <v>136</v>
      </c>
      <c r="F52" s="4" t="s">
        <v>418</v>
      </c>
    </row>
    <row r="53" spans="1:6" ht="15" customHeight="1" x14ac:dyDescent="0.2">
      <c r="E53" s="54"/>
      <c r="F53" s="4" t="s">
        <v>419</v>
      </c>
    </row>
    <row r="55" spans="1:6" ht="18" x14ac:dyDescent="0.25">
      <c r="A55" s="19" t="s">
        <v>137</v>
      </c>
      <c r="B55" s="19"/>
    </row>
    <row r="56" spans="1:6" ht="15" x14ac:dyDescent="0.2">
      <c r="A56" s="20" t="s">
        <v>138</v>
      </c>
      <c r="B56" s="20"/>
    </row>
    <row r="57" spans="1:6" ht="14.25" x14ac:dyDescent="0.2">
      <c r="A57" s="22"/>
      <c r="B57" s="23" t="s">
        <v>151</v>
      </c>
    </row>
    <row r="58" spans="1:6" ht="15" x14ac:dyDescent="0.2">
      <c r="A58" s="24" t="s">
        <v>140</v>
      </c>
      <c r="B58" s="24" t="s">
        <v>141</v>
      </c>
      <c r="C58" s="24" t="s">
        <v>142</v>
      </c>
      <c r="D58" s="24" t="s">
        <v>143</v>
      </c>
      <c r="E58" s="24" t="s">
        <v>144</v>
      </c>
    </row>
    <row r="59" spans="1:6" x14ac:dyDescent="0.2">
      <c r="A59" s="26" t="s">
        <v>430</v>
      </c>
      <c r="B59" s="25" t="s">
        <v>151</v>
      </c>
      <c r="C59" s="25" t="s">
        <v>173</v>
      </c>
      <c r="D59" s="25" t="s">
        <v>161</v>
      </c>
      <c r="E59" s="25" t="s">
        <v>480</v>
      </c>
    </row>
    <row r="60" spans="1:6" x14ac:dyDescent="0.2">
      <c r="A60" s="26" t="s">
        <v>431</v>
      </c>
      <c r="B60" s="25" t="s">
        <v>151</v>
      </c>
      <c r="C60" s="25" t="s">
        <v>146</v>
      </c>
      <c r="D60" s="25" t="s">
        <v>38</v>
      </c>
      <c r="E60" s="25" t="s">
        <v>305</v>
      </c>
    </row>
    <row r="61" spans="1:6" x14ac:dyDescent="0.2">
      <c r="A61" s="26" t="s">
        <v>432</v>
      </c>
      <c r="B61" s="25" t="s">
        <v>151</v>
      </c>
      <c r="C61" s="25" t="s">
        <v>173</v>
      </c>
      <c r="D61" s="25" t="s">
        <v>306</v>
      </c>
      <c r="E61" s="25" t="s">
        <v>307</v>
      </c>
    </row>
    <row r="63" spans="1:6" ht="14.25" x14ac:dyDescent="0.2">
      <c r="A63" s="22"/>
      <c r="B63" s="23" t="s">
        <v>308</v>
      </c>
    </row>
    <row r="64" spans="1:6" ht="15" x14ac:dyDescent="0.2">
      <c r="A64" s="24" t="s">
        <v>140</v>
      </c>
      <c r="B64" s="24" t="s">
        <v>141</v>
      </c>
      <c r="C64" s="24" t="s">
        <v>142</v>
      </c>
      <c r="D64" s="24" t="s">
        <v>143</v>
      </c>
      <c r="E64" s="24" t="s">
        <v>144</v>
      </c>
    </row>
    <row r="65" spans="1:5" x14ac:dyDescent="0.2">
      <c r="A65" s="21" t="s">
        <v>211</v>
      </c>
      <c r="B65" s="4" t="s">
        <v>309</v>
      </c>
      <c r="C65" s="4" t="s">
        <v>173</v>
      </c>
      <c r="D65" s="4" t="s">
        <v>161</v>
      </c>
      <c r="E65" s="25" t="s">
        <v>480</v>
      </c>
    </row>
    <row r="68" spans="1:5" ht="15" x14ac:dyDescent="0.2">
      <c r="A68" s="20" t="s">
        <v>158</v>
      </c>
      <c r="B68" s="20"/>
    </row>
    <row r="69" spans="1:5" ht="14.25" x14ac:dyDescent="0.2">
      <c r="A69" s="22"/>
      <c r="B69" s="23" t="s">
        <v>310</v>
      </c>
    </row>
    <row r="70" spans="1:5" ht="15" x14ac:dyDescent="0.2">
      <c r="A70" s="24" t="s">
        <v>140</v>
      </c>
      <c r="B70" s="24" t="s">
        <v>141</v>
      </c>
      <c r="C70" s="24" t="s">
        <v>142</v>
      </c>
      <c r="D70" s="24" t="s">
        <v>143</v>
      </c>
      <c r="E70" s="24" t="s">
        <v>144</v>
      </c>
    </row>
    <row r="71" spans="1:5" x14ac:dyDescent="0.2">
      <c r="A71" s="26" t="s">
        <v>433</v>
      </c>
      <c r="B71" s="25" t="s">
        <v>145</v>
      </c>
      <c r="C71" s="25" t="s">
        <v>167</v>
      </c>
      <c r="D71" s="25" t="s">
        <v>71</v>
      </c>
      <c r="E71" s="25" t="s">
        <v>311</v>
      </c>
    </row>
    <row r="72" spans="1:5" x14ac:dyDescent="0.2">
      <c r="A72" s="26" t="s">
        <v>434</v>
      </c>
      <c r="B72" s="25" t="s">
        <v>145</v>
      </c>
      <c r="C72" s="25" t="s">
        <v>167</v>
      </c>
      <c r="D72" s="25" t="s">
        <v>81</v>
      </c>
      <c r="E72" s="25" t="s">
        <v>312</v>
      </c>
    </row>
    <row r="73" spans="1:5" x14ac:dyDescent="0.2">
      <c r="A73" s="26" t="s">
        <v>435</v>
      </c>
      <c r="B73" s="25" t="s">
        <v>313</v>
      </c>
      <c r="C73" s="25" t="s">
        <v>146</v>
      </c>
      <c r="D73" s="25" t="s">
        <v>55</v>
      </c>
      <c r="E73" s="25" t="s">
        <v>314</v>
      </c>
    </row>
    <row r="74" spans="1:5" x14ac:dyDescent="0.2">
      <c r="A74" s="21" t="s">
        <v>257</v>
      </c>
      <c r="B74" s="4" t="s">
        <v>315</v>
      </c>
      <c r="C74" s="4" t="s">
        <v>173</v>
      </c>
      <c r="D74" s="4" t="s">
        <v>25</v>
      </c>
      <c r="E74" s="25" t="s">
        <v>316</v>
      </c>
    </row>
    <row r="75" spans="1:5" x14ac:dyDescent="0.2">
      <c r="A75" s="21" t="s">
        <v>229</v>
      </c>
      <c r="B75" s="4" t="s">
        <v>313</v>
      </c>
      <c r="C75" s="4" t="s">
        <v>149</v>
      </c>
      <c r="D75" s="4" t="s">
        <v>38</v>
      </c>
      <c r="E75" s="25" t="s">
        <v>317</v>
      </c>
    </row>
    <row r="76" spans="1:5" x14ac:dyDescent="0.2">
      <c r="A76" s="21" t="s">
        <v>242</v>
      </c>
      <c r="B76" s="4" t="s">
        <v>315</v>
      </c>
      <c r="C76" s="4" t="s">
        <v>146</v>
      </c>
      <c r="D76" s="4" t="s">
        <v>45</v>
      </c>
      <c r="E76" s="25" t="s">
        <v>318</v>
      </c>
    </row>
    <row r="77" spans="1:5" x14ac:dyDescent="0.2">
      <c r="A77" s="21" t="s">
        <v>261</v>
      </c>
      <c r="B77" s="4" t="s">
        <v>313</v>
      </c>
      <c r="C77" s="4" t="s">
        <v>173</v>
      </c>
      <c r="D77" s="4" t="s">
        <v>19</v>
      </c>
      <c r="E77" s="25" t="s">
        <v>319</v>
      </c>
    </row>
    <row r="78" spans="1:5" x14ac:dyDescent="0.2">
      <c r="A78" s="21" t="s">
        <v>236</v>
      </c>
      <c r="B78" s="4" t="s">
        <v>303</v>
      </c>
      <c r="C78" s="4" t="s">
        <v>152</v>
      </c>
      <c r="D78" s="4" t="s">
        <v>23</v>
      </c>
      <c r="E78" s="25" t="s">
        <v>320</v>
      </c>
    </row>
    <row r="80" spans="1:5" ht="14.25" x14ac:dyDescent="0.2">
      <c r="A80" s="22"/>
      <c r="B80" s="23" t="s">
        <v>159</v>
      </c>
    </row>
    <row r="81" spans="1:5" ht="15" x14ac:dyDescent="0.2">
      <c r="A81" s="24" t="s">
        <v>140</v>
      </c>
      <c r="B81" s="24" t="s">
        <v>141</v>
      </c>
      <c r="C81" s="24" t="s">
        <v>142</v>
      </c>
      <c r="D81" s="24" t="s">
        <v>143</v>
      </c>
      <c r="E81" s="24" t="s">
        <v>144</v>
      </c>
    </row>
    <row r="82" spans="1:5" x14ac:dyDescent="0.2">
      <c r="A82" s="26" t="s">
        <v>436</v>
      </c>
      <c r="B82" s="25" t="s">
        <v>160</v>
      </c>
      <c r="C82" s="25" t="s">
        <v>161</v>
      </c>
      <c r="D82" s="25" t="s">
        <v>89</v>
      </c>
      <c r="E82" s="25" t="s">
        <v>321</v>
      </c>
    </row>
    <row r="83" spans="1:5" x14ac:dyDescent="0.2">
      <c r="A83" s="26" t="s">
        <v>437</v>
      </c>
      <c r="B83" s="25" t="s">
        <v>160</v>
      </c>
      <c r="C83" s="25" t="s">
        <v>161</v>
      </c>
      <c r="D83" s="25" t="s">
        <v>53</v>
      </c>
      <c r="E83" s="25" t="s">
        <v>322</v>
      </c>
    </row>
    <row r="84" spans="1:5" x14ac:dyDescent="0.2">
      <c r="A84" s="26" t="s">
        <v>438</v>
      </c>
      <c r="B84" s="25" t="s">
        <v>160</v>
      </c>
      <c r="C84" s="25" t="s">
        <v>173</v>
      </c>
      <c r="D84" s="25" t="s">
        <v>27</v>
      </c>
      <c r="E84" s="25" t="s">
        <v>323</v>
      </c>
    </row>
    <row r="85" spans="1:5" x14ac:dyDescent="0.2">
      <c r="A85" s="21" t="s">
        <v>271</v>
      </c>
      <c r="B85" s="4" t="s">
        <v>160</v>
      </c>
      <c r="C85" s="4" t="s">
        <v>173</v>
      </c>
      <c r="D85" s="4" t="s">
        <v>26</v>
      </c>
      <c r="E85" s="25" t="s">
        <v>324</v>
      </c>
    </row>
    <row r="87" spans="1:5" ht="14.25" x14ac:dyDescent="0.2">
      <c r="A87" s="22"/>
      <c r="B87" s="23" t="s">
        <v>151</v>
      </c>
    </row>
    <row r="88" spans="1:5" ht="15" x14ac:dyDescent="0.2">
      <c r="A88" s="24" t="s">
        <v>140</v>
      </c>
      <c r="B88" s="24" t="s">
        <v>141</v>
      </c>
      <c r="C88" s="24" t="s">
        <v>142</v>
      </c>
      <c r="D88" s="24" t="s">
        <v>143</v>
      </c>
      <c r="E88" s="24" t="s">
        <v>144</v>
      </c>
    </row>
    <row r="89" spans="1:5" x14ac:dyDescent="0.2">
      <c r="A89" s="26" t="s">
        <v>440</v>
      </c>
      <c r="B89" s="25" t="s">
        <v>151</v>
      </c>
      <c r="C89" s="25" t="s">
        <v>178</v>
      </c>
      <c r="D89" s="25" t="s">
        <v>302</v>
      </c>
      <c r="E89" s="25" t="s">
        <v>325</v>
      </c>
    </row>
    <row r="90" spans="1:5" x14ac:dyDescent="0.2">
      <c r="A90" s="26" t="s">
        <v>439</v>
      </c>
      <c r="B90" s="25" t="s">
        <v>151</v>
      </c>
      <c r="C90" s="25" t="s">
        <v>161</v>
      </c>
      <c r="D90" s="25" t="s">
        <v>54</v>
      </c>
      <c r="E90" s="25" t="s">
        <v>326</v>
      </c>
    </row>
    <row r="91" spans="1:5" x14ac:dyDescent="0.2">
      <c r="A91" s="21" t="s">
        <v>461</v>
      </c>
      <c r="B91" s="4" t="s">
        <v>151</v>
      </c>
      <c r="C91" s="4" t="s">
        <v>164</v>
      </c>
      <c r="D91" s="4" t="s">
        <v>26</v>
      </c>
      <c r="E91" s="25" t="s">
        <v>327</v>
      </c>
    </row>
    <row r="96" spans="1:5" ht="18" x14ac:dyDescent="0.25">
      <c r="A96" s="19" t="s">
        <v>186</v>
      </c>
      <c r="B96" s="19"/>
    </row>
    <row r="97" spans="1:3" ht="15" x14ac:dyDescent="0.2">
      <c r="A97" s="24" t="s">
        <v>187</v>
      </c>
      <c r="B97" s="24" t="s">
        <v>188</v>
      </c>
      <c r="C97" s="24" t="s">
        <v>189</v>
      </c>
    </row>
    <row r="98" spans="1:3" x14ac:dyDescent="0.2">
      <c r="A98" s="4" t="s">
        <v>233</v>
      </c>
      <c r="B98" s="4" t="s">
        <v>190</v>
      </c>
      <c r="C98" s="4" t="s">
        <v>328</v>
      </c>
    </row>
    <row r="99" spans="1:3" x14ac:dyDescent="0.2">
      <c r="A99" s="4" t="s">
        <v>88</v>
      </c>
      <c r="B99" s="4" t="s">
        <v>329</v>
      </c>
      <c r="C99" s="4" t="s">
        <v>330</v>
      </c>
    </row>
    <row r="100" spans="1:3" x14ac:dyDescent="0.2">
      <c r="A100" s="4" t="s">
        <v>215</v>
      </c>
      <c r="B100" s="4" t="s">
        <v>194</v>
      </c>
      <c r="C100" s="4" t="s">
        <v>331</v>
      </c>
    </row>
    <row r="101" spans="1:3" x14ac:dyDescent="0.2">
      <c r="A101" s="4" t="s">
        <v>208</v>
      </c>
      <c r="B101" s="4" t="s">
        <v>332</v>
      </c>
      <c r="C101" s="4" t="s">
        <v>333</v>
      </c>
    </row>
    <row r="102" spans="1:3" x14ac:dyDescent="0.2">
      <c r="A102" s="4" t="s">
        <v>34</v>
      </c>
      <c r="B102" s="4" t="s">
        <v>196</v>
      </c>
      <c r="C102" s="4" t="s">
        <v>334</v>
      </c>
    </row>
    <row r="103" spans="1:3" x14ac:dyDescent="0.2">
      <c r="A103" s="4" t="s">
        <v>265</v>
      </c>
      <c r="B103" s="4" t="s">
        <v>196</v>
      </c>
      <c r="C103" s="4" t="s">
        <v>335</v>
      </c>
    </row>
    <row r="104" spans="1:3" x14ac:dyDescent="0.2">
      <c r="A104" s="4" t="s">
        <v>283</v>
      </c>
      <c r="B104" s="4" t="s">
        <v>197</v>
      </c>
      <c r="C104" s="4" t="s">
        <v>336</v>
      </c>
    </row>
  </sheetData>
  <mergeCells count="23">
    <mergeCell ref="G12:K12"/>
    <mergeCell ref="E52:E53"/>
    <mergeCell ref="A8:K8"/>
    <mergeCell ref="A1:L2"/>
    <mergeCell ref="A3:A4"/>
    <mergeCell ref="B3:B4"/>
    <mergeCell ref="C3:C4"/>
    <mergeCell ref="D3:D4"/>
    <mergeCell ref="E3:E4"/>
    <mergeCell ref="F3:F4"/>
    <mergeCell ref="G3:I3"/>
    <mergeCell ref="J3:J4"/>
    <mergeCell ref="K3:K4"/>
    <mergeCell ref="L3:L4"/>
    <mergeCell ref="A5:K5"/>
    <mergeCell ref="A40:K40"/>
    <mergeCell ref="A44:K44"/>
    <mergeCell ref="A14:K14"/>
    <mergeCell ref="A17:K17"/>
    <mergeCell ref="A20:K20"/>
    <mergeCell ref="A25:K25"/>
    <mergeCell ref="A31:K31"/>
    <mergeCell ref="A35:K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R84"/>
  <sheetViews>
    <sheetView topLeftCell="A55" zoomScale="80" zoomScaleNormal="80" workbookViewId="0">
      <selection activeCell="E76" sqref="E76"/>
    </sheetView>
  </sheetViews>
  <sheetFormatPr defaultRowHeight="12.75" x14ac:dyDescent="0.2"/>
  <cols>
    <col min="1" max="1" width="31.85546875" style="4" bestFit="1" customWidth="1"/>
    <col min="2" max="2" width="31" style="4" bestFit="1" customWidth="1"/>
    <col min="3" max="3" width="22.42578125" style="4" customWidth="1"/>
    <col min="4" max="4" width="9.28515625" style="4" bestFit="1" customWidth="1"/>
    <col min="5" max="5" width="22.85546875" style="4" bestFit="1" customWidth="1"/>
    <col min="6" max="6" width="30.7109375" style="4" bestFit="1" customWidth="1"/>
    <col min="7" max="15" width="5.5703125" style="3" bestFit="1" customWidth="1"/>
    <col min="16" max="16" width="7.85546875" style="2" bestFit="1" customWidth="1"/>
    <col min="17" max="17" width="8.5703125" style="3" bestFit="1" customWidth="1"/>
    <col min="18" max="18" width="17.42578125" style="4" bestFit="1" customWidth="1"/>
    <col min="19" max="16384" width="9.140625" style="3"/>
  </cols>
  <sheetData>
    <row r="1" spans="1:18" s="2" customFormat="1" ht="29.1" customHeight="1" x14ac:dyDescent="0.2">
      <c r="A1" s="38" t="s">
        <v>441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</row>
    <row r="2" spans="1:18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</row>
    <row r="3" spans="1:18" s="1" customFormat="1" ht="12.75" customHeight="1" x14ac:dyDescent="0.2">
      <c r="A3" s="44" t="s">
        <v>0</v>
      </c>
      <c r="B3" s="46" t="s">
        <v>5</v>
      </c>
      <c r="C3" s="46" t="s">
        <v>6</v>
      </c>
      <c r="D3" s="48" t="s">
        <v>8</v>
      </c>
      <c r="E3" s="48" t="s">
        <v>4</v>
      </c>
      <c r="F3" s="48" t="s">
        <v>7</v>
      </c>
      <c r="G3" s="48" t="s">
        <v>9</v>
      </c>
      <c r="H3" s="48"/>
      <c r="I3" s="48"/>
      <c r="J3" s="48" t="s">
        <v>10</v>
      </c>
      <c r="K3" s="48"/>
      <c r="L3" s="48"/>
      <c r="M3" s="48" t="s">
        <v>11</v>
      </c>
      <c r="N3" s="48"/>
      <c r="O3" s="48"/>
      <c r="P3" s="48" t="s">
        <v>1</v>
      </c>
      <c r="Q3" s="48" t="s">
        <v>3</v>
      </c>
      <c r="R3" s="49" t="s">
        <v>2</v>
      </c>
    </row>
    <row r="4" spans="1:18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>
        <v>1</v>
      </c>
      <c r="K4" s="5">
        <v>2</v>
      </c>
      <c r="L4" s="5">
        <v>3</v>
      </c>
      <c r="M4" s="5">
        <v>1</v>
      </c>
      <c r="N4" s="5">
        <v>2</v>
      </c>
      <c r="O4" s="5">
        <v>3</v>
      </c>
      <c r="P4" s="47"/>
      <c r="Q4" s="47"/>
      <c r="R4" s="50"/>
    </row>
    <row r="5" spans="1:18" ht="15" x14ac:dyDescent="0.2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8" x14ac:dyDescent="0.2">
      <c r="A6" s="6" t="s">
        <v>14</v>
      </c>
      <c r="B6" s="6" t="s">
        <v>15</v>
      </c>
      <c r="C6" s="6" t="s">
        <v>16</v>
      </c>
      <c r="D6" s="6" t="str">
        <f>"0,9786"</f>
        <v>0,9786</v>
      </c>
      <c r="E6" s="6" t="s">
        <v>17</v>
      </c>
      <c r="F6" s="6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8" t="s">
        <v>24</v>
      </c>
      <c r="M6" s="7" t="s">
        <v>25</v>
      </c>
      <c r="N6" s="7" t="s">
        <v>26</v>
      </c>
      <c r="O6" s="8" t="s">
        <v>27</v>
      </c>
      <c r="P6" s="29" t="str">
        <f>"220,0"</f>
        <v>220,0</v>
      </c>
      <c r="Q6" s="7" t="str">
        <f>"228,1979"</f>
        <v>228,1979</v>
      </c>
      <c r="R6" s="6" t="s">
        <v>28</v>
      </c>
    </row>
    <row r="7" spans="1:18" x14ac:dyDescent="0.2">
      <c r="A7" s="9" t="s">
        <v>14</v>
      </c>
      <c r="B7" s="9" t="s">
        <v>29</v>
      </c>
      <c r="C7" s="9" t="s">
        <v>16</v>
      </c>
      <c r="D7" s="9" t="str">
        <f>"0,9786"</f>
        <v>0,9786</v>
      </c>
      <c r="E7" s="9" t="s">
        <v>17</v>
      </c>
      <c r="F7" s="9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10" t="s">
        <v>23</v>
      </c>
      <c r="L7" s="11" t="s">
        <v>24</v>
      </c>
      <c r="M7" s="10" t="s">
        <v>25</v>
      </c>
      <c r="N7" s="10" t="s">
        <v>26</v>
      </c>
      <c r="O7" s="11" t="s">
        <v>27</v>
      </c>
      <c r="P7" s="27" t="str">
        <f>"220,0"</f>
        <v>220,0</v>
      </c>
      <c r="Q7" s="10" t="str">
        <f>"215,2810"</f>
        <v>215,2810</v>
      </c>
      <c r="R7" s="9" t="s">
        <v>28</v>
      </c>
    </row>
    <row r="9" spans="1:18" ht="15" x14ac:dyDescent="0.2">
      <c r="A9" s="36" t="s">
        <v>30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8" x14ac:dyDescent="0.2">
      <c r="A10" s="12" t="s">
        <v>31</v>
      </c>
      <c r="B10" s="12" t="s">
        <v>32</v>
      </c>
      <c r="C10" s="12" t="s">
        <v>33</v>
      </c>
      <c r="D10" s="12" t="str">
        <f>"0,9124"</f>
        <v>0,9124</v>
      </c>
      <c r="E10" s="12" t="s">
        <v>34</v>
      </c>
      <c r="F10" s="12" t="s">
        <v>35</v>
      </c>
      <c r="G10" s="13" t="s">
        <v>25</v>
      </c>
      <c r="H10" s="13" t="s">
        <v>26</v>
      </c>
      <c r="I10" s="13" t="s">
        <v>36</v>
      </c>
      <c r="J10" s="13" t="s">
        <v>37</v>
      </c>
      <c r="K10" s="13" t="s">
        <v>38</v>
      </c>
      <c r="L10" s="14" t="s">
        <v>39</v>
      </c>
      <c r="M10" s="13" t="s">
        <v>25</v>
      </c>
      <c r="N10" s="13" t="s">
        <v>26</v>
      </c>
      <c r="O10" s="13" t="s">
        <v>36</v>
      </c>
      <c r="P10" s="28" t="str">
        <f>"275,0"</f>
        <v>275,0</v>
      </c>
      <c r="Q10" s="13" t="str">
        <f>"250,9100"</f>
        <v>250,9100</v>
      </c>
      <c r="R10" s="12" t="s">
        <v>40</v>
      </c>
    </row>
    <row r="12" spans="1:18" ht="15" x14ac:dyDescent="0.2">
      <c r="A12" s="36" t="s">
        <v>41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8" x14ac:dyDescent="0.2">
      <c r="A13" s="12" t="s">
        <v>42</v>
      </c>
      <c r="B13" s="12" t="s">
        <v>43</v>
      </c>
      <c r="C13" s="12" t="s">
        <v>44</v>
      </c>
      <c r="D13" s="12" t="str">
        <f>"0,8628"</f>
        <v>0,8628</v>
      </c>
      <c r="E13" s="12" t="s">
        <v>34</v>
      </c>
      <c r="F13" s="12" t="s">
        <v>35</v>
      </c>
      <c r="G13" s="13" t="s">
        <v>25</v>
      </c>
      <c r="H13" s="13" t="s">
        <v>26</v>
      </c>
      <c r="I13" s="13" t="s">
        <v>27</v>
      </c>
      <c r="J13" s="13" t="s">
        <v>37</v>
      </c>
      <c r="K13" s="13" t="s">
        <v>38</v>
      </c>
      <c r="L13" s="13" t="s">
        <v>45</v>
      </c>
      <c r="M13" s="13" t="s">
        <v>25</v>
      </c>
      <c r="N13" s="13" t="s">
        <v>26</v>
      </c>
      <c r="O13" s="14" t="s">
        <v>429</v>
      </c>
      <c r="P13" s="28" t="str">
        <f>"265,0"</f>
        <v>265,0</v>
      </c>
      <c r="Q13" s="13" t="str">
        <f>"228,6420"</f>
        <v>228,6420</v>
      </c>
      <c r="R13" s="12" t="s">
        <v>40</v>
      </c>
    </row>
    <row r="15" spans="1:18" ht="15" x14ac:dyDescent="0.2">
      <c r="A15" s="36" t="s">
        <v>46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8" x14ac:dyDescent="0.2">
      <c r="A16" s="12" t="s">
        <v>48</v>
      </c>
      <c r="B16" s="12" t="s">
        <v>49</v>
      </c>
      <c r="C16" s="12" t="s">
        <v>50</v>
      </c>
      <c r="D16" s="12" t="str">
        <f>"0,8170"</f>
        <v>0,8170</v>
      </c>
      <c r="E16" s="12" t="s">
        <v>17</v>
      </c>
      <c r="F16" s="12" t="s">
        <v>18</v>
      </c>
      <c r="G16" s="13" t="s">
        <v>26</v>
      </c>
      <c r="H16" s="14" t="s">
        <v>27</v>
      </c>
      <c r="I16" s="14" t="s">
        <v>27</v>
      </c>
      <c r="J16" s="13" t="s">
        <v>39</v>
      </c>
      <c r="K16" s="13" t="s">
        <v>45</v>
      </c>
      <c r="L16" s="14" t="s">
        <v>51</v>
      </c>
      <c r="M16" s="14" t="s">
        <v>27</v>
      </c>
      <c r="N16" s="13" t="s">
        <v>27</v>
      </c>
      <c r="O16" s="14" t="s">
        <v>52</v>
      </c>
      <c r="P16" s="28" t="str">
        <f>"265,0"</f>
        <v>265,0</v>
      </c>
      <c r="Q16" s="13" t="str">
        <f>"229,4953"</f>
        <v>229,4953</v>
      </c>
      <c r="R16" s="12" t="s">
        <v>28</v>
      </c>
    </row>
    <row r="18" spans="1:18" ht="15" x14ac:dyDescent="0.2">
      <c r="A18" s="36" t="s">
        <v>64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8" x14ac:dyDescent="0.2">
      <c r="A19" s="6" t="s">
        <v>66</v>
      </c>
      <c r="B19" s="6" t="s">
        <v>67</v>
      </c>
      <c r="C19" s="6" t="s">
        <v>68</v>
      </c>
      <c r="D19" s="6" t="str">
        <f>"0,6789"</f>
        <v>0,6789</v>
      </c>
      <c r="E19" s="6" t="s">
        <v>442</v>
      </c>
      <c r="F19" s="6" t="s">
        <v>18</v>
      </c>
      <c r="G19" s="7" t="s">
        <v>54</v>
      </c>
      <c r="H19" s="7" t="s">
        <v>69</v>
      </c>
      <c r="I19" s="7" t="s">
        <v>70</v>
      </c>
      <c r="J19" s="7" t="s">
        <v>61</v>
      </c>
      <c r="K19" s="7" t="s">
        <v>54</v>
      </c>
      <c r="L19" s="7" t="s">
        <v>71</v>
      </c>
      <c r="M19" s="7" t="s">
        <v>72</v>
      </c>
      <c r="N19" s="7" t="s">
        <v>62</v>
      </c>
      <c r="O19" s="7" t="s">
        <v>73</v>
      </c>
      <c r="P19" s="29" t="str">
        <f>"497,5"</f>
        <v>497,5</v>
      </c>
      <c r="Q19" s="7" t="str">
        <f>"337,7528"</f>
        <v>337,7528</v>
      </c>
      <c r="R19" s="6" t="s">
        <v>59</v>
      </c>
    </row>
    <row r="20" spans="1:18" x14ac:dyDescent="0.2">
      <c r="A20" s="15" t="s">
        <v>75</v>
      </c>
      <c r="B20" s="15" t="s">
        <v>76</v>
      </c>
      <c r="C20" s="15" t="s">
        <v>77</v>
      </c>
      <c r="D20" s="15" t="str">
        <f>"0,6923"</f>
        <v>0,6923</v>
      </c>
      <c r="E20" s="6" t="s">
        <v>442</v>
      </c>
      <c r="F20" s="15" t="s">
        <v>18</v>
      </c>
      <c r="G20" s="16" t="s">
        <v>78</v>
      </c>
      <c r="H20" s="17" t="s">
        <v>79</v>
      </c>
      <c r="I20" s="17" t="s">
        <v>58</v>
      </c>
      <c r="J20" s="17" t="s">
        <v>80</v>
      </c>
      <c r="K20" s="17" t="s">
        <v>53</v>
      </c>
      <c r="L20" s="17" t="s">
        <v>81</v>
      </c>
      <c r="M20" s="17" t="s">
        <v>58</v>
      </c>
      <c r="N20" s="17" t="s">
        <v>82</v>
      </c>
      <c r="O20" s="17" t="s">
        <v>83</v>
      </c>
      <c r="P20" s="30" t="str">
        <f>"487,5"</f>
        <v>487,5</v>
      </c>
      <c r="Q20" s="17" t="str">
        <f>"337,4963"</f>
        <v>337,4963</v>
      </c>
      <c r="R20" s="15" t="s">
        <v>59</v>
      </c>
    </row>
    <row r="22" spans="1:18" ht="15" x14ac:dyDescent="0.2">
      <c r="A22" s="55" t="s">
        <v>84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8" x14ac:dyDescent="0.2">
      <c r="A23" s="6" t="s">
        <v>85</v>
      </c>
      <c r="B23" s="6" t="s">
        <v>86</v>
      </c>
      <c r="C23" s="6" t="s">
        <v>87</v>
      </c>
      <c r="D23" s="6" t="str">
        <f>"0,6457"</f>
        <v>0,6457</v>
      </c>
      <c r="E23" s="6" t="s">
        <v>88</v>
      </c>
      <c r="F23" s="6" t="s">
        <v>18</v>
      </c>
      <c r="G23" s="7" t="s">
        <v>53</v>
      </c>
      <c r="H23" s="7" t="s">
        <v>56</v>
      </c>
      <c r="I23" s="8" t="s">
        <v>57</v>
      </c>
      <c r="J23" s="8" t="s">
        <v>26</v>
      </c>
      <c r="K23" s="7" t="s">
        <v>36</v>
      </c>
      <c r="L23" s="8" t="s">
        <v>80</v>
      </c>
      <c r="M23" s="7" t="s">
        <v>54</v>
      </c>
      <c r="N23" s="7" t="s">
        <v>79</v>
      </c>
      <c r="O23" s="7" t="s">
        <v>72</v>
      </c>
      <c r="P23" s="29" t="str">
        <f>"420,0"</f>
        <v>420,0</v>
      </c>
      <c r="Q23" s="7" t="str">
        <f>"273,9271"</f>
        <v>273,9271</v>
      </c>
      <c r="R23" s="6" t="s">
        <v>59</v>
      </c>
    </row>
    <row r="24" spans="1:18" x14ac:dyDescent="0.2">
      <c r="A24" s="9" t="s">
        <v>92</v>
      </c>
      <c r="B24" s="9" t="s">
        <v>93</v>
      </c>
      <c r="C24" s="9" t="s">
        <v>94</v>
      </c>
      <c r="D24" s="9" t="str">
        <f>"0,6193"</f>
        <v>0,6193</v>
      </c>
      <c r="E24" s="9" t="s">
        <v>450</v>
      </c>
      <c r="F24" s="9" t="s">
        <v>18</v>
      </c>
      <c r="G24" s="10" t="s">
        <v>54</v>
      </c>
      <c r="H24" s="10" t="s">
        <v>78</v>
      </c>
      <c r="I24" s="11" t="s">
        <v>89</v>
      </c>
      <c r="J24" s="11" t="s">
        <v>25</v>
      </c>
      <c r="K24" s="10" t="s">
        <v>55</v>
      </c>
      <c r="L24" s="10" t="s">
        <v>26</v>
      </c>
      <c r="M24" s="10" t="s">
        <v>72</v>
      </c>
      <c r="N24" s="10" t="s">
        <v>63</v>
      </c>
      <c r="O24" s="10" t="s">
        <v>95</v>
      </c>
      <c r="P24" s="27" t="str">
        <f>"460,0"</f>
        <v>460,0</v>
      </c>
      <c r="Q24" s="10" t="str">
        <f>"284,8780"</f>
        <v>284,8780</v>
      </c>
      <c r="R24" s="9" t="s">
        <v>59</v>
      </c>
    </row>
    <row r="26" spans="1:18" ht="15" x14ac:dyDescent="0.2">
      <c r="A26" s="36" t="s">
        <v>96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8" x14ac:dyDescent="0.2">
      <c r="A27" s="6" t="s">
        <v>97</v>
      </c>
      <c r="B27" s="6" t="s">
        <v>98</v>
      </c>
      <c r="C27" s="6" t="s">
        <v>99</v>
      </c>
      <c r="D27" s="6" t="str">
        <f>"0,5867"</f>
        <v>0,5867</v>
      </c>
      <c r="E27" s="6" t="s">
        <v>88</v>
      </c>
      <c r="F27" s="6" t="s">
        <v>18</v>
      </c>
      <c r="G27" s="7" t="s">
        <v>100</v>
      </c>
      <c r="H27" s="7" t="s">
        <v>101</v>
      </c>
      <c r="I27" s="8" t="s">
        <v>102</v>
      </c>
      <c r="J27" s="7" t="s">
        <v>71</v>
      </c>
      <c r="K27" s="7" t="s">
        <v>78</v>
      </c>
      <c r="L27" s="7" t="s">
        <v>89</v>
      </c>
      <c r="M27" s="7" t="s">
        <v>101</v>
      </c>
      <c r="N27" s="8" t="s">
        <v>102</v>
      </c>
      <c r="O27" s="8" t="s">
        <v>103</v>
      </c>
      <c r="P27" s="29" t="str">
        <f>"605,0"</f>
        <v>605,0</v>
      </c>
      <c r="Q27" s="7" t="str">
        <f>"358,5030"</f>
        <v>358,5030</v>
      </c>
      <c r="R27" s="6" t="s">
        <v>104</v>
      </c>
    </row>
    <row r="28" spans="1:18" x14ac:dyDescent="0.2">
      <c r="A28" s="15" t="s">
        <v>105</v>
      </c>
      <c r="B28" s="15" t="s">
        <v>106</v>
      </c>
      <c r="C28" s="15" t="s">
        <v>107</v>
      </c>
      <c r="D28" s="15" t="str">
        <f>"0,6000"</f>
        <v>0,6000</v>
      </c>
      <c r="E28" s="15" t="s">
        <v>443</v>
      </c>
      <c r="F28" s="15" t="s">
        <v>35</v>
      </c>
      <c r="G28" s="17" t="s">
        <v>108</v>
      </c>
      <c r="H28" s="17" t="s">
        <v>109</v>
      </c>
      <c r="I28" s="17" t="s">
        <v>110</v>
      </c>
      <c r="J28" s="17" t="s">
        <v>89</v>
      </c>
      <c r="K28" s="17" t="s">
        <v>111</v>
      </c>
      <c r="L28" s="17" t="s">
        <v>72</v>
      </c>
      <c r="M28" s="17" t="s">
        <v>102</v>
      </c>
      <c r="N28" s="17" t="s">
        <v>103</v>
      </c>
      <c r="O28" s="16" t="s">
        <v>429</v>
      </c>
      <c r="P28" s="30" t="str">
        <f>"662,5"</f>
        <v>662,5</v>
      </c>
      <c r="Q28" s="17" t="str">
        <f>"397,5000"</f>
        <v>397,5000</v>
      </c>
      <c r="R28" s="15" t="s">
        <v>40</v>
      </c>
    </row>
    <row r="29" spans="1:18" x14ac:dyDescent="0.2">
      <c r="A29" s="9" t="s">
        <v>112</v>
      </c>
      <c r="B29" s="9" t="s">
        <v>113</v>
      </c>
      <c r="C29" s="9" t="s">
        <v>114</v>
      </c>
      <c r="D29" s="9" t="str">
        <f>"0,5995"</f>
        <v>0,5995</v>
      </c>
      <c r="E29" s="9" t="s">
        <v>115</v>
      </c>
      <c r="F29" s="9" t="s">
        <v>116</v>
      </c>
      <c r="G29" s="10" t="s">
        <v>101</v>
      </c>
      <c r="H29" s="11" t="s">
        <v>102</v>
      </c>
      <c r="I29" s="10" t="s">
        <v>109</v>
      </c>
      <c r="J29" s="10" t="s">
        <v>54</v>
      </c>
      <c r="K29" s="10" t="s">
        <v>57</v>
      </c>
      <c r="L29" s="10" t="s">
        <v>60</v>
      </c>
      <c r="M29" s="10" t="s">
        <v>101</v>
      </c>
      <c r="N29" s="10" t="s">
        <v>103</v>
      </c>
      <c r="O29" s="11" t="s">
        <v>117</v>
      </c>
      <c r="P29" s="27" t="str">
        <f>"632,5"</f>
        <v>632,5</v>
      </c>
      <c r="Q29" s="10" t="str">
        <f>"379,1838"</f>
        <v>379,1838</v>
      </c>
      <c r="R29" s="9" t="s">
        <v>59</v>
      </c>
    </row>
    <row r="31" spans="1:18" ht="15" x14ac:dyDescent="0.2">
      <c r="A31" s="36" t="s">
        <v>122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8" x14ac:dyDescent="0.2">
      <c r="A32" s="9" t="s">
        <v>455</v>
      </c>
      <c r="B32" s="9" t="s">
        <v>124</v>
      </c>
      <c r="C32" s="9" t="s">
        <v>125</v>
      </c>
      <c r="D32" s="9" t="str">
        <f>"0,5332"</f>
        <v>0,5332</v>
      </c>
      <c r="E32" s="9" t="s">
        <v>34</v>
      </c>
      <c r="F32" s="9" t="s">
        <v>35</v>
      </c>
      <c r="G32" s="10" t="s">
        <v>53</v>
      </c>
      <c r="H32" s="11" t="s">
        <v>56</v>
      </c>
      <c r="I32" s="11" t="s">
        <v>56</v>
      </c>
      <c r="J32" s="11" t="s">
        <v>27</v>
      </c>
      <c r="K32" s="10" t="s">
        <v>27</v>
      </c>
      <c r="L32" s="10" t="s">
        <v>80</v>
      </c>
      <c r="M32" s="10" t="s">
        <v>79</v>
      </c>
      <c r="N32" s="10" t="s">
        <v>58</v>
      </c>
      <c r="O32" s="10" t="s">
        <v>72</v>
      </c>
      <c r="P32" s="27" t="str">
        <f>"415,0"</f>
        <v>415,0</v>
      </c>
      <c r="Q32" s="10" t="str">
        <f>"221,2780"</f>
        <v>221,2780</v>
      </c>
      <c r="R32" s="9" t="s">
        <v>126</v>
      </c>
    </row>
    <row r="34" spans="1:18" ht="15" x14ac:dyDescent="0.2">
      <c r="A34" s="36" t="s">
        <v>127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8" x14ac:dyDescent="0.2">
      <c r="A35" s="12" t="s">
        <v>129</v>
      </c>
      <c r="B35" s="12" t="s">
        <v>130</v>
      </c>
      <c r="C35" s="12" t="s">
        <v>131</v>
      </c>
      <c r="D35" s="12" t="str">
        <f>"0,5066"</f>
        <v>0,5066</v>
      </c>
      <c r="E35" s="12" t="s">
        <v>449</v>
      </c>
      <c r="F35" s="12" t="s">
        <v>18</v>
      </c>
      <c r="G35" s="13" t="s">
        <v>73</v>
      </c>
      <c r="H35" s="13" t="s">
        <v>100</v>
      </c>
      <c r="I35" s="13" t="s">
        <v>101</v>
      </c>
      <c r="J35" s="13" t="s">
        <v>89</v>
      </c>
      <c r="K35" s="13" t="s">
        <v>111</v>
      </c>
      <c r="L35" s="14" t="s">
        <v>82</v>
      </c>
      <c r="M35" s="13" t="s">
        <v>101</v>
      </c>
      <c r="N35" s="13" t="s">
        <v>109</v>
      </c>
      <c r="O35" s="14" t="s">
        <v>121</v>
      </c>
      <c r="P35" s="28" t="str">
        <f>"630,0"</f>
        <v>630,0</v>
      </c>
      <c r="Q35" s="13" t="str">
        <f>"319,1454"</f>
        <v>319,1454</v>
      </c>
      <c r="R35" s="12" t="s">
        <v>59</v>
      </c>
    </row>
    <row r="37" spans="1:18" ht="15" x14ac:dyDescent="0.2">
      <c r="E37" s="18" t="s">
        <v>132</v>
      </c>
      <c r="F37" s="4" t="s">
        <v>418</v>
      </c>
    </row>
    <row r="38" spans="1:18" ht="15" x14ac:dyDescent="0.2">
      <c r="E38" s="18" t="s">
        <v>133</v>
      </c>
      <c r="F38" s="4" t="s">
        <v>419</v>
      </c>
    </row>
    <row r="39" spans="1:18" ht="15" x14ac:dyDescent="0.2">
      <c r="E39" s="18" t="s">
        <v>134</v>
      </c>
      <c r="F39" s="4" t="s">
        <v>422</v>
      </c>
    </row>
    <row r="40" spans="1:18" ht="15" x14ac:dyDescent="0.2">
      <c r="E40" s="18" t="s">
        <v>135</v>
      </c>
      <c r="F40" s="4" t="s">
        <v>421</v>
      </c>
    </row>
    <row r="41" spans="1:18" ht="15" x14ac:dyDescent="0.2">
      <c r="E41" s="18" t="s">
        <v>135</v>
      </c>
      <c r="F41" s="4" t="s">
        <v>420</v>
      </c>
    </row>
    <row r="42" spans="1:18" ht="15" x14ac:dyDescent="0.2">
      <c r="E42" s="18" t="s">
        <v>136</v>
      </c>
      <c r="F42" s="4" t="s">
        <v>418</v>
      </c>
    </row>
    <row r="43" spans="1:18" ht="15" x14ac:dyDescent="0.2">
      <c r="E43" s="18"/>
    </row>
    <row r="45" spans="1:18" ht="18" x14ac:dyDescent="0.25">
      <c r="A45" s="19" t="s">
        <v>137</v>
      </c>
      <c r="B45" s="19"/>
    </row>
    <row r="46" spans="1:18" ht="15" x14ac:dyDescent="0.2">
      <c r="A46" s="20" t="s">
        <v>138</v>
      </c>
      <c r="B46" s="20"/>
    </row>
    <row r="47" spans="1:18" ht="14.25" x14ac:dyDescent="0.2">
      <c r="A47" s="22"/>
      <c r="B47" s="23" t="s">
        <v>139</v>
      </c>
    </row>
    <row r="48" spans="1:18" ht="15" x14ac:dyDescent="0.2">
      <c r="A48" s="24" t="s">
        <v>140</v>
      </c>
      <c r="B48" s="24" t="s">
        <v>141</v>
      </c>
      <c r="C48" s="24" t="s">
        <v>142</v>
      </c>
      <c r="D48" s="24" t="s">
        <v>143</v>
      </c>
      <c r="E48" s="24" t="s">
        <v>144</v>
      </c>
    </row>
    <row r="49" spans="1:5" x14ac:dyDescent="0.2">
      <c r="A49" s="21" t="s">
        <v>47</v>
      </c>
      <c r="B49" s="4" t="s">
        <v>145</v>
      </c>
      <c r="C49" s="4" t="s">
        <v>146</v>
      </c>
      <c r="D49" s="4" t="s">
        <v>147</v>
      </c>
      <c r="E49" s="25" t="s">
        <v>148</v>
      </c>
    </row>
    <row r="50" spans="1:5" x14ac:dyDescent="0.2">
      <c r="A50" s="21" t="s">
        <v>13</v>
      </c>
      <c r="B50" s="4" t="s">
        <v>145</v>
      </c>
      <c r="C50" s="4" t="s">
        <v>149</v>
      </c>
      <c r="D50" s="4" t="s">
        <v>101</v>
      </c>
      <c r="E50" s="25" t="s">
        <v>150</v>
      </c>
    </row>
    <row r="52" spans="1:5" ht="14.25" x14ac:dyDescent="0.2">
      <c r="A52" s="22"/>
      <c r="B52" s="23" t="s">
        <v>151</v>
      </c>
    </row>
    <row r="53" spans="1:5" ht="15" x14ac:dyDescent="0.2">
      <c r="A53" s="24" t="s">
        <v>140</v>
      </c>
      <c r="B53" s="24" t="s">
        <v>141</v>
      </c>
      <c r="C53" s="24" t="s">
        <v>142</v>
      </c>
      <c r="D53" s="24" t="s">
        <v>143</v>
      </c>
      <c r="E53" s="24" t="s">
        <v>144</v>
      </c>
    </row>
    <row r="54" spans="1:5" x14ac:dyDescent="0.2">
      <c r="A54" s="26" t="s">
        <v>444</v>
      </c>
      <c r="B54" s="25" t="s">
        <v>151</v>
      </c>
      <c r="C54" s="25" t="s">
        <v>152</v>
      </c>
      <c r="D54" s="25" t="s">
        <v>153</v>
      </c>
      <c r="E54" s="25" t="s">
        <v>154</v>
      </c>
    </row>
    <row r="55" spans="1:5" x14ac:dyDescent="0.2">
      <c r="A55" s="26" t="s">
        <v>445</v>
      </c>
      <c r="B55" s="25" t="s">
        <v>151</v>
      </c>
      <c r="C55" s="25" t="s">
        <v>155</v>
      </c>
      <c r="D55" s="25" t="s">
        <v>147</v>
      </c>
      <c r="E55" s="25" t="s">
        <v>156</v>
      </c>
    </row>
    <row r="56" spans="1:5" x14ac:dyDescent="0.2">
      <c r="A56" s="26" t="s">
        <v>446</v>
      </c>
      <c r="B56" s="25" t="s">
        <v>151</v>
      </c>
      <c r="C56" s="25" t="s">
        <v>149</v>
      </c>
      <c r="D56" s="25" t="s">
        <v>101</v>
      </c>
      <c r="E56" s="25" t="s">
        <v>157</v>
      </c>
    </row>
    <row r="59" spans="1:5" ht="15" x14ac:dyDescent="0.2">
      <c r="A59" s="20" t="s">
        <v>158</v>
      </c>
      <c r="B59" s="20"/>
    </row>
    <row r="60" spans="1:5" ht="14.25" x14ac:dyDescent="0.2">
      <c r="A60" s="22"/>
      <c r="B60" s="23" t="s">
        <v>159</v>
      </c>
    </row>
    <row r="61" spans="1:5" ht="15" x14ac:dyDescent="0.2">
      <c r="A61" s="24" t="s">
        <v>140</v>
      </c>
      <c r="B61" s="24" t="s">
        <v>141</v>
      </c>
      <c r="C61" s="24" t="s">
        <v>142</v>
      </c>
      <c r="D61" s="24" t="s">
        <v>143</v>
      </c>
      <c r="E61" s="24" t="s">
        <v>144</v>
      </c>
    </row>
    <row r="62" spans="1:5" x14ac:dyDescent="0.2">
      <c r="A62" s="26" t="s">
        <v>436</v>
      </c>
      <c r="B62" s="25" t="s">
        <v>160</v>
      </c>
      <c r="C62" s="25" t="s">
        <v>161</v>
      </c>
      <c r="D62" s="25" t="s">
        <v>162</v>
      </c>
      <c r="E62" s="25" t="s">
        <v>163</v>
      </c>
    </row>
    <row r="63" spans="1:5" x14ac:dyDescent="0.2">
      <c r="A63" s="21" t="s">
        <v>456</v>
      </c>
      <c r="B63" s="4" t="s">
        <v>160</v>
      </c>
      <c r="C63" s="4" t="s">
        <v>164</v>
      </c>
      <c r="D63" s="4" t="s">
        <v>165</v>
      </c>
      <c r="E63" s="25" t="s">
        <v>166</v>
      </c>
    </row>
    <row r="65" spans="1:5" ht="14.25" x14ac:dyDescent="0.2">
      <c r="A65" s="22"/>
      <c r="B65" s="23" t="s">
        <v>151</v>
      </c>
    </row>
    <row r="66" spans="1:5" ht="15" x14ac:dyDescent="0.2">
      <c r="A66" s="24" t="s">
        <v>140</v>
      </c>
      <c r="B66" s="24" t="s">
        <v>141</v>
      </c>
      <c r="C66" s="24" t="s">
        <v>142</v>
      </c>
      <c r="D66" s="24" t="s">
        <v>143</v>
      </c>
      <c r="E66" s="24" t="s">
        <v>144</v>
      </c>
    </row>
    <row r="67" spans="1:5" x14ac:dyDescent="0.2">
      <c r="A67" s="26" t="s">
        <v>447</v>
      </c>
      <c r="B67" s="25" t="s">
        <v>151</v>
      </c>
      <c r="C67" s="25" t="s">
        <v>161</v>
      </c>
      <c r="D67" s="25" t="s">
        <v>168</v>
      </c>
      <c r="E67" s="25" t="s">
        <v>169</v>
      </c>
    </row>
    <row r="68" spans="1:5" x14ac:dyDescent="0.2">
      <c r="A68" s="26" t="s">
        <v>448</v>
      </c>
      <c r="B68" s="25" t="s">
        <v>151</v>
      </c>
      <c r="C68" s="25" t="s">
        <v>161</v>
      </c>
      <c r="D68" s="25" t="s">
        <v>170</v>
      </c>
      <c r="E68" s="25" t="s">
        <v>171</v>
      </c>
    </row>
    <row r="69" spans="1:5" x14ac:dyDescent="0.2">
      <c r="A69" s="21" t="s">
        <v>65</v>
      </c>
      <c r="B69" s="4" t="s">
        <v>151</v>
      </c>
      <c r="C69" s="4" t="s">
        <v>173</v>
      </c>
      <c r="D69" s="4" t="s">
        <v>174</v>
      </c>
      <c r="E69" s="25" t="s">
        <v>175</v>
      </c>
    </row>
    <row r="70" spans="1:5" x14ac:dyDescent="0.2">
      <c r="A70" s="21" t="s">
        <v>74</v>
      </c>
      <c r="B70" s="4" t="s">
        <v>151</v>
      </c>
      <c r="C70" s="4" t="s">
        <v>173</v>
      </c>
      <c r="D70" s="4" t="s">
        <v>176</v>
      </c>
      <c r="E70" s="25" t="s">
        <v>177</v>
      </c>
    </row>
    <row r="71" spans="1:5" x14ac:dyDescent="0.2">
      <c r="A71" s="21" t="s">
        <v>128</v>
      </c>
      <c r="B71" s="4" t="s">
        <v>151</v>
      </c>
      <c r="C71" s="4" t="s">
        <v>179</v>
      </c>
      <c r="D71" s="4" t="s">
        <v>180</v>
      </c>
      <c r="E71" s="25" t="s">
        <v>181</v>
      </c>
    </row>
    <row r="72" spans="1:5" x14ac:dyDescent="0.2">
      <c r="A72" s="21" t="s">
        <v>91</v>
      </c>
      <c r="B72" s="4" t="s">
        <v>151</v>
      </c>
      <c r="C72" s="4" t="s">
        <v>164</v>
      </c>
      <c r="D72" s="4" t="s">
        <v>182</v>
      </c>
      <c r="E72" s="25" t="s">
        <v>183</v>
      </c>
    </row>
    <row r="73" spans="1:5" x14ac:dyDescent="0.2">
      <c r="A73" s="21" t="s">
        <v>123</v>
      </c>
      <c r="B73" s="4" t="s">
        <v>151</v>
      </c>
      <c r="C73" s="4" t="s">
        <v>172</v>
      </c>
      <c r="D73" s="4" t="s">
        <v>184</v>
      </c>
      <c r="E73" s="25" t="s">
        <v>185</v>
      </c>
    </row>
    <row r="78" spans="1:5" ht="18" x14ac:dyDescent="0.25">
      <c r="A78" s="19" t="s">
        <v>186</v>
      </c>
      <c r="B78" s="19"/>
    </row>
    <row r="79" spans="1:5" ht="15" x14ac:dyDescent="0.2">
      <c r="A79" s="24" t="s">
        <v>187</v>
      </c>
      <c r="B79" s="24" t="s">
        <v>188</v>
      </c>
      <c r="C79" s="24" t="s">
        <v>189</v>
      </c>
    </row>
    <row r="80" spans="1:5" x14ac:dyDescent="0.2">
      <c r="A80" s="4" t="s">
        <v>34</v>
      </c>
      <c r="B80" s="4" t="s">
        <v>191</v>
      </c>
      <c r="C80" s="4" t="s">
        <v>192</v>
      </c>
    </row>
    <row r="81" spans="1:3" x14ac:dyDescent="0.2">
      <c r="A81" s="4" t="s">
        <v>449</v>
      </c>
      <c r="B81" s="4" t="s">
        <v>191</v>
      </c>
      <c r="C81" s="4" t="s">
        <v>193</v>
      </c>
    </row>
    <row r="82" spans="1:3" x14ac:dyDescent="0.2">
      <c r="A82" s="4" t="s">
        <v>88</v>
      </c>
      <c r="B82" s="4" t="s">
        <v>194</v>
      </c>
      <c r="C82" s="4" t="s">
        <v>195</v>
      </c>
    </row>
    <row r="83" spans="1:3" x14ac:dyDescent="0.2">
      <c r="A83" s="4" t="s">
        <v>115</v>
      </c>
      <c r="B83" s="4" t="s">
        <v>197</v>
      </c>
      <c r="C83" s="4" t="s">
        <v>198</v>
      </c>
    </row>
    <row r="84" spans="1:3" x14ac:dyDescent="0.2">
      <c r="A84" s="4" t="s">
        <v>450</v>
      </c>
      <c r="B84" s="4" t="s">
        <v>197</v>
      </c>
      <c r="C84" s="4" t="s">
        <v>199</v>
      </c>
    </row>
  </sheetData>
  <autoFilter ref="A4:R89"/>
  <mergeCells count="22">
    <mergeCell ref="A1:R2"/>
    <mergeCell ref="G3:I3"/>
    <mergeCell ref="J3:L3"/>
    <mergeCell ref="M3:O3"/>
    <mergeCell ref="A3:A4"/>
    <mergeCell ref="B3:B4"/>
    <mergeCell ref="C3:C4"/>
    <mergeCell ref="R3:R4"/>
    <mergeCell ref="F3:F4"/>
    <mergeCell ref="E3:E4"/>
    <mergeCell ref="A5:Q5"/>
    <mergeCell ref="A9:Q9"/>
    <mergeCell ref="A12:Q12"/>
    <mergeCell ref="A15:Q15"/>
    <mergeCell ref="D3:D4"/>
    <mergeCell ref="P3:P4"/>
    <mergeCell ref="Q3:Q4"/>
    <mergeCell ref="A31:Q31"/>
    <mergeCell ref="A34:Q34"/>
    <mergeCell ref="A18:Q18"/>
    <mergeCell ref="A22:Q22"/>
    <mergeCell ref="A26:Q26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70" zoomScaleNormal="70" workbookViewId="0">
      <selection activeCell="K15" sqref="K15"/>
    </sheetView>
  </sheetViews>
  <sheetFormatPr defaultRowHeight="15" x14ac:dyDescent="0.25"/>
  <cols>
    <col min="1" max="1" width="31.85546875" style="56" bestFit="1" customWidth="1"/>
    <col min="2" max="2" width="17.7109375" style="56" customWidth="1"/>
    <col min="3" max="3" width="19.42578125" style="56" bestFit="1" customWidth="1"/>
    <col min="4" max="4" width="9.28515625" style="56" customWidth="1"/>
    <col min="5" max="5" width="22.7109375" style="56" bestFit="1" customWidth="1"/>
    <col min="6" max="6" width="40.42578125" style="56" bestFit="1" customWidth="1"/>
    <col min="7" max="8" width="5.5703125" style="56" bestFit="1" customWidth="1"/>
    <col min="9" max="9" width="6.7109375" style="56" bestFit="1" customWidth="1"/>
    <col min="10" max="10" width="11.28515625" style="56" bestFit="1" customWidth="1"/>
    <col min="11" max="11" width="8.5703125" style="56" bestFit="1" customWidth="1"/>
    <col min="12" max="12" width="16.5703125" style="56" bestFit="1" customWidth="1"/>
    <col min="13" max="16384" width="9.140625" style="56"/>
  </cols>
  <sheetData>
    <row r="1" spans="1:12" x14ac:dyDescent="0.25">
      <c r="A1" s="84" t="s">
        <v>498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2"/>
    </row>
    <row r="2" spans="1:12" ht="81" customHeight="1" thickBot="1" x14ac:dyDescent="0.3">
      <c r="A2" s="81"/>
      <c r="B2" s="80"/>
      <c r="C2" s="80"/>
      <c r="D2" s="80"/>
      <c r="E2" s="80"/>
      <c r="F2" s="80"/>
      <c r="G2" s="80"/>
      <c r="H2" s="80"/>
      <c r="I2" s="80"/>
      <c r="J2" s="80"/>
      <c r="K2" s="80"/>
      <c r="L2" s="79"/>
    </row>
    <row r="3" spans="1:12" x14ac:dyDescent="0.25">
      <c r="A3" s="78" t="s">
        <v>0</v>
      </c>
      <c r="B3" s="77" t="s">
        <v>497</v>
      </c>
      <c r="C3" s="76" t="s">
        <v>6</v>
      </c>
      <c r="D3" s="75" t="s">
        <v>8</v>
      </c>
      <c r="E3" s="75" t="s">
        <v>4</v>
      </c>
      <c r="F3" s="75" t="s">
        <v>7</v>
      </c>
      <c r="G3" s="75" t="s">
        <v>496</v>
      </c>
      <c r="H3" s="75"/>
      <c r="I3" s="75"/>
      <c r="J3" s="75" t="s">
        <v>200</v>
      </c>
      <c r="K3" s="75" t="s">
        <v>3</v>
      </c>
      <c r="L3" s="74" t="s">
        <v>2</v>
      </c>
    </row>
    <row r="4" spans="1:12" ht="15.75" thickBot="1" x14ac:dyDescent="0.3">
      <c r="A4" s="73"/>
      <c r="B4" s="72"/>
      <c r="C4" s="70"/>
      <c r="D4" s="70"/>
      <c r="E4" s="70"/>
      <c r="F4" s="70"/>
      <c r="G4" s="71">
        <v>1</v>
      </c>
      <c r="H4" s="71">
        <v>2</v>
      </c>
      <c r="I4" s="71">
        <v>3</v>
      </c>
      <c r="J4" s="70"/>
      <c r="K4" s="70"/>
      <c r="L4" s="69"/>
    </row>
    <row r="5" spans="1:12" ht="15.75" x14ac:dyDescent="0.25">
      <c r="A5" s="68" t="s">
        <v>41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7"/>
    </row>
    <row r="6" spans="1:12" x14ac:dyDescent="0.25">
      <c r="A6" s="61" t="s">
        <v>495</v>
      </c>
      <c r="B6" s="61" t="s">
        <v>487</v>
      </c>
      <c r="C6" s="61" t="s">
        <v>494</v>
      </c>
      <c r="D6" s="61" t="str">
        <f>"0,8609"</f>
        <v>0,8609</v>
      </c>
      <c r="E6" s="61" t="s">
        <v>493</v>
      </c>
      <c r="F6" s="61" t="s">
        <v>18</v>
      </c>
      <c r="G6" s="62" t="s">
        <v>492</v>
      </c>
      <c r="H6" s="62" t="s">
        <v>491</v>
      </c>
      <c r="I6" s="62" t="s">
        <v>490</v>
      </c>
      <c r="J6" s="63" t="s">
        <v>490</v>
      </c>
      <c r="K6" s="62" t="str">
        <f>"96,8512"</f>
        <v>96,8512</v>
      </c>
      <c r="L6" s="61" t="s">
        <v>489</v>
      </c>
    </row>
    <row r="7" spans="1:12" x14ac:dyDescent="0.25">
      <c r="A7" s="57"/>
      <c r="B7" s="57"/>
      <c r="C7" s="57"/>
      <c r="D7" s="57"/>
      <c r="E7" s="57"/>
      <c r="F7" s="57"/>
      <c r="G7" s="58"/>
      <c r="H7" s="58"/>
      <c r="I7" s="58"/>
      <c r="J7" s="59"/>
      <c r="K7" s="58"/>
      <c r="L7" s="57"/>
    </row>
    <row r="8" spans="1:12" ht="15.75" x14ac:dyDescent="0.25">
      <c r="A8" s="66" t="s">
        <v>488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57"/>
    </row>
    <row r="9" spans="1:12" x14ac:dyDescent="0.25">
      <c r="A9" s="61" t="s">
        <v>275</v>
      </c>
      <c r="B9" s="61" t="s">
        <v>487</v>
      </c>
      <c r="C9" s="61" t="s">
        <v>486</v>
      </c>
      <c r="D9" s="61" t="str">
        <f>"0,6193"</f>
        <v>0,6193</v>
      </c>
      <c r="E9" s="61" t="s">
        <v>201</v>
      </c>
      <c r="F9" s="61" t="s">
        <v>202</v>
      </c>
      <c r="G9" s="62" t="s">
        <v>485</v>
      </c>
      <c r="H9" s="64" t="s">
        <v>484</v>
      </c>
      <c r="I9" s="62" t="s">
        <v>483</v>
      </c>
      <c r="J9" s="63" t="s">
        <v>483</v>
      </c>
      <c r="K9" s="62" t="s">
        <v>482</v>
      </c>
      <c r="L9" s="61" t="s">
        <v>481</v>
      </c>
    </row>
    <row r="10" spans="1:12" x14ac:dyDescent="0.25">
      <c r="A10" s="57"/>
      <c r="B10" s="57"/>
      <c r="C10" s="57"/>
      <c r="D10" s="57"/>
      <c r="E10" s="57"/>
      <c r="F10" s="57"/>
      <c r="G10" s="58"/>
      <c r="H10" s="58"/>
      <c r="I10" s="58"/>
      <c r="J10" s="59"/>
      <c r="K10" s="58"/>
      <c r="L10" s="57"/>
    </row>
    <row r="11" spans="1:12" ht="15.75" x14ac:dyDescent="0.25">
      <c r="A11" s="57"/>
      <c r="B11" s="57"/>
      <c r="C11" s="57"/>
      <c r="D11" s="57"/>
      <c r="E11" s="60" t="s">
        <v>132</v>
      </c>
      <c r="F11" s="57" t="s">
        <v>418</v>
      </c>
      <c r="G11" s="58"/>
      <c r="H11" s="58"/>
      <c r="I11" s="58"/>
      <c r="J11" s="59"/>
      <c r="K11" s="58"/>
      <c r="L11" s="57"/>
    </row>
    <row r="12" spans="1:12" ht="15.75" x14ac:dyDescent="0.25">
      <c r="A12" s="57"/>
      <c r="B12" s="57"/>
      <c r="C12" s="57"/>
      <c r="D12" s="57"/>
      <c r="E12" s="60" t="s">
        <v>133</v>
      </c>
      <c r="F12" s="57" t="s">
        <v>419</v>
      </c>
      <c r="G12" s="58"/>
      <c r="H12" s="58"/>
      <c r="I12" s="58"/>
      <c r="J12" s="59"/>
      <c r="K12" s="58"/>
      <c r="L12" s="57"/>
    </row>
    <row r="13" spans="1:12" ht="15.75" x14ac:dyDescent="0.25">
      <c r="A13" s="57"/>
      <c r="B13" s="57"/>
      <c r="C13" s="57"/>
      <c r="D13" s="57"/>
      <c r="E13" s="60" t="s">
        <v>134</v>
      </c>
      <c r="F13" s="57" t="s">
        <v>422</v>
      </c>
      <c r="G13" s="58"/>
      <c r="H13" s="58"/>
      <c r="I13" s="58"/>
      <c r="J13" s="59"/>
      <c r="K13" s="58"/>
      <c r="L13" s="57"/>
    </row>
    <row r="14" spans="1:12" ht="15.75" x14ac:dyDescent="0.25">
      <c r="A14" s="57"/>
      <c r="B14" s="57"/>
      <c r="C14" s="57"/>
      <c r="D14" s="57"/>
      <c r="E14" s="60" t="s">
        <v>135</v>
      </c>
      <c r="F14" s="57" t="s">
        <v>421</v>
      </c>
      <c r="G14" s="58"/>
      <c r="H14" s="58"/>
      <c r="I14" s="58"/>
      <c r="J14" s="59"/>
      <c r="K14" s="58"/>
      <c r="L14" s="57"/>
    </row>
    <row r="15" spans="1:12" ht="15.75" x14ac:dyDescent="0.25">
      <c r="A15" s="57"/>
      <c r="B15" s="57"/>
      <c r="C15" s="57"/>
      <c r="D15" s="57"/>
      <c r="E15" s="60" t="s">
        <v>135</v>
      </c>
      <c r="F15" s="57" t="s">
        <v>420</v>
      </c>
      <c r="G15" s="58"/>
      <c r="H15" s="58"/>
      <c r="I15" s="58"/>
      <c r="J15" s="59"/>
      <c r="K15" s="58"/>
      <c r="L15" s="57"/>
    </row>
    <row r="16" spans="1:12" ht="15.75" x14ac:dyDescent="0.25">
      <c r="A16" s="57"/>
      <c r="B16" s="57"/>
      <c r="C16" s="57"/>
      <c r="D16" s="57"/>
      <c r="E16" s="60" t="s">
        <v>136</v>
      </c>
      <c r="F16" s="57" t="s">
        <v>419</v>
      </c>
      <c r="G16" s="58"/>
      <c r="H16" s="58"/>
      <c r="I16" s="58"/>
      <c r="J16" s="59"/>
      <c r="K16" s="58"/>
      <c r="L16" s="57"/>
    </row>
    <row r="17" spans="1:12" ht="15.75" x14ac:dyDescent="0.25">
      <c r="A17" s="57"/>
      <c r="B17" s="57"/>
      <c r="C17" s="57"/>
      <c r="D17" s="57"/>
      <c r="E17" s="60"/>
      <c r="F17" s="57"/>
      <c r="G17" s="58"/>
      <c r="H17" s="58"/>
      <c r="I17" s="58"/>
      <c r="J17" s="59"/>
      <c r="K17" s="58"/>
      <c r="L17" s="57"/>
    </row>
    <row r="18" spans="1:12" x14ac:dyDescent="0.25">
      <c r="A18" s="57"/>
      <c r="B18" s="57"/>
      <c r="C18" s="57"/>
      <c r="D18" s="57"/>
      <c r="E18" s="57"/>
      <c r="F18" s="57"/>
      <c r="G18" s="58"/>
      <c r="H18" s="58"/>
      <c r="I18" s="58"/>
      <c r="J18" s="59"/>
      <c r="K18" s="58"/>
      <c r="L18" s="57"/>
    </row>
  </sheetData>
  <mergeCells count="13">
    <mergeCell ref="G3:I3"/>
    <mergeCell ref="J3:J4"/>
    <mergeCell ref="K3:K4"/>
    <mergeCell ref="L3:L4"/>
    <mergeCell ref="A5:K5"/>
    <mergeCell ref="A8:K8"/>
    <mergeCell ref="A1:L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0" zoomScaleNormal="80" workbookViewId="0">
      <selection activeCell="F20" sqref="F20"/>
    </sheetView>
  </sheetViews>
  <sheetFormatPr defaultRowHeight="15" x14ac:dyDescent="0.25"/>
  <cols>
    <col min="1" max="1" width="21" style="56" bestFit="1" customWidth="1"/>
    <col min="2" max="2" width="14.85546875" style="56" customWidth="1"/>
    <col min="3" max="3" width="16.140625" style="56" customWidth="1"/>
    <col min="4" max="4" width="9.28515625" style="56" bestFit="1" customWidth="1"/>
    <col min="5" max="5" width="22.7109375" style="56" bestFit="1" customWidth="1"/>
    <col min="6" max="6" width="40.42578125" style="56" bestFit="1" customWidth="1"/>
    <col min="7" max="7" width="4.5703125" style="56" customWidth="1"/>
    <col min="8" max="8" width="5.5703125" style="56" bestFit="1" customWidth="1"/>
    <col min="9" max="9" width="5.28515625" style="56" customWidth="1"/>
    <col min="10" max="10" width="11.28515625" style="56" bestFit="1" customWidth="1"/>
    <col min="11" max="11" width="8.5703125" style="56" bestFit="1" customWidth="1"/>
    <col min="12" max="12" width="12.7109375" style="56" bestFit="1" customWidth="1"/>
    <col min="13" max="16384" width="9.140625" style="56"/>
  </cols>
  <sheetData>
    <row r="1" spans="1:12" x14ac:dyDescent="0.25">
      <c r="A1" s="84" t="s">
        <v>511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2"/>
    </row>
    <row r="2" spans="1:12" ht="66.75" customHeight="1" thickBot="1" x14ac:dyDescent="0.3">
      <c r="A2" s="81"/>
      <c r="B2" s="80"/>
      <c r="C2" s="80"/>
      <c r="D2" s="80"/>
      <c r="E2" s="80"/>
      <c r="F2" s="80"/>
      <c r="G2" s="80"/>
      <c r="H2" s="80"/>
      <c r="I2" s="80"/>
      <c r="J2" s="80"/>
      <c r="K2" s="80"/>
      <c r="L2" s="79"/>
    </row>
    <row r="3" spans="1:12" x14ac:dyDescent="0.25">
      <c r="A3" s="78" t="s">
        <v>0</v>
      </c>
      <c r="B3" s="77" t="s">
        <v>497</v>
      </c>
      <c r="C3" s="76" t="s">
        <v>6</v>
      </c>
      <c r="D3" s="75" t="s">
        <v>8</v>
      </c>
      <c r="E3" s="75" t="s">
        <v>4</v>
      </c>
      <c r="F3" s="75" t="s">
        <v>7</v>
      </c>
      <c r="G3" s="75" t="s">
        <v>496</v>
      </c>
      <c r="H3" s="75"/>
      <c r="I3" s="75"/>
      <c r="J3" s="75" t="s">
        <v>200</v>
      </c>
      <c r="K3" s="75" t="s">
        <v>3</v>
      </c>
      <c r="L3" s="74" t="s">
        <v>2</v>
      </c>
    </row>
    <row r="4" spans="1:12" ht="15.75" thickBot="1" x14ac:dyDescent="0.3">
      <c r="A4" s="73"/>
      <c r="B4" s="72"/>
      <c r="C4" s="70"/>
      <c r="D4" s="70"/>
      <c r="E4" s="70"/>
      <c r="F4" s="70"/>
      <c r="G4" s="71">
        <v>1</v>
      </c>
      <c r="H4" s="71">
        <v>2</v>
      </c>
      <c r="I4" s="71">
        <v>3</v>
      </c>
      <c r="J4" s="70"/>
      <c r="K4" s="70"/>
      <c r="L4" s="69"/>
    </row>
    <row r="5" spans="1:12" ht="15.75" x14ac:dyDescent="0.25">
      <c r="A5" s="68" t="s">
        <v>41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7"/>
    </row>
    <row r="6" spans="1:12" x14ac:dyDescent="0.25">
      <c r="A6" s="61" t="s">
        <v>495</v>
      </c>
      <c r="B6" s="61" t="s">
        <v>487</v>
      </c>
      <c r="C6" s="61" t="s">
        <v>494</v>
      </c>
      <c r="D6" s="61" t="str">
        <f>"0,8609"</f>
        <v>0,8609</v>
      </c>
      <c r="E6" s="61" t="s">
        <v>493</v>
      </c>
      <c r="F6" s="61" t="s">
        <v>18</v>
      </c>
      <c r="G6" s="62" t="s">
        <v>510</v>
      </c>
      <c r="H6" s="62" t="s">
        <v>509</v>
      </c>
      <c r="I6" s="62" t="s">
        <v>508</v>
      </c>
      <c r="J6" s="63" t="s">
        <v>508</v>
      </c>
      <c r="K6" s="62" t="str">
        <f>"96,8512"</f>
        <v>96,8512</v>
      </c>
      <c r="L6" s="61" t="s">
        <v>489</v>
      </c>
    </row>
    <row r="7" spans="1:12" x14ac:dyDescent="0.25">
      <c r="A7" s="57"/>
      <c r="B7" s="57"/>
      <c r="C7" s="57"/>
      <c r="D7" s="57"/>
      <c r="E7" s="57"/>
      <c r="F7" s="57"/>
      <c r="G7" s="58"/>
      <c r="H7" s="58"/>
      <c r="I7" s="58"/>
      <c r="J7" s="59"/>
      <c r="K7" s="58"/>
      <c r="L7" s="57"/>
    </row>
    <row r="8" spans="1:12" ht="15.75" x14ac:dyDescent="0.25">
      <c r="A8" s="66" t="s">
        <v>488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57"/>
    </row>
    <row r="9" spans="1:12" x14ac:dyDescent="0.25">
      <c r="A9" s="61" t="s">
        <v>275</v>
      </c>
      <c r="B9" s="61" t="s">
        <v>487</v>
      </c>
      <c r="C9" s="61" t="s">
        <v>486</v>
      </c>
      <c r="D9" s="61" t="str">
        <f>"0,6193"</f>
        <v>0,6193</v>
      </c>
      <c r="E9" s="61" t="s">
        <v>201</v>
      </c>
      <c r="F9" s="61" t="s">
        <v>202</v>
      </c>
      <c r="G9" s="62" t="s">
        <v>507</v>
      </c>
      <c r="H9" s="64" t="s">
        <v>155</v>
      </c>
      <c r="I9" s="87" t="s">
        <v>506</v>
      </c>
      <c r="J9" s="63" t="s">
        <v>155</v>
      </c>
      <c r="K9" s="62" t="s">
        <v>482</v>
      </c>
      <c r="L9" s="61" t="s">
        <v>481</v>
      </c>
    </row>
    <row r="10" spans="1:12" x14ac:dyDescent="0.25">
      <c r="A10" s="57"/>
      <c r="B10" s="57"/>
      <c r="C10" s="57"/>
      <c r="D10" s="57"/>
      <c r="E10" s="57"/>
      <c r="F10" s="57"/>
      <c r="G10" s="58"/>
      <c r="H10" s="86"/>
      <c r="I10" s="58"/>
      <c r="J10" s="59"/>
      <c r="K10" s="58"/>
      <c r="L10" s="57"/>
    </row>
    <row r="11" spans="1:12" ht="15.75" x14ac:dyDescent="0.25">
      <c r="A11" s="66" t="s">
        <v>96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57"/>
    </row>
    <row r="12" spans="1:12" x14ac:dyDescent="0.25">
      <c r="A12" s="61" t="s">
        <v>505</v>
      </c>
      <c r="B12" s="61" t="s">
        <v>487</v>
      </c>
      <c r="C12" s="61" t="s">
        <v>504</v>
      </c>
      <c r="D12" s="61" t="str">
        <f>"0,6193"</f>
        <v>0,6193</v>
      </c>
      <c r="E12" s="61" t="s">
        <v>503</v>
      </c>
      <c r="F12" s="61" t="s">
        <v>18</v>
      </c>
      <c r="G12" s="62" t="s">
        <v>502</v>
      </c>
      <c r="H12" s="85" t="s">
        <v>501</v>
      </c>
      <c r="I12" s="62" t="s">
        <v>501</v>
      </c>
      <c r="J12" s="63" t="s">
        <v>501</v>
      </c>
      <c r="K12" s="62" t="s">
        <v>500</v>
      </c>
      <c r="L12" s="61" t="s">
        <v>499</v>
      </c>
    </row>
    <row r="13" spans="1:12" x14ac:dyDescent="0.25">
      <c r="A13" s="57"/>
      <c r="B13" s="57"/>
      <c r="C13" s="57"/>
      <c r="D13" s="57"/>
      <c r="E13" s="57"/>
      <c r="F13" s="57"/>
      <c r="G13" s="58"/>
      <c r="H13" s="58"/>
      <c r="I13" s="58"/>
      <c r="J13" s="59"/>
      <c r="K13" s="58"/>
      <c r="L13" s="57"/>
    </row>
    <row r="14" spans="1:12" ht="15.75" x14ac:dyDescent="0.25">
      <c r="A14" s="57"/>
      <c r="B14" s="57"/>
      <c r="C14" s="57"/>
      <c r="D14" s="57"/>
      <c r="E14" s="60" t="s">
        <v>132</v>
      </c>
      <c r="F14" s="57" t="s">
        <v>418</v>
      </c>
      <c r="G14" s="58"/>
      <c r="H14" s="58"/>
      <c r="I14" s="58"/>
      <c r="J14" s="59"/>
      <c r="K14" s="58"/>
      <c r="L14" s="57"/>
    </row>
    <row r="15" spans="1:12" ht="15.75" x14ac:dyDescent="0.25">
      <c r="A15" s="57"/>
      <c r="B15" s="57"/>
      <c r="C15" s="57"/>
      <c r="D15" s="57"/>
      <c r="E15" s="60" t="s">
        <v>133</v>
      </c>
      <c r="F15" s="57" t="s">
        <v>419</v>
      </c>
      <c r="G15" s="58"/>
      <c r="H15" s="58"/>
      <c r="I15" s="58"/>
      <c r="J15" s="59"/>
      <c r="K15" s="58"/>
      <c r="L15" s="57"/>
    </row>
    <row r="16" spans="1:12" ht="15.75" x14ac:dyDescent="0.25">
      <c r="A16" s="57"/>
      <c r="B16" s="57"/>
      <c r="C16" s="57"/>
      <c r="D16" s="57"/>
      <c r="E16" s="60" t="s">
        <v>134</v>
      </c>
      <c r="F16" s="57" t="s">
        <v>422</v>
      </c>
      <c r="G16" s="58"/>
      <c r="H16" s="58"/>
      <c r="I16" s="58"/>
      <c r="J16" s="59"/>
      <c r="K16" s="58"/>
      <c r="L16" s="57"/>
    </row>
    <row r="17" spans="1:12" ht="15.75" x14ac:dyDescent="0.25">
      <c r="A17" s="57"/>
      <c r="B17" s="57"/>
      <c r="C17" s="57"/>
      <c r="D17" s="57"/>
      <c r="E17" s="60" t="s">
        <v>135</v>
      </c>
      <c r="F17" s="57" t="s">
        <v>421</v>
      </c>
      <c r="G17" s="58"/>
      <c r="H17" s="58"/>
      <c r="I17" s="58"/>
      <c r="J17" s="59"/>
      <c r="K17" s="58"/>
      <c r="L17" s="57"/>
    </row>
    <row r="18" spans="1:12" ht="15.75" x14ac:dyDescent="0.25">
      <c r="A18" s="57"/>
      <c r="B18" s="57"/>
      <c r="C18" s="57"/>
      <c r="D18" s="57"/>
      <c r="E18" s="60" t="s">
        <v>135</v>
      </c>
      <c r="F18" s="57" t="s">
        <v>420</v>
      </c>
      <c r="G18" s="58"/>
      <c r="H18" s="58"/>
      <c r="I18" s="58"/>
      <c r="J18" s="59"/>
      <c r="K18" s="58"/>
      <c r="L18" s="57"/>
    </row>
    <row r="19" spans="1:12" ht="15.75" x14ac:dyDescent="0.25">
      <c r="A19" s="57"/>
      <c r="B19" s="57"/>
      <c r="C19" s="57"/>
      <c r="D19" s="57"/>
      <c r="E19" s="60" t="s">
        <v>136</v>
      </c>
      <c r="F19" s="57" t="s">
        <v>419</v>
      </c>
      <c r="G19" s="58"/>
      <c r="H19" s="58"/>
      <c r="I19" s="58"/>
      <c r="J19" s="59"/>
      <c r="K19" s="58"/>
      <c r="L19" s="57"/>
    </row>
  </sheetData>
  <mergeCells count="14">
    <mergeCell ref="F3:F4"/>
    <mergeCell ref="G3:I3"/>
    <mergeCell ref="J3:J4"/>
    <mergeCell ref="K3:K4"/>
    <mergeCell ref="L3:L4"/>
    <mergeCell ref="A5:K5"/>
    <mergeCell ref="A8:K8"/>
    <mergeCell ref="A11:K11"/>
    <mergeCell ref="A1:L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9" sqref="F9"/>
    </sheetView>
  </sheetViews>
  <sheetFormatPr defaultRowHeight="15" x14ac:dyDescent="0.25"/>
  <cols>
    <col min="1" max="1" width="21" style="56" bestFit="1" customWidth="1"/>
    <col min="2" max="2" width="9.7109375" style="56" bestFit="1" customWidth="1"/>
    <col min="3" max="3" width="8.42578125" style="56" bestFit="1" customWidth="1"/>
    <col min="4" max="4" width="9.28515625" style="56" bestFit="1" customWidth="1"/>
    <col min="5" max="5" width="22.7109375" style="56" bestFit="1" customWidth="1"/>
    <col min="6" max="6" width="40.42578125" style="56" bestFit="1" customWidth="1"/>
    <col min="7" max="7" width="3" style="56" bestFit="1" customWidth="1"/>
    <col min="8" max="8" width="5.5703125" style="56" bestFit="1" customWidth="1"/>
    <col min="9" max="9" width="5" style="56" customWidth="1"/>
    <col min="10" max="10" width="11.28515625" style="56" bestFit="1" customWidth="1"/>
    <col min="11" max="11" width="8.5703125" style="56" bestFit="1" customWidth="1"/>
    <col min="12" max="12" width="12.7109375" style="56" bestFit="1" customWidth="1"/>
    <col min="13" max="16384" width="9.140625" style="56"/>
  </cols>
  <sheetData>
    <row r="1" spans="1:12" x14ac:dyDescent="0.25">
      <c r="A1" s="84" t="s">
        <v>515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2"/>
    </row>
    <row r="2" spans="1:12" ht="87.75" customHeight="1" thickBot="1" x14ac:dyDescent="0.3">
      <c r="A2" s="81"/>
      <c r="B2" s="80"/>
      <c r="C2" s="80"/>
      <c r="D2" s="80"/>
      <c r="E2" s="80"/>
      <c r="F2" s="80"/>
      <c r="G2" s="80"/>
      <c r="H2" s="80"/>
      <c r="I2" s="80"/>
      <c r="J2" s="80"/>
      <c r="K2" s="80"/>
      <c r="L2" s="79"/>
    </row>
    <row r="3" spans="1:12" x14ac:dyDescent="0.25">
      <c r="A3" s="78" t="s">
        <v>0</v>
      </c>
      <c r="B3" s="77" t="s">
        <v>497</v>
      </c>
      <c r="C3" s="76" t="s">
        <v>6</v>
      </c>
      <c r="D3" s="75" t="s">
        <v>8</v>
      </c>
      <c r="E3" s="75" t="s">
        <v>4</v>
      </c>
      <c r="F3" s="75" t="s">
        <v>7</v>
      </c>
      <c r="G3" s="75" t="s">
        <v>496</v>
      </c>
      <c r="H3" s="75"/>
      <c r="I3" s="75"/>
      <c r="J3" s="75" t="s">
        <v>200</v>
      </c>
      <c r="K3" s="75" t="s">
        <v>3</v>
      </c>
      <c r="L3" s="74" t="s">
        <v>2</v>
      </c>
    </row>
    <row r="4" spans="1:12" ht="15.75" thickBot="1" x14ac:dyDescent="0.3">
      <c r="A4" s="73"/>
      <c r="B4" s="72"/>
      <c r="C4" s="70"/>
      <c r="D4" s="70"/>
      <c r="E4" s="70"/>
      <c r="F4" s="70"/>
      <c r="G4" s="71">
        <v>1</v>
      </c>
      <c r="H4" s="71">
        <v>2</v>
      </c>
      <c r="I4" s="71">
        <v>3</v>
      </c>
      <c r="J4" s="70"/>
      <c r="K4" s="70"/>
      <c r="L4" s="69"/>
    </row>
    <row r="5" spans="1:12" ht="15.75" x14ac:dyDescent="0.25">
      <c r="A5" s="68" t="s">
        <v>41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7"/>
    </row>
    <row r="6" spans="1:12" x14ac:dyDescent="0.25">
      <c r="A6" s="61" t="s">
        <v>495</v>
      </c>
      <c r="B6" s="61" t="s">
        <v>487</v>
      </c>
      <c r="C6" s="61" t="s">
        <v>494</v>
      </c>
      <c r="D6" s="61" t="str">
        <f>"0,8609"</f>
        <v>0,8609</v>
      </c>
      <c r="E6" s="61" t="s">
        <v>493</v>
      </c>
      <c r="F6" s="61" t="s">
        <v>18</v>
      </c>
      <c r="G6" s="62" t="s">
        <v>514</v>
      </c>
      <c r="H6" s="62" t="s">
        <v>513</v>
      </c>
      <c r="I6" s="62" t="s">
        <v>512</v>
      </c>
      <c r="J6" s="63" t="s">
        <v>512</v>
      </c>
      <c r="K6" s="62" t="str">
        <f>"96,8512"</f>
        <v>96,8512</v>
      </c>
      <c r="L6" s="61" t="s">
        <v>489</v>
      </c>
    </row>
    <row r="7" spans="1:12" x14ac:dyDescent="0.25">
      <c r="A7" s="57"/>
      <c r="B7" s="57"/>
      <c r="C7" s="57"/>
      <c r="D7" s="57"/>
      <c r="E7" s="57"/>
      <c r="F7" s="57"/>
      <c r="G7" s="58"/>
      <c r="H7" s="58"/>
      <c r="I7" s="58"/>
      <c r="J7" s="59"/>
      <c r="K7" s="58"/>
      <c r="L7" s="57"/>
    </row>
    <row r="8" spans="1:12" ht="15.75" x14ac:dyDescent="0.25">
      <c r="A8" s="66" t="s">
        <v>488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57"/>
    </row>
    <row r="9" spans="1:12" x14ac:dyDescent="0.25">
      <c r="A9" s="61" t="s">
        <v>275</v>
      </c>
      <c r="B9" s="61" t="s">
        <v>487</v>
      </c>
      <c r="C9" s="61" t="s">
        <v>486</v>
      </c>
      <c r="D9" s="61" t="str">
        <f>"0,6193"</f>
        <v>0,6193</v>
      </c>
      <c r="E9" s="61" t="s">
        <v>201</v>
      </c>
      <c r="F9" s="61" t="s">
        <v>202</v>
      </c>
      <c r="G9" s="62" t="s">
        <v>155</v>
      </c>
      <c r="H9" s="85" t="s">
        <v>304</v>
      </c>
      <c r="I9" s="62" t="s">
        <v>161</v>
      </c>
      <c r="J9" s="63" t="s">
        <v>304</v>
      </c>
      <c r="K9" s="62" t="s">
        <v>482</v>
      </c>
      <c r="L9" s="61" t="s">
        <v>481</v>
      </c>
    </row>
    <row r="10" spans="1:12" x14ac:dyDescent="0.25">
      <c r="A10" s="57"/>
      <c r="B10" s="57"/>
      <c r="C10" s="57"/>
      <c r="D10" s="57"/>
      <c r="E10" s="57"/>
      <c r="F10" s="57"/>
      <c r="G10" s="58"/>
      <c r="H10" s="58"/>
      <c r="I10" s="58"/>
      <c r="J10" s="59"/>
      <c r="K10" s="58"/>
      <c r="L10" s="57"/>
    </row>
    <row r="11" spans="1:12" ht="15.75" x14ac:dyDescent="0.25">
      <c r="A11" s="57"/>
      <c r="B11" s="57"/>
      <c r="C11" s="57"/>
      <c r="D11" s="57"/>
      <c r="E11" s="60" t="s">
        <v>132</v>
      </c>
      <c r="F11" s="57" t="s">
        <v>418</v>
      </c>
      <c r="G11" s="58"/>
      <c r="H11" s="58"/>
      <c r="I11" s="58"/>
      <c r="J11" s="59"/>
      <c r="K11" s="58"/>
      <c r="L11" s="57"/>
    </row>
    <row r="12" spans="1:12" ht="15.75" x14ac:dyDescent="0.25">
      <c r="A12" s="57"/>
      <c r="B12" s="57"/>
      <c r="C12" s="57"/>
      <c r="D12" s="57"/>
      <c r="E12" s="60" t="s">
        <v>133</v>
      </c>
      <c r="F12" s="57" t="s">
        <v>419</v>
      </c>
      <c r="G12" s="58"/>
      <c r="H12" s="58"/>
      <c r="I12" s="58"/>
      <c r="J12" s="59"/>
      <c r="K12" s="58"/>
      <c r="L12" s="57"/>
    </row>
    <row r="13" spans="1:12" ht="15.75" x14ac:dyDescent="0.25">
      <c r="A13" s="57"/>
      <c r="B13" s="57"/>
      <c r="C13" s="57"/>
      <c r="D13" s="57"/>
      <c r="E13" s="60" t="s">
        <v>134</v>
      </c>
      <c r="F13" s="57" t="s">
        <v>422</v>
      </c>
      <c r="G13" s="58"/>
      <c r="H13" s="58"/>
      <c r="I13" s="58"/>
      <c r="J13" s="59"/>
      <c r="K13" s="58"/>
      <c r="L13" s="57"/>
    </row>
    <row r="14" spans="1:12" ht="15.75" x14ac:dyDescent="0.25">
      <c r="A14" s="57"/>
      <c r="B14" s="57"/>
      <c r="C14" s="57"/>
      <c r="D14" s="57"/>
      <c r="E14" s="60" t="s">
        <v>135</v>
      </c>
      <c r="F14" s="57" t="s">
        <v>421</v>
      </c>
      <c r="G14" s="58"/>
      <c r="H14" s="58"/>
      <c r="I14" s="58"/>
      <c r="J14" s="59"/>
      <c r="K14" s="58"/>
      <c r="L14" s="57"/>
    </row>
    <row r="15" spans="1:12" ht="15.75" x14ac:dyDescent="0.25">
      <c r="A15" s="57"/>
      <c r="B15" s="57"/>
      <c r="C15" s="57"/>
      <c r="D15" s="57"/>
      <c r="E15" s="60" t="s">
        <v>135</v>
      </c>
      <c r="F15" s="57" t="s">
        <v>420</v>
      </c>
      <c r="G15" s="58"/>
      <c r="H15" s="58"/>
      <c r="I15" s="58"/>
      <c r="J15" s="59"/>
      <c r="K15" s="58"/>
      <c r="L15" s="57"/>
    </row>
    <row r="16" spans="1:12" ht="15.75" x14ac:dyDescent="0.25">
      <c r="A16" s="57"/>
      <c r="B16" s="57"/>
      <c r="C16" s="57"/>
      <c r="D16" s="57"/>
      <c r="E16" s="60" t="s">
        <v>136</v>
      </c>
      <c r="F16" s="57" t="s">
        <v>419</v>
      </c>
      <c r="G16" s="58"/>
      <c r="H16" s="58"/>
      <c r="I16" s="58"/>
      <c r="J16" s="59"/>
      <c r="K16" s="58"/>
      <c r="L16" s="57"/>
    </row>
  </sheetData>
  <mergeCells count="13">
    <mergeCell ref="G3:I3"/>
    <mergeCell ref="J3:J4"/>
    <mergeCell ref="K3:K4"/>
    <mergeCell ref="L3:L4"/>
    <mergeCell ref="A5:K5"/>
    <mergeCell ref="A8:K8"/>
    <mergeCell ref="A1:L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Люб. тяга б.э.</vt:lpstr>
      <vt:lpstr>ПРО жим софт мн.петельная</vt:lpstr>
      <vt:lpstr>Люб. жим 1 петельная</vt:lpstr>
      <vt:lpstr>ПРО жим б.э.</vt:lpstr>
      <vt:lpstr>Люб. жим б.э.</vt:lpstr>
      <vt:lpstr>Люб. ПЛ. б.э.</vt:lpstr>
      <vt:lpstr>HUB</vt:lpstr>
      <vt:lpstr>Rolling Thunder</vt:lpstr>
      <vt:lpstr>Excalibur</vt:lpstr>
      <vt:lpstr>Бицепс Профессионалы</vt:lpstr>
      <vt:lpstr>Бицепс Любители</vt:lpstr>
      <vt:lpstr>Люб. народный жим 1_2 вес</vt:lpstr>
      <vt:lpstr>Люб. народный жим 1 вес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2020-12-16T16:55:08Z</dcterms:modified>
</cp:coreProperties>
</file>