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Андрей\2021\Протоколы 2021\"/>
    </mc:Choice>
  </mc:AlternateContent>
  <bookViews>
    <workbookView xWindow="0" yWindow="0" windowWidth="28800" windowHeight="12300" tabRatio="651"/>
  </bookViews>
  <sheets>
    <sheet name="Русская тяга проф. 150 кг." sheetId="56" r:id="rId1"/>
    <sheet name="Русская тяга люб. 150 кг." sheetId="55" r:id="rId2"/>
    <sheet name="РБ Проф 50 кг." sheetId="53" r:id="rId3"/>
    <sheet name="РЖ любители 55 кг." sheetId="52" r:id="rId4"/>
    <sheet name="РЖ Проф 75 кг." sheetId="51" r:id="rId5"/>
    <sheet name="РЖ Проф 35 кг." sheetId="50" r:id="rId6"/>
    <sheet name="Пауэрспорт Профессионалы" sheetId="49" r:id="rId7"/>
    <sheet name="Пауэрспорт Любители" sheetId="48" r:id="rId8"/>
    <sheet name="Бицепс Профессионалы" sheetId="47" r:id="rId9"/>
    <sheet name="Бицепс Любители" sheetId="46" r:id="rId10"/>
    <sheet name="Жим стоя Любители" sheetId="45" r:id="rId11"/>
    <sheet name="Любители В.Ж. м.повт. 1_2" sheetId="43" r:id="rId12"/>
    <sheet name="ПРО В.Ж. м.повт. 1_2" sheetId="42" r:id="rId13"/>
    <sheet name="Проф. становая тяга" sheetId="41" r:id="rId14"/>
    <sheet name="Люб. становая тяга" sheetId="40" r:id="rId15"/>
    <sheet name="Проф. народный жим 1_2 вес" sheetId="39" r:id="rId16"/>
    <sheet name="Люб. народный жим 1_2 вес" sheetId="37" r:id="rId17"/>
    <sheet name="Люб. народный жим 1 вес" sheetId="36" r:id="rId18"/>
    <sheet name="ПРО. ЖД" sheetId="35" r:id="rId19"/>
    <sheet name="Двоеборье проф." sheetId="34" r:id="rId20"/>
    <sheet name="Люб. ЖД" sheetId="33" r:id="rId21"/>
    <sheet name="Двоеборье люб" sheetId="32" r:id="rId22"/>
    <sheet name="ПРО присед б.э." sheetId="31" r:id="rId23"/>
    <sheet name="Люб. присед б.э." sheetId="30" r:id="rId24"/>
    <sheet name="ПРО присед 1.слой" sheetId="29" r:id="rId25"/>
    <sheet name="Люб. присед 1.слой" sheetId="28" r:id="rId26"/>
    <sheet name="ПРО тяга б.э." sheetId="27" r:id="rId27"/>
    <sheet name="Люб. тяга б.э." sheetId="26" r:id="rId28"/>
    <sheet name="ПРО тяга 1.слой" sheetId="25" r:id="rId29"/>
    <sheet name="Люб. тяга 1.слой" sheetId="24" r:id="rId30"/>
    <sheet name="СОВ тяга" sheetId="23" r:id="rId31"/>
    <sheet name="ПРО жим софт мн.петельная" sheetId="22" r:id="rId32"/>
    <sheet name="ПРО жим софт 1 петельная" sheetId="21" r:id="rId33"/>
    <sheet name="Люб. жим 1 петельная" sheetId="20" r:id="rId34"/>
    <sheet name="ПРО жим б.э." sheetId="19" r:id="rId35"/>
    <sheet name="Люб. жим б.э." sheetId="18" r:id="rId36"/>
    <sheet name="ПРО жим 1.слой" sheetId="17" r:id="rId37"/>
    <sheet name="Люб. жим 1.слой" sheetId="16" r:id="rId38"/>
    <sheet name="СОВ жим" sheetId="15" r:id="rId39"/>
    <sheet name="ПРО Военный жим класс." sheetId="13" r:id="rId40"/>
    <sheet name="Люб. Военный жим класс." sheetId="12" r:id="rId41"/>
    <sheet name="Люб. ПЛ. мн.петельная софт" sheetId="11" r:id="rId42"/>
    <sheet name="ПРО ПЛ. б.э." sheetId="10" r:id="rId43"/>
    <sheet name="Люб. ПЛ. б.э." sheetId="9" r:id="rId44"/>
    <sheet name="ПРО ПЛ. 1.петельная софт" sheetId="7" r:id="rId45"/>
    <sheet name="ПРО ПЛ. 1.слой" sheetId="6" r:id="rId46"/>
    <sheet name="Люб. ПЛ. 1.слой" sheetId="5" r:id="rId47"/>
  </sheets>
  <definedNames>
    <definedName name="_FilterDatabase" localSheetId="46" hidden="1">'Люб. ПЛ. 1.слой'!$A$1:$S$3</definedName>
  </definedNames>
  <calcPr calcId="162913" refMode="R1C1" concurrentCalc="0"/>
</workbook>
</file>

<file path=xl/calcChain.xml><?xml version="1.0" encoding="utf-8"?>
<calcChain xmlns="http://schemas.openxmlformats.org/spreadsheetml/2006/main">
  <c r="J9" i="56" l="1"/>
  <c r="I9" i="56"/>
  <c r="D9" i="56"/>
  <c r="J8" i="56"/>
  <c r="I8" i="56"/>
  <c r="D8" i="56"/>
  <c r="J7" i="56"/>
  <c r="I7" i="56"/>
  <c r="D7" i="56"/>
  <c r="J6" i="56"/>
  <c r="I6" i="56"/>
  <c r="D6" i="56"/>
  <c r="J7" i="55"/>
  <c r="I7" i="55"/>
  <c r="D7" i="55"/>
  <c r="J6" i="55"/>
  <c r="I6" i="55"/>
  <c r="D6" i="55"/>
  <c r="J10" i="53"/>
  <c r="I10" i="53"/>
  <c r="D10" i="53"/>
  <c r="J9" i="53"/>
  <c r="I9" i="53"/>
  <c r="D9" i="53"/>
  <c r="J8" i="53"/>
  <c r="I8" i="53"/>
  <c r="D8" i="53"/>
  <c r="J7" i="53"/>
  <c r="I7" i="53"/>
  <c r="D7" i="53"/>
  <c r="J6" i="53"/>
  <c r="I6" i="53"/>
  <c r="D6" i="53"/>
  <c r="J11" i="52"/>
  <c r="I11" i="52"/>
  <c r="D11" i="52"/>
  <c r="J10" i="52"/>
  <c r="I10" i="52"/>
  <c r="D10" i="52"/>
  <c r="J9" i="52"/>
  <c r="I9" i="52"/>
  <c r="D9" i="52"/>
  <c r="J8" i="52"/>
  <c r="I8" i="52"/>
  <c r="D8" i="52"/>
  <c r="J7" i="52"/>
  <c r="I7" i="52"/>
  <c r="D7" i="52"/>
  <c r="J6" i="52"/>
  <c r="I6" i="52"/>
  <c r="D6" i="52"/>
  <c r="J6" i="51"/>
  <c r="I6" i="51"/>
  <c r="D6" i="51"/>
  <c r="J6" i="50"/>
  <c r="I6" i="50"/>
  <c r="D6" i="50"/>
  <c r="P6" i="49"/>
  <c r="O6" i="49"/>
  <c r="D6" i="49"/>
  <c r="P6" i="48"/>
  <c r="O6" i="48"/>
  <c r="D6" i="48"/>
  <c r="L19" i="47"/>
  <c r="K19" i="47"/>
  <c r="D19" i="47"/>
  <c r="L16" i="47"/>
  <c r="K16" i="47"/>
  <c r="D16" i="47"/>
  <c r="L13" i="47"/>
  <c r="K13" i="47"/>
  <c r="D13" i="47"/>
  <c r="L12" i="47"/>
  <c r="K12" i="47"/>
  <c r="D12" i="47"/>
  <c r="L9" i="47"/>
  <c r="K9" i="47"/>
  <c r="D9" i="47"/>
  <c r="L6" i="47"/>
  <c r="K6" i="47"/>
  <c r="D6" i="47"/>
  <c r="L56" i="46"/>
  <c r="K56" i="46"/>
  <c r="D56" i="46"/>
  <c r="L55" i="46"/>
  <c r="K55" i="46"/>
  <c r="D55" i="46"/>
  <c r="L54" i="46"/>
  <c r="K54" i="46"/>
  <c r="D54" i="46"/>
  <c r="L51" i="46"/>
  <c r="K51" i="46"/>
  <c r="D51" i="46"/>
  <c r="L50" i="46"/>
  <c r="K50" i="46"/>
  <c r="D50" i="46"/>
  <c r="L49" i="46"/>
  <c r="K49" i="46"/>
  <c r="D49" i="46"/>
  <c r="L48" i="46"/>
  <c r="K48" i="46"/>
  <c r="D48" i="46"/>
  <c r="L47" i="46"/>
  <c r="K47" i="46"/>
  <c r="D47" i="46"/>
  <c r="L44" i="46"/>
  <c r="K44" i="46"/>
  <c r="D44" i="46"/>
  <c r="L43" i="46"/>
  <c r="K43" i="46"/>
  <c r="D43" i="46"/>
  <c r="L42" i="46"/>
  <c r="K42" i="46"/>
  <c r="D42" i="46"/>
  <c r="L41" i="46"/>
  <c r="K41" i="46"/>
  <c r="D41" i="46"/>
  <c r="L40" i="46"/>
  <c r="K40" i="46"/>
  <c r="D40" i="46"/>
  <c r="L39" i="46"/>
  <c r="K39" i="46"/>
  <c r="D39" i="46"/>
  <c r="L36" i="46"/>
  <c r="K36" i="46"/>
  <c r="D36" i="46"/>
  <c r="L35" i="46"/>
  <c r="K35" i="46"/>
  <c r="D35" i="46"/>
  <c r="L34" i="46"/>
  <c r="K34" i="46"/>
  <c r="D34" i="46"/>
  <c r="L33" i="46"/>
  <c r="K33" i="46"/>
  <c r="D33" i="46"/>
  <c r="L32" i="46"/>
  <c r="K32" i="46"/>
  <c r="D32" i="46"/>
  <c r="L31" i="46"/>
  <c r="K31" i="46"/>
  <c r="D31" i="46"/>
  <c r="L28" i="46"/>
  <c r="K28" i="46"/>
  <c r="D28" i="46"/>
  <c r="L27" i="46"/>
  <c r="K27" i="46"/>
  <c r="D27" i="46"/>
  <c r="L26" i="46"/>
  <c r="K26" i="46"/>
  <c r="D26" i="46"/>
  <c r="L25" i="46"/>
  <c r="K25" i="46"/>
  <c r="D25" i="46"/>
  <c r="L22" i="46"/>
  <c r="K22" i="46"/>
  <c r="D22" i="46"/>
  <c r="L21" i="46"/>
  <c r="K21" i="46"/>
  <c r="D21" i="46"/>
  <c r="L20" i="46"/>
  <c r="K20" i="46"/>
  <c r="D20" i="46"/>
  <c r="L17" i="46"/>
  <c r="K17" i="46"/>
  <c r="D17" i="46"/>
  <c r="L16" i="46"/>
  <c r="K16" i="46"/>
  <c r="D16" i="46"/>
  <c r="L15" i="46"/>
  <c r="K15" i="46"/>
  <c r="D15" i="46"/>
  <c r="L12" i="46"/>
  <c r="K12" i="46"/>
  <c r="D12" i="46"/>
  <c r="L9" i="46"/>
  <c r="K9" i="46"/>
  <c r="D9" i="46"/>
  <c r="L6" i="46"/>
  <c r="K6" i="46"/>
  <c r="D6" i="46"/>
  <c r="L10" i="45"/>
  <c r="K10" i="45"/>
  <c r="D10" i="45"/>
  <c r="L9" i="45"/>
  <c r="K9" i="45"/>
  <c r="D9" i="45"/>
  <c r="L6" i="45"/>
  <c r="K6" i="45"/>
  <c r="D6" i="45"/>
  <c r="J10" i="43"/>
  <c r="I10" i="43"/>
  <c r="D10" i="43"/>
  <c r="J9" i="43"/>
  <c r="I9" i="43"/>
  <c r="D9" i="43"/>
  <c r="J6" i="43"/>
  <c r="I6" i="43"/>
  <c r="D6" i="43"/>
  <c r="J10" i="42"/>
  <c r="I10" i="42"/>
  <c r="D10" i="42"/>
  <c r="J9" i="42"/>
  <c r="I9" i="42"/>
  <c r="D9" i="42"/>
  <c r="J6" i="42"/>
  <c r="I6" i="42"/>
  <c r="D6" i="42"/>
  <c r="J6" i="41"/>
  <c r="I6" i="41"/>
  <c r="D6" i="41"/>
  <c r="J6" i="40"/>
  <c r="I6" i="40"/>
  <c r="D6" i="40"/>
  <c r="J10" i="39"/>
  <c r="I10" i="39"/>
  <c r="D10" i="39"/>
  <c r="J9" i="39"/>
  <c r="I9" i="39"/>
  <c r="D9" i="39"/>
  <c r="J6" i="39"/>
  <c r="I6" i="39"/>
  <c r="D6" i="39"/>
  <c r="J10" i="37"/>
  <c r="I10" i="37"/>
  <c r="D10" i="37"/>
  <c r="J9" i="37"/>
  <c r="I9" i="37"/>
  <c r="D9" i="37"/>
  <c r="J6" i="37"/>
  <c r="I6" i="37"/>
  <c r="D6" i="37"/>
  <c r="J15" i="36"/>
  <c r="I15" i="36"/>
  <c r="D15" i="36"/>
  <c r="J12" i="36"/>
  <c r="I12" i="36"/>
  <c r="D12" i="36"/>
  <c r="J9" i="36"/>
  <c r="I9" i="36"/>
  <c r="D9" i="36"/>
  <c r="J6" i="36"/>
  <c r="I6" i="36"/>
  <c r="D6" i="36"/>
  <c r="N6" i="35"/>
  <c r="M6" i="35"/>
  <c r="D6" i="35"/>
  <c r="P6" i="34"/>
  <c r="O6" i="34"/>
  <c r="D6" i="34"/>
  <c r="N13" i="33"/>
  <c r="M13" i="33"/>
  <c r="D13" i="33"/>
  <c r="N12" i="33"/>
  <c r="M12" i="33"/>
  <c r="D12" i="33"/>
  <c r="N9" i="33"/>
  <c r="M9" i="33"/>
  <c r="D9" i="33"/>
  <c r="N6" i="33"/>
  <c r="M6" i="33"/>
  <c r="D6" i="33"/>
  <c r="P18" i="32"/>
  <c r="O18" i="32"/>
  <c r="D18" i="32"/>
  <c r="P15" i="32"/>
  <c r="O15" i="32"/>
  <c r="D15" i="32"/>
  <c r="P12" i="32"/>
  <c r="O12" i="32"/>
  <c r="D12" i="32"/>
  <c r="P9" i="32"/>
  <c r="O9" i="32"/>
  <c r="D9" i="32"/>
  <c r="P6" i="32"/>
  <c r="O6" i="32"/>
  <c r="D6" i="32"/>
  <c r="L6" i="31"/>
  <c r="K6" i="31"/>
  <c r="D6" i="31"/>
  <c r="L9" i="30"/>
  <c r="K9" i="30"/>
  <c r="D9" i="30"/>
  <c r="L6" i="30"/>
  <c r="K6" i="30"/>
  <c r="D6" i="30"/>
  <c r="L6" i="29"/>
  <c r="K6" i="29"/>
  <c r="D6" i="29"/>
  <c r="L6" i="28"/>
  <c r="K6" i="28"/>
  <c r="D6" i="28"/>
  <c r="L20" i="27"/>
  <c r="K20" i="27"/>
  <c r="D20" i="27"/>
  <c r="L17" i="27"/>
  <c r="K17" i="27"/>
  <c r="D17" i="27"/>
  <c r="L16" i="27"/>
  <c r="K16" i="27"/>
  <c r="D16" i="27"/>
  <c r="L15" i="27"/>
  <c r="K15" i="27"/>
  <c r="D15" i="27"/>
  <c r="L12" i="27"/>
  <c r="K12" i="27"/>
  <c r="D12" i="27"/>
  <c r="L9" i="27"/>
  <c r="K9" i="27"/>
  <c r="D9" i="27"/>
  <c r="L6" i="27"/>
  <c r="K6" i="27"/>
  <c r="D6" i="27"/>
  <c r="L58" i="26"/>
  <c r="K58" i="26"/>
  <c r="D58" i="26"/>
  <c r="L57" i="26"/>
  <c r="K57" i="26"/>
  <c r="D57" i="26"/>
  <c r="L56" i="26"/>
  <c r="K56" i="26"/>
  <c r="D56" i="26"/>
  <c r="L55" i="26"/>
  <c r="K55" i="26"/>
  <c r="D55" i="26"/>
  <c r="L52" i="26"/>
  <c r="K52" i="26"/>
  <c r="D52" i="26"/>
  <c r="L51" i="26"/>
  <c r="K51" i="26"/>
  <c r="D51" i="26"/>
  <c r="L50" i="26"/>
  <c r="K50" i="26"/>
  <c r="D50" i="26"/>
  <c r="L49" i="26"/>
  <c r="K49" i="26"/>
  <c r="D49" i="26"/>
  <c r="L46" i="26"/>
  <c r="K46" i="26"/>
  <c r="D46" i="26"/>
  <c r="L45" i="26"/>
  <c r="K45" i="26"/>
  <c r="D45" i="26"/>
  <c r="L44" i="26"/>
  <c r="K44" i="26"/>
  <c r="D44" i="26"/>
  <c r="L41" i="26"/>
  <c r="K41" i="26"/>
  <c r="D41" i="26"/>
  <c r="L40" i="26"/>
  <c r="K40" i="26"/>
  <c r="D40" i="26"/>
  <c r="L37" i="26"/>
  <c r="K37" i="26"/>
  <c r="D37" i="26"/>
  <c r="L36" i="26"/>
  <c r="K36" i="26"/>
  <c r="D36" i="26"/>
  <c r="L35" i="26"/>
  <c r="K35" i="26"/>
  <c r="D35" i="26"/>
  <c r="L34" i="26"/>
  <c r="K34" i="26"/>
  <c r="D34" i="26"/>
  <c r="L31" i="26"/>
  <c r="K31" i="26"/>
  <c r="D31" i="26"/>
  <c r="L28" i="26"/>
  <c r="K28" i="26"/>
  <c r="D28" i="26"/>
  <c r="L27" i="26"/>
  <c r="K27" i="26"/>
  <c r="D27" i="26"/>
  <c r="L24" i="26"/>
  <c r="K24" i="26"/>
  <c r="D24" i="26"/>
  <c r="L23" i="26"/>
  <c r="K23" i="26"/>
  <c r="D23" i="26"/>
  <c r="L20" i="26"/>
  <c r="K20" i="26"/>
  <c r="D20" i="26"/>
  <c r="L19" i="26"/>
  <c r="K19" i="26"/>
  <c r="D19" i="26"/>
  <c r="L18" i="26"/>
  <c r="K18" i="26"/>
  <c r="D18" i="26"/>
  <c r="L17" i="26"/>
  <c r="K17" i="26"/>
  <c r="D17" i="26"/>
  <c r="L14" i="26"/>
  <c r="K14" i="26"/>
  <c r="D14" i="26"/>
  <c r="L13" i="26"/>
  <c r="K13" i="26"/>
  <c r="D13" i="26"/>
  <c r="L12" i="26"/>
  <c r="K12" i="26"/>
  <c r="D12" i="26"/>
  <c r="L9" i="26"/>
  <c r="K9" i="26"/>
  <c r="D9" i="26"/>
  <c r="L8" i="26"/>
  <c r="K8" i="26"/>
  <c r="D8" i="26"/>
  <c r="L7" i="26"/>
  <c r="K7" i="26"/>
  <c r="D7" i="26"/>
  <c r="L6" i="26"/>
  <c r="K6" i="26"/>
  <c r="D6" i="26"/>
  <c r="L9" i="25"/>
  <c r="K9" i="25"/>
  <c r="D9" i="25"/>
  <c r="L6" i="25"/>
  <c r="K6" i="25"/>
  <c r="D6" i="25"/>
  <c r="L13" i="24"/>
  <c r="K13" i="24"/>
  <c r="D13" i="24"/>
  <c r="L12" i="24"/>
  <c r="K12" i="24"/>
  <c r="D12" i="24"/>
  <c r="L9" i="24"/>
  <c r="K9" i="24"/>
  <c r="D9" i="24"/>
  <c r="L6" i="24"/>
  <c r="K6" i="24"/>
  <c r="D6" i="24"/>
  <c r="L9" i="23"/>
  <c r="K9" i="23"/>
  <c r="D9" i="23"/>
  <c r="L6" i="23"/>
  <c r="K6" i="23"/>
  <c r="D6" i="23"/>
  <c r="L14" i="22"/>
  <c r="K14" i="22"/>
  <c r="D14" i="22"/>
  <c r="L11" i="22"/>
  <c r="K11" i="22"/>
  <c r="D11" i="22"/>
  <c r="L10" i="22"/>
  <c r="K10" i="22"/>
  <c r="D10" i="22"/>
  <c r="L9" i="22"/>
  <c r="K9" i="22"/>
  <c r="D9" i="22"/>
  <c r="L6" i="22"/>
  <c r="K6" i="22"/>
  <c r="D6" i="22"/>
  <c r="L7" i="21"/>
  <c r="K7" i="21"/>
  <c r="D7" i="21"/>
  <c r="L6" i="21"/>
  <c r="K6" i="21"/>
  <c r="D6" i="21"/>
  <c r="L12" i="20"/>
  <c r="K12" i="20"/>
  <c r="D12" i="20"/>
  <c r="L9" i="20"/>
  <c r="K9" i="20"/>
  <c r="D9" i="20"/>
  <c r="L6" i="20"/>
  <c r="K6" i="20"/>
  <c r="D6" i="20"/>
  <c r="L30" i="19"/>
  <c r="K30" i="19"/>
  <c r="D30" i="19"/>
  <c r="L27" i="19"/>
  <c r="K27" i="19"/>
  <c r="D27" i="19"/>
  <c r="L24" i="19"/>
  <c r="K24" i="19"/>
  <c r="D24" i="19"/>
  <c r="L23" i="19"/>
  <c r="K23" i="19"/>
  <c r="D23" i="19"/>
  <c r="L20" i="19"/>
  <c r="K20" i="19"/>
  <c r="D20" i="19"/>
  <c r="L19" i="19"/>
  <c r="K19" i="19"/>
  <c r="D19" i="19"/>
  <c r="L18" i="19"/>
  <c r="K18" i="19"/>
  <c r="D18" i="19"/>
  <c r="L15" i="19"/>
  <c r="K15" i="19"/>
  <c r="D15" i="19"/>
  <c r="L12" i="19"/>
  <c r="K12" i="19"/>
  <c r="D12" i="19"/>
  <c r="L9" i="19"/>
  <c r="K9" i="19"/>
  <c r="D9" i="19"/>
  <c r="L6" i="19"/>
  <c r="K6" i="19"/>
  <c r="D6" i="19"/>
  <c r="L69" i="18"/>
  <c r="K69" i="18"/>
  <c r="D69" i="18"/>
  <c r="L66" i="18"/>
  <c r="K66" i="18"/>
  <c r="D66" i="18"/>
  <c r="L65" i="18"/>
  <c r="K65" i="18"/>
  <c r="D65" i="18"/>
  <c r="L64" i="18"/>
  <c r="K64" i="18"/>
  <c r="D64" i="18"/>
  <c r="L63" i="18"/>
  <c r="K63" i="18"/>
  <c r="D63" i="18"/>
  <c r="L62" i="18"/>
  <c r="K62" i="18"/>
  <c r="D62" i="18"/>
  <c r="L61" i="18"/>
  <c r="K61" i="18"/>
  <c r="D61" i="18"/>
  <c r="L60" i="18"/>
  <c r="K60" i="18"/>
  <c r="D60" i="18"/>
  <c r="L57" i="18"/>
  <c r="K57" i="18"/>
  <c r="D57" i="18"/>
  <c r="L56" i="18"/>
  <c r="K56" i="18"/>
  <c r="D56" i="18"/>
  <c r="L55" i="18"/>
  <c r="K55" i="18"/>
  <c r="D55" i="18"/>
  <c r="L54" i="18"/>
  <c r="K54" i="18"/>
  <c r="D54" i="18"/>
  <c r="L53" i="18"/>
  <c r="K53" i="18"/>
  <c r="D53" i="18"/>
  <c r="L52" i="18"/>
  <c r="K52" i="18"/>
  <c r="D52" i="18"/>
  <c r="L51" i="18"/>
  <c r="K51" i="18"/>
  <c r="D51" i="18"/>
  <c r="L50" i="18"/>
  <c r="K50" i="18"/>
  <c r="D50" i="18"/>
  <c r="L49" i="18"/>
  <c r="K49" i="18"/>
  <c r="D49" i="18"/>
  <c r="L48" i="18"/>
  <c r="K48" i="18"/>
  <c r="D48" i="18"/>
  <c r="L45" i="18"/>
  <c r="K45" i="18"/>
  <c r="D45" i="18"/>
  <c r="L44" i="18"/>
  <c r="K44" i="18"/>
  <c r="D44" i="18"/>
  <c r="L43" i="18"/>
  <c r="K43" i="18"/>
  <c r="D43" i="18"/>
  <c r="L42" i="18"/>
  <c r="K42" i="18"/>
  <c r="D42" i="18"/>
  <c r="L41" i="18"/>
  <c r="K41" i="18"/>
  <c r="D41" i="18"/>
  <c r="L40" i="18"/>
  <c r="K40" i="18"/>
  <c r="D40" i="18"/>
  <c r="L39" i="18"/>
  <c r="K39" i="18"/>
  <c r="D39" i="18"/>
  <c r="L38" i="18"/>
  <c r="K38" i="18"/>
  <c r="D38" i="18"/>
  <c r="L35" i="18"/>
  <c r="K35" i="18"/>
  <c r="D35" i="18"/>
  <c r="L34" i="18"/>
  <c r="K34" i="18"/>
  <c r="D34" i="18"/>
  <c r="L33" i="18"/>
  <c r="K33" i="18"/>
  <c r="D33" i="18"/>
  <c r="L30" i="18"/>
  <c r="K30" i="18"/>
  <c r="D30" i="18"/>
  <c r="L29" i="18"/>
  <c r="K29" i="18"/>
  <c r="D29" i="18"/>
  <c r="L28" i="18"/>
  <c r="K28" i="18"/>
  <c r="D28" i="18"/>
  <c r="L27" i="18"/>
  <c r="K27" i="18"/>
  <c r="D27" i="18"/>
  <c r="L26" i="18"/>
  <c r="K26" i="18"/>
  <c r="D26" i="18"/>
  <c r="L25" i="18"/>
  <c r="K25" i="18"/>
  <c r="D25" i="18"/>
  <c r="L24" i="18"/>
  <c r="K24" i="18"/>
  <c r="D24" i="18"/>
  <c r="L23" i="18"/>
  <c r="K23" i="18"/>
  <c r="D23" i="18"/>
  <c r="L20" i="18"/>
  <c r="K20" i="18"/>
  <c r="D20" i="18"/>
  <c r="L17" i="18"/>
  <c r="K17" i="18"/>
  <c r="D17" i="18"/>
  <c r="L14" i="18"/>
  <c r="K14" i="18"/>
  <c r="D14" i="18"/>
  <c r="L13" i="18"/>
  <c r="K13" i="18"/>
  <c r="D13" i="18"/>
  <c r="L10" i="18"/>
  <c r="K10" i="18"/>
  <c r="D10" i="18"/>
  <c r="L9" i="18"/>
  <c r="K9" i="18"/>
  <c r="D9" i="18"/>
  <c r="L6" i="18"/>
  <c r="K6" i="18"/>
  <c r="D6" i="18"/>
  <c r="L7" i="17"/>
  <c r="K7" i="17"/>
  <c r="D7" i="17"/>
  <c r="L6" i="17"/>
  <c r="K6" i="17"/>
  <c r="D6" i="17"/>
  <c r="L9" i="16"/>
  <c r="K9" i="16"/>
  <c r="D9" i="16"/>
  <c r="L6" i="16"/>
  <c r="K6" i="16"/>
  <c r="D6" i="16"/>
  <c r="L12" i="15"/>
  <c r="K12" i="15"/>
  <c r="D12" i="15"/>
  <c r="L9" i="15"/>
  <c r="K9" i="15"/>
  <c r="D9" i="15"/>
  <c r="L6" i="15"/>
  <c r="K6" i="15"/>
  <c r="D6" i="15"/>
  <c r="L10" i="13"/>
  <c r="K10" i="13"/>
  <c r="D10" i="13"/>
  <c r="L7" i="13"/>
  <c r="K7" i="13"/>
  <c r="D7" i="13"/>
  <c r="L6" i="13"/>
  <c r="K6" i="13"/>
  <c r="D6" i="13"/>
  <c r="L26" i="12"/>
  <c r="K26" i="12"/>
  <c r="D26" i="12"/>
  <c r="L23" i="12"/>
  <c r="K23" i="12"/>
  <c r="D23" i="12"/>
  <c r="L22" i="12"/>
  <c r="K22" i="12"/>
  <c r="D22" i="12"/>
  <c r="L21" i="12"/>
  <c r="K21" i="12"/>
  <c r="D21" i="12"/>
  <c r="L18" i="12"/>
  <c r="K18" i="12"/>
  <c r="D18" i="12"/>
  <c r="L17" i="12"/>
  <c r="K17" i="12"/>
  <c r="D17" i="12"/>
  <c r="L16" i="12"/>
  <c r="K16" i="12"/>
  <c r="D16" i="12"/>
  <c r="L15" i="12"/>
  <c r="K15" i="12"/>
  <c r="D15" i="12"/>
  <c r="L12" i="12"/>
  <c r="K12" i="12"/>
  <c r="D12" i="12"/>
  <c r="L9" i="12"/>
  <c r="K9" i="12"/>
  <c r="D9" i="12"/>
  <c r="L6" i="12"/>
  <c r="K6" i="12"/>
  <c r="D6" i="12"/>
  <c r="T6" i="11"/>
  <c r="S6" i="11"/>
  <c r="D6" i="11"/>
  <c r="T16" i="10"/>
  <c r="S16" i="10"/>
  <c r="D16" i="10"/>
  <c r="T15" i="10"/>
  <c r="S15" i="10"/>
  <c r="D15" i="10"/>
  <c r="T14" i="10"/>
  <c r="S14" i="10"/>
  <c r="D14" i="10"/>
  <c r="T13" i="10"/>
  <c r="S13" i="10"/>
  <c r="D13" i="10"/>
  <c r="T10" i="10"/>
  <c r="S10" i="10"/>
  <c r="D10" i="10"/>
  <c r="T7" i="10"/>
  <c r="S7" i="10"/>
  <c r="D7" i="10"/>
  <c r="T6" i="10"/>
  <c r="S6" i="10"/>
  <c r="D6" i="10"/>
  <c r="T47" i="9"/>
  <c r="S47" i="9"/>
  <c r="D47" i="9"/>
  <c r="T44" i="9"/>
  <c r="S44" i="9"/>
  <c r="D44" i="9"/>
  <c r="T43" i="9"/>
  <c r="S43" i="9"/>
  <c r="D43" i="9"/>
  <c r="T42" i="9"/>
  <c r="S42" i="9"/>
  <c r="D42" i="9"/>
  <c r="T39" i="9"/>
  <c r="S39" i="9"/>
  <c r="D39" i="9"/>
  <c r="T36" i="9"/>
  <c r="S36" i="9"/>
  <c r="D36" i="9"/>
  <c r="T35" i="9"/>
  <c r="S35" i="9"/>
  <c r="D35" i="9"/>
  <c r="T34" i="9"/>
  <c r="S34" i="9"/>
  <c r="D34" i="9"/>
  <c r="T33" i="9"/>
  <c r="S33" i="9"/>
  <c r="D33" i="9"/>
  <c r="T30" i="9"/>
  <c r="S30" i="9"/>
  <c r="D30" i="9"/>
  <c r="T29" i="9"/>
  <c r="S29" i="9"/>
  <c r="D29" i="9"/>
  <c r="T26" i="9"/>
  <c r="S26" i="9"/>
  <c r="D26" i="9"/>
  <c r="T23" i="9"/>
  <c r="S23" i="9"/>
  <c r="D23" i="9"/>
  <c r="T20" i="9"/>
  <c r="S20" i="9"/>
  <c r="D20" i="9"/>
  <c r="T17" i="9"/>
  <c r="S17" i="9"/>
  <c r="D17" i="9"/>
  <c r="T16" i="9"/>
  <c r="S16" i="9"/>
  <c r="D16" i="9"/>
  <c r="T13" i="9"/>
  <c r="S13" i="9"/>
  <c r="D13" i="9"/>
  <c r="T12" i="9"/>
  <c r="S12" i="9"/>
  <c r="D12" i="9"/>
  <c r="T9" i="9"/>
  <c r="S9" i="9"/>
  <c r="D9" i="9"/>
  <c r="T6" i="9"/>
  <c r="S6" i="9"/>
  <c r="D6" i="9"/>
  <c r="T6" i="7"/>
  <c r="S6" i="7"/>
  <c r="D6" i="7"/>
  <c r="T6" i="6"/>
  <c r="S6" i="6"/>
  <c r="D6" i="6"/>
  <c r="T6" i="5"/>
  <c r="S6" i="5"/>
  <c r="D6" i="5"/>
</calcChain>
</file>

<file path=xl/sharedStrings.xml><?xml version="1.0" encoding="utf-8"?>
<sst xmlns="http://schemas.openxmlformats.org/spreadsheetml/2006/main" count="5537" uniqueCount="1362">
  <si>
    <t>ФИО</t>
  </si>
  <si>
    <t>Сумма</t>
  </si>
  <si>
    <t>Тренер</t>
  </si>
  <si>
    <t>Очки</t>
  </si>
  <si>
    <t>Команда</t>
  </si>
  <si>
    <t>Рек</t>
  </si>
  <si>
    <t>Возрастная группа
Дата рождения/Возраст</t>
  </si>
  <si>
    <t>Город/Область</t>
  </si>
  <si>
    <t>Вес</t>
  </si>
  <si>
    <t>Повторы</t>
  </si>
  <si>
    <t>Собственный 
вес</t>
  </si>
  <si>
    <t>Shv/Mel</t>
  </si>
  <si>
    <t>Приседание</t>
  </si>
  <si>
    <t>Жим лёжа</t>
  </si>
  <si>
    <t>Становая тяга</t>
  </si>
  <si>
    <t>ВЕСОВАЯ КАТЕГОРИЯ   110</t>
  </si>
  <si>
    <t>Ермолаев Иван</t>
  </si>
  <si>
    <t>1. Ермолаев Иван</t>
  </si>
  <si>
    <t>Юниоры 20 - 23 (29.12.1997)/23</t>
  </si>
  <si>
    <t>107,70</t>
  </si>
  <si>
    <t xml:space="preserve">Медведь </t>
  </si>
  <si>
    <t xml:space="preserve">Курск/Курская область </t>
  </si>
  <si>
    <t>280,0</t>
  </si>
  <si>
    <t>367,5</t>
  </si>
  <si>
    <t>180,0</t>
  </si>
  <si>
    <t>200,0</t>
  </si>
  <si>
    <t>250,0</t>
  </si>
  <si>
    <t>287,5</t>
  </si>
  <si>
    <t xml:space="preserve"> </t>
  </si>
  <si>
    <t>Главный судья:</t>
  </si>
  <si>
    <t>Главный секретарь:</t>
  </si>
  <si>
    <t>Старший судья:</t>
  </si>
  <si>
    <t>Боковой судья:</t>
  </si>
  <si>
    <t>Секретарь:</t>
  </si>
  <si>
    <t xml:space="preserve">Абсолютный зачёт </t>
  </si>
  <si>
    <t xml:space="preserve">Мужчины </t>
  </si>
  <si>
    <t xml:space="preserve">Юниоры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</si>
  <si>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</si>
  <si>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</si>
  <si>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</si>
  <si>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</si>
  <si>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Shv/Mel </t>
  </si>
  <si>
    <t xml:space="preserve">Юниоры 20 - 23 </t>
  </si>
  <si>
    <t>110</t>
  </si>
  <si>
    <t>710,0</t>
  </si>
  <si>
    <t>383,0450</t>
  </si>
  <si>
    <t>ВЕСОВАЯ КАТЕГОРИЯ   100</t>
  </si>
  <si>
    <t>Андреев Валентин</t>
  </si>
  <si>
    <t>1. Андреев Валентин</t>
  </si>
  <si>
    <t>Мастера 70 - 74 (06.05.1948)/72</t>
  </si>
  <si>
    <t>90,60</t>
  </si>
  <si>
    <t xml:space="preserve">Лично </t>
  </si>
  <si>
    <t xml:space="preserve">Энгельс/Саратовская область </t>
  </si>
  <si>
    <t>220,0</t>
  </si>
  <si>
    <t>220,0o</t>
  </si>
  <si>
    <t>105,0</t>
  </si>
  <si>
    <t>105,0o</t>
  </si>
  <si>
    <t>110,0</t>
  </si>
  <si>
    <t>230,0o</t>
  </si>
  <si>
    <t>240,0</t>
  </si>
  <si>
    <t xml:space="preserve">Ракчеев Олег / Аракилян Артур </t>
  </si>
  <si>
    <t xml:space="preserve">Мастера </t>
  </si>
  <si>
    <t xml:space="preserve">Мастера 70 - 74 </t>
  </si>
  <si>
    <t>100</t>
  </si>
  <si>
    <t>555,0</t>
  </si>
  <si>
    <t>671,7209</t>
  </si>
  <si>
    <t>ВЕСОВАЯ КАТЕГОРИЯ   67.5</t>
  </si>
  <si>
    <t>Коновалова Мария</t>
  </si>
  <si>
    <t>1. Коновалова Мария</t>
  </si>
  <si>
    <t>Открытая (30.07.1985)/35</t>
  </si>
  <si>
    <t>64,90</t>
  </si>
  <si>
    <t xml:space="preserve">Стальное Звено </t>
  </si>
  <si>
    <t>130,0o</t>
  </si>
  <si>
    <t>140,0</t>
  </si>
  <si>
    <t>70,0</t>
  </si>
  <si>
    <t>75,0</t>
  </si>
  <si>
    <t>80,0</t>
  </si>
  <si>
    <t>125,0</t>
  </si>
  <si>
    <t>132,5</t>
  </si>
  <si>
    <t>137,5</t>
  </si>
  <si>
    <t xml:space="preserve">Женщины </t>
  </si>
  <si>
    <t xml:space="preserve">Открытая </t>
  </si>
  <si>
    <t>67.5</t>
  </si>
  <si>
    <t>337,5</t>
  </si>
  <si>
    <t>271,9406</t>
  </si>
  <si>
    <t>ВЕСОВАЯ КАТЕГОРИЯ   48</t>
  </si>
  <si>
    <t>Крузина Ася</t>
  </si>
  <si>
    <t>1. Крузина Ася</t>
  </si>
  <si>
    <t>Открытая (24.12.1986)/34</t>
  </si>
  <si>
    <t>46,40</t>
  </si>
  <si>
    <t>82,5</t>
  </si>
  <si>
    <t>90,0</t>
  </si>
  <si>
    <t>52,5</t>
  </si>
  <si>
    <t>57,5</t>
  </si>
  <si>
    <t>100,0</t>
  </si>
  <si>
    <t>ВЕСОВАЯ КАТЕГОРИЯ   56</t>
  </si>
  <si>
    <t>Шевченко Екатерина</t>
  </si>
  <si>
    <t>1. Шевченко Екатерина</t>
  </si>
  <si>
    <t>Открытая (07.07.1995)/25</t>
  </si>
  <si>
    <t>55,70</t>
  </si>
  <si>
    <t xml:space="preserve">Академия Силы </t>
  </si>
  <si>
    <t xml:space="preserve">Курчатов/Курская область </t>
  </si>
  <si>
    <t>95,0</t>
  </si>
  <si>
    <t>60,0</t>
  </si>
  <si>
    <t>65,0</t>
  </si>
  <si>
    <t>115,0</t>
  </si>
  <si>
    <t>120,0</t>
  </si>
  <si>
    <t>ВЕСОВАЯ КАТЕГОРИЯ   60</t>
  </si>
  <si>
    <t>Карпова Екатерина</t>
  </si>
  <si>
    <t>1. Карпова Екатерина</t>
  </si>
  <si>
    <t>Открытая (13.03.1987)/34</t>
  </si>
  <si>
    <t>58,00</t>
  </si>
  <si>
    <t xml:space="preserve">Воронеж/Воронежская область </t>
  </si>
  <si>
    <t>62,5</t>
  </si>
  <si>
    <t>Сергеева Анна</t>
  </si>
  <si>
    <t>2. Сергеева Анна</t>
  </si>
  <si>
    <t>Открытая (28.04.1992)/28</t>
  </si>
  <si>
    <t>58,80</t>
  </si>
  <si>
    <t xml:space="preserve">Сталь Белогорья </t>
  </si>
  <si>
    <t xml:space="preserve">Губкин/Белгородская область </t>
  </si>
  <si>
    <t>55,0</t>
  </si>
  <si>
    <t>130,0</t>
  </si>
  <si>
    <t>142,5</t>
  </si>
  <si>
    <t>Кретинина Анна</t>
  </si>
  <si>
    <t>1. Кретинина Анна</t>
  </si>
  <si>
    <t>Открытая (27.08.1989)/31</t>
  </si>
  <si>
    <t>67,20</t>
  </si>
  <si>
    <t>135,0</t>
  </si>
  <si>
    <t>85,0</t>
  </si>
  <si>
    <t>87,5</t>
  </si>
  <si>
    <t>145,0</t>
  </si>
  <si>
    <t>150,0</t>
  </si>
  <si>
    <t>160,0</t>
  </si>
  <si>
    <t>Васильева Елена</t>
  </si>
  <si>
    <t>2. Васильева Елена</t>
  </si>
  <si>
    <t>Открытая (29.05.1985)/35</t>
  </si>
  <si>
    <t>63,20</t>
  </si>
  <si>
    <t xml:space="preserve">Брянск/Брянская область </t>
  </si>
  <si>
    <t>112,5o</t>
  </si>
  <si>
    <t>60,0o</t>
  </si>
  <si>
    <t>115,0o</t>
  </si>
  <si>
    <t>125,0o</t>
  </si>
  <si>
    <t>132,5o</t>
  </si>
  <si>
    <t>ВЕСОВАЯ КАТЕГОРИЯ   90</t>
  </si>
  <si>
    <t>Хазыкова Татьяна</t>
  </si>
  <si>
    <t>1. Хазыкова Татьяна</t>
  </si>
  <si>
    <t>Открытая (09.03.1988)/33</t>
  </si>
  <si>
    <t>84,00</t>
  </si>
  <si>
    <t xml:space="preserve">Ferrum </t>
  </si>
  <si>
    <t>67,5</t>
  </si>
  <si>
    <t>ВЕСОВАЯ КАТЕГОРИЯ   52</t>
  </si>
  <si>
    <t>Грачев Николай</t>
  </si>
  <si>
    <t>1. Грачев Николай</t>
  </si>
  <si>
    <t>Мастера 65 - 69 (16.04.1956)/65</t>
  </si>
  <si>
    <t>50,50</t>
  </si>
  <si>
    <t xml:space="preserve">Липецк/Липецкая область </t>
  </si>
  <si>
    <t>75,0o</t>
  </si>
  <si>
    <t>77,5o</t>
  </si>
  <si>
    <t>80,0o</t>
  </si>
  <si>
    <t>81,0o</t>
  </si>
  <si>
    <t>65,0o</t>
  </si>
  <si>
    <t>67,5o</t>
  </si>
  <si>
    <t>70,0o</t>
  </si>
  <si>
    <t>71,0o</t>
  </si>
  <si>
    <t>110,0o</t>
  </si>
  <si>
    <t>126,0</t>
  </si>
  <si>
    <t>-. Брайко Петр</t>
  </si>
  <si>
    <t>Открытая (30.07.1991)/29</t>
  </si>
  <si>
    <t>65,00</t>
  </si>
  <si>
    <t xml:space="preserve">Санкт Петербург/Ленинградская </t>
  </si>
  <si>
    <t>ВЕСОВАЯ КАТЕГОРИЯ   75</t>
  </si>
  <si>
    <t>Никулин Алексей</t>
  </si>
  <si>
    <t>1. Никулин Алексей</t>
  </si>
  <si>
    <t>Открытая (23.09.1990)/30</t>
  </si>
  <si>
    <t>70,50</t>
  </si>
  <si>
    <t>170,0o</t>
  </si>
  <si>
    <t>180,0o</t>
  </si>
  <si>
    <t>92,5o</t>
  </si>
  <si>
    <t>97,5o</t>
  </si>
  <si>
    <t>100,0o</t>
  </si>
  <si>
    <t>210,0o</t>
  </si>
  <si>
    <t>Пресняков Павел</t>
  </si>
  <si>
    <t>2. Пресняков Павел</t>
  </si>
  <si>
    <t>Открытая (15.11.1984)/36</t>
  </si>
  <si>
    <t>72,00</t>
  </si>
  <si>
    <t>195,0</t>
  </si>
  <si>
    <t>207,5</t>
  </si>
  <si>
    <t>ВЕСОВАЯ КАТЕГОРИЯ   82.5</t>
  </si>
  <si>
    <t>Третьяков Игорь</t>
  </si>
  <si>
    <t>1. Третьяков Игорь</t>
  </si>
  <si>
    <t>Открытая (29.03.1995)/26</t>
  </si>
  <si>
    <t>81,50</t>
  </si>
  <si>
    <t>172,5</t>
  </si>
  <si>
    <t>210,0</t>
  </si>
  <si>
    <t>230,0</t>
  </si>
  <si>
    <t>Коростелев Евгений</t>
  </si>
  <si>
    <t>2. Коростелев Евгений</t>
  </si>
  <si>
    <t>Открытая (07.02.1996)/25</t>
  </si>
  <si>
    <t>77,80</t>
  </si>
  <si>
    <t xml:space="preserve">Океан </t>
  </si>
  <si>
    <t>170,0</t>
  </si>
  <si>
    <t>190,0</t>
  </si>
  <si>
    <t>202,5</t>
  </si>
  <si>
    <t>Хазыков Руслан</t>
  </si>
  <si>
    <t>3. Хазыков Руслан</t>
  </si>
  <si>
    <t>Открытая (27.02.1985)/36</t>
  </si>
  <si>
    <t>78,20</t>
  </si>
  <si>
    <t>Смирнов Григорий</t>
  </si>
  <si>
    <t>4. Смирнов Григорий</t>
  </si>
  <si>
    <t>Открытая (04.12.1991)/29</t>
  </si>
  <si>
    <t>81,10</t>
  </si>
  <si>
    <t xml:space="preserve">Белгород/Белгородская область </t>
  </si>
  <si>
    <t>175,0</t>
  </si>
  <si>
    <t>Коваленко Антон</t>
  </si>
  <si>
    <t>1. Коваленко Антон</t>
  </si>
  <si>
    <t>Открытая (26.02.2004)/17</t>
  </si>
  <si>
    <t>88,70</t>
  </si>
  <si>
    <t>185,0</t>
  </si>
  <si>
    <t>Посметухин Артем</t>
  </si>
  <si>
    <t>1. Посметухин Артем</t>
  </si>
  <si>
    <t>Открытая (01.01.1996)/25</t>
  </si>
  <si>
    <t>95,00</t>
  </si>
  <si>
    <t>155,0</t>
  </si>
  <si>
    <t>260,0</t>
  </si>
  <si>
    <t>265,0</t>
  </si>
  <si>
    <t>Семеренко Вадим</t>
  </si>
  <si>
    <t>2. Семеренко Вадим</t>
  </si>
  <si>
    <t>Открытая (04.07.1999)/21</t>
  </si>
  <si>
    <t>96,90</t>
  </si>
  <si>
    <t>Мазуров Вячеслав</t>
  </si>
  <si>
    <t>1. Мазуров Вячеслав</t>
  </si>
  <si>
    <t>Мастера 45 - 49 (11.02.1973)/48</t>
  </si>
  <si>
    <t>99,95</t>
  </si>
  <si>
    <t xml:space="preserve">Москва </t>
  </si>
  <si>
    <t>160,0o</t>
  </si>
  <si>
    <t>205,0</t>
  </si>
  <si>
    <t>Меркулов Виталий</t>
  </si>
  <si>
    <t>1. Меркулов Виталий</t>
  </si>
  <si>
    <t>Открытая (11.06.1990)/30</t>
  </si>
  <si>
    <t>108,00</t>
  </si>
  <si>
    <t>165,0</t>
  </si>
  <si>
    <t>290,0</t>
  </si>
  <si>
    <t>372,5</t>
  </si>
  <si>
    <t>291,3695</t>
  </si>
  <si>
    <t>60</t>
  </si>
  <si>
    <t>307,5</t>
  </si>
  <si>
    <t>272,3527</t>
  </si>
  <si>
    <t>302,5</t>
  </si>
  <si>
    <t>264,8841</t>
  </si>
  <si>
    <t>48</t>
  </si>
  <si>
    <t>242,5</t>
  </si>
  <si>
    <t>257,7775</t>
  </si>
  <si>
    <t>56</t>
  </si>
  <si>
    <t>256,4800</t>
  </si>
  <si>
    <t>305,0</t>
  </si>
  <si>
    <t>251,3353</t>
  </si>
  <si>
    <t>90</t>
  </si>
  <si>
    <t>310,0</t>
  </si>
  <si>
    <t>205,9950</t>
  </si>
  <si>
    <t>670,0</t>
  </si>
  <si>
    <t>361,1970</t>
  </si>
  <si>
    <t>635,0</t>
  </si>
  <si>
    <t>360,5530</t>
  </si>
  <si>
    <t>75</t>
  </si>
  <si>
    <t>510,0</t>
  </si>
  <si>
    <t>356,4390</t>
  </si>
  <si>
    <t>592,5</t>
  </si>
  <si>
    <t>333,1035</t>
  </si>
  <si>
    <t>82.5</t>
  </si>
  <si>
    <t>517,5</t>
  </si>
  <si>
    <t>323,2305</t>
  </si>
  <si>
    <t>487,5</t>
  </si>
  <si>
    <t>314,9737</t>
  </si>
  <si>
    <t>460,0</t>
  </si>
  <si>
    <t>296,0560</t>
  </si>
  <si>
    <t>415,0</t>
  </si>
  <si>
    <t>284,9805</t>
  </si>
  <si>
    <t>430,0</t>
  </si>
  <si>
    <t>269,5240</t>
  </si>
  <si>
    <t>435,0</t>
  </si>
  <si>
    <t>256,8675</t>
  </si>
  <si>
    <t xml:space="preserve">Мастера 65 - 69 </t>
  </si>
  <si>
    <t>52</t>
  </si>
  <si>
    <t>275,0</t>
  </si>
  <si>
    <t>520,0272</t>
  </si>
  <si>
    <t xml:space="preserve">Мастера 45 - 49 </t>
  </si>
  <si>
    <t>343,5370</t>
  </si>
  <si>
    <t>Федоров Владимир</t>
  </si>
  <si>
    <t>1. Федоров Владимир</t>
  </si>
  <si>
    <t>Мастера 55 - 59 (17.07.1962)/58</t>
  </si>
  <si>
    <t>73,80</t>
  </si>
  <si>
    <t xml:space="preserve">Вольск/Саратовская область </t>
  </si>
  <si>
    <t>140,0o</t>
  </si>
  <si>
    <t>150,0o</t>
  </si>
  <si>
    <t>185,0o</t>
  </si>
  <si>
    <t>Афонин Владимир</t>
  </si>
  <si>
    <t>1. Афонин Владимир</t>
  </si>
  <si>
    <t>Мастера 75 - 79 (09.06.1945)/75</t>
  </si>
  <si>
    <t>71,10</t>
  </si>
  <si>
    <t>122,5</t>
  </si>
  <si>
    <t>85,0o</t>
  </si>
  <si>
    <t>87,5o</t>
  </si>
  <si>
    <t>90,0o</t>
  </si>
  <si>
    <t>Беглов Юрий</t>
  </si>
  <si>
    <t>1. Беглов Юрий</t>
  </si>
  <si>
    <t>Мастера 55 - 59 (06.05.1965)/55</t>
  </si>
  <si>
    <t>80,90</t>
  </si>
  <si>
    <t>255,0</t>
  </si>
  <si>
    <t>Бондаренко Евгений</t>
  </si>
  <si>
    <t>1. Бондаренко Евгений</t>
  </si>
  <si>
    <t>Открытая (26.01.1990)/31</t>
  </si>
  <si>
    <t xml:space="preserve">СПК Атлант </t>
  </si>
  <si>
    <t xml:space="preserve">Алексеевка/Белгородская область </t>
  </si>
  <si>
    <t>300,0</t>
  </si>
  <si>
    <t>Полещук Иван</t>
  </si>
  <si>
    <t>2. Полещук Иван</t>
  </si>
  <si>
    <t>Открытая (27.04.1984)/36</t>
  </si>
  <si>
    <t>101,90</t>
  </si>
  <si>
    <t xml:space="preserve">ЖелДорСпецПроект </t>
  </si>
  <si>
    <t xml:space="preserve">Россошь/Воронежская область </t>
  </si>
  <si>
    <t>187,5</t>
  </si>
  <si>
    <t>270,0</t>
  </si>
  <si>
    <t>Коныхов Игорь</t>
  </si>
  <si>
    <t>3. Коныхов Игорь</t>
  </si>
  <si>
    <t>Открытая (20.12.1970)/50</t>
  </si>
  <si>
    <t>107,00</t>
  </si>
  <si>
    <t>215,0</t>
  </si>
  <si>
    <t>285,0</t>
  </si>
  <si>
    <t>1. Коныхов Игорь</t>
  </si>
  <si>
    <t>Мастера 50 - 54 (20.12.1970)/50</t>
  </si>
  <si>
    <t>740,0</t>
  </si>
  <si>
    <t>398,9340</t>
  </si>
  <si>
    <t>707,5</t>
  </si>
  <si>
    <t>388,9128</t>
  </si>
  <si>
    <t>655,0</t>
  </si>
  <si>
    <t>354,0275</t>
  </si>
  <si>
    <t xml:space="preserve">Мастера 55 - 59 </t>
  </si>
  <si>
    <t>590,0</t>
  </si>
  <si>
    <t>511,2362</t>
  </si>
  <si>
    <t xml:space="preserve">Мастера 75 - 79 </t>
  </si>
  <si>
    <t>350,0</t>
  </si>
  <si>
    <t>505,8546</t>
  </si>
  <si>
    <t>449,3789</t>
  </si>
  <si>
    <t xml:space="preserve">Мастера 50 - 54 </t>
  </si>
  <si>
    <t>415,2742</t>
  </si>
  <si>
    <t>ВЕСОВАЯ КАТЕГОРИЯ   125</t>
  </si>
  <si>
    <t>-. Евдокимов Евгений</t>
  </si>
  <si>
    <t>Юниоры 20 - 23 (14.11.1997)/23</t>
  </si>
  <si>
    <t>120,30</t>
  </si>
  <si>
    <t>Зуева Ксения</t>
  </si>
  <si>
    <t>1. Зуева Ксения</t>
  </si>
  <si>
    <t>Девушки 18 - 19 (28.04.2001)/19</t>
  </si>
  <si>
    <t>47,30</t>
  </si>
  <si>
    <t>45,0</t>
  </si>
  <si>
    <t>50,0</t>
  </si>
  <si>
    <t xml:space="preserve">Дородных Владимир </t>
  </si>
  <si>
    <t>Зубарев Андрей</t>
  </si>
  <si>
    <t>1. Зубарев Андрей</t>
  </si>
  <si>
    <t>Открытая (06.01.1985)/36</t>
  </si>
  <si>
    <t>74,40</t>
  </si>
  <si>
    <t>Разуваев Роман</t>
  </si>
  <si>
    <t>1. Разуваев Роман</t>
  </si>
  <si>
    <t>Мастера 45 - 49 (15.02.1975)/46</t>
  </si>
  <si>
    <t>82,10</t>
  </si>
  <si>
    <t>Обухов Игорь</t>
  </si>
  <si>
    <t>1. Обухов Игорь</t>
  </si>
  <si>
    <t>Открытая (07.11.1990)/30</t>
  </si>
  <si>
    <t>86,35</t>
  </si>
  <si>
    <t>Лузин Сергей</t>
  </si>
  <si>
    <t>2. Лузин Сергей</t>
  </si>
  <si>
    <t>Открытая (30.04.1954)/66</t>
  </si>
  <si>
    <t>84,80</t>
  </si>
  <si>
    <t xml:space="preserve">Пермь/Пермский край </t>
  </si>
  <si>
    <t>117,5</t>
  </si>
  <si>
    <t>Герасимов Евгений</t>
  </si>
  <si>
    <t>1. Герасимов Евгений</t>
  </si>
  <si>
    <t>Мастера 60 - 64 (01.01.1961)/60</t>
  </si>
  <si>
    <t>85,40</t>
  </si>
  <si>
    <t xml:space="preserve">Пересвет </t>
  </si>
  <si>
    <t>1. Лузин Сергей</t>
  </si>
  <si>
    <t>Мастера 65 - 69 (30.04.1954)/66</t>
  </si>
  <si>
    <t>Литовченко Александр</t>
  </si>
  <si>
    <t>1. Литовченко Александр</t>
  </si>
  <si>
    <t>Открытая (26.06.1986)/34</t>
  </si>
  <si>
    <t>99,40</t>
  </si>
  <si>
    <t>Албаев Рафаиль</t>
  </si>
  <si>
    <t>2. Албаев Рафаиль</t>
  </si>
  <si>
    <t>Открытая (23.03.1980)/41</t>
  </si>
  <si>
    <t>94,30</t>
  </si>
  <si>
    <t xml:space="preserve">Сталь Брянск </t>
  </si>
  <si>
    <t>1. Албаев Рафаиль</t>
  </si>
  <si>
    <t>Мастера 40 - 44 (23.03.1980)/41</t>
  </si>
  <si>
    <t xml:space="preserve">Девушки </t>
  </si>
  <si>
    <t xml:space="preserve">Результат </t>
  </si>
  <si>
    <t xml:space="preserve">Юноши 18 - 19 </t>
  </si>
  <si>
    <t>54,4284</t>
  </si>
  <si>
    <t>75,5300</t>
  </si>
  <si>
    <t>94,4350</t>
  </si>
  <si>
    <t>90,2745</t>
  </si>
  <si>
    <t>85,5926</t>
  </si>
  <si>
    <t>85,5150</t>
  </si>
  <si>
    <t>69,8970</t>
  </si>
  <si>
    <t>137,6971</t>
  </si>
  <si>
    <t xml:space="preserve">Мастера 60 - 64 </t>
  </si>
  <si>
    <t>114,4509</t>
  </si>
  <si>
    <t>86,3560</t>
  </si>
  <si>
    <t xml:space="preserve">Мастера 40 - 44 </t>
  </si>
  <si>
    <t>85,7715</t>
  </si>
  <si>
    <t>Результат</t>
  </si>
  <si>
    <t>Насибов Натиг</t>
  </si>
  <si>
    <t>1. Насибов Натиг</t>
  </si>
  <si>
    <t>Открытая (05.02.1992)/29</t>
  </si>
  <si>
    <t>97,80</t>
  </si>
  <si>
    <t xml:space="preserve">Мегион/Ханты-Мансийский авт. окр. </t>
  </si>
  <si>
    <t>182,5o</t>
  </si>
  <si>
    <t>Маркелов Юрий</t>
  </si>
  <si>
    <t>2. Маркелов Юрий</t>
  </si>
  <si>
    <t>Открытая (14.08.1982)/38</t>
  </si>
  <si>
    <t>97,70</t>
  </si>
  <si>
    <t>162,5</t>
  </si>
  <si>
    <t>Максимов Вадим</t>
  </si>
  <si>
    <t>1. Максимов Вадим</t>
  </si>
  <si>
    <t>Мастера 50 - 54 (19.05.1970)/50</t>
  </si>
  <si>
    <t>107,50</t>
  </si>
  <si>
    <t xml:space="preserve">Варт-Класс </t>
  </si>
  <si>
    <t xml:space="preserve">Нижневартовск/Ханты-Мансийский авт. окр. </t>
  </si>
  <si>
    <t>182,5</t>
  </si>
  <si>
    <t>102,1453</t>
  </si>
  <si>
    <t>86,7845</t>
  </si>
  <si>
    <t>101,3097</t>
  </si>
  <si>
    <t>Акатов Игорь</t>
  </si>
  <si>
    <t>1. Акатов Игорь</t>
  </si>
  <si>
    <t>Мастера 60 - 64 (02.11.1960)/60</t>
  </si>
  <si>
    <t>82,40</t>
  </si>
  <si>
    <t>107,5</t>
  </si>
  <si>
    <t>Богомолов Вадим</t>
  </si>
  <si>
    <t>1. Богомолов Вадим</t>
  </si>
  <si>
    <t>Мастера 55 - 59 (20.12.1963)/57</t>
  </si>
  <si>
    <t>99,90</t>
  </si>
  <si>
    <t>Фирсов Михаил</t>
  </si>
  <si>
    <t>1. Фирсов Михаил</t>
  </si>
  <si>
    <t>Мастера 55 - 59 (04.07.1964)/56</t>
  </si>
  <si>
    <t>104,60</t>
  </si>
  <si>
    <t>92,5</t>
  </si>
  <si>
    <t>112,1528</t>
  </si>
  <si>
    <t>102,5455</t>
  </si>
  <si>
    <t>73,9567</t>
  </si>
  <si>
    <t>Огурцова Юлия</t>
  </si>
  <si>
    <t>1. Огурцова Юлия</t>
  </si>
  <si>
    <t>Открытая (26.06.1990)/30</t>
  </si>
  <si>
    <t>47,70</t>
  </si>
  <si>
    <t>67,5772</t>
  </si>
  <si>
    <t>97,1100</t>
  </si>
  <si>
    <t>Заплохов Денис</t>
  </si>
  <si>
    <t>1. Заплохов Денис</t>
  </si>
  <si>
    <t>Мастера 40 - 44 (09.04.1981)/40</t>
  </si>
  <si>
    <t>98,30</t>
  </si>
  <si>
    <t>127,0823</t>
  </si>
  <si>
    <t>89,3280</t>
  </si>
  <si>
    <t>Боховко Юлия</t>
  </si>
  <si>
    <t>1. Боховко Юлия</t>
  </si>
  <si>
    <t>Открытая (07.03.1987)/34</t>
  </si>
  <si>
    <t>50,60</t>
  </si>
  <si>
    <t>Гостева Валентина</t>
  </si>
  <si>
    <t>1. Гостева Валентина</t>
  </si>
  <si>
    <t>Мастера 65 - 69 (07.08.1955)/65</t>
  </si>
  <si>
    <t>53,80</t>
  </si>
  <si>
    <t>Ахрамейко Виктория</t>
  </si>
  <si>
    <t>2. Ахрамейко Виктория</t>
  </si>
  <si>
    <t>Открытая (31.05.1991)/29</t>
  </si>
  <si>
    <t>Тишкин Кирилл</t>
  </si>
  <si>
    <t>1. Тишкин Кирилл</t>
  </si>
  <si>
    <t>Юноши 0-13 (25.07.2008)/12</t>
  </si>
  <si>
    <t>55,50</t>
  </si>
  <si>
    <t>35,0</t>
  </si>
  <si>
    <t>42,5</t>
  </si>
  <si>
    <t>-. Топольский Илья</t>
  </si>
  <si>
    <t>Юноши 16 - 17 (03.07.2003)/17</t>
  </si>
  <si>
    <t>62,40</t>
  </si>
  <si>
    <t xml:space="preserve">Русич </t>
  </si>
  <si>
    <t xml:space="preserve">Костенников Олег Федорович </t>
  </si>
  <si>
    <t>Локтев Павел</t>
  </si>
  <si>
    <t>1. Локтев Павел</t>
  </si>
  <si>
    <t>Юноши 16 - 17 (07.10.2003)/17</t>
  </si>
  <si>
    <t>68,00</t>
  </si>
  <si>
    <t>Афанасьев Дмитрий</t>
  </si>
  <si>
    <t>1. Афанасьев Дмитрий</t>
  </si>
  <si>
    <t>Юниоры 20 - 23 (21.05.1997)/23</t>
  </si>
  <si>
    <t>73,60</t>
  </si>
  <si>
    <t>Кузнецов Павел</t>
  </si>
  <si>
    <t>1. Кузнецов Павел</t>
  </si>
  <si>
    <t>Открытая (23.09.1992)/28</t>
  </si>
  <si>
    <t>72,20</t>
  </si>
  <si>
    <t>157,5</t>
  </si>
  <si>
    <t>Коршиков Николай</t>
  </si>
  <si>
    <t>2. Коршиков Николай</t>
  </si>
  <si>
    <t>Открытая (15.04.1995)/26</t>
  </si>
  <si>
    <t>74,20</t>
  </si>
  <si>
    <t xml:space="preserve">Айсберг </t>
  </si>
  <si>
    <t xml:space="preserve">Старый Оскол/Белгородская область </t>
  </si>
  <si>
    <t>152,5</t>
  </si>
  <si>
    <t>3. Зубарев Андрей</t>
  </si>
  <si>
    <t>Гнутов Евгений</t>
  </si>
  <si>
    <t>4. Гнутов Евгений</t>
  </si>
  <si>
    <t>Открытая (22.08.1989)/31</t>
  </si>
  <si>
    <t>69,70</t>
  </si>
  <si>
    <t>Титков Андрей</t>
  </si>
  <si>
    <t>5. Титков Андрей</t>
  </si>
  <si>
    <t>Открытая (14.09.1989)/31</t>
  </si>
  <si>
    <t>73,20</t>
  </si>
  <si>
    <t>102,5</t>
  </si>
  <si>
    <t>Чеботарев Виталий</t>
  </si>
  <si>
    <t>1. Чеботарев Виталий</t>
  </si>
  <si>
    <t>Мастера 60 - 64 (02.09.1960)/60</t>
  </si>
  <si>
    <t>Куликов Михаил</t>
  </si>
  <si>
    <t>1. Куликов Михаил</t>
  </si>
  <si>
    <t>Открытая (09.10.1989)/31</t>
  </si>
  <si>
    <t>80,60</t>
  </si>
  <si>
    <t>Чумаков Александр</t>
  </si>
  <si>
    <t>2. Чумаков Александр</t>
  </si>
  <si>
    <t>Открытая (13.05.1989)/31</t>
  </si>
  <si>
    <t>Ихненко Вадим</t>
  </si>
  <si>
    <t>1. Ихненко Вадим</t>
  </si>
  <si>
    <t>Мастера 50 - 54 (20.07.1970)/50</t>
  </si>
  <si>
    <t>81,30</t>
  </si>
  <si>
    <t>127,5</t>
  </si>
  <si>
    <t>Киреев Виталий</t>
  </si>
  <si>
    <t>1. Киреев Виталий</t>
  </si>
  <si>
    <t>Юноши 14-15 (12.04.2007)/14</t>
  </si>
  <si>
    <t>87,70</t>
  </si>
  <si>
    <t>40,0</t>
  </si>
  <si>
    <t>Щуплов Кирилл</t>
  </si>
  <si>
    <t>1. Щуплов Кирилл</t>
  </si>
  <si>
    <t>Юниоры 20 - 23 (17.09.1998)/22</t>
  </si>
  <si>
    <t>86,85</t>
  </si>
  <si>
    <t>Сасонский Владислав</t>
  </si>
  <si>
    <t>1. Сасонский Владислав</t>
  </si>
  <si>
    <t>Открытая (09.06.1994)/26</t>
  </si>
  <si>
    <t>88,90</t>
  </si>
  <si>
    <t xml:space="preserve">СК Рус </t>
  </si>
  <si>
    <t>Сельченко Игорь</t>
  </si>
  <si>
    <t>2. Сельченко Игорь</t>
  </si>
  <si>
    <t>Открытая (31.07.1974)/46</t>
  </si>
  <si>
    <t>88,10</t>
  </si>
  <si>
    <t>3. Обухов Игорь</t>
  </si>
  <si>
    <t>4. Лузин Сергей</t>
  </si>
  <si>
    <t>1. Сельченко Игорь</t>
  </si>
  <si>
    <t>Мастера 45 - 49 (31.07.1974)/46</t>
  </si>
  <si>
    <t>Антошкин Алексей</t>
  </si>
  <si>
    <t>2. Антошкин Алексей</t>
  </si>
  <si>
    <t>Открытая (15.11.1992)/28</t>
  </si>
  <si>
    <t>96,35</t>
  </si>
  <si>
    <t>Фошенко Александр</t>
  </si>
  <si>
    <t>3. Фошенко Александр</t>
  </si>
  <si>
    <t>Открытая (12.10.1983)/37</t>
  </si>
  <si>
    <t>97,30</t>
  </si>
  <si>
    <t>167,5</t>
  </si>
  <si>
    <t>Каплий Алексей</t>
  </si>
  <si>
    <t>4. Каплий Алексей</t>
  </si>
  <si>
    <t>Открытая (25.06.1988)/32</t>
  </si>
  <si>
    <t>96,70</t>
  </si>
  <si>
    <t xml:space="preserve">Лайф-Фит </t>
  </si>
  <si>
    <t>Сонин Евгений</t>
  </si>
  <si>
    <t>5. Сонин Евгений</t>
  </si>
  <si>
    <t>Открытая (27.04.1988)/32</t>
  </si>
  <si>
    <t>98,70</t>
  </si>
  <si>
    <t xml:space="preserve">Росич </t>
  </si>
  <si>
    <t xml:space="preserve">Волжский/Волгоградская область </t>
  </si>
  <si>
    <t>Киряев Виталий</t>
  </si>
  <si>
    <t>6. Киряев Виталий</t>
  </si>
  <si>
    <t>Открытая (25.12.1996)/24</t>
  </si>
  <si>
    <t>99,70</t>
  </si>
  <si>
    <t>-. Хомяков Артем</t>
  </si>
  <si>
    <t>Открытая (20.05.1988)/32</t>
  </si>
  <si>
    <t>98,90</t>
  </si>
  <si>
    <t>Мамченко Игорь</t>
  </si>
  <si>
    <t>1. Мамченко Игорь</t>
  </si>
  <si>
    <t>Мастера 55 - 59 (17.01.1963)/58</t>
  </si>
  <si>
    <t>95,50</t>
  </si>
  <si>
    <t>Билиба Владимир</t>
  </si>
  <si>
    <t>2. Билиба Владимир</t>
  </si>
  <si>
    <t>Мастера 55 - 59 (09.09.1962)/58</t>
  </si>
  <si>
    <t>93,20</t>
  </si>
  <si>
    <t>Малеев Сергей</t>
  </si>
  <si>
    <t>1. Малеев Сергей</t>
  </si>
  <si>
    <t>Открытая (18.03.1977)/44</t>
  </si>
  <si>
    <t>103,80</t>
  </si>
  <si>
    <t xml:space="preserve">Сталь. Брянск. </t>
  </si>
  <si>
    <t xml:space="preserve">Шерман Дмитрий </t>
  </si>
  <si>
    <t>Половков Михаил</t>
  </si>
  <si>
    <t>2. Половков Михаил</t>
  </si>
  <si>
    <t>Открытая (09.10.1977)/43</t>
  </si>
  <si>
    <t>108,20</t>
  </si>
  <si>
    <t>Ильченко Евгений</t>
  </si>
  <si>
    <t>3. Ильченко Евгений</t>
  </si>
  <si>
    <t>Открытая (11.02.1981)/40</t>
  </si>
  <si>
    <t>108,70</t>
  </si>
  <si>
    <t xml:space="preserve">Россошь </t>
  </si>
  <si>
    <t>Калашников Роман</t>
  </si>
  <si>
    <t>4. Калашников Роман</t>
  </si>
  <si>
    <t>Открытая (20.02.1994)/27</t>
  </si>
  <si>
    <t>104,30</t>
  </si>
  <si>
    <t>Мастера 40 - 44 (18.03.1977)/44</t>
  </si>
  <si>
    <t>Мастера 40 - 44 (09.10.1977)/43</t>
  </si>
  <si>
    <t>Мастера 40 - 44 (11.02.1981)/40</t>
  </si>
  <si>
    <t>Щербинин Иван</t>
  </si>
  <si>
    <t>1. Щербинин Иван</t>
  </si>
  <si>
    <t>Открытая (15.07.1986)/34</t>
  </si>
  <si>
    <t>121,40</t>
  </si>
  <si>
    <t>68,4425</t>
  </si>
  <si>
    <t>59,5400</t>
  </si>
  <si>
    <t>54,5133</t>
  </si>
  <si>
    <t>48,3450</t>
  </si>
  <si>
    <t>117,6365</t>
  </si>
  <si>
    <t xml:space="preserve">Юноши </t>
  </si>
  <si>
    <t xml:space="preserve">Юноши 16 - 17 </t>
  </si>
  <si>
    <t>77,8788</t>
  </si>
  <si>
    <t xml:space="preserve">Юноши 0-13 </t>
  </si>
  <si>
    <t>48,9017</t>
  </si>
  <si>
    <t xml:space="preserve">Юноши 14-15 </t>
  </si>
  <si>
    <t>38,4028</t>
  </si>
  <si>
    <t>96,7014</t>
  </si>
  <si>
    <t>77,5675</t>
  </si>
  <si>
    <t>109,1800</t>
  </si>
  <si>
    <t>107,9033</t>
  </si>
  <si>
    <t>102,3720</t>
  </si>
  <si>
    <t>102,2390</t>
  </si>
  <si>
    <t>102,1902</t>
  </si>
  <si>
    <t>101,9767</t>
  </si>
  <si>
    <t>99,9900</t>
  </si>
  <si>
    <t>95,8375</t>
  </si>
  <si>
    <t>94,3520</t>
  </si>
  <si>
    <t>93,9675</t>
  </si>
  <si>
    <t>91,9150</t>
  </si>
  <si>
    <t>90,0975</t>
  </si>
  <si>
    <t>90,0320</t>
  </si>
  <si>
    <t>84,9825</t>
  </si>
  <si>
    <t>84,6840</t>
  </si>
  <si>
    <t>84,3210</t>
  </si>
  <si>
    <t>83,5950</t>
  </si>
  <si>
    <t>81,7500</t>
  </si>
  <si>
    <t>80,4460</t>
  </si>
  <si>
    <t>125</t>
  </si>
  <si>
    <t>76,2120</t>
  </si>
  <si>
    <t>71,1270</t>
  </si>
  <si>
    <t>134,7369</t>
  </si>
  <si>
    <t>127,6913</t>
  </si>
  <si>
    <t>116,2439</t>
  </si>
  <si>
    <t>112,5646</t>
  </si>
  <si>
    <t>105,2275</t>
  </si>
  <si>
    <t>104,2147</t>
  </si>
  <si>
    <t>98,2571</t>
  </si>
  <si>
    <t>88,0735</t>
  </si>
  <si>
    <t>Хазыков Кирилл</t>
  </si>
  <si>
    <t>1. Хазыков Кирилл</t>
  </si>
  <si>
    <t>Юноши 0-13 (06.05.2008)/12</t>
  </si>
  <si>
    <t>46,10</t>
  </si>
  <si>
    <t>30,0</t>
  </si>
  <si>
    <t>Белоусов Роман</t>
  </si>
  <si>
    <t>1. Белоусов Роман</t>
  </si>
  <si>
    <t>Открытая (19.10.1991)/29</t>
  </si>
  <si>
    <t>57,40</t>
  </si>
  <si>
    <t>Дранев Владимир</t>
  </si>
  <si>
    <t>1. Дранев Владимир</t>
  </si>
  <si>
    <t>Открытая (24.07.1997)/23</t>
  </si>
  <si>
    <t>66,80</t>
  </si>
  <si>
    <t xml:space="preserve">Валуйки/Белгородская область </t>
  </si>
  <si>
    <t>Степура Евгений</t>
  </si>
  <si>
    <t>1. Степура Евгений</t>
  </si>
  <si>
    <t>Открытая (22.07.1983)/37</t>
  </si>
  <si>
    <t>89,80</t>
  </si>
  <si>
    <t>Водопьянов Евгений</t>
  </si>
  <si>
    <t>2. Водопьянов Евгений</t>
  </si>
  <si>
    <t>Открытая (22.01.1994)/27</t>
  </si>
  <si>
    <t>89,20</t>
  </si>
  <si>
    <t>Сахипов Дамир</t>
  </si>
  <si>
    <t>1. Сахипов Дамир</t>
  </si>
  <si>
    <t>Мастера 50 - 54 (16.08.1967)/53</t>
  </si>
  <si>
    <t>88,20</t>
  </si>
  <si>
    <t>Харламов Вячеслав</t>
  </si>
  <si>
    <t>1. Харламов Вячеслав</t>
  </si>
  <si>
    <t>Открытая (11.06.1997)/23</t>
  </si>
  <si>
    <t>93,40</t>
  </si>
  <si>
    <t>Остапенко Илья</t>
  </si>
  <si>
    <t>1. Остапенко Илья</t>
  </si>
  <si>
    <t>Открытая (22.12.1987)/33</t>
  </si>
  <si>
    <t>119,30</t>
  </si>
  <si>
    <t>ВЕСОВАЯ КАТЕГОРИЯ   140+</t>
  </si>
  <si>
    <t>Дмитриев Игорь</t>
  </si>
  <si>
    <t>1. Дмитриев Игорь</t>
  </si>
  <si>
    <t>Открытая (18.11.1973)/47</t>
  </si>
  <si>
    <t>143,40</t>
  </si>
  <si>
    <t>47,3593</t>
  </si>
  <si>
    <t>136,2560</t>
  </si>
  <si>
    <t>140+</t>
  </si>
  <si>
    <t>124,9400</t>
  </si>
  <si>
    <t>117,2320</t>
  </si>
  <si>
    <t>94,5450</t>
  </si>
  <si>
    <t>93,7760</t>
  </si>
  <si>
    <t>92,3300</t>
  </si>
  <si>
    <t>88,2750</t>
  </si>
  <si>
    <t>130,0769</t>
  </si>
  <si>
    <t>83,7450</t>
  </si>
  <si>
    <t>72,1165</t>
  </si>
  <si>
    <t>Елисеева Татьяна</t>
  </si>
  <si>
    <t>1. Елисеева Татьяна</t>
  </si>
  <si>
    <t>Открытая (12.06.1985)/35</t>
  </si>
  <si>
    <t>51,20</t>
  </si>
  <si>
    <t>Третьяков Евгений</t>
  </si>
  <si>
    <t>1. Третьяков Евгений</t>
  </si>
  <si>
    <t>Мастера 50 - 54 (02.03.1971)/50</t>
  </si>
  <si>
    <t>106,30</t>
  </si>
  <si>
    <t>215,0o</t>
  </si>
  <si>
    <t>235,0o</t>
  </si>
  <si>
    <t>Котик Святослав</t>
  </si>
  <si>
    <t>1. Котик Святослав</t>
  </si>
  <si>
    <t>Мастера 45 - 49 (14.01.1972)/49</t>
  </si>
  <si>
    <t>117,50</t>
  </si>
  <si>
    <t xml:space="preserve">Москва/ </t>
  </si>
  <si>
    <t>225,0o</t>
  </si>
  <si>
    <t>63,8105</t>
  </si>
  <si>
    <t>235,0</t>
  </si>
  <si>
    <t>149,2947</t>
  </si>
  <si>
    <t>139,2431</t>
  </si>
  <si>
    <t>Лазуренко Ольга</t>
  </si>
  <si>
    <t>1. Лазуренко Ольга</t>
  </si>
  <si>
    <t>Открытая (05.09.1971)/49</t>
  </si>
  <si>
    <t>66,10</t>
  </si>
  <si>
    <t>162,5o</t>
  </si>
  <si>
    <t>175,0o</t>
  </si>
  <si>
    <t>Макарова Елена</t>
  </si>
  <si>
    <t>1. Макарова Елена</t>
  </si>
  <si>
    <t>Мастера 55 - 59 (08.08.1962)/58</t>
  </si>
  <si>
    <t>67,50</t>
  </si>
  <si>
    <t>152,5o</t>
  </si>
  <si>
    <t xml:space="preserve">Внуков Олег </t>
  </si>
  <si>
    <t>138,8275</t>
  </si>
  <si>
    <t>182,2956</t>
  </si>
  <si>
    <t>Белохонов Сергей</t>
  </si>
  <si>
    <t>1. Белохонов Сергей</t>
  </si>
  <si>
    <t>Открытая (01.05.1991)/29</t>
  </si>
  <si>
    <t>88,60</t>
  </si>
  <si>
    <t>290,0o</t>
  </si>
  <si>
    <t>310,0o</t>
  </si>
  <si>
    <t>Петряев Николай</t>
  </si>
  <si>
    <t>1. Петряев Николай</t>
  </si>
  <si>
    <t>Открытая (21.04.1989)/32</t>
  </si>
  <si>
    <t>103,70</t>
  </si>
  <si>
    <t xml:space="preserve">Немчинов Александр </t>
  </si>
  <si>
    <t>Громов Сергей</t>
  </si>
  <si>
    <t>1. Громов Сергей</t>
  </si>
  <si>
    <t>Мастера 50 - 54 (02.09.1966)/54</t>
  </si>
  <si>
    <t>105,90</t>
  </si>
  <si>
    <t xml:space="preserve">Самост </t>
  </si>
  <si>
    <t>Ващук Андрей</t>
  </si>
  <si>
    <t>1. Ващук Андрей</t>
  </si>
  <si>
    <t>Мастера 60 - 64 (28.06.1960)/60</t>
  </si>
  <si>
    <t>ВЕСОВАЯ КАТЕГОРИЯ   140</t>
  </si>
  <si>
    <t>Виноходов Сергей</t>
  </si>
  <si>
    <t>1. Виноходов Сергей</t>
  </si>
  <si>
    <t>Открытая (17.09.1982)/38</t>
  </si>
  <si>
    <t>129,90</t>
  </si>
  <si>
    <t>320,0</t>
  </si>
  <si>
    <t>340,0</t>
  </si>
  <si>
    <t>183,2100</t>
  </si>
  <si>
    <t>140</t>
  </si>
  <si>
    <t>164,8384</t>
  </si>
  <si>
    <t>144,7165</t>
  </si>
  <si>
    <t>190,5601</t>
  </si>
  <si>
    <t>180,2815</t>
  </si>
  <si>
    <t>Новиков Денис</t>
  </si>
  <si>
    <t>1. Новиков Денис</t>
  </si>
  <si>
    <t>Юниоры 20 - 23 (25.09.1997)/23</t>
  </si>
  <si>
    <t>66,70</t>
  </si>
  <si>
    <t>Немчинов Александр</t>
  </si>
  <si>
    <t>1. Немчинов Александр</t>
  </si>
  <si>
    <t>Мастера 65 - 69 (10.11.1951)/69</t>
  </si>
  <si>
    <t>89,95</t>
  </si>
  <si>
    <t>146,7400</t>
  </si>
  <si>
    <t>287,7850</t>
  </si>
  <si>
    <t>Кондратов Максим</t>
  </si>
  <si>
    <t>1. Кондратов Максим</t>
  </si>
  <si>
    <t>Открытая (18.03.1997)/24</t>
  </si>
  <si>
    <t>80,55</t>
  </si>
  <si>
    <t>245,0</t>
  </si>
  <si>
    <t>Дородных Владимир</t>
  </si>
  <si>
    <t>1. Дородных Владимир</t>
  </si>
  <si>
    <t>Мастера 65 - 69 (28.03.1954)/67</t>
  </si>
  <si>
    <t>84,40</t>
  </si>
  <si>
    <t>Торопилин Дмитрий</t>
  </si>
  <si>
    <t>1. Торопилин Дмитрий</t>
  </si>
  <si>
    <t>Юноши 18 - 19 (30.05.2002)/18</t>
  </si>
  <si>
    <t>110,00</t>
  </si>
  <si>
    <t>252,5</t>
  </si>
  <si>
    <t>143,5942</t>
  </si>
  <si>
    <t>134,8750</t>
  </si>
  <si>
    <t>154,3010</t>
  </si>
  <si>
    <t>183,8547</t>
  </si>
  <si>
    <t>205,0o</t>
  </si>
  <si>
    <t>212,5o</t>
  </si>
  <si>
    <t>278,3708</t>
  </si>
  <si>
    <t>212,5</t>
  </si>
  <si>
    <t>219,5242</t>
  </si>
  <si>
    <t>Козловская Анна</t>
  </si>
  <si>
    <t>1. Козловская Анна</t>
  </si>
  <si>
    <t>Девушки 18 - 19 (15.09.2002)/18</t>
  </si>
  <si>
    <t>55,00</t>
  </si>
  <si>
    <t xml:space="preserve">Авалон </t>
  </si>
  <si>
    <t>112,5</t>
  </si>
  <si>
    <t>Баранова Яна</t>
  </si>
  <si>
    <t>1. Баранова Яна</t>
  </si>
  <si>
    <t>Мастера 40 - 44 (17.01.1979)/42</t>
  </si>
  <si>
    <t>55,65</t>
  </si>
  <si>
    <t xml:space="preserve">Изо всех сил </t>
  </si>
  <si>
    <t>1. Сергеева Анна</t>
  </si>
  <si>
    <t>2. Карпова Екатерина</t>
  </si>
  <si>
    <t>Ледовских Анна</t>
  </si>
  <si>
    <t>3. Ледовских Анна</t>
  </si>
  <si>
    <t>Открытая (17.10.1989)/31</t>
  </si>
  <si>
    <t>59,20</t>
  </si>
  <si>
    <t>Кочетова Светлана</t>
  </si>
  <si>
    <t>1. Кочетова Светлана</t>
  </si>
  <si>
    <t>Открытая (14.02.1991)/30</t>
  </si>
  <si>
    <t>66,00</t>
  </si>
  <si>
    <t>2. Кретинина Анна</t>
  </si>
  <si>
    <t>Кононцева Елизавета</t>
  </si>
  <si>
    <t>3. Кононцева Елизавета</t>
  </si>
  <si>
    <t>Открытая (04.05.1995)/25</t>
  </si>
  <si>
    <t>Дурнова Юлия</t>
  </si>
  <si>
    <t>4. Дурнова Юлия</t>
  </si>
  <si>
    <t>Открытая (17.05.1989)/31</t>
  </si>
  <si>
    <t>Щербинина Елена</t>
  </si>
  <si>
    <t>1. Щербинина Елена</t>
  </si>
  <si>
    <t>Открытая (04.11.1961)/59</t>
  </si>
  <si>
    <t>72,50</t>
  </si>
  <si>
    <t>Мастера 55 - 59 (04.11.1961)/59</t>
  </si>
  <si>
    <t>Сельченко Максим</t>
  </si>
  <si>
    <t>1. Сельченко Максим</t>
  </si>
  <si>
    <t>Юниоры 20 - 23 (29.09.1999)/21</t>
  </si>
  <si>
    <t>58,60</t>
  </si>
  <si>
    <t>Максимов Андрей</t>
  </si>
  <si>
    <t>1. Максимов Андрей</t>
  </si>
  <si>
    <t>Открытая (24.10.1991)/29</t>
  </si>
  <si>
    <t>59,40</t>
  </si>
  <si>
    <t>Литвинов Евгений</t>
  </si>
  <si>
    <t>1. Литвинов Евгений</t>
  </si>
  <si>
    <t>Юноши 18 - 19 (30.10.2002)/18</t>
  </si>
  <si>
    <t>65,30</t>
  </si>
  <si>
    <t>192,5</t>
  </si>
  <si>
    <t>Русовский Кирилл</t>
  </si>
  <si>
    <t>1. Русовский Кирилл</t>
  </si>
  <si>
    <t>Юноши 16 - 17 (25.05.2003)/17</t>
  </si>
  <si>
    <t>73,50</t>
  </si>
  <si>
    <t>Губарев Вячеслав</t>
  </si>
  <si>
    <t>1. Губарев Вячеслав</t>
  </si>
  <si>
    <t>Юноши 18 - 19 (07.08.2001)/19</t>
  </si>
  <si>
    <t>Спиридонов Максим</t>
  </si>
  <si>
    <t>1. Спиридонов Максим</t>
  </si>
  <si>
    <t>Открытая (07.05.1989)/31</t>
  </si>
  <si>
    <t>68,50</t>
  </si>
  <si>
    <t>2. Титков Андрей</t>
  </si>
  <si>
    <t>Паскаль Евгений</t>
  </si>
  <si>
    <t>1. Паскаль Евгений</t>
  </si>
  <si>
    <t>Открытая (02.12.1988)/32</t>
  </si>
  <si>
    <t>80,75</t>
  </si>
  <si>
    <t>217,5</t>
  </si>
  <si>
    <t xml:space="preserve">Воловиков Николай Анатольевич </t>
  </si>
  <si>
    <t>Густь Владлен</t>
  </si>
  <si>
    <t>2. Густь Владлен</t>
  </si>
  <si>
    <t>Открытая (07.01.1995)/26</t>
  </si>
  <si>
    <t>82,00</t>
  </si>
  <si>
    <t>Сечин Владимир</t>
  </si>
  <si>
    <t>1. Сечин Владимир</t>
  </si>
  <si>
    <t>Открытая (17.12.1999)/21</t>
  </si>
  <si>
    <t>89,70</t>
  </si>
  <si>
    <t>225,0</t>
  </si>
  <si>
    <t>2. Обухов Игорь</t>
  </si>
  <si>
    <t>Воловиков Николай</t>
  </si>
  <si>
    <t>1. Воловиков Николай</t>
  </si>
  <si>
    <t>Открытая (22.05.1988)/32</t>
  </si>
  <si>
    <t>99,60</t>
  </si>
  <si>
    <t>Мазепа Денис</t>
  </si>
  <si>
    <t>2. Мазепа Денис</t>
  </si>
  <si>
    <t>Открытая (18.12.1981)/39</t>
  </si>
  <si>
    <t>98,40</t>
  </si>
  <si>
    <t>Паньков Тимур</t>
  </si>
  <si>
    <t>3. Паньков Тимур</t>
  </si>
  <si>
    <t>Открытая (18.09.1984)/36</t>
  </si>
  <si>
    <t>96,80</t>
  </si>
  <si>
    <t>Буракевич Иван</t>
  </si>
  <si>
    <t>2. Буракевич Иван</t>
  </si>
  <si>
    <t>Открытая (11.08.1994)/26</t>
  </si>
  <si>
    <t>100,20</t>
  </si>
  <si>
    <t>3. Калашников Роман</t>
  </si>
  <si>
    <t>Михалев Евгений</t>
  </si>
  <si>
    <t>4. Михалев Евгений</t>
  </si>
  <si>
    <t>Открытая (29.07.1988)/32</t>
  </si>
  <si>
    <t>106,60</t>
  </si>
  <si>
    <t>105,4721</t>
  </si>
  <si>
    <t>142,9740</t>
  </si>
  <si>
    <t>124,7801</t>
  </si>
  <si>
    <t>117,3552</t>
  </si>
  <si>
    <t>117,3300</t>
  </si>
  <si>
    <t>113,1910</t>
  </si>
  <si>
    <t>110,7906</t>
  </si>
  <si>
    <t>109,9200</t>
  </si>
  <si>
    <t>108,2400</t>
  </si>
  <si>
    <t>103,5650</t>
  </si>
  <si>
    <t>208,1261</t>
  </si>
  <si>
    <t>164,6684</t>
  </si>
  <si>
    <t>101,7445</t>
  </si>
  <si>
    <t>144,7199</t>
  </si>
  <si>
    <t>131,2589</t>
  </si>
  <si>
    <t>112,2368</t>
  </si>
  <si>
    <t>58,5185</t>
  </si>
  <si>
    <t>129,5732</t>
  </si>
  <si>
    <t>170,4198</t>
  </si>
  <si>
    <t>152,4900</t>
  </si>
  <si>
    <t>150,9480</t>
  </si>
  <si>
    <t>144,1560</t>
  </si>
  <si>
    <t>141,1680</t>
  </si>
  <si>
    <t>137,6125</t>
  </si>
  <si>
    <t>136,7423</t>
  </si>
  <si>
    <t>135,9750</t>
  </si>
  <si>
    <t>131,1535</t>
  </si>
  <si>
    <t>130,5990</t>
  </si>
  <si>
    <t>128,9520</t>
  </si>
  <si>
    <t>124,4530</t>
  </si>
  <si>
    <t>118,1040</t>
  </si>
  <si>
    <t>94,8360</t>
  </si>
  <si>
    <t>126,8920</t>
  </si>
  <si>
    <t>Малышева Анастасия</t>
  </si>
  <si>
    <t>1. Малышева Анастасия</t>
  </si>
  <si>
    <t>Юниорки 20 - 23 (28.05.1997)/23</t>
  </si>
  <si>
    <t>66,50</t>
  </si>
  <si>
    <t>Осетров Евгений</t>
  </si>
  <si>
    <t>1. Осетров Евгений</t>
  </si>
  <si>
    <t>Открытая (03.03.1996)/25</t>
  </si>
  <si>
    <t>82,20</t>
  </si>
  <si>
    <t>Курбатов Никита</t>
  </si>
  <si>
    <t>1. Курбатов Никита</t>
  </si>
  <si>
    <t>Юноши 16 - 17 (06.05.2004)/16</t>
  </si>
  <si>
    <t>90,50</t>
  </si>
  <si>
    <t>145,0o</t>
  </si>
  <si>
    <t>247,5</t>
  </si>
  <si>
    <t>257,5</t>
  </si>
  <si>
    <t>Ломакин Дмитрий</t>
  </si>
  <si>
    <t>2. Ломакин Дмитрий</t>
  </si>
  <si>
    <t>Открытая (03.03.1992)/29</t>
  </si>
  <si>
    <t xml:space="preserve">Локтионова Илия </t>
  </si>
  <si>
    <t>Мотайло Дмитрий</t>
  </si>
  <si>
    <t>1. Мотайло Дмитрий</t>
  </si>
  <si>
    <t>Открытая (06.06.1985)/35</t>
  </si>
  <si>
    <t>102,50</t>
  </si>
  <si>
    <t xml:space="preserve">Юниорки </t>
  </si>
  <si>
    <t>86,8175</t>
  </si>
  <si>
    <t>107,1268</t>
  </si>
  <si>
    <t>156,3225</t>
  </si>
  <si>
    <t>144,1228</t>
  </si>
  <si>
    <t>133,0320</t>
  </si>
  <si>
    <t>108,6575</t>
  </si>
  <si>
    <t>216,7948</t>
  </si>
  <si>
    <t>151,0600</t>
  </si>
  <si>
    <t>266,2678</t>
  </si>
  <si>
    <t>65,2023</t>
  </si>
  <si>
    <t>111,4174</t>
  </si>
  <si>
    <t>158,9829</t>
  </si>
  <si>
    <t>1. Дурнова Юлия</t>
  </si>
  <si>
    <t>126,0o</t>
  </si>
  <si>
    <t>Былдин Артемий</t>
  </si>
  <si>
    <t>1. Былдин Артемий</t>
  </si>
  <si>
    <t>Юноши 14-15 (04.07.2005)/15</t>
  </si>
  <si>
    <t>87,65</t>
  </si>
  <si>
    <t>163,5398</t>
  </si>
  <si>
    <t>151,5360</t>
  </si>
  <si>
    <t>325,7626</t>
  </si>
  <si>
    <t>292,5</t>
  </si>
  <si>
    <t>205,3470</t>
  </si>
  <si>
    <t>368,7466</t>
  </si>
  <si>
    <t>Мн.повт. жим</t>
  </si>
  <si>
    <t>Шерман Дмитрий</t>
  </si>
  <si>
    <t>1. Шерман Дмитрий</t>
  </si>
  <si>
    <t>Мастера 55 - 59 (28.05.1964)/56</t>
  </si>
  <si>
    <t>82,0</t>
  </si>
  <si>
    <t>29,0</t>
  </si>
  <si>
    <t>Жеребцов Александр</t>
  </si>
  <si>
    <t>1. Жеребцов Александр</t>
  </si>
  <si>
    <t>Мастера 65 - 69 (27.10.1955)/65</t>
  </si>
  <si>
    <t>100,00</t>
  </si>
  <si>
    <t>10,0</t>
  </si>
  <si>
    <t>Дурнов Дмитрий</t>
  </si>
  <si>
    <t>1. Дурнов Дмитрий</t>
  </si>
  <si>
    <t>Открытая (01.09.1985)/35</t>
  </si>
  <si>
    <t>102,20</t>
  </si>
  <si>
    <t>102,0</t>
  </si>
  <si>
    <t>20,0</t>
  </si>
  <si>
    <t>Фоминов Иван</t>
  </si>
  <si>
    <t>1. Фоминов Иван</t>
  </si>
  <si>
    <t>Мастера 40 - 44 (18.07.1978)/42</t>
  </si>
  <si>
    <t>107,30</t>
  </si>
  <si>
    <t xml:space="preserve">Динамо Липецк </t>
  </si>
  <si>
    <t>108,0</t>
  </si>
  <si>
    <t>Shv/Mel /Залуцкий</t>
  </si>
  <si>
    <t>1996,7199</t>
  </si>
  <si>
    <t>1792,1029</t>
  </si>
  <si>
    <t>1694,4399</t>
  </si>
  <si>
    <t>1422,7001</t>
  </si>
  <si>
    <t>Shv/Mel/Залуцкий</t>
  </si>
  <si>
    <t>Новиков Роман</t>
  </si>
  <si>
    <t>1. Новиков Роман</t>
  </si>
  <si>
    <t>Открытая (10.07.1982)/38</t>
  </si>
  <si>
    <t>254,9780</t>
  </si>
  <si>
    <t>Персианов Дмитрий</t>
  </si>
  <si>
    <t>1. Персианов Дмитрий</t>
  </si>
  <si>
    <t>Открытая (03.10.1991)/29</t>
  </si>
  <si>
    <t>88,40</t>
  </si>
  <si>
    <t>2225,2929</t>
  </si>
  <si>
    <t>НАП Н.Ж.</t>
  </si>
  <si>
    <t>Народный жим</t>
  </si>
  <si>
    <t>1. Гнутов Евгений</t>
  </si>
  <si>
    <t>36,0</t>
  </si>
  <si>
    <t>Пятаков Сергей</t>
  </si>
  <si>
    <t>1. Пятаков Сергей</t>
  </si>
  <si>
    <t>Открытая (09.07.1988)/32</t>
  </si>
  <si>
    <t>121,60</t>
  </si>
  <si>
    <t>25,0</t>
  </si>
  <si>
    <t xml:space="preserve">НАП Н.Ж. </t>
  </si>
  <si>
    <t>3062,5</t>
  </si>
  <si>
    <t>1964,2874</t>
  </si>
  <si>
    <t>2030,0</t>
  </si>
  <si>
    <t>1719,2070</t>
  </si>
  <si>
    <t>2050,0</t>
  </si>
  <si>
    <t>1413,2700</t>
  </si>
  <si>
    <t>3240,0</t>
  </si>
  <si>
    <t>2362,2840</t>
  </si>
  <si>
    <t>Тоннаж</t>
  </si>
  <si>
    <t>Мухин Олег</t>
  </si>
  <si>
    <t>1. Мухин Олег</t>
  </si>
  <si>
    <t>Мастера 55 - 59 (14.09.1961)/59</t>
  </si>
  <si>
    <t>79,70</t>
  </si>
  <si>
    <t>2125,0</t>
  </si>
  <si>
    <t>1609,6875</t>
  </si>
  <si>
    <t>6000,0</t>
  </si>
  <si>
    <t>4697,3999</t>
  </si>
  <si>
    <t>Народная становая</t>
  </si>
  <si>
    <t>Малышева Светлана</t>
  </si>
  <si>
    <t>1. Малышева Светлана</t>
  </si>
  <si>
    <t>Мастера 50 - 54 (22.01.1970)/51</t>
  </si>
  <si>
    <t>79,00</t>
  </si>
  <si>
    <t>32,0</t>
  </si>
  <si>
    <t>2560,0</t>
  </si>
  <si>
    <t>2138,6240</t>
  </si>
  <si>
    <t>Макеева Наталья</t>
  </si>
  <si>
    <t>1. Макеева Наталья</t>
  </si>
  <si>
    <t>Открытая (10.11.1985)/35</t>
  </si>
  <si>
    <t>54,00</t>
  </si>
  <si>
    <t>76,0</t>
  </si>
  <si>
    <t>4180,0</t>
  </si>
  <si>
    <t>3973,5081</t>
  </si>
  <si>
    <t>Жим стоя</t>
  </si>
  <si>
    <t>Луговой Олег</t>
  </si>
  <si>
    <t>1. Луговой Олег</t>
  </si>
  <si>
    <t>Мастера 45 - 49 (03.03.1974)/47</t>
  </si>
  <si>
    <t>85,00</t>
  </si>
  <si>
    <t>Киреев Роман</t>
  </si>
  <si>
    <t>1. Киреев Роман</t>
  </si>
  <si>
    <t>Открытая (13.10.1979)/41</t>
  </si>
  <si>
    <t>99,00</t>
  </si>
  <si>
    <t>Мастера 40 - 44 (13.10.1979)/41</t>
  </si>
  <si>
    <t>63,9975</t>
  </si>
  <si>
    <t>64,1895</t>
  </si>
  <si>
    <t>59,6461</t>
  </si>
  <si>
    <t>Подъем на бицепс</t>
  </si>
  <si>
    <t>Ильченко Ольга</t>
  </si>
  <si>
    <t>1. Ильченко Ольга</t>
  </si>
  <si>
    <t>Открытая (21.05.1985)/35</t>
  </si>
  <si>
    <t>59,50</t>
  </si>
  <si>
    <t>30,0o</t>
  </si>
  <si>
    <t>32,5</t>
  </si>
  <si>
    <t>ВЕСОВАЯ КАТЕГОРИЯ   75+</t>
  </si>
  <si>
    <t>Подпорина Любовь</t>
  </si>
  <si>
    <t>1. Подпорина Любовь</t>
  </si>
  <si>
    <t>Мастера 50 - 54 (30.09.1970)/50</t>
  </si>
  <si>
    <t>37,5</t>
  </si>
  <si>
    <t>Черепкин Александр</t>
  </si>
  <si>
    <t>1. Черепкин Александр</t>
  </si>
  <si>
    <t>Юниоры 20 - 23 (15.12.1999)/21</t>
  </si>
  <si>
    <t>40,0o</t>
  </si>
  <si>
    <t>45,0o</t>
  </si>
  <si>
    <t>Кучеров Михаил</t>
  </si>
  <si>
    <t>1. Кучеров Михаил</t>
  </si>
  <si>
    <t>Юноши 14-15 (10.08.2006)/14</t>
  </si>
  <si>
    <t xml:space="preserve">Кадеты </t>
  </si>
  <si>
    <t xml:space="preserve">Новый Оскол/Белгородская область </t>
  </si>
  <si>
    <t xml:space="preserve">Силаков Сергей Васильевич </t>
  </si>
  <si>
    <t>Ансимов Дмитрий</t>
  </si>
  <si>
    <t>Юноши 16 - 17 (05.01.2004)/17</t>
  </si>
  <si>
    <t>58,75</t>
  </si>
  <si>
    <t>Рышков Иван</t>
  </si>
  <si>
    <t>1. Рышков Иван</t>
  </si>
  <si>
    <t>Открытая (17.03.1994)/27</t>
  </si>
  <si>
    <t>Истомин Александр</t>
  </si>
  <si>
    <t>1. Истомин Александр</t>
  </si>
  <si>
    <t>Юноши 14-15 (13.06.2006)/14</t>
  </si>
  <si>
    <t>65,55</t>
  </si>
  <si>
    <t>Евсюков Максим</t>
  </si>
  <si>
    <t>2. Евсюков Максим</t>
  </si>
  <si>
    <t>Юноши 14-15 (24.09.2005)/15</t>
  </si>
  <si>
    <t>Ясенев Максим</t>
  </si>
  <si>
    <t>1. Ясенев Максим</t>
  </si>
  <si>
    <t>Юноши 18 - 19 (22.07.2001)/19</t>
  </si>
  <si>
    <t>64,10</t>
  </si>
  <si>
    <t>42,5o</t>
  </si>
  <si>
    <t>Анисимов Александр</t>
  </si>
  <si>
    <t>1. Анисимов Александр</t>
  </si>
  <si>
    <t>Юноши 16 - 17 (11.01.2005)/16</t>
  </si>
  <si>
    <t>74,15</t>
  </si>
  <si>
    <t>-. Артышко Семен</t>
  </si>
  <si>
    <t>Юноши 18 - 19 (26.09.2002)/18</t>
  </si>
  <si>
    <t>47,5</t>
  </si>
  <si>
    <t>Тимофеев Владислав</t>
  </si>
  <si>
    <t>1. Тимофеев Владислав</t>
  </si>
  <si>
    <t>Открытая (02.05.1994)/26</t>
  </si>
  <si>
    <t>71,80</t>
  </si>
  <si>
    <t>72,5</t>
  </si>
  <si>
    <t>77,5</t>
  </si>
  <si>
    <t>2. Спиридонов Максим</t>
  </si>
  <si>
    <t>Прасолов Александр</t>
  </si>
  <si>
    <t>1. Прасолов Александр</t>
  </si>
  <si>
    <t>Юноши 14-15 (29.07.2005)/15</t>
  </si>
  <si>
    <t>80,70</t>
  </si>
  <si>
    <t xml:space="preserve">Бирюч/Белгородская область </t>
  </si>
  <si>
    <t>Михайлюков Роман</t>
  </si>
  <si>
    <t>1. Михайлюков Роман</t>
  </si>
  <si>
    <t>Юноши 16 - 17 (02.04.2004)/17</t>
  </si>
  <si>
    <t>78,55</t>
  </si>
  <si>
    <t>Рядинский Денис</t>
  </si>
  <si>
    <t>1. Рядинский Денис</t>
  </si>
  <si>
    <t>Открытая (06.07.1985)/35</t>
  </si>
  <si>
    <t>Варагушев Алексей</t>
  </si>
  <si>
    <t>2. Варагушев Алексей</t>
  </si>
  <si>
    <t>Открытая (21.08.1997)/23</t>
  </si>
  <si>
    <t>79,80</t>
  </si>
  <si>
    <t>Горбик Владимир</t>
  </si>
  <si>
    <t>1. Горбик Владимир</t>
  </si>
  <si>
    <t>Мастера 40 - 44 (06.01.1978)/43</t>
  </si>
  <si>
    <t>79,10</t>
  </si>
  <si>
    <t>Фоменко Леонид</t>
  </si>
  <si>
    <t>1. Фоменко Леонид</t>
  </si>
  <si>
    <t>Юноши 16 - 17 (19.06.2003)/17</t>
  </si>
  <si>
    <t>86,20</t>
  </si>
  <si>
    <t>Соколов Артем</t>
  </si>
  <si>
    <t>1. Соколов Артем</t>
  </si>
  <si>
    <t>Открытая (04.09.1985)/35</t>
  </si>
  <si>
    <t>88,80</t>
  </si>
  <si>
    <t>Валяев Александр</t>
  </si>
  <si>
    <t>2. Валяев Александр</t>
  </si>
  <si>
    <t>Открытая (18.04.1991)/30</t>
  </si>
  <si>
    <t>89,90</t>
  </si>
  <si>
    <t>Девятко Сергей</t>
  </si>
  <si>
    <t>1. Девятко Сергей</t>
  </si>
  <si>
    <t>Мастера 40 - 44 (24.08.1976)/44</t>
  </si>
  <si>
    <t>87,10</t>
  </si>
  <si>
    <t>Горбачев Александр</t>
  </si>
  <si>
    <t>2. Горбачев Александр</t>
  </si>
  <si>
    <t>98,00</t>
  </si>
  <si>
    <t xml:space="preserve">Дмитриев/Курская область </t>
  </si>
  <si>
    <t>4. Мазепа Денис</t>
  </si>
  <si>
    <t>1. Ильченко Евгений</t>
  </si>
  <si>
    <t>26,0100</t>
  </si>
  <si>
    <t>75+</t>
  </si>
  <si>
    <t>28,5435</t>
  </si>
  <si>
    <t>46,3888</t>
  </si>
  <si>
    <t>45,4565</t>
  </si>
  <si>
    <t>42,2113</t>
  </si>
  <si>
    <t>41,2634</t>
  </si>
  <si>
    <t>39,2834</t>
  </si>
  <si>
    <t>39,2800</t>
  </si>
  <si>
    <t>38,1360</t>
  </si>
  <si>
    <t>33,6495</t>
  </si>
  <si>
    <t>32,9089</t>
  </si>
  <si>
    <t>40,9612</t>
  </si>
  <si>
    <t>26,9750</t>
  </si>
  <si>
    <t>53,3355</t>
  </si>
  <si>
    <t>51,3068</t>
  </si>
  <si>
    <t>48,4290</t>
  </si>
  <si>
    <t>47,5575</t>
  </si>
  <si>
    <t>41,6625</t>
  </si>
  <si>
    <t>41,3070</t>
  </si>
  <si>
    <t>41,2100</t>
  </si>
  <si>
    <t>40,9990</t>
  </si>
  <si>
    <t>40,5347</t>
  </si>
  <si>
    <t>39,4020</t>
  </si>
  <si>
    <t>39,2700</t>
  </si>
  <si>
    <t>39,0670</t>
  </si>
  <si>
    <t>62,2016</t>
  </si>
  <si>
    <t>57,4255</t>
  </si>
  <si>
    <t>43,0778</t>
  </si>
  <si>
    <t>42,2297</t>
  </si>
  <si>
    <t>42,2019</t>
  </si>
  <si>
    <t>40,0281</t>
  </si>
  <si>
    <t>Рядинский Данила</t>
  </si>
  <si>
    <t>1. Рядинский Данила</t>
  </si>
  <si>
    <t>Юноши 0-13 (01.12.2009)/11</t>
  </si>
  <si>
    <t>32,80</t>
  </si>
  <si>
    <t>15,0</t>
  </si>
  <si>
    <t>17,5</t>
  </si>
  <si>
    <t>Киреленко Сергей</t>
  </si>
  <si>
    <t>1. Киреленко Сергей</t>
  </si>
  <si>
    <t>Открытая (25.05.1995)/25</t>
  </si>
  <si>
    <t>119,90</t>
  </si>
  <si>
    <t>32,3072</t>
  </si>
  <si>
    <t>97,5</t>
  </si>
  <si>
    <t>54,5708</t>
  </si>
  <si>
    <t>46,1213</t>
  </si>
  <si>
    <t>44,3440</t>
  </si>
  <si>
    <t>40,3585</t>
  </si>
  <si>
    <t>37,9911</t>
  </si>
  <si>
    <t>Платонов Владимир</t>
  </si>
  <si>
    <t>1. Платонов Владимир</t>
  </si>
  <si>
    <t>Открытая (12.05.1984)/36</t>
  </si>
  <si>
    <t>64,30</t>
  </si>
  <si>
    <t xml:space="preserve">Сталь </t>
  </si>
  <si>
    <t>83,5010</t>
  </si>
  <si>
    <t>1. Маркелов Юрий</t>
  </si>
  <si>
    <t>97,9825</t>
  </si>
  <si>
    <t>Атлетизм</t>
  </si>
  <si>
    <t>Русский жим</t>
  </si>
  <si>
    <t>ВЕСОВАЯ КАТЕГОРИЯ   All</t>
  </si>
  <si>
    <t xml:space="preserve">Атлетизм </t>
  </si>
  <si>
    <t>All</t>
  </si>
  <si>
    <t>3780,0</t>
  </si>
  <si>
    <t>70,0000</t>
  </si>
  <si>
    <t>Киян Андрей</t>
  </si>
  <si>
    <t>1. Киян Андрей</t>
  </si>
  <si>
    <t>Мастера 45 - 49 (17.06.1974)/46</t>
  </si>
  <si>
    <t>93,90</t>
  </si>
  <si>
    <t>5625,0</t>
  </si>
  <si>
    <t>59,9041</t>
  </si>
  <si>
    <t>73,0</t>
  </si>
  <si>
    <t>Кафланов Валерик</t>
  </si>
  <si>
    <t>3. Кафланов Валерик</t>
  </si>
  <si>
    <t>Открытая (27.07.1990)/30</t>
  </si>
  <si>
    <t>80,85</t>
  </si>
  <si>
    <t>53,0</t>
  </si>
  <si>
    <t>4. Валяев Александр</t>
  </si>
  <si>
    <t>5. Рышков Иван</t>
  </si>
  <si>
    <t>27,0</t>
  </si>
  <si>
    <t>Попков Сергей</t>
  </si>
  <si>
    <t>1. Попков Сергей</t>
  </si>
  <si>
    <t>Мастера 40 - 44 (31.12.1976)/44</t>
  </si>
  <si>
    <t>58,0</t>
  </si>
  <si>
    <t>4400,0</t>
  </si>
  <si>
    <t>49,5495</t>
  </si>
  <si>
    <t>4015,0</t>
  </si>
  <si>
    <t>41,6709</t>
  </si>
  <si>
    <t>2915,0</t>
  </si>
  <si>
    <t>36,0544</t>
  </si>
  <si>
    <t>1485,0</t>
  </si>
  <si>
    <t>25,0844</t>
  </si>
  <si>
    <t>2200,0</t>
  </si>
  <si>
    <t>24,4716</t>
  </si>
  <si>
    <t>3190,0</t>
  </si>
  <si>
    <t>35,8830</t>
  </si>
  <si>
    <t>Подъем на бицепс мн.повт.</t>
  </si>
  <si>
    <t>Котелкин Андрей</t>
  </si>
  <si>
    <t>1. Котелкин Андрей</t>
  </si>
  <si>
    <t>Юноши 18 - 19 (22.07.2002)/18</t>
  </si>
  <si>
    <t>21,0</t>
  </si>
  <si>
    <t>Захаров Кирилл</t>
  </si>
  <si>
    <t>1. Захаров Кирилл</t>
  </si>
  <si>
    <t>Открытая (25.06.1992)/28</t>
  </si>
  <si>
    <t>98,50</t>
  </si>
  <si>
    <t>46,0</t>
  </si>
  <si>
    <t>2. Рядинский Денис</t>
  </si>
  <si>
    <t>Садрутдинов Азамат</t>
  </si>
  <si>
    <t>3. Садрутдинов Азамат</t>
  </si>
  <si>
    <t>Открытая (07.09.1981)/39</t>
  </si>
  <si>
    <t>87,40</t>
  </si>
  <si>
    <t>26,0</t>
  </si>
  <si>
    <t>1050,0</t>
  </si>
  <si>
    <t>17,6470</t>
  </si>
  <si>
    <t>2000,0</t>
  </si>
  <si>
    <t>24,3902</t>
  </si>
  <si>
    <t>2300,0</t>
  </si>
  <si>
    <t>23,3502</t>
  </si>
  <si>
    <t>1300,0</t>
  </si>
  <si>
    <t>14,8741</t>
  </si>
  <si>
    <t>14,7392</t>
  </si>
  <si>
    <t>Русская становая</t>
  </si>
  <si>
    <t>1. Мазепа Денис</t>
  </si>
  <si>
    <t>2. Хазыков Руслан</t>
  </si>
  <si>
    <t>16,0</t>
  </si>
  <si>
    <t>3750,0</t>
  </si>
  <si>
    <t>38,1097</t>
  </si>
  <si>
    <t>2400,0</t>
  </si>
  <si>
    <t>30,6905</t>
  </si>
  <si>
    <t>22,0</t>
  </si>
  <si>
    <t>Кожухов Александр</t>
  </si>
  <si>
    <t>1. Кожухов Александр</t>
  </si>
  <si>
    <t>Открытая (13.07.1987)/33</t>
  </si>
  <si>
    <t>97,10</t>
  </si>
  <si>
    <t>37,0</t>
  </si>
  <si>
    <t>Малышев Евгений</t>
  </si>
  <si>
    <t>1. Малышев Евгений</t>
  </si>
  <si>
    <t>Мастера 45 - 49 (02.12.1972)/48</t>
  </si>
  <si>
    <t>3300,0</t>
  </si>
  <si>
    <t>30,6406</t>
  </si>
  <si>
    <t>5550,0</t>
  </si>
  <si>
    <t>57,1575</t>
  </si>
  <si>
    <t>4800,0</t>
  </si>
  <si>
    <t>48,0480</t>
  </si>
  <si>
    <t>4050,0</t>
  </si>
  <si>
    <t>47,9857</t>
  </si>
  <si>
    <t>Международный фестиваль силовых видов спорта "Кубок мира Zeus IV"
Профессионалы народный жим (1/2 вес)
Белгород 23-24 апреля 2021 г.</t>
  </si>
  <si>
    <t>Международный фестиваль силовых видов спорта "Кубок мира Zeus IV"
Любители народная становая тяга
Белгород 23-24 апреля 2021 г.</t>
  </si>
  <si>
    <t>Международный фестиваль силовых видов спорта "Кубок мира Zeus IV"
Профессионалы народная становая тяга
Белгород 23-24 апреля 2021 г.</t>
  </si>
  <si>
    <t>Международный фестиваль силовых видов спорта "Кубок мира Zeus IV"
ПРО Военный жим многоповторный 1\2
Белгород 23-24 апреля 2021 г.</t>
  </si>
  <si>
    <t>Международный фестиваль силовых видов спорта "Кубок мира Zeus IV"
Любители Военный жим многоповторный 1\2
Белгород 23-24 апреля 2021 г.</t>
  </si>
  <si>
    <t>Международный фестиваль силовых видов спорта "Кубок мира Zeus IV"
Одиночный жим штанги стоя Любители
Белгород 23-24 апреля 2021 г.</t>
  </si>
  <si>
    <t>Международный фестиваль силовых видов спорта "Кубок мира Zeus IV"
Одиночный подъём штанги на бицепс Любители
Белгород 23-24 апреля 2021 г.</t>
  </si>
  <si>
    <t>Международный фестиваль силовых видов спорта "Кубок мира Zeus IV"
Одиночный подъём штанги на бицепс Профессионалы
Белгород 23-24 апреля 2021 г.</t>
  </si>
  <si>
    <t>Международный фестиваль силовых видов спорта "Кубок мира Zeus IV"
Пауэрспорт Любители
Белгород 23-24 апреля 2021 г.</t>
  </si>
  <si>
    <t>Международный фестиваль силовых видов спорта "Кубок мира Zeus IV"
Пауэрспорт Профессионалы
Белгород 23-24 апреля 2021 г.</t>
  </si>
  <si>
    <t>Международный фестиваль силовых видов спорта "Кубок мира Zeus IV"
Русский жим профессионалы 35 кг.
Белгород 23-24 апреля 2021 г.</t>
  </si>
  <si>
    <t>Международный фестиваль силовых видов спорта "Кубок мира Zeus IV"
Русский жим профессионалы 75 кг.
Белгород 23-24 апреля 2021 г.</t>
  </si>
  <si>
    <t>Международный фестиваль силовых видов спорта "Кубок мира Zeus IV"
Русская станова тяга профессионалы 150 кг.
Белгород 23-24 апреля 2021 г.</t>
  </si>
  <si>
    <t>Международный фестиваль силовых видов спорта "Кубок мира Zeus IV"
Русская станова тяга любители 150 кг.
Белгород 23-24 апреля 2021 г.</t>
  </si>
  <si>
    <t>Международный фестиваль силовых видов спорта "Кубок мира Zeus IV"
Русский бицепс профессионалы 50 кг.
Белгород 23-24 апреля 2021 г.</t>
  </si>
  <si>
    <t>Международный фестиваль силовых видов спорта "Кубок мира Zeus IV"
Русский жим любители 55 кг.
Белгород 23-24 апреля 2021 г.</t>
  </si>
  <si>
    <t>Международный фестиваль силовых видов спорта "Кубок мира Zeus IV"
Любители народный жим (1/2 вес)
Белгород 23-24 апреля 2021 г.</t>
  </si>
  <si>
    <t>Международный фестиваль силовых видов спорта "Кубок мира Zeus IV"
Любители народный жим (1 вес)
Белгород 23-24 апреля 2021 г.</t>
  </si>
  <si>
    <t>Международный фестиваль силовых видов спорта "Кубок мира Zeus IV"
ПРО жимовое двоеборье
Белгород 23 - 24 апреля 2021 г.</t>
  </si>
  <si>
    <t>Международный фестиваль силовых видов спорта "Кубок мира Zeus IV"
Силовое двоеборье любители
Белгород 23 - 24 апреля 2021 г.</t>
  </si>
  <si>
    <t>Международный фестиваль силовых видов спорта "Кубок мира Zeus IV"
Любители жимовое двоеборье
Белгород 23 - 24 апреля 2021 г.</t>
  </si>
  <si>
    <t>Международный фестиваль силовых видов спорта "Кубок мира Zeus IV"
Силовое двоеборье профессионалы
Белгород 23 - 24 апреля 2021 г.</t>
  </si>
  <si>
    <t>Международный фестиваль силовых видов спорта "Кубок мира Zeus IV"
ПРО присед без экипировки
Белгород 23 - 24 апреля 2021 г.</t>
  </si>
  <si>
    <t>Международный фестиваль силовых видов спорта "Кубок мира Zeus IV"
Любители присед без экипировки
Белгород 23 - 24 апреля 2021 г.</t>
  </si>
  <si>
    <t>Международный фестиваль силовых видов спорта "Кубок мира Zeus IV"
ПРО присед в однослойной экипировке
Белгород 23 - 24 апреля 2021 г.</t>
  </si>
  <si>
    <t>Международный фестиваль силовых видов спорта "Кубок мира Zeus IV"
Любители присед в однослойной экипировке
Белгород 23 - 24 апреля 2021 г.</t>
  </si>
  <si>
    <t>Международный фестиваль силовых видов спорта "Кубок мира Zeus IV"
ПРО становая тяга без экипировки
Белгород 23 - 24 апреля 2021 г.</t>
  </si>
  <si>
    <t>Международный фестиваль силовых видов спорта "Кубок мира Zeus IV"
Любители становая тяга без экипировки
Белгород 23 - 24 апреля 2021 г.</t>
  </si>
  <si>
    <t>Международный фестиваль силовых видов спорта "Кубок мира Zeus IV"
ПРО становая тяга в однослойной экипировке
Белгород 23 - 24 апреля 2021 г.</t>
  </si>
  <si>
    <t>Международный фестиваль силовых видов спорта "Кубок мира Zeus IV"
Любители становая тяга в однослойной экипировке
Белгород 23 - 24 апреля 2021 г.</t>
  </si>
  <si>
    <t>Международный фестиваль силовых видов спорта "Кубок мира Zeus IV"
СОВ становая тяга
Белгород 23 - 24 апреля 2021 г.</t>
  </si>
  <si>
    <t>Международный фестиваль силовых видов спорта "Кубок мира Zeus IV"
ПРО жим лежа в Софт экипировка многопетельная
Белгород 23 - 24 апреля 2021 г.</t>
  </si>
  <si>
    <t>Международный фестиваль силовых видов спорта "Кубок мира Zeus IV"
ПРО жим лежа Софт экипировка однопетельная
Белгород 23 - 24 апреля 2021 г.</t>
  </si>
  <si>
    <t>Международный фестиваль силовых видов спорта "Кубок мира Zeus IV"
Любители жим лежа в Софт экипировка однопетельная
Белгород 23 - 24 апреля 2021 г.</t>
  </si>
  <si>
    <t>Международный фестиваль силовых видов спорта "Кубок мира Zeus IV"
ПРО жим лежа без экипировки
Белгород 23 - 24 апреля 2021 г.</t>
  </si>
  <si>
    <t>Международный фестиваль силовых видов спорта "Кубок мира Zeus IV"
Любители жим лежа без экипировки
Белгород 23 - 24 апреля 2021 г.</t>
  </si>
  <si>
    <t>Международный фестиваль силовых видов спорта "Кубок мира Zeus IV"
ПРО жим лежа в однослойной экипировке
Белгород 23 - 24 апреля 2021 г.</t>
  </si>
  <si>
    <t>Международный фестиваль силовых видов спорта "Кубок мира Zeus IV"
Любители жим лежа в однослойной экипировке
Белгород 23 - 24 апреля 2021 г.</t>
  </si>
  <si>
    <t>Международный фестиваль силовых видов спорта "Кубок мира Zeus IV"
СОВ жим лежа
Белгород 23 - 24 апреля 2021 г.</t>
  </si>
  <si>
    <t>Международный фестиваль силовых видов спорта "Кубок мира Zeus IV"
ПРО военный жим классический
Белгород 23 - 24 апреля 2021 г.</t>
  </si>
  <si>
    <t>Международный фестиваль силовых видов спорта "Кубок мира Zeus IV"
Любители военный жим классический
Белгород 23 - 24 апреля 2021 г.</t>
  </si>
  <si>
    <t>Международный фестиваль силовых видов спорта "Кубок мира Zeus IV"
Любители пауэрлифтинг в многопетельной софт экипировке
Белгород 23 - 24 апреля 2021 г.</t>
  </si>
  <si>
    <t>Международный фестиваль силовых видов спорта "Кубок мира Zeus IV"
ПРО пауэрлифтинг без экипировки
Белгород 23 - 24 апреля 2021 г.</t>
  </si>
  <si>
    <t>Международный фестиваль силовых видов спорта "Кубок мира Zeus IV"
Любители пауэрлифтинг без экипировки
Белгород 23 - 24 апреля 2021 г.</t>
  </si>
  <si>
    <t>Международный фестиваль силовых видов спорта "Кубок мира Zeus IV"
ПРО пауэрлифтинг в однопетельной софт экипировке
Белгород 23 - 24 апреля 2021 г.</t>
  </si>
  <si>
    <t>Международный фестиваль силовых видов спорта "Кубок мира Zeus IV"
ПРО пауэрлифтинг в однослойной экипировке
Белгород 23 - 24 апреля 2021 г.</t>
  </si>
  <si>
    <t>Международный фестиваль силовых видов спорта "Кубок мира Zeus IV"
Любители пауэрлифтинг в однослойной экипировке
Белгород 23 - 24 апреля 2021 г.</t>
  </si>
  <si>
    <t>1. Анисимов Дмитрий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</si>
</sst>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z val="22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left"/>
    </xf>
    <xf numFmtId="49" fontId="0" fillId="0" borderId="11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2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left"/>
    </xf>
    <xf numFmtId="49" fontId="0" fillId="0" borderId="12" xfId="0" applyNumberFormat="1" applyFont="1" applyFill="1" applyBorder="1" applyAlignment="1">
      <alignment horizontal="center"/>
    </xf>
    <xf numFmtId="49" fontId="6" fillId="0" borderId="12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left"/>
    </xf>
    <xf numFmtId="49" fontId="0" fillId="0" borderId="8" xfId="0" applyNumberFormat="1" applyFont="1" applyFill="1" applyBorder="1" applyAlignment="1">
      <alignment horizontal="center"/>
    </xf>
    <xf numFmtId="49" fontId="6" fillId="0" borderId="8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left"/>
    </xf>
    <xf numFmtId="49" fontId="0" fillId="0" borderId="13" xfId="0" applyNumberFormat="1" applyFont="1" applyFill="1" applyBorder="1" applyAlignment="1">
      <alignment horizontal="center"/>
    </xf>
    <xf numFmtId="49" fontId="6" fillId="0" borderId="13" xfId="0" applyNumberFormat="1" applyFont="1" applyFill="1" applyBorder="1" applyAlignment="1">
      <alignment horizontal="center"/>
    </xf>
    <xf numFmtId="49" fontId="1" fillId="0" borderId="12" xfId="0" applyNumberFormat="1" applyFont="1" applyFill="1" applyBorder="1" applyAlignment="1">
      <alignment horizontal="left"/>
    </xf>
    <xf numFmtId="49" fontId="1" fillId="0" borderId="12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left"/>
    </xf>
    <xf numFmtId="49" fontId="1" fillId="0" borderId="8" xfId="0" applyNumberFormat="1" applyFont="1" applyFill="1" applyBorder="1" applyAlignment="1">
      <alignment horizontal="center"/>
    </xf>
    <xf numFmtId="49" fontId="1" fillId="0" borderId="13" xfId="0" applyNumberFormat="1" applyFont="1" applyFill="1" applyBorder="1" applyAlignment="1">
      <alignment horizontal="left"/>
    </xf>
    <xf numFmtId="49" fontId="1" fillId="0" borderId="13" xfId="0" applyNumberFormat="1" applyFont="1" applyFill="1" applyBorder="1" applyAlignment="1">
      <alignment horizontal="center"/>
    </xf>
    <xf numFmtId="49" fontId="0" fillId="0" borderId="13" xfId="0" applyNumberFormat="1" applyFill="1" applyBorder="1" applyAlignment="1">
      <alignment horizontal="left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49" fontId="9" fillId="0" borderId="5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F15" sqref="F15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9" style="4" bestFit="1" customWidth="1"/>
    <col min="7" max="7" width="5.5703125" style="3" customWidth="1"/>
    <col min="8" max="8" width="10.42578125" style="3" customWidth="1"/>
    <col min="9" max="9" width="7.85546875" style="10" bestFit="1" customWidth="1"/>
    <col min="10" max="10" width="7.5703125" style="2" bestFit="1" customWidth="1"/>
    <col min="11" max="11" width="16.42578125" style="4" bestFit="1" customWidth="1"/>
    <col min="12" max="16384" width="9.140625" style="3"/>
  </cols>
  <sheetData>
    <row r="1" spans="1:11" s="2" customFormat="1" ht="29.1" customHeight="1" x14ac:dyDescent="0.2">
      <c r="A1" s="35" t="s">
        <v>1326</v>
      </c>
      <c r="B1" s="36"/>
      <c r="C1" s="36"/>
      <c r="D1" s="36"/>
      <c r="E1" s="36"/>
      <c r="F1" s="36"/>
      <c r="G1" s="36"/>
      <c r="H1" s="36"/>
      <c r="I1" s="36"/>
      <c r="J1" s="36"/>
      <c r="K1" s="37"/>
    </row>
    <row r="2" spans="1:11" s="2" customFormat="1" ht="84.75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40"/>
    </row>
    <row r="3" spans="1:11" s="1" customFormat="1" ht="12.75" customHeight="1" x14ac:dyDescent="0.2">
      <c r="A3" s="41" t="s">
        <v>0</v>
      </c>
      <c r="B3" s="43" t="s">
        <v>6</v>
      </c>
      <c r="C3" s="43" t="s">
        <v>10</v>
      </c>
      <c r="D3" s="45" t="s">
        <v>1226</v>
      </c>
      <c r="E3" s="45" t="s">
        <v>4</v>
      </c>
      <c r="F3" s="45" t="s">
        <v>7</v>
      </c>
      <c r="G3" s="45" t="s">
        <v>1289</v>
      </c>
      <c r="H3" s="45"/>
      <c r="I3" s="45" t="s">
        <v>1035</v>
      </c>
      <c r="J3" s="45" t="s">
        <v>3</v>
      </c>
      <c r="K3" s="46" t="s">
        <v>2</v>
      </c>
    </row>
    <row r="4" spans="1:11" s="1" customFormat="1" ht="21" customHeight="1" thickBot="1" x14ac:dyDescent="0.25">
      <c r="A4" s="42"/>
      <c r="B4" s="44"/>
      <c r="C4" s="44"/>
      <c r="D4" s="44"/>
      <c r="E4" s="44"/>
      <c r="F4" s="44"/>
      <c r="G4" s="5" t="s">
        <v>8</v>
      </c>
      <c r="H4" s="5" t="s">
        <v>9</v>
      </c>
      <c r="I4" s="44"/>
      <c r="J4" s="44"/>
      <c r="K4" s="47"/>
    </row>
    <row r="5" spans="1:11" ht="15" x14ac:dyDescent="0.2">
      <c r="A5" s="48" t="s">
        <v>1228</v>
      </c>
      <c r="B5" s="49"/>
      <c r="C5" s="49"/>
      <c r="D5" s="49"/>
      <c r="E5" s="49"/>
      <c r="F5" s="49"/>
      <c r="G5" s="49"/>
      <c r="H5" s="49"/>
    </row>
    <row r="6" spans="1:11" x14ac:dyDescent="0.2">
      <c r="A6" s="19" t="s">
        <v>17</v>
      </c>
      <c r="B6" s="19" t="s">
        <v>18</v>
      </c>
      <c r="C6" s="19" t="s">
        <v>19</v>
      </c>
      <c r="D6" s="19" t="str">
        <f>"1,0000"</f>
        <v>1,0000</v>
      </c>
      <c r="E6" s="19" t="s">
        <v>20</v>
      </c>
      <c r="F6" s="19" t="s">
        <v>21</v>
      </c>
      <c r="G6" s="20" t="s">
        <v>131</v>
      </c>
      <c r="H6" s="20" t="s">
        <v>1297</v>
      </c>
      <c r="I6" s="28" t="str">
        <f>"3300,0"</f>
        <v>3300,0</v>
      </c>
      <c r="J6" s="29" t="str">
        <f>"30,6406"</f>
        <v>30,6406</v>
      </c>
      <c r="K6" s="19" t="s">
        <v>28</v>
      </c>
    </row>
    <row r="7" spans="1:11" x14ac:dyDescent="0.2">
      <c r="A7" s="25" t="s">
        <v>1299</v>
      </c>
      <c r="B7" s="25" t="s">
        <v>1300</v>
      </c>
      <c r="C7" s="25" t="s">
        <v>1301</v>
      </c>
      <c r="D7" s="25" t="str">
        <f>"1,0000"</f>
        <v>1,0000</v>
      </c>
      <c r="E7" s="25" t="s">
        <v>51</v>
      </c>
      <c r="F7" s="25" t="s">
        <v>112</v>
      </c>
      <c r="G7" s="26" t="s">
        <v>131</v>
      </c>
      <c r="H7" s="26" t="s">
        <v>1302</v>
      </c>
      <c r="I7" s="32" t="str">
        <f>"5550,0"</f>
        <v>5550,0</v>
      </c>
      <c r="J7" s="33" t="str">
        <f>"57,1575"</f>
        <v>57,1575</v>
      </c>
      <c r="K7" s="25" t="s">
        <v>28</v>
      </c>
    </row>
    <row r="8" spans="1:11" x14ac:dyDescent="0.2">
      <c r="A8" s="25" t="s">
        <v>947</v>
      </c>
      <c r="B8" s="25" t="s">
        <v>948</v>
      </c>
      <c r="C8" s="25" t="s">
        <v>438</v>
      </c>
      <c r="D8" s="25" t="str">
        <f>"1,0000"</f>
        <v>1,0000</v>
      </c>
      <c r="E8" s="25" t="s">
        <v>20</v>
      </c>
      <c r="F8" s="25" t="s">
        <v>21</v>
      </c>
      <c r="G8" s="26" t="s">
        <v>131</v>
      </c>
      <c r="H8" s="26" t="s">
        <v>1049</v>
      </c>
      <c r="I8" s="32" t="str">
        <f>"4800,0"</f>
        <v>4800,0</v>
      </c>
      <c r="J8" s="33" t="str">
        <f>"48,0480"</f>
        <v>48,0480</v>
      </c>
      <c r="K8" s="25" t="s">
        <v>949</v>
      </c>
    </row>
    <row r="9" spans="1:11" x14ac:dyDescent="0.2">
      <c r="A9" s="22" t="s">
        <v>1304</v>
      </c>
      <c r="B9" s="22" t="s">
        <v>1305</v>
      </c>
      <c r="C9" s="22" t="s">
        <v>788</v>
      </c>
      <c r="D9" s="22" t="str">
        <f>"1,0000"</f>
        <v>1,0000</v>
      </c>
      <c r="E9" s="22" t="s">
        <v>100</v>
      </c>
      <c r="F9" s="22" t="s">
        <v>21</v>
      </c>
      <c r="G9" s="23" t="s">
        <v>131</v>
      </c>
      <c r="H9" s="23" t="s">
        <v>1247</v>
      </c>
      <c r="I9" s="30" t="str">
        <f>"4050,0"</f>
        <v>4050,0</v>
      </c>
      <c r="J9" s="31" t="str">
        <f>"47,9857"</f>
        <v>47,9857</v>
      </c>
      <c r="K9" s="22" t="s">
        <v>28</v>
      </c>
    </row>
    <row r="11" spans="1:11" ht="15" x14ac:dyDescent="0.2">
      <c r="E11" s="9" t="s">
        <v>29</v>
      </c>
    </row>
    <row r="12" spans="1:11" ht="15" x14ac:dyDescent="0.2">
      <c r="E12" s="9" t="s">
        <v>30</v>
      </c>
    </row>
    <row r="13" spans="1:11" ht="15" x14ac:dyDescent="0.2">
      <c r="E13" s="9" t="s">
        <v>31</v>
      </c>
    </row>
    <row r="14" spans="1:11" ht="15" x14ac:dyDescent="0.2">
      <c r="E14" s="9" t="s">
        <v>32</v>
      </c>
    </row>
    <row r="15" spans="1:11" ht="15" x14ac:dyDescent="0.2">
      <c r="E15" s="9" t="s">
        <v>32</v>
      </c>
    </row>
    <row r="16" spans="1:11" ht="15" x14ac:dyDescent="0.2">
      <c r="E16" s="9" t="s">
        <v>33</v>
      </c>
    </row>
    <row r="17" spans="1:5" ht="15" x14ac:dyDescent="0.2">
      <c r="E17" s="9"/>
    </row>
    <row r="19" spans="1:5" ht="18" x14ac:dyDescent="0.25">
      <c r="A19" s="13" t="s">
        <v>34</v>
      </c>
      <c r="B19" s="13"/>
    </row>
    <row r="20" spans="1:5" ht="15" x14ac:dyDescent="0.2">
      <c r="A20" s="14" t="s">
        <v>35</v>
      </c>
      <c r="B20" s="14"/>
    </row>
    <row r="21" spans="1:5" ht="14.25" x14ac:dyDescent="0.2">
      <c r="A21" s="16"/>
      <c r="B21" s="17" t="s">
        <v>36</v>
      </c>
    </row>
    <row r="22" spans="1:5" ht="15" x14ac:dyDescent="0.2">
      <c r="A22" s="18" t="s">
        <v>37</v>
      </c>
      <c r="B22" s="18" t="s">
        <v>38</v>
      </c>
      <c r="C22" s="18" t="s">
        <v>39</v>
      </c>
      <c r="D22" s="18" t="s">
        <v>393</v>
      </c>
      <c r="E22" s="18" t="s">
        <v>1229</v>
      </c>
    </row>
    <row r="23" spans="1:5" x14ac:dyDescent="0.2">
      <c r="A23" s="15" t="s">
        <v>16</v>
      </c>
      <c r="B23" s="4" t="s">
        <v>42</v>
      </c>
      <c r="C23" s="4" t="s">
        <v>1230</v>
      </c>
      <c r="D23" s="4" t="s">
        <v>1306</v>
      </c>
      <c r="E23" s="10" t="s">
        <v>1307</v>
      </c>
    </row>
    <row r="25" spans="1:5" ht="14.25" x14ac:dyDescent="0.2">
      <c r="A25" s="16"/>
      <c r="B25" s="17" t="s">
        <v>81</v>
      </c>
    </row>
    <row r="26" spans="1:5" ht="15" x14ac:dyDescent="0.2">
      <c r="A26" s="18" t="s">
        <v>37</v>
      </c>
      <c r="B26" s="18" t="s">
        <v>38</v>
      </c>
      <c r="C26" s="18" t="s">
        <v>39</v>
      </c>
      <c r="D26" s="18" t="s">
        <v>393</v>
      </c>
      <c r="E26" s="18" t="s">
        <v>1229</v>
      </c>
    </row>
    <row r="27" spans="1:5" x14ac:dyDescent="0.2">
      <c r="A27" s="15" t="s">
        <v>1298</v>
      </c>
      <c r="B27" s="4" t="s">
        <v>81</v>
      </c>
      <c r="C27" s="4" t="s">
        <v>1230</v>
      </c>
      <c r="D27" s="4" t="s">
        <v>1308</v>
      </c>
      <c r="E27" s="10" t="s">
        <v>1309</v>
      </c>
    </row>
    <row r="28" spans="1:5" x14ac:dyDescent="0.2">
      <c r="A28" s="15" t="s">
        <v>946</v>
      </c>
      <c r="B28" s="4" t="s">
        <v>81</v>
      </c>
      <c r="C28" s="4" t="s">
        <v>1230</v>
      </c>
      <c r="D28" s="4" t="s">
        <v>1310</v>
      </c>
      <c r="E28" s="10" t="s">
        <v>1311</v>
      </c>
    </row>
    <row r="30" spans="1:5" ht="14.25" x14ac:dyDescent="0.2">
      <c r="A30" s="16"/>
      <c r="B30" s="17" t="s">
        <v>61</v>
      </c>
    </row>
    <row r="31" spans="1:5" ht="15" x14ac:dyDescent="0.2">
      <c r="A31" s="18" t="s">
        <v>37</v>
      </c>
      <c r="B31" s="18" t="s">
        <v>38</v>
      </c>
      <c r="C31" s="18" t="s">
        <v>39</v>
      </c>
      <c r="D31" s="18" t="s">
        <v>393</v>
      </c>
      <c r="E31" s="18" t="s">
        <v>1229</v>
      </c>
    </row>
    <row r="32" spans="1:5" x14ac:dyDescent="0.2">
      <c r="A32" s="15" t="s">
        <v>1303</v>
      </c>
      <c r="B32" s="4" t="s">
        <v>285</v>
      </c>
      <c r="C32" s="4" t="s">
        <v>1230</v>
      </c>
      <c r="D32" s="4" t="s">
        <v>1312</v>
      </c>
      <c r="E32" s="10" t="s">
        <v>1313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8"/>
  <sheetViews>
    <sheetView topLeftCell="A42" workbookViewId="0">
      <selection activeCell="C23" sqref="C23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40.140625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7.5703125" style="2" bestFit="1" customWidth="1"/>
    <col min="13" max="13" width="26.7109375" style="4" bestFit="1" customWidth="1"/>
    <col min="14" max="16384" width="9.140625" style="3"/>
  </cols>
  <sheetData>
    <row r="1" spans="1:13" s="2" customFormat="1" ht="29.1" customHeight="1" x14ac:dyDescent="0.2">
      <c r="A1" s="35" t="s">
        <v>1320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 x14ac:dyDescent="0.2">
      <c r="A3" s="41" t="s">
        <v>0</v>
      </c>
      <c r="B3" s="43" t="s">
        <v>6</v>
      </c>
      <c r="C3" s="43" t="s">
        <v>10</v>
      </c>
      <c r="D3" s="45" t="s">
        <v>11</v>
      </c>
      <c r="E3" s="45" t="s">
        <v>4</v>
      </c>
      <c r="F3" s="45" t="s">
        <v>7</v>
      </c>
      <c r="G3" s="45" t="s">
        <v>1072</v>
      </c>
      <c r="H3" s="45"/>
      <c r="I3" s="45"/>
      <c r="J3" s="45"/>
      <c r="K3" s="45" t="s">
        <v>408</v>
      </c>
      <c r="L3" s="45" t="s">
        <v>3</v>
      </c>
      <c r="M3" s="46" t="s">
        <v>2</v>
      </c>
    </row>
    <row r="4" spans="1:13" s="1" customFormat="1" ht="21" customHeight="1" thickBot="1" x14ac:dyDescent="0.25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44"/>
      <c r="L4" s="44"/>
      <c r="M4" s="47"/>
    </row>
    <row r="5" spans="1:13" ht="15" x14ac:dyDescent="0.2">
      <c r="A5" s="48" t="s">
        <v>107</v>
      </c>
      <c r="B5" s="49"/>
      <c r="C5" s="49"/>
      <c r="D5" s="49"/>
      <c r="E5" s="49"/>
      <c r="F5" s="49"/>
      <c r="G5" s="49"/>
      <c r="H5" s="49"/>
      <c r="I5" s="49"/>
      <c r="J5" s="49"/>
    </row>
    <row r="6" spans="1:13" x14ac:dyDescent="0.2">
      <c r="A6" s="6" t="s">
        <v>1074</v>
      </c>
      <c r="B6" s="6" t="s">
        <v>1075</v>
      </c>
      <c r="C6" s="6" t="s">
        <v>1076</v>
      </c>
      <c r="D6" s="6" t="str">
        <f>"0,8670"</f>
        <v>0,8670</v>
      </c>
      <c r="E6" s="6" t="s">
        <v>318</v>
      </c>
      <c r="F6" s="6" t="s">
        <v>319</v>
      </c>
      <c r="G6" s="7"/>
      <c r="H6" s="7" t="s">
        <v>1077</v>
      </c>
      <c r="I6" s="8" t="s">
        <v>1078</v>
      </c>
      <c r="J6" s="8"/>
      <c r="K6" s="11" t="str">
        <f>"30,0"</f>
        <v>30,0</v>
      </c>
      <c r="L6" s="12" t="str">
        <f>"26,0100"</f>
        <v>26,0100</v>
      </c>
      <c r="M6" s="6" t="s">
        <v>28</v>
      </c>
    </row>
    <row r="8" spans="1:13" ht="15" x14ac:dyDescent="0.2">
      <c r="A8" s="56" t="s">
        <v>1079</v>
      </c>
      <c r="B8" s="56"/>
      <c r="C8" s="56"/>
      <c r="D8" s="56"/>
      <c r="E8" s="56"/>
      <c r="F8" s="56"/>
      <c r="G8" s="56"/>
      <c r="H8" s="56"/>
      <c r="I8" s="56"/>
      <c r="J8" s="56"/>
    </row>
    <row r="9" spans="1:13" x14ac:dyDescent="0.2">
      <c r="A9" s="6" t="s">
        <v>1081</v>
      </c>
      <c r="B9" s="6" t="s">
        <v>1082</v>
      </c>
      <c r="C9" s="6" t="s">
        <v>1048</v>
      </c>
      <c r="D9" s="6" t="str">
        <f>"0,6952"</f>
        <v>0,6952</v>
      </c>
      <c r="E9" s="6" t="s">
        <v>118</v>
      </c>
      <c r="F9" s="6" t="s">
        <v>211</v>
      </c>
      <c r="G9" s="7" t="s">
        <v>657</v>
      </c>
      <c r="H9" s="7" t="s">
        <v>1078</v>
      </c>
      <c r="I9" s="7" t="s">
        <v>474</v>
      </c>
      <c r="J9" s="7" t="s">
        <v>1083</v>
      </c>
      <c r="K9" s="11" t="str">
        <f>"35,0"</f>
        <v>35,0</v>
      </c>
      <c r="L9" s="12" t="str">
        <f>"28,5435"</f>
        <v>28,5435</v>
      </c>
      <c r="M9" s="6" t="s">
        <v>28</v>
      </c>
    </row>
    <row r="11" spans="1:13" ht="15" x14ac:dyDescent="0.2">
      <c r="A11" s="56" t="s">
        <v>95</v>
      </c>
      <c r="B11" s="56"/>
      <c r="C11" s="56"/>
      <c r="D11" s="56"/>
      <c r="E11" s="56"/>
      <c r="F11" s="56"/>
      <c r="G11" s="56"/>
      <c r="H11" s="56"/>
      <c r="I11" s="56"/>
      <c r="J11" s="56"/>
    </row>
    <row r="12" spans="1:13" x14ac:dyDescent="0.2">
      <c r="A12" s="6" t="s">
        <v>1085</v>
      </c>
      <c r="B12" s="6" t="s">
        <v>1086</v>
      </c>
      <c r="C12" s="6" t="s">
        <v>806</v>
      </c>
      <c r="D12" s="6" t="str">
        <f>"0,8924"</f>
        <v>0,8924</v>
      </c>
      <c r="E12" s="6" t="s">
        <v>51</v>
      </c>
      <c r="F12" s="6" t="s">
        <v>211</v>
      </c>
      <c r="G12" s="7" t="s">
        <v>1087</v>
      </c>
      <c r="H12" s="7" t="s">
        <v>475</v>
      </c>
      <c r="I12" s="7" t="s">
        <v>1088</v>
      </c>
      <c r="J12" s="8"/>
      <c r="K12" s="11" t="str">
        <f>"45,0"</f>
        <v>45,0</v>
      </c>
      <c r="L12" s="12" t="str">
        <f>"40,9612"</f>
        <v>40,9612</v>
      </c>
      <c r="M12" s="6" t="s">
        <v>28</v>
      </c>
    </row>
    <row r="14" spans="1:13" ht="15" x14ac:dyDescent="0.2">
      <c r="A14" s="56" t="s">
        <v>107</v>
      </c>
      <c r="B14" s="56"/>
      <c r="C14" s="56"/>
      <c r="D14" s="56"/>
      <c r="E14" s="56"/>
      <c r="F14" s="56"/>
      <c r="G14" s="56"/>
      <c r="H14" s="56"/>
      <c r="I14" s="56"/>
      <c r="J14" s="56"/>
    </row>
    <row r="15" spans="1:13" x14ac:dyDescent="0.2">
      <c r="A15" s="19" t="s">
        <v>1090</v>
      </c>
      <c r="B15" s="19" t="s">
        <v>1091</v>
      </c>
      <c r="C15" s="19" t="s">
        <v>661</v>
      </c>
      <c r="D15" s="19" t="str">
        <f>"0,8516"</f>
        <v>0,8516</v>
      </c>
      <c r="E15" s="19" t="s">
        <v>1092</v>
      </c>
      <c r="F15" s="19" t="s">
        <v>1093</v>
      </c>
      <c r="G15" s="21" t="s">
        <v>657</v>
      </c>
      <c r="H15" s="20" t="s">
        <v>1078</v>
      </c>
      <c r="I15" s="20" t="s">
        <v>1083</v>
      </c>
      <c r="J15" s="21"/>
      <c r="K15" s="28" t="str">
        <f>"37,5"</f>
        <v>37,5</v>
      </c>
      <c r="L15" s="29" t="str">
        <f>"39,2800"</f>
        <v>39,2800</v>
      </c>
      <c r="M15" s="19" t="s">
        <v>1094</v>
      </c>
    </row>
    <row r="16" spans="1:13" x14ac:dyDescent="0.2">
      <c r="A16" s="34" t="s">
        <v>1361</v>
      </c>
      <c r="B16" s="25" t="s">
        <v>1096</v>
      </c>
      <c r="C16" s="25" t="s">
        <v>1097</v>
      </c>
      <c r="D16" s="25" t="str">
        <f>"0,8309"</f>
        <v>0,8309</v>
      </c>
      <c r="E16" s="25" t="s">
        <v>1092</v>
      </c>
      <c r="F16" s="25" t="s">
        <v>499</v>
      </c>
      <c r="G16" s="26" t="s">
        <v>1083</v>
      </c>
      <c r="H16" s="26" t="s">
        <v>475</v>
      </c>
      <c r="I16" s="27" t="s">
        <v>353</v>
      </c>
      <c r="J16" s="27"/>
      <c r="K16" s="32" t="str">
        <f>"42,5"</f>
        <v>42,5</v>
      </c>
      <c r="L16" s="33" t="str">
        <f>"38,1360"</f>
        <v>38,1360</v>
      </c>
      <c r="M16" s="25" t="s">
        <v>1094</v>
      </c>
    </row>
    <row r="17" spans="1:13" x14ac:dyDescent="0.2">
      <c r="A17" s="22" t="s">
        <v>1099</v>
      </c>
      <c r="B17" s="22" t="s">
        <v>1100</v>
      </c>
      <c r="C17" s="22" t="s">
        <v>819</v>
      </c>
      <c r="D17" s="22" t="str">
        <f>"0,8242"</f>
        <v>0,8242</v>
      </c>
      <c r="E17" s="22" t="s">
        <v>71</v>
      </c>
      <c r="F17" s="22" t="s">
        <v>21</v>
      </c>
      <c r="G17" s="23" t="s">
        <v>530</v>
      </c>
      <c r="H17" s="23" t="s">
        <v>353</v>
      </c>
      <c r="I17" s="23" t="s">
        <v>354</v>
      </c>
      <c r="J17" s="24"/>
      <c r="K17" s="30" t="str">
        <f>"50,0"</f>
        <v>50,0</v>
      </c>
      <c r="L17" s="31" t="str">
        <f>"41,2100"</f>
        <v>41,2100</v>
      </c>
      <c r="M17" s="22" t="s">
        <v>28</v>
      </c>
    </row>
    <row r="19" spans="1:13" ht="15" x14ac:dyDescent="0.2">
      <c r="A19" s="56" t="s">
        <v>66</v>
      </c>
      <c r="B19" s="56"/>
      <c r="C19" s="56"/>
      <c r="D19" s="56"/>
      <c r="E19" s="56"/>
      <c r="F19" s="56"/>
      <c r="G19" s="56"/>
      <c r="H19" s="56"/>
      <c r="I19" s="56"/>
      <c r="J19" s="56"/>
    </row>
    <row r="20" spans="1:13" x14ac:dyDescent="0.2">
      <c r="A20" s="19" t="s">
        <v>1102</v>
      </c>
      <c r="B20" s="19" t="s">
        <v>1103</v>
      </c>
      <c r="C20" s="19" t="s">
        <v>1104</v>
      </c>
      <c r="D20" s="19" t="str">
        <f>"0,7455"</f>
        <v>0,7455</v>
      </c>
      <c r="E20" s="19" t="s">
        <v>1092</v>
      </c>
      <c r="F20" s="19" t="s">
        <v>1093</v>
      </c>
      <c r="G20" s="20" t="s">
        <v>530</v>
      </c>
      <c r="H20" s="20" t="s">
        <v>353</v>
      </c>
      <c r="I20" s="21" t="s">
        <v>354</v>
      </c>
      <c r="J20" s="21"/>
      <c r="K20" s="28" t="str">
        <f>"45,0"</f>
        <v>45,0</v>
      </c>
      <c r="L20" s="29" t="str">
        <f>"41,2634"</f>
        <v>41,2634</v>
      </c>
      <c r="M20" s="19" t="s">
        <v>1094</v>
      </c>
    </row>
    <row r="21" spans="1:13" x14ac:dyDescent="0.2">
      <c r="A21" s="25" t="s">
        <v>1106</v>
      </c>
      <c r="B21" s="25" t="s">
        <v>1107</v>
      </c>
      <c r="C21" s="25" t="s">
        <v>727</v>
      </c>
      <c r="D21" s="25" t="str">
        <f>"0,7398"</f>
        <v>0,7398</v>
      </c>
      <c r="E21" s="25" t="s">
        <v>1092</v>
      </c>
      <c r="F21" s="25" t="s">
        <v>1093</v>
      </c>
      <c r="G21" s="26" t="s">
        <v>530</v>
      </c>
      <c r="H21" s="26" t="s">
        <v>353</v>
      </c>
      <c r="I21" s="27" t="s">
        <v>354</v>
      </c>
      <c r="J21" s="27"/>
      <c r="K21" s="32" t="str">
        <f>"45,0"</f>
        <v>45,0</v>
      </c>
      <c r="L21" s="33" t="str">
        <f>"39,2834"</f>
        <v>39,2834</v>
      </c>
      <c r="M21" s="25" t="s">
        <v>1094</v>
      </c>
    </row>
    <row r="22" spans="1:13" x14ac:dyDescent="0.2">
      <c r="A22" s="22" t="s">
        <v>1109</v>
      </c>
      <c r="B22" s="22" t="s">
        <v>1110</v>
      </c>
      <c r="C22" s="22" t="s">
        <v>1111</v>
      </c>
      <c r="D22" s="22" t="str">
        <f>"0,7613"</f>
        <v>0,7613</v>
      </c>
      <c r="E22" s="22" t="s">
        <v>51</v>
      </c>
      <c r="F22" s="22" t="s">
        <v>211</v>
      </c>
      <c r="G22" s="24" t="s">
        <v>995</v>
      </c>
      <c r="H22" s="23" t="s">
        <v>1077</v>
      </c>
      <c r="I22" s="23" t="s">
        <v>1112</v>
      </c>
      <c r="J22" s="24"/>
      <c r="K22" s="30" t="str">
        <f>"42,5"</f>
        <v>42,5</v>
      </c>
      <c r="L22" s="31" t="str">
        <f>"33,6495"</f>
        <v>33,6495</v>
      </c>
      <c r="M22" s="22" t="s">
        <v>28</v>
      </c>
    </row>
    <row r="24" spans="1:13" ht="15" x14ac:dyDescent="0.2">
      <c r="A24" s="56" t="s">
        <v>170</v>
      </c>
      <c r="B24" s="56"/>
      <c r="C24" s="56"/>
      <c r="D24" s="56"/>
      <c r="E24" s="56"/>
      <c r="F24" s="56"/>
      <c r="G24" s="56"/>
      <c r="H24" s="56"/>
      <c r="I24" s="56"/>
      <c r="J24" s="56"/>
    </row>
    <row r="25" spans="1:13" x14ac:dyDescent="0.2">
      <c r="A25" s="19" t="s">
        <v>1114</v>
      </c>
      <c r="B25" s="19" t="s">
        <v>1115</v>
      </c>
      <c r="C25" s="19" t="s">
        <v>1116</v>
      </c>
      <c r="D25" s="19" t="str">
        <f>"0,6704"</f>
        <v>0,6704</v>
      </c>
      <c r="E25" s="19" t="s">
        <v>1092</v>
      </c>
      <c r="F25" s="19" t="s">
        <v>1093</v>
      </c>
      <c r="G25" s="21" t="s">
        <v>92</v>
      </c>
      <c r="H25" s="20" t="s">
        <v>120</v>
      </c>
      <c r="I25" s="20" t="s">
        <v>103</v>
      </c>
      <c r="J25" s="21"/>
      <c r="K25" s="28" t="str">
        <f>"60,0"</f>
        <v>60,0</v>
      </c>
      <c r="L25" s="29" t="str">
        <f>"45,4565"</f>
        <v>45,4565</v>
      </c>
      <c r="M25" s="19" t="s">
        <v>28</v>
      </c>
    </row>
    <row r="26" spans="1:13" x14ac:dyDescent="0.2">
      <c r="A26" s="25" t="s">
        <v>1117</v>
      </c>
      <c r="B26" s="25" t="s">
        <v>1118</v>
      </c>
      <c r="C26" s="25" t="s">
        <v>834</v>
      </c>
      <c r="D26" s="25" t="str">
        <f>"0,6828"</f>
        <v>0,6828</v>
      </c>
      <c r="E26" s="25" t="s">
        <v>424</v>
      </c>
      <c r="F26" s="25" t="s">
        <v>425</v>
      </c>
      <c r="G26" s="27" t="s">
        <v>1119</v>
      </c>
      <c r="H26" s="27"/>
      <c r="I26" s="27"/>
      <c r="J26" s="27"/>
      <c r="K26" s="32" t="str">
        <f>"0.00"</f>
        <v>0.00</v>
      </c>
      <c r="L26" s="33" t="str">
        <f>"0,0000"</f>
        <v>0,0000</v>
      </c>
      <c r="M26" s="25" t="s">
        <v>28</v>
      </c>
    </row>
    <row r="27" spans="1:13" x14ac:dyDescent="0.2">
      <c r="A27" s="25" t="s">
        <v>1121</v>
      </c>
      <c r="B27" s="25" t="s">
        <v>1122</v>
      </c>
      <c r="C27" s="25" t="s">
        <v>1123</v>
      </c>
      <c r="D27" s="25" t="str">
        <f>"0,6882"</f>
        <v>0,6882</v>
      </c>
      <c r="E27" s="25" t="s">
        <v>51</v>
      </c>
      <c r="F27" s="25" t="s">
        <v>499</v>
      </c>
      <c r="G27" s="26" t="s">
        <v>1124</v>
      </c>
      <c r="H27" s="26" t="s">
        <v>75</v>
      </c>
      <c r="I27" s="26" t="s">
        <v>1125</v>
      </c>
      <c r="J27" s="27"/>
      <c r="K27" s="32" t="str">
        <f>"77,5"</f>
        <v>77,5</v>
      </c>
      <c r="L27" s="33" t="str">
        <f>"53,3355"</f>
        <v>53,3355</v>
      </c>
      <c r="M27" s="25" t="s">
        <v>28</v>
      </c>
    </row>
    <row r="28" spans="1:13" x14ac:dyDescent="0.2">
      <c r="A28" s="22" t="s">
        <v>1126</v>
      </c>
      <c r="B28" s="22" t="s">
        <v>858</v>
      </c>
      <c r="C28" s="22" t="s">
        <v>859</v>
      </c>
      <c r="D28" s="22" t="str">
        <f>"0,7164"</f>
        <v>0,7164</v>
      </c>
      <c r="E28" s="22" t="s">
        <v>71</v>
      </c>
      <c r="F28" s="22" t="s">
        <v>21</v>
      </c>
      <c r="G28" s="23" t="s">
        <v>1119</v>
      </c>
      <c r="H28" s="23" t="s">
        <v>120</v>
      </c>
      <c r="I28" s="24" t="s">
        <v>93</v>
      </c>
      <c r="J28" s="24"/>
      <c r="K28" s="30" t="str">
        <f>"55,0"</f>
        <v>55,0</v>
      </c>
      <c r="L28" s="31" t="str">
        <f>"39,4020"</f>
        <v>39,4020</v>
      </c>
      <c r="M28" s="22" t="s">
        <v>748</v>
      </c>
    </row>
    <row r="30" spans="1:13" ht="15" x14ac:dyDescent="0.2">
      <c r="A30" s="56" t="s">
        <v>187</v>
      </c>
      <c r="B30" s="56"/>
      <c r="C30" s="56"/>
      <c r="D30" s="56"/>
      <c r="E30" s="56"/>
      <c r="F30" s="56"/>
      <c r="G30" s="56"/>
      <c r="H30" s="56"/>
      <c r="I30" s="56"/>
      <c r="J30" s="56"/>
    </row>
    <row r="31" spans="1:13" x14ac:dyDescent="0.2">
      <c r="A31" s="19" t="s">
        <v>1128</v>
      </c>
      <c r="B31" s="19" t="s">
        <v>1129</v>
      </c>
      <c r="C31" s="19" t="s">
        <v>1130</v>
      </c>
      <c r="D31" s="19" t="str">
        <f>"0,6290"</f>
        <v>0,6290</v>
      </c>
      <c r="E31" s="19" t="s">
        <v>1092</v>
      </c>
      <c r="F31" s="19" t="s">
        <v>1131</v>
      </c>
      <c r="G31" s="20" t="s">
        <v>120</v>
      </c>
      <c r="H31" s="20" t="s">
        <v>113</v>
      </c>
      <c r="I31" s="21" t="s">
        <v>74</v>
      </c>
      <c r="J31" s="21"/>
      <c r="K31" s="28" t="str">
        <f>"62,5"</f>
        <v>62,5</v>
      </c>
      <c r="L31" s="29" t="str">
        <f>"46,3888"</f>
        <v>46,3888</v>
      </c>
      <c r="M31" s="19" t="s">
        <v>1094</v>
      </c>
    </row>
    <row r="32" spans="1:13" x14ac:dyDescent="0.2">
      <c r="A32" s="25" t="s">
        <v>1133</v>
      </c>
      <c r="B32" s="25" t="s">
        <v>1134</v>
      </c>
      <c r="C32" s="25" t="s">
        <v>1135</v>
      </c>
      <c r="D32" s="25" t="str">
        <f>"0,6415"</f>
        <v>0,6415</v>
      </c>
      <c r="E32" s="25" t="s">
        <v>1092</v>
      </c>
      <c r="F32" s="25" t="s">
        <v>1093</v>
      </c>
      <c r="G32" s="26" t="s">
        <v>1119</v>
      </c>
      <c r="H32" s="27" t="s">
        <v>92</v>
      </c>
      <c r="I32" s="27" t="s">
        <v>92</v>
      </c>
      <c r="J32" s="27"/>
      <c r="K32" s="32" t="str">
        <f>"47,5"</f>
        <v>47,5</v>
      </c>
      <c r="L32" s="33" t="str">
        <f>"32,9089"</f>
        <v>32,9089</v>
      </c>
      <c r="M32" s="25" t="s">
        <v>1094</v>
      </c>
    </row>
    <row r="33" spans="1:13" x14ac:dyDescent="0.2">
      <c r="A33" s="25" t="s">
        <v>1137</v>
      </c>
      <c r="B33" s="25" t="s">
        <v>1138</v>
      </c>
      <c r="C33" s="25" t="s">
        <v>870</v>
      </c>
      <c r="D33" s="25" t="str">
        <f>"0,6219"</f>
        <v>0,6219</v>
      </c>
      <c r="E33" s="25" t="s">
        <v>118</v>
      </c>
      <c r="F33" s="25" t="s">
        <v>211</v>
      </c>
      <c r="G33" s="26" t="s">
        <v>1124</v>
      </c>
      <c r="H33" s="26" t="s">
        <v>1125</v>
      </c>
      <c r="I33" s="26" t="s">
        <v>90</v>
      </c>
      <c r="J33" s="27"/>
      <c r="K33" s="32" t="str">
        <f>"82,5"</f>
        <v>82,5</v>
      </c>
      <c r="L33" s="33" t="str">
        <f>"51,3068"</f>
        <v>51,3068</v>
      </c>
      <c r="M33" s="25" t="s">
        <v>28</v>
      </c>
    </row>
    <row r="34" spans="1:13" x14ac:dyDescent="0.2">
      <c r="A34" s="25" t="s">
        <v>1140</v>
      </c>
      <c r="B34" s="25" t="s">
        <v>1141</v>
      </c>
      <c r="C34" s="25" t="s">
        <v>1142</v>
      </c>
      <c r="D34" s="25" t="str">
        <f>"0,6341"</f>
        <v>0,6341</v>
      </c>
      <c r="E34" s="25" t="s">
        <v>51</v>
      </c>
      <c r="F34" s="25" t="s">
        <v>211</v>
      </c>
      <c r="G34" s="26" t="s">
        <v>103</v>
      </c>
      <c r="H34" s="26" t="s">
        <v>74</v>
      </c>
      <c r="I34" s="26" t="s">
        <v>75</v>
      </c>
      <c r="J34" s="27"/>
      <c r="K34" s="32" t="str">
        <f>"75,0"</f>
        <v>75,0</v>
      </c>
      <c r="L34" s="33" t="str">
        <f>"47,5575"</f>
        <v>47,5575</v>
      </c>
      <c r="M34" s="25" t="s">
        <v>28</v>
      </c>
    </row>
    <row r="35" spans="1:13" x14ac:dyDescent="0.2">
      <c r="A35" s="25" t="s">
        <v>1144</v>
      </c>
      <c r="B35" s="25" t="s">
        <v>1145</v>
      </c>
      <c r="C35" s="25" t="s">
        <v>1146</v>
      </c>
      <c r="D35" s="25" t="str">
        <f>"0,6382"</f>
        <v>0,6382</v>
      </c>
      <c r="E35" s="25" t="s">
        <v>71</v>
      </c>
      <c r="F35" s="25" t="s">
        <v>112</v>
      </c>
      <c r="G35" s="26" t="s">
        <v>120</v>
      </c>
      <c r="H35" s="26" t="s">
        <v>104</v>
      </c>
      <c r="I35" s="27" t="s">
        <v>149</v>
      </c>
      <c r="J35" s="27"/>
      <c r="K35" s="32" t="str">
        <f>"65,0"</f>
        <v>65,0</v>
      </c>
      <c r="L35" s="33" t="str">
        <f>"42,2297"</f>
        <v>42,2297</v>
      </c>
      <c r="M35" s="25" t="s">
        <v>28</v>
      </c>
    </row>
    <row r="36" spans="1:13" x14ac:dyDescent="0.2">
      <c r="A36" s="22" t="s">
        <v>522</v>
      </c>
      <c r="B36" s="22" t="s">
        <v>523</v>
      </c>
      <c r="C36" s="22" t="s">
        <v>524</v>
      </c>
      <c r="D36" s="22" t="str">
        <f>"0,6257"</f>
        <v>0,6257</v>
      </c>
      <c r="E36" s="22" t="s">
        <v>51</v>
      </c>
      <c r="F36" s="22" t="s">
        <v>319</v>
      </c>
      <c r="G36" s="23" t="s">
        <v>354</v>
      </c>
      <c r="H36" s="23" t="s">
        <v>120</v>
      </c>
      <c r="I36" s="23" t="s">
        <v>93</v>
      </c>
      <c r="J36" s="24"/>
      <c r="K36" s="30" t="str">
        <f>"57,5"</f>
        <v>57,5</v>
      </c>
      <c r="L36" s="31" t="str">
        <f>"42,2019"</f>
        <v>42,2019</v>
      </c>
      <c r="M36" s="22" t="s">
        <v>28</v>
      </c>
    </row>
    <row r="38" spans="1:13" ht="15" x14ac:dyDescent="0.2">
      <c r="A38" s="56" t="s">
        <v>143</v>
      </c>
      <c r="B38" s="56"/>
      <c r="C38" s="56"/>
      <c r="D38" s="56"/>
      <c r="E38" s="56"/>
      <c r="F38" s="56"/>
      <c r="G38" s="56"/>
      <c r="H38" s="56"/>
      <c r="I38" s="56"/>
      <c r="J38" s="56"/>
    </row>
    <row r="39" spans="1:13" x14ac:dyDescent="0.2">
      <c r="A39" s="19" t="s">
        <v>1148</v>
      </c>
      <c r="B39" s="19" t="s">
        <v>1149</v>
      </c>
      <c r="C39" s="19" t="s">
        <v>1150</v>
      </c>
      <c r="D39" s="19" t="str">
        <f>"0,6013"</f>
        <v>0,6013</v>
      </c>
      <c r="E39" s="19" t="s">
        <v>424</v>
      </c>
      <c r="F39" s="19" t="s">
        <v>425</v>
      </c>
      <c r="G39" s="20" t="s">
        <v>93</v>
      </c>
      <c r="H39" s="20" t="s">
        <v>104</v>
      </c>
      <c r="I39" s="21" t="s">
        <v>74</v>
      </c>
      <c r="J39" s="21"/>
      <c r="K39" s="28" t="str">
        <f>"65,0"</f>
        <v>65,0</v>
      </c>
      <c r="L39" s="29" t="str">
        <f>"42,2113"</f>
        <v>42,2113</v>
      </c>
      <c r="M39" s="19" t="s">
        <v>28</v>
      </c>
    </row>
    <row r="40" spans="1:13" x14ac:dyDescent="0.2">
      <c r="A40" s="25" t="s">
        <v>1152</v>
      </c>
      <c r="B40" s="25" t="s">
        <v>1153</v>
      </c>
      <c r="C40" s="25" t="s">
        <v>1154</v>
      </c>
      <c r="D40" s="25" t="str">
        <f>"0,5901"</f>
        <v>0,5901</v>
      </c>
      <c r="E40" s="25" t="s">
        <v>378</v>
      </c>
      <c r="F40" s="25" t="s">
        <v>211</v>
      </c>
      <c r="G40" s="26" t="s">
        <v>113</v>
      </c>
      <c r="H40" s="26" t="s">
        <v>149</v>
      </c>
      <c r="I40" s="26" t="s">
        <v>74</v>
      </c>
      <c r="J40" s="27"/>
      <c r="K40" s="32" t="str">
        <f>"70,0"</f>
        <v>70,0</v>
      </c>
      <c r="L40" s="33" t="str">
        <f>"41,3070"</f>
        <v>41,3070</v>
      </c>
      <c r="M40" s="25" t="s">
        <v>28</v>
      </c>
    </row>
    <row r="41" spans="1:13" x14ac:dyDescent="0.2">
      <c r="A41" s="25" t="s">
        <v>1156</v>
      </c>
      <c r="B41" s="25" t="s">
        <v>1157</v>
      </c>
      <c r="C41" s="25" t="s">
        <v>1158</v>
      </c>
      <c r="D41" s="25" t="str">
        <f>"0,5857"</f>
        <v>0,5857</v>
      </c>
      <c r="E41" s="25" t="s">
        <v>378</v>
      </c>
      <c r="F41" s="25" t="s">
        <v>211</v>
      </c>
      <c r="G41" s="27" t="s">
        <v>104</v>
      </c>
      <c r="H41" s="26" t="s">
        <v>104</v>
      </c>
      <c r="I41" s="26" t="s">
        <v>74</v>
      </c>
      <c r="J41" s="27"/>
      <c r="K41" s="32" t="str">
        <f>"70,0"</f>
        <v>70,0</v>
      </c>
      <c r="L41" s="33" t="str">
        <f>"40,9990"</f>
        <v>40,9990</v>
      </c>
      <c r="M41" s="25" t="s">
        <v>28</v>
      </c>
    </row>
    <row r="42" spans="1:13" x14ac:dyDescent="0.2">
      <c r="A42" s="25" t="s">
        <v>1160</v>
      </c>
      <c r="B42" s="25" t="s">
        <v>1161</v>
      </c>
      <c r="C42" s="25" t="s">
        <v>1162</v>
      </c>
      <c r="D42" s="25" t="str">
        <f>"0,5973"</f>
        <v>0,5973</v>
      </c>
      <c r="E42" s="25" t="s">
        <v>318</v>
      </c>
      <c r="F42" s="25" t="s">
        <v>319</v>
      </c>
      <c r="G42" s="26" t="s">
        <v>103</v>
      </c>
      <c r="H42" s="26" t="s">
        <v>113</v>
      </c>
      <c r="I42" s="26" t="s">
        <v>104</v>
      </c>
      <c r="J42" s="27"/>
      <c r="K42" s="32" t="str">
        <f>"65,0"</f>
        <v>65,0</v>
      </c>
      <c r="L42" s="33" t="str">
        <f>"40,0281"</f>
        <v>40,0281</v>
      </c>
      <c r="M42" s="25" t="s">
        <v>28</v>
      </c>
    </row>
    <row r="43" spans="1:13" x14ac:dyDescent="0.2">
      <c r="A43" s="25" t="s">
        <v>1061</v>
      </c>
      <c r="B43" s="25" t="s">
        <v>1062</v>
      </c>
      <c r="C43" s="25" t="s">
        <v>1063</v>
      </c>
      <c r="D43" s="25" t="str">
        <f>"0,6069"</f>
        <v>0,6069</v>
      </c>
      <c r="E43" s="25" t="s">
        <v>318</v>
      </c>
      <c r="F43" s="25" t="s">
        <v>319</v>
      </c>
      <c r="G43" s="26" t="s">
        <v>120</v>
      </c>
      <c r="H43" s="26" t="s">
        <v>103</v>
      </c>
      <c r="I43" s="26" t="s">
        <v>104</v>
      </c>
      <c r="J43" s="27"/>
      <c r="K43" s="32" t="str">
        <f>"65,0"</f>
        <v>65,0</v>
      </c>
      <c r="L43" s="33" t="str">
        <f>"43,0778"</f>
        <v>43,0778</v>
      </c>
      <c r="M43" s="25" t="s">
        <v>28</v>
      </c>
    </row>
    <row r="44" spans="1:13" x14ac:dyDescent="0.2">
      <c r="A44" s="22" t="s">
        <v>375</v>
      </c>
      <c r="B44" s="22" t="s">
        <v>376</v>
      </c>
      <c r="C44" s="22" t="s">
        <v>377</v>
      </c>
      <c r="D44" s="22" t="str">
        <f>"0,6050"</f>
        <v>0,6050</v>
      </c>
      <c r="E44" s="22" t="s">
        <v>378</v>
      </c>
      <c r="F44" s="22" t="s">
        <v>211</v>
      </c>
      <c r="G44" s="23" t="s">
        <v>120</v>
      </c>
      <c r="H44" s="23" t="s">
        <v>103</v>
      </c>
      <c r="I44" s="23" t="s">
        <v>113</v>
      </c>
      <c r="J44" s="24"/>
      <c r="K44" s="30" t="str">
        <f>"62,5"</f>
        <v>62,5</v>
      </c>
      <c r="L44" s="31" t="str">
        <f>"62,2016"</f>
        <v>62,2016</v>
      </c>
      <c r="M44" s="22" t="s">
        <v>28</v>
      </c>
    </row>
    <row r="46" spans="1:13" ht="15" x14ac:dyDescent="0.2">
      <c r="A46" s="56" t="s">
        <v>46</v>
      </c>
      <c r="B46" s="56"/>
      <c r="C46" s="56"/>
      <c r="D46" s="56"/>
      <c r="E46" s="56"/>
      <c r="F46" s="56"/>
      <c r="G46" s="56"/>
      <c r="H46" s="56"/>
      <c r="I46" s="56"/>
      <c r="J46" s="56"/>
    </row>
    <row r="47" spans="1:13" x14ac:dyDescent="0.2">
      <c r="A47" s="19" t="s">
        <v>382</v>
      </c>
      <c r="B47" s="19" t="s">
        <v>383</v>
      </c>
      <c r="C47" s="19" t="s">
        <v>384</v>
      </c>
      <c r="D47" s="19" t="str">
        <f>"0,5555"</f>
        <v>0,5555</v>
      </c>
      <c r="E47" s="19" t="s">
        <v>378</v>
      </c>
      <c r="F47" s="19" t="s">
        <v>211</v>
      </c>
      <c r="G47" s="20" t="s">
        <v>74</v>
      </c>
      <c r="H47" s="20" t="s">
        <v>75</v>
      </c>
      <c r="I47" s="21" t="s">
        <v>76</v>
      </c>
      <c r="J47" s="21"/>
      <c r="K47" s="28" t="str">
        <f>"75,0"</f>
        <v>75,0</v>
      </c>
      <c r="L47" s="29" t="str">
        <f>"41,6625"</f>
        <v>41,6625</v>
      </c>
      <c r="M47" s="19" t="s">
        <v>28</v>
      </c>
    </row>
    <row r="48" spans="1:13" x14ac:dyDescent="0.2">
      <c r="A48" s="25" t="s">
        <v>1164</v>
      </c>
      <c r="B48" s="25" t="s">
        <v>564</v>
      </c>
      <c r="C48" s="25" t="s">
        <v>1165</v>
      </c>
      <c r="D48" s="25" t="str">
        <f>"0,5591"</f>
        <v>0,5591</v>
      </c>
      <c r="E48" s="25" t="s">
        <v>71</v>
      </c>
      <c r="F48" s="25" t="s">
        <v>1166</v>
      </c>
      <c r="G48" s="26" t="s">
        <v>104</v>
      </c>
      <c r="H48" s="26" t="s">
        <v>74</v>
      </c>
      <c r="I48" s="26" t="s">
        <v>1124</v>
      </c>
      <c r="J48" s="27"/>
      <c r="K48" s="32" t="str">
        <f>"72,5"</f>
        <v>72,5</v>
      </c>
      <c r="L48" s="33" t="str">
        <f>"40,5347"</f>
        <v>40,5347</v>
      </c>
      <c r="M48" s="25" t="s">
        <v>28</v>
      </c>
    </row>
    <row r="49" spans="1:13" x14ac:dyDescent="0.2">
      <c r="A49" s="25" t="s">
        <v>553</v>
      </c>
      <c r="B49" s="25" t="s">
        <v>554</v>
      </c>
      <c r="C49" s="25" t="s">
        <v>555</v>
      </c>
      <c r="D49" s="25" t="str">
        <f>"0,5610"</f>
        <v>0,5610</v>
      </c>
      <c r="E49" s="25" t="s">
        <v>318</v>
      </c>
      <c r="F49" s="25" t="s">
        <v>319</v>
      </c>
      <c r="G49" s="26" t="s">
        <v>103</v>
      </c>
      <c r="H49" s="26" t="s">
        <v>74</v>
      </c>
      <c r="I49" s="27" t="s">
        <v>1125</v>
      </c>
      <c r="J49" s="27"/>
      <c r="K49" s="32" t="str">
        <f>"70,0"</f>
        <v>70,0</v>
      </c>
      <c r="L49" s="33" t="str">
        <f>"39,2700"</f>
        <v>39,2700</v>
      </c>
      <c r="M49" s="25" t="s">
        <v>28</v>
      </c>
    </row>
    <row r="50" spans="1:13" x14ac:dyDescent="0.2">
      <c r="A50" s="25" t="s">
        <v>1167</v>
      </c>
      <c r="B50" s="25" t="s">
        <v>883</v>
      </c>
      <c r="C50" s="25" t="s">
        <v>884</v>
      </c>
      <c r="D50" s="25" t="str">
        <f>"0,5581"</f>
        <v>0,5581</v>
      </c>
      <c r="E50" s="25" t="s">
        <v>389</v>
      </c>
      <c r="F50" s="25" t="s">
        <v>137</v>
      </c>
      <c r="G50" s="26" t="s">
        <v>103</v>
      </c>
      <c r="H50" s="26" t="s">
        <v>104</v>
      </c>
      <c r="I50" s="26" t="s">
        <v>74</v>
      </c>
      <c r="J50" s="27"/>
      <c r="K50" s="32" t="str">
        <f>"70,0"</f>
        <v>70,0</v>
      </c>
      <c r="L50" s="33" t="str">
        <f>"39,0670"</f>
        <v>39,0670</v>
      </c>
      <c r="M50" s="25" t="s">
        <v>28</v>
      </c>
    </row>
    <row r="51" spans="1:13" x14ac:dyDescent="0.2">
      <c r="A51" s="22" t="s">
        <v>436</v>
      </c>
      <c r="B51" s="22" t="s">
        <v>437</v>
      </c>
      <c r="C51" s="22" t="s">
        <v>438</v>
      </c>
      <c r="D51" s="22" t="str">
        <f>"0,5543"</f>
        <v>0,5543</v>
      </c>
      <c r="E51" s="22" t="s">
        <v>148</v>
      </c>
      <c r="F51" s="22" t="s">
        <v>211</v>
      </c>
      <c r="G51" s="23" t="s">
        <v>104</v>
      </c>
      <c r="H51" s="24" t="s">
        <v>74</v>
      </c>
      <c r="I51" s="23" t="s">
        <v>74</v>
      </c>
      <c r="J51" s="24"/>
      <c r="K51" s="30" t="str">
        <f>"70,0"</f>
        <v>70,0</v>
      </c>
      <c r="L51" s="31" t="str">
        <f>"57,4255"</f>
        <v>57,4255</v>
      </c>
      <c r="M51" s="22" t="s">
        <v>28</v>
      </c>
    </row>
    <row r="53" spans="1:13" ht="15" x14ac:dyDescent="0.2">
      <c r="A53" s="56" t="s">
        <v>15</v>
      </c>
      <c r="B53" s="56"/>
      <c r="C53" s="56"/>
      <c r="D53" s="56"/>
      <c r="E53" s="56"/>
      <c r="F53" s="56"/>
      <c r="G53" s="56"/>
      <c r="H53" s="56"/>
      <c r="I53" s="56"/>
      <c r="J53" s="56"/>
    </row>
    <row r="54" spans="1:13" x14ac:dyDescent="0.2">
      <c r="A54" s="19" t="s">
        <v>17</v>
      </c>
      <c r="B54" s="19" t="s">
        <v>18</v>
      </c>
      <c r="C54" s="19" t="s">
        <v>19</v>
      </c>
      <c r="D54" s="19" t="str">
        <f>"0,5395"</f>
        <v>0,5395</v>
      </c>
      <c r="E54" s="19" t="s">
        <v>20</v>
      </c>
      <c r="F54" s="19" t="s">
        <v>21</v>
      </c>
      <c r="G54" s="20" t="s">
        <v>354</v>
      </c>
      <c r="H54" s="21" t="s">
        <v>75</v>
      </c>
      <c r="I54" s="21"/>
      <c r="J54" s="21"/>
      <c r="K54" s="28" t="str">
        <f>"50,0"</f>
        <v>50,0</v>
      </c>
      <c r="L54" s="29" t="str">
        <f>"26,9750"</f>
        <v>26,9750</v>
      </c>
      <c r="M54" s="19" t="s">
        <v>28</v>
      </c>
    </row>
    <row r="55" spans="1:13" x14ac:dyDescent="0.2">
      <c r="A55" s="25" t="s">
        <v>1168</v>
      </c>
      <c r="B55" s="25" t="s">
        <v>595</v>
      </c>
      <c r="C55" s="25" t="s">
        <v>596</v>
      </c>
      <c r="D55" s="25" t="str">
        <f>"0,5381"</f>
        <v>0,5381</v>
      </c>
      <c r="E55" s="25" t="s">
        <v>597</v>
      </c>
      <c r="F55" s="25" t="s">
        <v>319</v>
      </c>
      <c r="G55" s="26" t="s">
        <v>128</v>
      </c>
      <c r="H55" s="26" t="s">
        <v>91</v>
      </c>
      <c r="I55" s="27" t="s">
        <v>102</v>
      </c>
      <c r="J55" s="27"/>
      <c r="K55" s="32" t="str">
        <f>"90,0"</f>
        <v>90,0</v>
      </c>
      <c r="L55" s="33" t="str">
        <f>"48,4290"</f>
        <v>48,4290</v>
      </c>
      <c r="M55" s="25" t="s">
        <v>28</v>
      </c>
    </row>
    <row r="56" spans="1:13" x14ac:dyDescent="0.2">
      <c r="A56" s="22" t="s">
        <v>1168</v>
      </c>
      <c r="B56" s="22" t="s">
        <v>604</v>
      </c>
      <c r="C56" s="22" t="s">
        <v>596</v>
      </c>
      <c r="D56" s="22" t="str">
        <f>"0,5381"</f>
        <v>0,5381</v>
      </c>
      <c r="E56" s="22" t="s">
        <v>597</v>
      </c>
      <c r="F56" s="22" t="s">
        <v>319</v>
      </c>
      <c r="G56" s="23" t="s">
        <v>128</v>
      </c>
      <c r="H56" s="23" t="s">
        <v>91</v>
      </c>
      <c r="I56" s="24" t="s">
        <v>102</v>
      </c>
      <c r="J56" s="24"/>
      <c r="K56" s="30" t="str">
        <f>"90,0"</f>
        <v>90,0</v>
      </c>
      <c r="L56" s="31" t="str">
        <f>"48,4290"</f>
        <v>48,4290</v>
      </c>
      <c r="M56" s="22" t="s">
        <v>28</v>
      </c>
    </row>
    <row r="58" spans="1:13" ht="15" x14ac:dyDescent="0.2">
      <c r="E58" s="9" t="s">
        <v>29</v>
      </c>
    </row>
    <row r="59" spans="1:13" ht="15" x14ac:dyDescent="0.2">
      <c r="E59" s="9" t="s">
        <v>30</v>
      </c>
    </row>
    <row r="60" spans="1:13" ht="15" x14ac:dyDescent="0.2">
      <c r="E60" s="9" t="s">
        <v>31</v>
      </c>
    </row>
    <row r="61" spans="1:13" ht="15" x14ac:dyDescent="0.2">
      <c r="E61" s="9" t="s">
        <v>32</v>
      </c>
    </row>
    <row r="62" spans="1:13" ht="15" x14ac:dyDescent="0.2">
      <c r="E62" s="9" t="s">
        <v>32</v>
      </c>
    </row>
    <row r="63" spans="1:13" ht="15" x14ac:dyDescent="0.2">
      <c r="E63" s="9" t="s">
        <v>33</v>
      </c>
    </row>
    <row r="64" spans="1:13" ht="15" x14ac:dyDescent="0.2">
      <c r="E64" s="9"/>
    </row>
    <row r="66" spans="1:5" ht="18" x14ac:dyDescent="0.25">
      <c r="A66" s="13" t="s">
        <v>34</v>
      </c>
      <c r="B66" s="13"/>
    </row>
    <row r="67" spans="1:5" ht="15" x14ac:dyDescent="0.2">
      <c r="A67" s="14" t="s">
        <v>80</v>
      </c>
      <c r="B67" s="14"/>
    </row>
    <row r="68" spans="1:5" ht="14.25" x14ac:dyDescent="0.2">
      <c r="A68" s="16"/>
      <c r="B68" s="17" t="s">
        <v>81</v>
      </c>
    </row>
    <row r="69" spans="1:5" ht="15" x14ac:dyDescent="0.2">
      <c r="A69" s="18" t="s">
        <v>37</v>
      </c>
      <c r="B69" s="18" t="s">
        <v>38</v>
      </c>
      <c r="C69" s="18" t="s">
        <v>39</v>
      </c>
      <c r="D69" s="18" t="s">
        <v>393</v>
      </c>
      <c r="E69" s="18" t="s">
        <v>41</v>
      </c>
    </row>
    <row r="70" spans="1:5" x14ac:dyDescent="0.2">
      <c r="A70" s="15" t="s">
        <v>1073</v>
      </c>
      <c r="B70" s="4" t="s">
        <v>81</v>
      </c>
      <c r="C70" s="4" t="s">
        <v>244</v>
      </c>
      <c r="D70" s="4" t="s">
        <v>657</v>
      </c>
      <c r="E70" s="10" t="s">
        <v>1169</v>
      </c>
    </row>
    <row r="72" spans="1:5" ht="14.25" x14ac:dyDescent="0.2">
      <c r="A72" s="16"/>
      <c r="B72" s="17" t="s">
        <v>61</v>
      </c>
    </row>
    <row r="73" spans="1:5" ht="15" x14ac:dyDescent="0.2">
      <c r="A73" s="18" t="s">
        <v>37</v>
      </c>
      <c r="B73" s="18" t="s">
        <v>38</v>
      </c>
      <c r="C73" s="18" t="s">
        <v>39</v>
      </c>
      <c r="D73" s="18" t="s">
        <v>393</v>
      </c>
      <c r="E73" s="18" t="s">
        <v>41</v>
      </c>
    </row>
    <row r="74" spans="1:5" x14ac:dyDescent="0.2">
      <c r="A74" s="15" t="s">
        <v>1080</v>
      </c>
      <c r="B74" s="4" t="s">
        <v>343</v>
      </c>
      <c r="C74" s="4" t="s">
        <v>1170</v>
      </c>
      <c r="D74" s="4" t="s">
        <v>474</v>
      </c>
      <c r="E74" s="10" t="s">
        <v>1171</v>
      </c>
    </row>
    <row r="77" spans="1:5" ht="15" x14ac:dyDescent="0.2">
      <c r="A77" s="14" t="s">
        <v>35</v>
      </c>
      <c r="B77" s="14"/>
    </row>
    <row r="78" spans="1:5" ht="14.25" x14ac:dyDescent="0.2">
      <c r="A78" s="16"/>
      <c r="B78" s="17" t="s">
        <v>614</v>
      </c>
    </row>
    <row r="79" spans="1:5" ht="15" x14ac:dyDescent="0.2">
      <c r="A79" s="18" t="s">
        <v>37</v>
      </c>
      <c r="B79" s="18" t="s">
        <v>38</v>
      </c>
      <c r="C79" s="18" t="s">
        <v>39</v>
      </c>
      <c r="D79" s="18" t="s">
        <v>393</v>
      </c>
      <c r="E79" s="18" t="s">
        <v>41</v>
      </c>
    </row>
    <row r="80" spans="1:5" x14ac:dyDescent="0.2">
      <c r="A80" s="15" t="s">
        <v>1127</v>
      </c>
      <c r="B80" s="4" t="s">
        <v>619</v>
      </c>
      <c r="C80" s="4" t="s">
        <v>268</v>
      </c>
      <c r="D80" s="4" t="s">
        <v>113</v>
      </c>
      <c r="E80" s="10" t="s">
        <v>1172</v>
      </c>
    </row>
    <row r="81" spans="1:5" x14ac:dyDescent="0.2">
      <c r="A81" s="15" t="s">
        <v>1113</v>
      </c>
      <c r="B81" s="4" t="s">
        <v>615</v>
      </c>
      <c r="C81" s="4" t="s">
        <v>263</v>
      </c>
      <c r="D81" s="4" t="s">
        <v>103</v>
      </c>
      <c r="E81" s="10" t="s">
        <v>1173</v>
      </c>
    </row>
    <row r="82" spans="1:5" x14ac:dyDescent="0.2">
      <c r="A82" s="15" t="s">
        <v>1147</v>
      </c>
      <c r="B82" s="4" t="s">
        <v>615</v>
      </c>
      <c r="C82" s="4" t="s">
        <v>256</v>
      </c>
      <c r="D82" s="4" t="s">
        <v>104</v>
      </c>
      <c r="E82" s="10" t="s">
        <v>1174</v>
      </c>
    </row>
    <row r="83" spans="1:5" x14ac:dyDescent="0.2">
      <c r="A83" s="15" t="s">
        <v>1101</v>
      </c>
      <c r="B83" s="4" t="s">
        <v>619</v>
      </c>
      <c r="C83" s="4" t="s">
        <v>82</v>
      </c>
      <c r="D83" s="4" t="s">
        <v>353</v>
      </c>
      <c r="E83" s="10" t="s">
        <v>1175</v>
      </c>
    </row>
    <row r="84" spans="1:5" x14ac:dyDescent="0.2">
      <c r="A84" s="15" t="s">
        <v>1105</v>
      </c>
      <c r="B84" s="4" t="s">
        <v>619</v>
      </c>
      <c r="C84" s="4" t="s">
        <v>82</v>
      </c>
      <c r="D84" s="4" t="s">
        <v>353</v>
      </c>
      <c r="E84" s="10" t="s">
        <v>1176</v>
      </c>
    </row>
    <row r="85" spans="1:5" x14ac:dyDescent="0.2">
      <c r="A85" s="15" t="s">
        <v>1089</v>
      </c>
      <c r="B85" s="4" t="s">
        <v>619</v>
      </c>
      <c r="C85" s="4" t="s">
        <v>244</v>
      </c>
      <c r="D85" s="4" t="s">
        <v>1083</v>
      </c>
      <c r="E85" s="10" t="s">
        <v>1177</v>
      </c>
    </row>
    <row r="86" spans="1:5" x14ac:dyDescent="0.2">
      <c r="A86" s="15" t="s">
        <v>1095</v>
      </c>
      <c r="B86" s="4" t="s">
        <v>615</v>
      </c>
      <c r="C86" s="4" t="s">
        <v>244</v>
      </c>
      <c r="D86" s="4" t="s">
        <v>475</v>
      </c>
      <c r="E86" s="10" t="s">
        <v>1178</v>
      </c>
    </row>
    <row r="87" spans="1:5" x14ac:dyDescent="0.2">
      <c r="A87" s="15" t="s">
        <v>1108</v>
      </c>
      <c r="B87" s="4" t="s">
        <v>394</v>
      </c>
      <c r="C87" s="4" t="s">
        <v>82</v>
      </c>
      <c r="D87" s="4" t="s">
        <v>475</v>
      </c>
      <c r="E87" s="10" t="s">
        <v>1179</v>
      </c>
    </row>
    <row r="88" spans="1:5" x14ac:dyDescent="0.2">
      <c r="A88" s="15" t="s">
        <v>1132</v>
      </c>
      <c r="B88" s="4" t="s">
        <v>615</v>
      </c>
      <c r="C88" s="4" t="s">
        <v>268</v>
      </c>
      <c r="D88" s="4" t="s">
        <v>1119</v>
      </c>
      <c r="E88" s="10" t="s">
        <v>1180</v>
      </c>
    </row>
    <row r="90" spans="1:5" ht="14.25" x14ac:dyDescent="0.2">
      <c r="A90" s="16"/>
      <c r="B90" s="17" t="s">
        <v>36</v>
      </c>
    </row>
    <row r="91" spans="1:5" ht="15" x14ac:dyDescent="0.2">
      <c r="A91" s="18" t="s">
        <v>37</v>
      </c>
      <c r="B91" s="18" t="s">
        <v>38</v>
      </c>
      <c r="C91" s="18" t="s">
        <v>39</v>
      </c>
      <c r="D91" s="18" t="s">
        <v>393</v>
      </c>
      <c r="E91" s="18" t="s">
        <v>41</v>
      </c>
    </row>
    <row r="92" spans="1:5" x14ac:dyDescent="0.2">
      <c r="A92" s="15" t="s">
        <v>1084</v>
      </c>
      <c r="B92" s="4" t="s">
        <v>42</v>
      </c>
      <c r="C92" s="4" t="s">
        <v>252</v>
      </c>
      <c r="D92" s="4" t="s">
        <v>353</v>
      </c>
      <c r="E92" s="10" t="s">
        <v>1181</v>
      </c>
    </row>
    <row r="93" spans="1:5" x14ac:dyDescent="0.2">
      <c r="A93" s="15" t="s">
        <v>16</v>
      </c>
      <c r="B93" s="4" t="s">
        <v>42</v>
      </c>
      <c r="C93" s="4" t="s">
        <v>43</v>
      </c>
      <c r="D93" s="4" t="s">
        <v>354</v>
      </c>
      <c r="E93" s="10" t="s">
        <v>1182</v>
      </c>
    </row>
    <row r="95" spans="1:5" ht="14.25" x14ac:dyDescent="0.2">
      <c r="A95" s="16"/>
      <c r="B95" s="17" t="s">
        <v>81</v>
      </c>
    </row>
    <row r="96" spans="1:5" ht="15" x14ac:dyDescent="0.2">
      <c r="A96" s="18" t="s">
        <v>37</v>
      </c>
      <c r="B96" s="18" t="s">
        <v>38</v>
      </c>
      <c r="C96" s="18" t="s">
        <v>39</v>
      </c>
      <c r="D96" s="18" t="s">
        <v>393</v>
      </c>
      <c r="E96" s="18" t="s">
        <v>41</v>
      </c>
    </row>
    <row r="97" spans="1:5" x14ac:dyDescent="0.2">
      <c r="A97" s="15" t="s">
        <v>1120</v>
      </c>
      <c r="B97" s="4" t="s">
        <v>81</v>
      </c>
      <c r="C97" s="4" t="s">
        <v>263</v>
      </c>
      <c r="D97" s="4" t="s">
        <v>1125</v>
      </c>
      <c r="E97" s="10" t="s">
        <v>1183</v>
      </c>
    </row>
    <row r="98" spans="1:5" x14ac:dyDescent="0.2">
      <c r="A98" s="15" t="s">
        <v>1136</v>
      </c>
      <c r="B98" s="4" t="s">
        <v>81</v>
      </c>
      <c r="C98" s="4" t="s">
        <v>268</v>
      </c>
      <c r="D98" s="4" t="s">
        <v>90</v>
      </c>
      <c r="E98" s="10" t="s">
        <v>1184</v>
      </c>
    </row>
    <row r="99" spans="1:5" x14ac:dyDescent="0.2">
      <c r="A99" s="15" t="s">
        <v>593</v>
      </c>
      <c r="B99" s="4" t="s">
        <v>81</v>
      </c>
      <c r="C99" s="4" t="s">
        <v>43</v>
      </c>
      <c r="D99" s="4" t="s">
        <v>91</v>
      </c>
      <c r="E99" s="10" t="s">
        <v>1185</v>
      </c>
    </row>
    <row r="100" spans="1:5" x14ac:dyDescent="0.2">
      <c r="A100" s="15" t="s">
        <v>1139</v>
      </c>
      <c r="B100" s="4" t="s">
        <v>81</v>
      </c>
      <c r="C100" s="4" t="s">
        <v>268</v>
      </c>
      <c r="D100" s="4" t="s">
        <v>75</v>
      </c>
      <c r="E100" s="10" t="s">
        <v>1186</v>
      </c>
    </row>
    <row r="101" spans="1:5" x14ac:dyDescent="0.2">
      <c r="A101" s="15" t="s">
        <v>381</v>
      </c>
      <c r="B101" s="4" t="s">
        <v>81</v>
      </c>
      <c r="C101" s="4" t="s">
        <v>63</v>
      </c>
      <c r="D101" s="4" t="s">
        <v>75</v>
      </c>
      <c r="E101" s="10" t="s">
        <v>1187</v>
      </c>
    </row>
    <row r="102" spans="1:5" x14ac:dyDescent="0.2">
      <c r="A102" s="15" t="s">
        <v>1151</v>
      </c>
      <c r="B102" s="4" t="s">
        <v>81</v>
      </c>
      <c r="C102" s="4" t="s">
        <v>256</v>
      </c>
      <c r="D102" s="4" t="s">
        <v>74</v>
      </c>
      <c r="E102" s="10" t="s">
        <v>1188</v>
      </c>
    </row>
    <row r="103" spans="1:5" x14ac:dyDescent="0.2">
      <c r="A103" s="15" t="s">
        <v>1098</v>
      </c>
      <c r="B103" s="4" t="s">
        <v>81</v>
      </c>
      <c r="C103" s="4" t="s">
        <v>244</v>
      </c>
      <c r="D103" s="4" t="s">
        <v>354</v>
      </c>
      <c r="E103" s="10" t="s">
        <v>1189</v>
      </c>
    </row>
    <row r="104" spans="1:5" x14ac:dyDescent="0.2">
      <c r="A104" s="15" t="s">
        <v>1155</v>
      </c>
      <c r="B104" s="4" t="s">
        <v>81</v>
      </c>
      <c r="C104" s="4" t="s">
        <v>256</v>
      </c>
      <c r="D104" s="4" t="s">
        <v>74</v>
      </c>
      <c r="E104" s="10" t="s">
        <v>1190</v>
      </c>
    </row>
    <row r="105" spans="1:5" x14ac:dyDescent="0.2">
      <c r="A105" s="15" t="s">
        <v>1163</v>
      </c>
      <c r="B105" s="4" t="s">
        <v>81</v>
      </c>
      <c r="C105" s="4" t="s">
        <v>63</v>
      </c>
      <c r="D105" s="4" t="s">
        <v>1124</v>
      </c>
      <c r="E105" s="10" t="s">
        <v>1191</v>
      </c>
    </row>
    <row r="106" spans="1:5" x14ac:dyDescent="0.2">
      <c r="A106" s="15" t="s">
        <v>856</v>
      </c>
      <c r="B106" s="4" t="s">
        <v>81</v>
      </c>
      <c r="C106" s="4" t="s">
        <v>263</v>
      </c>
      <c r="D106" s="4" t="s">
        <v>120</v>
      </c>
      <c r="E106" s="10" t="s">
        <v>1192</v>
      </c>
    </row>
    <row r="107" spans="1:5" x14ac:dyDescent="0.2">
      <c r="A107" s="15" t="s">
        <v>552</v>
      </c>
      <c r="B107" s="4" t="s">
        <v>81</v>
      </c>
      <c r="C107" s="4" t="s">
        <v>63</v>
      </c>
      <c r="D107" s="4" t="s">
        <v>74</v>
      </c>
      <c r="E107" s="10" t="s">
        <v>1193</v>
      </c>
    </row>
    <row r="108" spans="1:5" x14ac:dyDescent="0.2">
      <c r="A108" s="15" t="s">
        <v>881</v>
      </c>
      <c r="B108" s="4" t="s">
        <v>81</v>
      </c>
      <c r="C108" s="4" t="s">
        <v>63</v>
      </c>
      <c r="D108" s="4" t="s">
        <v>74</v>
      </c>
      <c r="E108" s="10" t="s">
        <v>1194</v>
      </c>
    </row>
    <row r="110" spans="1:5" ht="14.25" x14ac:dyDescent="0.2">
      <c r="A110" s="16"/>
      <c r="B110" s="17" t="s">
        <v>61</v>
      </c>
    </row>
    <row r="111" spans="1:5" ht="15" x14ac:dyDescent="0.2">
      <c r="A111" s="18" t="s">
        <v>37</v>
      </c>
      <c r="B111" s="18" t="s">
        <v>38</v>
      </c>
      <c r="C111" s="18" t="s">
        <v>39</v>
      </c>
      <c r="D111" s="18" t="s">
        <v>393</v>
      </c>
      <c r="E111" s="18" t="s">
        <v>41</v>
      </c>
    </row>
    <row r="112" spans="1:5" x14ac:dyDescent="0.2">
      <c r="A112" s="15" t="s">
        <v>374</v>
      </c>
      <c r="B112" s="4" t="s">
        <v>403</v>
      </c>
      <c r="C112" s="4" t="s">
        <v>256</v>
      </c>
      <c r="D112" s="4" t="s">
        <v>113</v>
      </c>
      <c r="E112" s="10" t="s">
        <v>1195</v>
      </c>
    </row>
    <row r="113" spans="1:5" x14ac:dyDescent="0.2">
      <c r="A113" s="15" t="s">
        <v>435</v>
      </c>
      <c r="B113" s="4" t="s">
        <v>336</v>
      </c>
      <c r="C113" s="4" t="s">
        <v>63</v>
      </c>
      <c r="D113" s="4" t="s">
        <v>74</v>
      </c>
      <c r="E113" s="10" t="s">
        <v>1196</v>
      </c>
    </row>
    <row r="114" spans="1:5" x14ac:dyDescent="0.2">
      <c r="A114" s="15" t="s">
        <v>593</v>
      </c>
      <c r="B114" s="4" t="s">
        <v>406</v>
      </c>
      <c r="C114" s="4" t="s">
        <v>43</v>
      </c>
      <c r="D114" s="4" t="s">
        <v>91</v>
      </c>
      <c r="E114" s="10" t="s">
        <v>1185</v>
      </c>
    </row>
    <row r="115" spans="1:5" x14ac:dyDescent="0.2">
      <c r="A115" s="15" t="s">
        <v>1060</v>
      </c>
      <c r="B115" s="4" t="s">
        <v>285</v>
      </c>
      <c r="C115" s="4" t="s">
        <v>256</v>
      </c>
      <c r="D115" s="4" t="s">
        <v>104</v>
      </c>
      <c r="E115" s="10" t="s">
        <v>1197</v>
      </c>
    </row>
    <row r="116" spans="1:5" x14ac:dyDescent="0.2">
      <c r="A116" s="15" t="s">
        <v>1143</v>
      </c>
      <c r="B116" s="4" t="s">
        <v>406</v>
      </c>
      <c r="C116" s="4" t="s">
        <v>268</v>
      </c>
      <c r="D116" s="4" t="s">
        <v>104</v>
      </c>
      <c r="E116" s="10" t="s">
        <v>1198</v>
      </c>
    </row>
    <row r="117" spans="1:5" x14ac:dyDescent="0.2">
      <c r="A117" s="15" t="s">
        <v>521</v>
      </c>
      <c r="B117" s="4" t="s">
        <v>343</v>
      </c>
      <c r="C117" s="4" t="s">
        <v>268</v>
      </c>
      <c r="D117" s="4" t="s">
        <v>93</v>
      </c>
      <c r="E117" s="10" t="s">
        <v>1199</v>
      </c>
    </row>
    <row r="118" spans="1:5" x14ac:dyDescent="0.2">
      <c r="A118" s="15" t="s">
        <v>1159</v>
      </c>
      <c r="B118" s="4" t="s">
        <v>406</v>
      </c>
      <c r="C118" s="4" t="s">
        <v>256</v>
      </c>
      <c r="D118" s="4" t="s">
        <v>104</v>
      </c>
      <c r="E118" s="10" t="s">
        <v>1200</v>
      </c>
    </row>
  </sheetData>
  <mergeCells count="21">
    <mergeCell ref="A38:J38"/>
    <mergeCell ref="A46:J46"/>
    <mergeCell ref="A53:J53"/>
    <mergeCell ref="A8:J8"/>
    <mergeCell ref="A11:J11"/>
    <mergeCell ref="A14:J14"/>
    <mergeCell ref="A19:J19"/>
    <mergeCell ref="A24:J24"/>
    <mergeCell ref="A30:J30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activeCell="A9" sqref="A9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9.28515625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7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35" t="s">
        <v>1319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 x14ac:dyDescent="0.2">
      <c r="A3" s="41" t="s">
        <v>0</v>
      </c>
      <c r="B3" s="43" t="s">
        <v>6</v>
      </c>
      <c r="C3" s="43" t="s">
        <v>10</v>
      </c>
      <c r="D3" s="45" t="s">
        <v>11</v>
      </c>
      <c r="E3" s="45" t="s">
        <v>4</v>
      </c>
      <c r="F3" s="45" t="s">
        <v>7</v>
      </c>
      <c r="G3" s="45" t="s">
        <v>1059</v>
      </c>
      <c r="H3" s="45"/>
      <c r="I3" s="45"/>
      <c r="J3" s="45"/>
      <c r="K3" s="45" t="s">
        <v>408</v>
      </c>
      <c r="L3" s="45" t="s">
        <v>3</v>
      </c>
      <c r="M3" s="46" t="s">
        <v>2</v>
      </c>
    </row>
    <row r="4" spans="1:13" s="1" customFormat="1" ht="21" customHeight="1" thickBot="1" x14ac:dyDescent="0.25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44"/>
      <c r="L4" s="44"/>
      <c r="M4" s="47"/>
    </row>
    <row r="5" spans="1:13" ht="15" x14ac:dyDescent="0.2">
      <c r="A5" s="48" t="s">
        <v>143</v>
      </c>
      <c r="B5" s="49"/>
      <c r="C5" s="49"/>
      <c r="D5" s="49"/>
      <c r="E5" s="49"/>
      <c r="F5" s="49"/>
      <c r="G5" s="49"/>
      <c r="H5" s="49"/>
      <c r="I5" s="49"/>
      <c r="J5" s="49"/>
    </row>
    <row r="6" spans="1:13" x14ac:dyDescent="0.2">
      <c r="A6" s="6" t="s">
        <v>1061</v>
      </c>
      <c r="B6" s="6" t="s">
        <v>1062</v>
      </c>
      <c r="C6" s="6" t="s">
        <v>1063</v>
      </c>
      <c r="D6" s="6" t="str">
        <f>"0,6069"</f>
        <v>0,6069</v>
      </c>
      <c r="E6" s="6" t="s">
        <v>318</v>
      </c>
      <c r="F6" s="6" t="s">
        <v>319</v>
      </c>
      <c r="G6" s="7" t="s">
        <v>74</v>
      </c>
      <c r="H6" s="7" t="s">
        <v>76</v>
      </c>
      <c r="I6" s="7" t="s">
        <v>91</v>
      </c>
      <c r="J6" s="8"/>
      <c r="K6" s="11" t="str">
        <f>"90,0"</f>
        <v>90,0</v>
      </c>
      <c r="L6" s="12" t="str">
        <f>"59,6461"</f>
        <v>59,6461</v>
      </c>
      <c r="M6" s="6" t="s">
        <v>28</v>
      </c>
    </row>
    <row r="8" spans="1:13" ht="15" x14ac:dyDescent="0.2">
      <c r="A8" s="56" t="s">
        <v>46</v>
      </c>
      <c r="B8" s="56"/>
      <c r="C8" s="56"/>
      <c r="D8" s="56"/>
      <c r="E8" s="56"/>
      <c r="F8" s="56"/>
      <c r="G8" s="56"/>
      <c r="H8" s="56"/>
      <c r="I8" s="56"/>
      <c r="J8" s="56"/>
    </row>
    <row r="9" spans="1:13" x14ac:dyDescent="0.2">
      <c r="A9" s="19" t="s">
        <v>1065</v>
      </c>
      <c r="B9" s="19" t="s">
        <v>1066</v>
      </c>
      <c r="C9" s="19" t="s">
        <v>1067</v>
      </c>
      <c r="D9" s="19" t="str">
        <f>"0,5565"</f>
        <v>0,5565</v>
      </c>
      <c r="E9" s="19" t="s">
        <v>318</v>
      </c>
      <c r="F9" s="19" t="s">
        <v>112</v>
      </c>
      <c r="G9" s="20" t="s">
        <v>55</v>
      </c>
      <c r="H9" s="21" t="s">
        <v>105</v>
      </c>
      <c r="I9" s="20" t="s">
        <v>105</v>
      </c>
      <c r="J9" s="21"/>
      <c r="K9" s="28" t="str">
        <f>"115,0"</f>
        <v>115,0</v>
      </c>
      <c r="L9" s="29" t="str">
        <f>"63,9975"</f>
        <v>63,9975</v>
      </c>
      <c r="M9" s="19" t="s">
        <v>28</v>
      </c>
    </row>
    <row r="10" spans="1:13" x14ac:dyDescent="0.2">
      <c r="A10" s="22" t="s">
        <v>1065</v>
      </c>
      <c r="B10" s="22" t="s">
        <v>1068</v>
      </c>
      <c r="C10" s="22" t="s">
        <v>1067</v>
      </c>
      <c r="D10" s="22" t="str">
        <f>"0,5565"</f>
        <v>0,5565</v>
      </c>
      <c r="E10" s="22" t="s">
        <v>318</v>
      </c>
      <c r="F10" s="22" t="s">
        <v>112</v>
      </c>
      <c r="G10" s="23" t="s">
        <v>55</v>
      </c>
      <c r="H10" s="24" t="s">
        <v>105</v>
      </c>
      <c r="I10" s="23" t="s">
        <v>105</v>
      </c>
      <c r="J10" s="24"/>
      <c r="K10" s="30" t="str">
        <f>"115,0"</f>
        <v>115,0</v>
      </c>
      <c r="L10" s="31" t="str">
        <f>"64,1895"</f>
        <v>64,1895</v>
      </c>
      <c r="M10" s="22" t="s">
        <v>28</v>
      </c>
    </row>
    <row r="12" spans="1:13" ht="15" x14ac:dyDescent="0.2">
      <c r="E12" s="9" t="s">
        <v>29</v>
      </c>
    </row>
    <row r="13" spans="1:13" ht="15" x14ac:dyDescent="0.2">
      <c r="E13" s="9" t="s">
        <v>30</v>
      </c>
    </row>
    <row r="14" spans="1:13" ht="15" x14ac:dyDescent="0.2">
      <c r="E14" s="9" t="s">
        <v>31</v>
      </c>
    </row>
    <row r="15" spans="1:13" ht="15" x14ac:dyDescent="0.2">
      <c r="E15" s="9" t="s">
        <v>32</v>
      </c>
    </row>
    <row r="16" spans="1:13" ht="15" x14ac:dyDescent="0.2">
      <c r="E16" s="9" t="s">
        <v>32</v>
      </c>
    </row>
    <row r="17" spans="1:5" ht="15" x14ac:dyDescent="0.2">
      <c r="E17" s="9" t="s">
        <v>33</v>
      </c>
    </row>
    <row r="18" spans="1:5" ht="15" x14ac:dyDescent="0.2">
      <c r="E18" s="9"/>
    </row>
    <row r="20" spans="1:5" ht="18" x14ac:dyDescent="0.25">
      <c r="A20" s="13" t="s">
        <v>34</v>
      </c>
      <c r="B20" s="13"/>
    </row>
    <row r="21" spans="1:5" ht="15" x14ac:dyDescent="0.2">
      <c r="A21" s="14" t="s">
        <v>35</v>
      </c>
      <c r="B21" s="14"/>
    </row>
    <row r="22" spans="1:5" ht="14.25" x14ac:dyDescent="0.2">
      <c r="A22" s="16"/>
      <c r="B22" s="17" t="s">
        <v>81</v>
      </c>
    </row>
    <row r="23" spans="1:5" ht="15" x14ac:dyDescent="0.2">
      <c r="A23" s="18" t="s">
        <v>37</v>
      </c>
      <c r="B23" s="18" t="s">
        <v>38</v>
      </c>
      <c r="C23" s="18" t="s">
        <v>39</v>
      </c>
      <c r="D23" s="18" t="s">
        <v>393</v>
      </c>
      <c r="E23" s="18" t="s">
        <v>41</v>
      </c>
    </row>
    <row r="24" spans="1:5" x14ac:dyDescent="0.2">
      <c r="A24" s="15" t="s">
        <v>1064</v>
      </c>
      <c r="B24" s="4" t="s">
        <v>81</v>
      </c>
      <c r="C24" s="4" t="s">
        <v>63</v>
      </c>
      <c r="D24" s="4" t="s">
        <v>105</v>
      </c>
      <c r="E24" s="10" t="s">
        <v>1069</v>
      </c>
    </row>
    <row r="26" spans="1:5" ht="14.25" x14ac:dyDescent="0.2">
      <c r="A26" s="16"/>
      <c r="B26" s="17" t="s">
        <v>61</v>
      </c>
    </row>
    <row r="27" spans="1:5" ht="15" x14ac:dyDescent="0.2">
      <c r="A27" s="18" t="s">
        <v>37</v>
      </c>
      <c r="B27" s="18" t="s">
        <v>38</v>
      </c>
      <c r="C27" s="18" t="s">
        <v>39</v>
      </c>
      <c r="D27" s="18" t="s">
        <v>393</v>
      </c>
      <c r="E27" s="18" t="s">
        <v>41</v>
      </c>
    </row>
    <row r="28" spans="1:5" x14ac:dyDescent="0.2">
      <c r="A28" s="15" t="s">
        <v>1064</v>
      </c>
      <c r="B28" s="4" t="s">
        <v>406</v>
      </c>
      <c r="C28" s="4" t="s">
        <v>63</v>
      </c>
      <c r="D28" s="4" t="s">
        <v>105</v>
      </c>
      <c r="E28" s="10" t="s">
        <v>1070</v>
      </c>
    </row>
    <row r="29" spans="1:5" x14ac:dyDescent="0.2">
      <c r="A29" s="15" t="s">
        <v>1060</v>
      </c>
      <c r="B29" s="4" t="s">
        <v>285</v>
      </c>
      <c r="C29" s="4" t="s">
        <v>256</v>
      </c>
      <c r="D29" s="4" t="s">
        <v>91</v>
      </c>
      <c r="E29" s="10" t="s">
        <v>1071</v>
      </c>
    </row>
  </sheetData>
  <mergeCells count="13">
    <mergeCell ref="A8:J8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A3" sqref="A3:A4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0.85546875" style="4" bestFit="1" customWidth="1"/>
    <col min="7" max="7" width="5" style="3" customWidth="1"/>
    <col min="8" max="8" width="10.42578125" style="3" customWidth="1"/>
    <col min="9" max="9" width="7.85546875" style="10" bestFit="1" customWidth="1"/>
    <col min="10" max="10" width="9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 x14ac:dyDescent="0.2">
      <c r="A1" s="50" t="s">
        <v>1318</v>
      </c>
      <c r="B1" s="51"/>
      <c r="C1" s="51"/>
      <c r="D1" s="51"/>
      <c r="E1" s="51"/>
      <c r="F1" s="51"/>
      <c r="G1" s="51"/>
      <c r="H1" s="51"/>
      <c r="I1" s="51"/>
      <c r="J1" s="51"/>
      <c r="K1" s="52"/>
    </row>
    <row r="2" spans="1:11" s="2" customFormat="1" ht="62.1" customHeight="1" thickBot="1" x14ac:dyDescent="0.25">
      <c r="A2" s="53"/>
      <c r="B2" s="54"/>
      <c r="C2" s="54"/>
      <c r="D2" s="54"/>
      <c r="E2" s="54"/>
      <c r="F2" s="54"/>
      <c r="G2" s="54"/>
      <c r="H2" s="54"/>
      <c r="I2" s="54"/>
      <c r="J2" s="54"/>
      <c r="K2" s="55"/>
    </row>
    <row r="3" spans="1:11" s="1" customFormat="1" ht="12.75" customHeight="1" x14ac:dyDescent="0.2">
      <c r="A3" s="41" t="s">
        <v>0</v>
      </c>
      <c r="B3" s="43" t="s">
        <v>6</v>
      </c>
      <c r="C3" s="43" t="s">
        <v>10</v>
      </c>
      <c r="D3" s="45" t="s">
        <v>1017</v>
      </c>
      <c r="E3" s="45" t="s">
        <v>4</v>
      </c>
      <c r="F3" s="45" t="s">
        <v>7</v>
      </c>
      <c r="G3" s="45" t="s">
        <v>979</v>
      </c>
      <c r="H3" s="45"/>
      <c r="I3" s="45" t="s">
        <v>1035</v>
      </c>
      <c r="J3" s="45" t="s">
        <v>3</v>
      </c>
      <c r="K3" s="46" t="s">
        <v>2</v>
      </c>
    </row>
    <row r="4" spans="1:11" s="1" customFormat="1" ht="21" customHeight="1" thickBot="1" x14ac:dyDescent="0.25">
      <c r="A4" s="42"/>
      <c r="B4" s="44"/>
      <c r="C4" s="44"/>
      <c r="D4" s="44"/>
      <c r="E4" s="44"/>
      <c r="F4" s="44"/>
      <c r="G4" s="5" t="s">
        <v>8</v>
      </c>
      <c r="H4" s="5" t="s">
        <v>9</v>
      </c>
      <c r="I4" s="44"/>
      <c r="J4" s="44"/>
      <c r="K4" s="47"/>
    </row>
    <row r="5" spans="1:11" ht="15" x14ac:dyDescent="0.2">
      <c r="A5" s="48" t="s">
        <v>187</v>
      </c>
      <c r="B5" s="49"/>
      <c r="C5" s="49"/>
      <c r="D5" s="49"/>
      <c r="E5" s="49"/>
      <c r="F5" s="49"/>
      <c r="G5" s="49"/>
      <c r="H5" s="49"/>
    </row>
    <row r="6" spans="1:11" x14ac:dyDescent="0.2">
      <c r="A6" s="6" t="s">
        <v>1037</v>
      </c>
      <c r="B6" s="6" t="s">
        <v>1038</v>
      </c>
      <c r="C6" s="6" t="s">
        <v>1039</v>
      </c>
      <c r="D6" s="6" t="str">
        <f>"0,7829"</f>
        <v>0,7829</v>
      </c>
      <c r="E6" s="6" t="s">
        <v>71</v>
      </c>
      <c r="F6" s="6" t="s">
        <v>372</v>
      </c>
      <c r="G6" s="7" t="s">
        <v>530</v>
      </c>
      <c r="H6" s="7" t="s">
        <v>131</v>
      </c>
      <c r="I6" s="11" t="str">
        <f>"6000,0"</f>
        <v>6000,0</v>
      </c>
      <c r="J6" s="12" t="str">
        <f>"4697,3999"</f>
        <v>4697,3999</v>
      </c>
      <c r="K6" s="6" t="s">
        <v>28</v>
      </c>
    </row>
    <row r="8" spans="1:11" ht="15" x14ac:dyDescent="0.2">
      <c r="A8" s="56" t="s">
        <v>143</v>
      </c>
      <c r="B8" s="56"/>
      <c r="C8" s="56"/>
      <c r="D8" s="56"/>
      <c r="E8" s="56"/>
      <c r="F8" s="56"/>
      <c r="G8" s="56"/>
      <c r="H8" s="56"/>
    </row>
    <row r="9" spans="1:11" x14ac:dyDescent="0.2">
      <c r="A9" s="19" t="s">
        <v>379</v>
      </c>
      <c r="B9" s="19" t="s">
        <v>370</v>
      </c>
      <c r="C9" s="19" t="s">
        <v>371</v>
      </c>
      <c r="D9" s="19" t="str">
        <f>"0,7575"</f>
        <v>0,7575</v>
      </c>
      <c r="E9" s="19" t="s">
        <v>71</v>
      </c>
      <c r="F9" s="19" t="s">
        <v>372</v>
      </c>
      <c r="G9" s="20" t="s">
        <v>475</v>
      </c>
      <c r="H9" s="20" t="s">
        <v>354</v>
      </c>
      <c r="I9" s="28" t="str">
        <f>"2125,0"</f>
        <v>2125,0</v>
      </c>
      <c r="J9" s="29" t="str">
        <f>"1609,6875"</f>
        <v>1609,6875</v>
      </c>
      <c r="K9" s="19" t="s">
        <v>28</v>
      </c>
    </row>
    <row r="10" spans="1:11" x14ac:dyDescent="0.2">
      <c r="A10" s="22" t="s">
        <v>379</v>
      </c>
      <c r="B10" s="22" t="s">
        <v>380</v>
      </c>
      <c r="C10" s="22" t="s">
        <v>371</v>
      </c>
      <c r="D10" s="22" t="str">
        <f>"0,7575"</f>
        <v>0,7575</v>
      </c>
      <c r="E10" s="22" t="s">
        <v>71</v>
      </c>
      <c r="F10" s="22" t="s">
        <v>372</v>
      </c>
      <c r="G10" s="23" t="s">
        <v>475</v>
      </c>
      <c r="H10" s="23" t="s">
        <v>354</v>
      </c>
      <c r="I10" s="30" t="str">
        <f>"2125,0"</f>
        <v>2125,0</v>
      </c>
      <c r="J10" s="31" t="str">
        <f>"1609,6875"</f>
        <v>1609,6875</v>
      </c>
      <c r="K10" s="22" t="s">
        <v>28</v>
      </c>
    </row>
    <row r="12" spans="1:11" ht="15" x14ac:dyDescent="0.2">
      <c r="E12" s="9" t="s">
        <v>29</v>
      </c>
    </row>
    <row r="13" spans="1:11" ht="15" x14ac:dyDescent="0.2">
      <c r="E13" s="9" t="s">
        <v>30</v>
      </c>
    </row>
    <row r="14" spans="1:11" ht="15" x14ac:dyDescent="0.2">
      <c r="E14" s="9" t="s">
        <v>31</v>
      </c>
    </row>
    <row r="15" spans="1:11" ht="15" x14ac:dyDescent="0.2">
      <c r="E15" s="9" t="s">
        <v>32</v>
      </c>
    </row>
    <row r="16" spans="1:11" ht="15" x14ac:dyDescent="0.2">
      <c r="E16" s="9" t="s">
        <v>32</v>
      </c>
    </row>
    <row r="17" spans="1:5" ht="15" x14ac:dyDescent="0.2">
      <c r="E17" s="9" t="s">
        <v>33</v>
      </c>
    </row>
    <row r="18" spans="1:5" ht="15" x14ac:dyDescent="0.2">
      <c r="E18" s="9"/>
    </row>
    <row r="20" spans="1:5" ht="18" x14ac:dyDescent="0.25">
      <c r="A20" s="13" t="s">
        <v>34</v>
      </c>
      <c r="B20" s="13"/>
    </row>
    <row r="21" spans="1:5" ht="15" x14ac:dyDescent="0.2">
      <c r="A21" s="14" t="s">
        <v>35</v>
      </c>
      <c r="B21" s="14"/>
    </row>
    <row r="22" spans="1:5" ht="14.25" x14ac:dyDescent="0.2">
      <c r="A22" s="16"/>
      <c r="B22" s="17" t="s">
        <v>81</v>
      </c>
    </row>
    <row r="23" spans="1:5" ht="15" x14ac:dyDescent="0.2">
      <c r="A23" s="18" t="s">
        <v>37</v>
      </c>
      <c r="B23" s="18" t="s">
        <v>38</v>
      </c>
      <c r="C23" s="18" t="s">
        <v>39</v>
      </c>
      <c r="D23" s="18" t="s">
        <v>393</v>
      </c>
      <c r="E23" s="18" t="s">
        <v>1026</v>
      </c>
    </row>
    <row r="24" spans="1:5" x14ac:dyDescent="0.2">
      <c r="A24" s="15" t="s">
        <v>368</v>
      </c>
      <c r="B24" s="4" t="s">
        <v>81</v>
      </c>
      <c r="C24" s="4" t="s">
        <v>256</v>
      </c>
      <c r="D24" s="4" t="s">
        <v>1040</v>
      </c>
      <c r="E24" s="10" t="s">
        <v>1041</v>
      </c>
    </row>
    <row r="26" spans="1:5" ht="14.25" x14ac:dyDescent="0.2">
      <c r="A26" s="16"/>
      <c r="B26" s="17" t="s">
        <v>61</v>
      </c>
    </row>
    <row r="27" spans="1:5" ht="15" x14ac:dyDescent="0.2">
      <c r="A27" s="18" t="s">
        <v>37</v>
      </c>
      <c r="B27" s="18" t="s">
        <v>38</v>
      </c>
      <c r="C27" s="18" t="s">
        <v>39</v>
      </c>
      <c r="D27" s="18" t="s">
        <v>393</v>
      </c>
      <c r="E27" s="18" t="s">
        <v>1026</v>
      </c>
    </row>
    <row r="28" spans="1:5" x14ac:dyDescent="0.2">
      <c r="A28" s="15" t="s">
        <v>1036</v>
      </c>
      <c r="B28" s="4" t="s">
        <v>336</v>
      </c>
      <c r="C28" s="4" t="s">
        <v>268</v>
      </c>
      <c r="D28" s="4" t="s">
        <v>1042</v>
      </c>
      <c r="E28" s="10" t="s">
        <v>1043</v>
      </c>
    </row>
    <row r="29" spans="1:5" x14ac:dyDescent="0.2">
      <c r="A29" s="15" t="s">
        <v>368</v>
      </c>
      <c r="B29" s="4" t="s">
        <v>281</v>
      </c>
      <c r="C29" s="4" t="s">
        <v>256</v>
      </c>
      <c r="D29" s="4" t="s">
        <v>1040</v>
      </c>
      <c r="E29" s="10" t="s">
        <v>1041</v>
      </c>
    </row>
  </sheetData>
  <mergeCells count="13">
    <mergeCell ref="A8:H8"/>
    <mergeCell ref="G3:H3"/>
    <mergeCell ref="I3:I4"/>
    <mergeCell ref="J3:J4"/>
    <mergeCell ref="K3:K4"/>
    <mergeCell ref="A5:H5"/>
    <mergeCell ref="A1:K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A3" sqref="A3:A4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0.85546875" style="4" bestFit="1" customWidth="1"/>
    <col min="7" max="7" width="5" style="3" customWidth="1"/>
    <col min="8" max="8" width="10.42578125" style="3" customWidth="1"/>
    <col min="9" max="9" width="7.85546875" style="10" bestFit="1" customWidth="1"/>
    <col min="10" max="10" width="9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 x14ac:dyDescent="0.2">
      <c r="A1" s="50" t="s">
        <v>1317</v>
      </c>
      <c r="B1" s="51"/>
      <c r="C1" s="51"/>
      <c r="D1" s="51"/>
      <c r="E1" s="51"/>
      <c r="F1" s="51"/>
      <c r="G1" s="51"/>
      <c r="H1" s="51"/>
      <c r="I1" s="51"/>
      <c r="J1" s="51"/>
      <c r="K1" s="52"/>
    </row>
    <row r="2" spans="1:11" s="2" customFormat="1" ht="62.1" customHeight="1" thickBot="1" x14ac:dyDescent="0.25">
      <c r="A2" s="53"/>
      <c r="B2" s="54"/>
      <c r="C2" s="54"/>
      <c r="D2" s="54"/>
      <c r="E2" s="54"/>
      <c r="F2" s="54"/>
      <c r="G2" s="54"/>
      <c r="H2" s="54"/>
      <c r="I2" s="54"/>
      <c r="J2" s="54"/>
      <c r="K2" s="55"/>
    </row>
    <row r="3" spans="1:11" s="1" customFormat="1" ht="12.75" customHeight="1" x14ac:dyDescent="0.2">
      <c r="A3" s="41" t="s">
        <v>0</v>
      </c>
      <c r="B3" s="43" t="s">
        <v>6</v>
      </c>
      <c r="C3" s="43" t="s">
        <v>10</v>
      </c>
      <c r="D3" s="45" t="s">
        <v>1017</v>
      </c>
      <c r="E3" s="45" t="s">
        <v>4</v>
      </c>
      <c r="F3" s="45" t="s">
        <v>7</v>
      </c>
      <c r="G3" s="45" t="s">
        <v>979</v>
      </c>
      <c r="H3" s="45"/>
      <c r="I3" s="45" t="s">
        <v>1035</v>
      </c>
      <c r="J3" s="45" t="s">
        <v>3</v>
      </c>
      <c r="K3" s="46" t="s">
        <v>2</v>
      </c>
    </row>
    <row r="4" spans="1:11" s="1" customFormat="1" ht="21" customHeight="1" thickBot="1" x14ac:dyDescent="0.25">
      <c r="A4" s="42"/>
      <c r="B4" s="44"/>
      <c r="C4" s="44"/>
      <c r="D4" s="44"/>
      <c r="E4" s="44"/>
      <c r="F4" s="44"/>
      <c r="G4" s="5" t="s">
        <v>8</v>
      </c>
      <c r="H4" s="5" t="s">
        <v>9</v>
      </c>
      <c r="I4" s="44"/>
      <c r="J4" s="44"/>
      <c r="K4" s="47"/>
    </row>
    <row r="5" spans="1:11" ht="15" x14ac:dyDescent="0.2">
      <c r="A5" s="48" t="s">
        <v>187</v>
      </c>
      <c r="B5" s="49"/>
      <c r="C5" s="49"/>
      <c r="D5" s="49"/>
      <c r="E5" s="49"/>
      <c r="F5" s="49"/>
      <c r="G5" s="49"/>
      <c r="H5" s="49"/>
    </row>
    <row r="6" spans="1:11" x14ac:dyDescent="0.2">
      <c r="A6" s="6" t="s">
        <v>1037</v>
      </c>
      <c r="B6" s="6" t="s">
        <v>1038</v>
      </c>
      <c r="C6" s="6" t="s">
        <v>1039</v>
      </c>
      <c r="D6" s="6" t="str">
        <f>"0,7829"</f>
        <v>0,7829</v>
      </c>
      <c r="E6" s="6" t="s">
        <v>71</v>
      </c>
      <c r="F6" s="6" t="s">
        <v>372</v>
      </c>
      <c r="G6" s="7" t="s">
        <v>530</v>
      </c>
      <c r="H6" s="7" t="s">
        <v>131</v>
      </c>
      <c r="I6" s="11" t="str">
        <f>"6000,0"</f>
        <v>6000,0</v>
      </c>
      <c r="J6" s="12" t="str">
        <f>"4697,3999"</f>
        <v>4697,3999</v>
      </c>
      <c r="K6" s="6" t="s">
        <v>28</v>
      </c>
    </row>
    <row r="8" spans="1:11" ht="15" x14ac:dyDescent="0.2">
      <c r="A8" s="56" t="s">
        <v>143</v>
      </c>
      <c r="B8" s="56"/>
      <c r="C8" s="56"/>
      <c r="D8" s="56"/>
      <c r="E8" s="56"/>
      <c r="F8" s="56"/>
      <c r="G8" s="56"/>
      <c r="H8" s="56"/>
    </row>
    <row r="9" spans="1:11" x14ac:dyDescent="0.2">
      <c r="A9" s="19" t="s">
        <v>379</v>
      </c>
      <c r="B9" s="19" t="s">
        <v>370</v>
      </c>
      <c r="C9" s="19" t="s">
        <v>371</v>
      </c>
      <c r="D9" s="19" t="str">
        <f>"0,7575"</f>
        <v>0,7575</v>
      </c>
      <c r="E9" s="19" t="s">
        <v>71</v>
      </c>
      <c r="F9" s="19" t="s">
        <v>372</v>
      </c>
      <c r="G9" s="20" t="s">
        <v>475</v>
      </c>
      <c r="H9" s="20" t="s">
        <v>354</v>
      </c>
      <c r="I9" s="28" t="str">
        <f>"2125,0"</f>
        <v>2125,0</v>
      </c>
      <c r="J9" s="29" t="str">
        <f>"1609,6875"</f>
        <v>1609,6875</v>
      </c>
      <c r="K9" s="19" t="s">
        <v>28</v>
      </c>
    </row>
    <row r="10" spans="1:11" x14ac:dyDescent="0.2">
      <c r="A10" s="22" t="s">
        <v>379</v>
      </c>
      <c r="B10" s="22" t="s">
        <v>380</v>
      </c>
      <c r="C10" s="22" t="s">
        <v>371</v>
      </c>
      <c r="D10" s="22" t="str">
        <f>"0,7575"</f>
        <v>0,7575</v>
      </c>
      <c r="E10" s="22" t="s">
        <v>71</v>
      </c>
      <c r="F10" s="22" t="s">
        <v>372</v>
      </c>
      <c r="G10" s="23" t="s">
        <v>475</v>
      </c>
      <c r="H10" s="23" t="s">
        <v>354</v>
      </c>
      <c r="I10" s="30" t="str">
        <f>"2125,0"</f>
        <v>2125,0</v>
      </c>
      <c r="J10" s="31" t="str">
        <f>"1609,6875"</f>
        <v>1609,6875</v>
      </c>
      <c r="K10" s="22" t="s">
        <v>28</v>
      </c>
    </row>
    <row r="12" spans="1:11" ht="15" x14ac:dyDescent="0.2">
      <c r="E12" s="9" t="s">
        <v>29</v>
      </c>
    </row>
    <row r="13" spans="1:11" ht="15" x14ac:dyDescent="0.2">
      <c r="E13" s="9" t="s">
        <v>30</v>
      </c>
    </row>
    <row r="14" spans="1:11" ht="15" x14ac:dyDescent="0.2">
      <c r="E14" s="9" t="s">
        <v>31</v>
      </c>
    </row>
    <row r="15" spans="1:11" ht="15" x14ac:dyDescent="0.2">
      <c r="E15" s="9" t="s">
        <v>32</v>
      </c>
    </row>
    <row r="16" spans="1:11" ht="15" x14ac:dyDescent="0.2">
      <c r="E16" s="9" t="s">
        <v>32</v>
      </c>
    </row>
    <row r="17" spans="1:5" ht="15" x14ac:dyDescent="0.2">
      <c r="E17" s="9" t="s">
        <v>33</v>
      </c>
    </row>
    <row r="18" spans="1:5" ht="15" x14ac:dyDescent="0.2">
      <c r="E18" s="9"/>
    </row>
    <row r="20" spans="1:5" ht="18" x14ac:dyDescent="0.25">
      <c r="A20" s="13" t="s">
        <v>34</v>
      </c>
      <c r="B20" s="13"/>
    </row>
    <row r="21" spans="1:5" ht="15" x14ac:dyDescent="0.2">
      <c r="A21" s="14" t="s">
        <v>35</v>
      </c>
      <c r="B21" s="14"/>
    </row>
    <row r="22" spans="1:5" ht="14.25" x14ac:dyDescent="0.2">
      <c r="A22" s="16"/>
      <c r="B22" s="17" t="s">
        <v>81</v>
      </c>
    </row>
    <row r="23" spans="1:5" ht="15" x14ac:dyDescent="0.2">
      <c r="A23" s="18" t="s">
        <v>37</v>
      </c>
      <c r="B23" s="18" t="s">
        <v>38</v>
      </c>
      <c r="C23" s="18" t="s">
        <v>39</v>
      </c>
      <c r="D23" s="18" t="s">
        <v>393</v>
      </c>
      <c r="E23" s="18" t="s">
        <v>1026</v>
      </c>
    </row>
    <row r="24" spans="1:5" x14ac:dyDescent="0.2">
      <c r="A24" s="15" t="s">
        <v>368</v>
      </c>
      <c r="B24" s="4" t="s">
        <v>81</v>
      </c>
      <c r="C24" s="4" t="s">
        <v>256</v>
      </c>
      <c r="D24" s="4" t="s">
        <v>1040</v>
      </c>
      <c r="E24" s="10" t="s">
        <v>1041</v>
      </c>
    </row>
    <row r="26" spans="1:5" ht="14.25" x14ac:dyDescent="0.2">
      <c r="A26" s="16"/>
      <c r="B26" s="17" t="s">
        <v>61</v>
      </c>
    </row>
    <row r="27" spans="1:5" ht="15" x14ac:dyDescent="0.2">
      <c r="A27" s="18" t="s">
        <v>37</v>
      </c>
      <c r="B27" s="18" t="s">
        <v>38</v>
      </c>
      <c r="C27" s="18" t="s">
        <v>39</v>
      </c>
      <c r="D27" s="18" t="s">
        <v>393</v>
      </c>
      <c r="E27" s="18" t="s">
        <v>1026</v>
      </c>
    </row>
    <row r="28" spans="1:5" x14ac:dyDescent="0.2">
      <c r="A28" s="15" t="s">
        <v>1036</v>
      </c>
      <c r="B28" s="4" t="s">
        <v>336</v>
      </c>
      <c r="C28" s="4" t="s">
        <v>268</v>
      </c>
      <c r="D28" s="4" t="s">
        <v>1042</v>
      </c>
      <c r="E28" s="10" t="s">
        <v>1043</v>
      </c>
    </row>
    <row r="29" spans="1:5" x14ac:dyDescent="0.2">
      <c r="A29" s="15" t="s">
        <v>368</v>
      </c>
      <c r="B29" s="4" t="s">
        <v>281</v>
      </c>
      <c r="C29" s="4" t="s">
        <v>256</v>
      </c>
      <c r="D29" s="4" t="s">
        <v>1040</v>
      </c>
      <c r="E29" s="10" t="s">
        <v>1041</v>
      </c>
    </row>
  </sheetData>
  <mergeCells count="13">
    <mergeCell ref="A8:H8"/>
    <mergeCell ref="G3:H3"/>
    <mergeCell ref="I3:I4"/>
    <mergeCell ref="J3:J4"/>
    <mergeCell ref="K3:K4"/>
    <mergeCell ref="A5:H5"/>
    <mergeCell ref="A1:K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B13" sqref="B13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1.85546875" style="4" bestFit="1" customWidth="1"/>
    <col min="7" max="7" width="5" style="3" customWidth="1"/>
    <col min="8" max="8" width="10.42578125" style="3" customWidth="1"/>
    <col min="9" max="9" width="7.85546875" style="10" bestFit="1" customWidth="1"/>
    <col min="10" max="10" width="9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 x14ac:dyDescent="0.2">
      <c r="A1" s="50" t="s">
        <v>1316</v>
      </c>
      <c r="B1" s="51"/>
      <c r="C1" s="51"/>
      <c r="D1" s="51"/>
      <c r="E1" s="51"/>
      <c r="F1" s="51"/>
      <c r="G1" s="51"/>
      <c r="H1" s="51"/>
      <c r="I1" s="51"/>
      <c r="J1" s="51"/>
      <c r="K1" s="52"/>
    </row>
    <row r="2" spans="1:11" s="2" customFormat="1" ht="62.1" customHeight="1" thickBot="1" x14ac:dyDescent="0.25">
      <c r="A2" s="53"/>
      <c r="B2" s="54"/>
      <c r="C2" s="54"/>
      <c r="D2" s="54"/>
      <c r="E2" s="54"/>
      <c r="F2" s="54"/>
      <c r="G2" s="54"/>
      <c r="H2" s="54"/>
      <c r="I2" s="54"/>
      <c r="J2" s="54"/>
      <c r="K2" s="55"/>
    </row>
    <row r="3" spans="1:11" s="1" customFormat="1" ht="12.75" customHeight="1" x14ac:dyDescent="0.2">
      <c r="A3" s="41" t="s">
        <v>0</v>
      </c>
      <c r="B3" s="43" t="s">
        <v>6</v>
      </c>
      <c r="C3" s="43" t="s">
        <v>10</v>
      </c>
      <c r="D3" s="45" t="s">
        <v>1017</v>
      </c>
      <c r="E3" s="45" t="s">
        <v>4</v>
      </c>
      <c r="F3" s="45" t="s">
        <v>7</v>
      </c>
      <c r="G3" s="45" t="s">
        <v>1044</v>
      </c>
      <c r="H3" s="45"/>
      <c r="I3" s="45" t="s">
        <v>1035</v>
      </c>
      <c r="J3" s="45" t="s">
        <v>3</v>
      </c>
      <c r="K3" s="46" t="s">
        <v>2</v>
      </c>
    </row>
    <row r="4" spans="1:11" s="1" customFormat="1" ht="21" customHeight="1" thickBot="1" x14ac:dyDescent="0.25">
      <c r="A4" s="42"/>
      <c r="B4" s="44"/>
      <c r="C4" s="44"/>
      <c r="D4" s="44"/>
      <c r="E4" s="44"/>
      <c r="F4" s="44"/>
      <c r="G4" s="5" t="s">
        <v>8</v>
      </c>
      <c r="H4" s="5" t="s">
        <v>9</v>
      </c>
      <c r="I4" s="44"/>
      <c r="J4" s="44"/>
      <c r="K4" s="47"/>
    </row>
    <row r="5" spans="1:11" ht="15" x14ac:dyDescent="0.2">
      <c r="A5" s="48" t="s">
        <v>95</v>
      </c>
      <c r="B5" s="49"/>
      <c r="C5" s="49"/>
      <c r="D5" s="49"/>
      <c r="E5" s="49"/>
      <c r="F5" s="49"/>
      <c r="G5" s="49"/>
      <c r="H5" s="49"/>
    </row>
    <row r="6" spans="1:11" x14ac:dyDescent="0.2">
      <c r="A6" s="6" t="s">
        <v>1053</v>
      </c>
      <c r="B6" s="6" t="s">
        <v>1054</v>
      </c>
      <c r="C6" s="6" t="s">
        <v>1055</v>
      </c>
      <c r="D6" s="6" t="str">
        <f>"0,9506"</f>
        <v>0,9506</v>
      </c>
      <c r="E6" s="6" t="s">
        <v>71</v>
      </c>
      <c r="F6" s="6" t="s">
        <v>21</v>
      </c>
      <c r="G6" s="7" t="s">
        <v>120</v>
      </c>
      <c r="H6" s="7" t="s">
        <v>1056</v>
      </c>
      <c r="I6" s="11" t="str">
        <f>"4180,0"</f>
        <v>4180,0</v>
      </c>
      <c r="J6" s="12" t="str">
        <f>"3973,5081"</f>
        <v>3973,5081</v>
      </c>
      <c r="K6" s="6" t="s">
        <v>28</v>
      </c>
    </row>
    <row r="8" spans="1:11" ht="15" x14ac:dyDescent="0.2">
      <c r="E8" s="9" t="s">
        <v>29</v>
      </c>
    </row>
    <row r="9" spans="1:11" ht="15" x14ac:dyDescent="0.2">
      <c r="E9" s="9" t="s">
        <v>30</v>
      </c>
    </row>
    <row r="10" spans="1:11" ht="15" x14ac:dyDescent="0.2">
      <c r="E10" s="9" t="s">
        <v>31</v>
      </c>
    </row>
    <row r="11" spans="1:11" ht="15" x14ac:dyDescent="0.2">
      <c r="E11" s="9" t="s">
        <v>32</v>
      </c>
    </row>
    <row r="12" spans="1:11" ht="15" x14ac:dyDescent="0.2">
      <c r="E12" s="9" t="s">
        <v>32</v>
      </c>
    </row>
    <row r="13" spans="1:11" ht="15" x14ac:dyDescent="0.2">
      <c r="E13" s="9" t="s">
        <v>33</v>
      </c>
    </row>
    <row r="14" spans="1:11" ht="15" x14ac:dyDescent="0.2">
      <c r="E14" s="9"/>
    </row>
    <row r="16" spans="1:11" ht="18" x14ac:dyDescent="0.25">
      <c r="A16" s="13" t="s">
        <v>34</v>
      </c>
      <c r="B16" s="13"/>
    </row>
    <row r="17" spans="1:5" ht="15" x14ac:dyDescent="0.2">
      <c r="A17" s="14" t="s">
        <v>80</v>
      </c>
      <c r="B17" s="14"/>
    </row>
    <row r="18" spans="1:5" ht="14.25" x14ac:dyDescent="0.2">
      <c r="A18" s="16"/>
      <c r="B18" s="17" t="s">
        <v>81</v>
      </c>
    </row>
    <row r="19" spans="1:5" ht="15" x14ac:dyDescent="0.2">
      <c r="A19" s="18" t="s">
        <v>37</v>
      </c>
      <c r="B19" s="18" t="s">
        <v>38</v>
      </c>
      <c r="C19" s="18" t="s">
        <v>39</v>
      </c>
      <c r="D19" s="18" t="s">
        <v>393</v>
      </c>
      <c r="E19" s="18" t="s">
        <v>1026</v>
      </c>
    </row>
    <row r="20" spans="1:5" x14ac:dyDescent="0.2">
      <c r="A20" s="15" t="s">
        <v>1052</v>
      </c>
      <c r="B20" s="4" t="s">
        <v>81</v>
      </c>
      <c r="C20" s="4" t="s">
        <v>252</v>
      </c>
      <c r="D20" s="4" t="s">
        <v>1057</v>
      </c>
      <c r="E20" s="10" t="s">
        <v>1058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sqref="A1:K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4.7109375" style="4" bestFit="1" customWidth="1"/>
    <col min="7" max="7" width="5" style="3" customWidth="1"/>
    <col min="8" max="8" width="10.42578125" style="3" customWidth="1"/>
    <col min="9" max="9" width="7.85546875" style="10" bestFit="1" customWidth="1"/>
    <col min="10" max="10" width="9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 x14ac:dyDescent="0.2">
      <c r="A1" s="35" t="s">
        <v>1315</v>
      </c>
      <c r="B1" s="36"/>
      <c r="C1" s="36"/>
      <c r="D1" s="36"/>
      <c r="E1" s="36"/>
      <c r="F1" s="36"/>
      <c r="G1" s="36"/>
      <c r="H1" s="36"/>
      <c r="I1" s="36"/>
      <c r="J1" s="36"/>
      <c r="K1" s="37"/>
    </row>
    <row r="2" spans="1:11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40"/>
    </row>
    <row r="3" spans="1:11" s="1" customFormat="1" ht="12.75" customHeight="1" x14ac:dyDescent="0.2">
      <c r="A3" s="41" t="s">
        <v>0</v>
      </c>
      <c r="B3" s="43" t="s">
        <v>6</v>
      </c>
      <c r="C3" s="43" t="s">
        <v>10</v>
      </c>
      <c r="D3" s="45" t="s">
        <v>1017</v>
      </c>
      <c r="E3" s="45" t="s">
        <v>4</v>
      </c>
      <c r="F3" s="45" t="s">
        <v>7</v>
      </c>
      <c r="G3" s="45" t="s">
        <v>1044</v>
      </c>
      <c r="H3" s="45"/>
      <c r="I3" s="45" t="s">
        <v>1035</v>
      </c>
      <c r="J3" s="45" t="s">
        <v>3</v>
      </c>
      <c r="K3" s="46" t="s">
        <v>2</v>
      </c>
    </row>
    <row r="4" spans="1:11" s="1" customFormat="1" ht="21" customHeight="1" thickBot="1" x14ac:dyDescent="0.25">
      <c r="A4" s="42"/>
      <c r="B4" s="44"/>
      <c r="C4" s="44"/>
      <c r="D4" s="44"/>
      <c r="E4" s="44"/>
      <c r="F4" s="44"/>
      <c r="G4" s="5" t="s">
        <v>8</v>
      </c>
      <c r="H4" s="5" t="s">
        <v>9</v>
      </c>
      <c r="I4" s="44"/>
      <c r="J4" s="44"/>
      <c r="K4" s="47"/>
    </row>
    <row r="5" spans="1:11" ht="15" x14ac:dyDescent="0.2">
      <c r="A5" s="48" t="s">
        <v>187</v>
      </c>
      <c r="B5" s="49"/>
      <c r="C5" s="49"/>
      <c r="D5" s="49"/>
      <c r="E5" s="49"/>
      <c r="F5" s="49"/>
      <c r="G5" s="49"/>
      <c r="H5" s="49"/>
    </row>
    <row r="6" spans="1:11" x14ac:dyDescent="0.2">
      <c r="A6" s="6" t="s">
        <v>1046</v>
      </c>
      <c r="B6" s="6" t="s">
        <v>1047</v>
      </c>
      <c r="C6" s="6" t="s">
        <v>1048</v>
      </c>
      <c r="D6" s="6" t="str">
        <f>"0,8354"</f>
        <v>0,8354</v>
      </c>
      <c r="E6" s="6" t="s">
        <v>51</v>
      </c>
      <c r="F6" s="6" t="s">
        <v>101</v>
      </c>
      <c r="G6" s="7" t="s">
        <v>76</v>
      </c>
      <c r="H6" s="7" t="s">
        <v>1049</v>
      </c>
      <c r="I6" s="11" t="str">
        <f>"2560,0"</f>
        <v>2560,0</v>
      </c>
      <c r="J6" s="12" t="str">
        <f>"2138,6240"</f>
        <v>2138,6240</v>
      </c>
      <c r="K6" s="6" t="s">
        <v>28</v>
      </c>
    </row>
    <row r="8" spans="1:11" ht="15" x14ac:dyDescent="0.2">
      <c r="E8" s="9" t="s">
        <v>29</v>
      </c>
    </row>
    <row r="9" spans="1:11" ht="15" x14ac:dyDescent="0.2">
      <c r="E9" s="9" t="s">
        <v>30</v>
      </c>
    </row>
    <row r="10" spans="1:11" ht="15" x14ac:dyDescent="0.2">
      <c r="E10" s="9" t="s">
        <v>31</v>
      </c>
    </row>
    <row r="11" spans="1:11" ht="15" x14ac:dyDescent="0.2">
      <c r="E11" s="9" t="s">
        <v>32</v>
      </c>
    </row>
    <row r="12" spans="1:11" ht="15" x14ac:dyDescent="0.2">
      <c r="E12" s="9" t="s">
        <v>32</v>
      </c>
    </row>
    <row r="13" spans="1:11" ht="15" x14ac:dyDescent="0.2">
      <c r="E13" s="9" t="s">
        <v>33</v>
      </c>
    </row>
    <row r="14" spans="1:11" ht="15" x14ac:dyDescent="0.2">
      <c r="E14" s="9"/>
    </row>
    <row r="16" spans="1:11" ht="18" x14ac:dyDescent="0.25">
      <c r="A16" s="13" t="s">
        <v>34</v>
      </c>
      <c r="B16" s="13"/>
    </row>
    <row r="17" spans="1:5" ht="15" x14ac:dyDescent="0.2">
      <c r="A17" s="14" t="s">
        <v>80</v>
      </c>
      <c r="B17" s="14"/>
    </row>
    <row r="18" spans="1:5" ht="14.25" x14ac:dyDescent="0.2">
      <c r="A18" s="16"/>
      <c r="B18" s="17" t="s">
        <v>61</v>
      </c>
    </row>
    <row r="19" spans="1:5" ht="15" x14ac:dyDescent="0.2">
      <c r="A19" s="18" t="s">
        <v>37</v>
      </c>
      <c r="B19" s="18" t="s">
        <v>38</v>
      </c>
      <c r="C19" s="18" t="s">
        <v>39</v>
      </c>
      <c r="D19" s="18" t="s">
        <v>393</v>
      </c>
      <c r="E19" s="18" t="s">
        <v>1026</v>
      </c>
    </row>
    <row r="20" spans="1:5" x14ac:dyDescent="0.2">
      <c r="A20" s="15" t="s">
        <v>1045</v>
      </c>
      <c r="B20" s="4" t="s">
        <v>343</v>
      </c>
      <c r="C20" s="4" t="s">
        <v>268</v>
      </c>
      <c r="D20" s="4" t="s">
        <v>1050</v>
      </c>
      <c r="E20" s="10" t="s">
        <v>1051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sqref="A1:K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0.85546875" style="4" bestFit="1" customWidth="1"/>
    <col min="7" max="7" width="5" style="3" customWidth="1"/>
    <col min="8" max="8" width="10.42578125" style="3" customWidth="1"/>
    <col min="9" max="9" width="7.85546875" style="10" bestFit="1" customWidth="1"/>
    <col min="10" max="10" width="9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 x14ac:dyDescent="0.2">
      <c r="A1" s="50" t="s">
        <v>1314</v>
      </c>
      <c r="B1" s="51"/>
      <c r="C1" s="51"/>
      <c r="D1" s="51"/>
      <c r="E1" s="51"/>
      <c r="F1" s="51"/>
      <c r="G1" s="51"/>
      <c r="H1" s="51"/>
      <c r="I1" s="51"/>
      <c r="J1" s="51"/>
      <c r="K1" s="52"/>
    </row>
    <row r="2" spans="1:11" s="2" customFormat="1" ht="62.1" customHeight="1" thickBot="1" x14ac:dyDescent="0.25">
      <c r="A2" s="53"/>
      <c r="B2" s="54"/>
      <c r="C2" s="54"/>
      <c r="D2" s="54"/>
      <c r="E2" s="54"/>
      <c r="F2" s="54"/>
      <c r="G2" s="54"/>
      <c r="H2" s="54"/>
      <c r="I2" s="54"/>
      <c r="J2" s="54"/>
      <c r="K2" s="55"/>
    </row>
    <row r="3" spans="1:11" s="1" customFormat="1" ht="12.75" customHeight="1" x14ac:dyDescent="0.2">
      <c r="A3" s="41" t="s">
        <v>0</v>
      </c>
      <c r="B3" s="43" t="s">
        <v>6</v>
      </c>
      <c r="C3" s="43" t="s">
        <v>10</v>
      </c>
      <c r="D3" s="45" t="s">
        <v>1017</v>
      </c>
      <c r="E3" s="45" t="s">
        <v>4</v>
      </c>
      <c r="F3" s="45" t="s">
        <v>7</v>
      </c>
      <c r="G3" s="45" t="s">
        <v>1018</v>
      </c>
      <c r="H3" s="45"/>
      <c r="I3" s="45" t="s">
        <v>1035</v>
      </c>
      <c r="J3" s="45" t="s">
        <v>3</v>
      </c>
      <c r="K3" s="46" t="s">
        <v>2</v>
      </c>
    </row>
    <row r="4" spans="1:11" s="1" customFormat="1" ht="21" customHeight="1" thickBot="1" x14ac:dyDescent="0.25">
      <c r="A4" s="42"/>
      <c r="B4" s="44"/>
      <c r="C4" s="44"/>
      <c r="D4" s="44"/>
      <c r="E4" s="44"/>
      <c r="F4" s="44"/>
      <c r="G4" s="5" t="s">
        <v>8</v>
      </c>
      <c r="H4" s="5" t="s">
        <v>9</v>
      </c>
      <c r="I4" s="44"/>
      <c r="J4" s="44"/>
      <c r="K4" s="47"/>
    </row>
    <row r="5" spans="1:11" ht="15" x14ac:dyDescent="0.2">
      <c r="A5" s="48" t="s">
        <v>187</v>
      </c>
      <c r="B5" s="49"/>
      <c r="C5" s="49"/>
      <c r="D5" s="49"/>
      <c r="E5" s="49"/>
      <c r="F5" s="49"/>
      <c r="G5" s="49"/>
      <c r="H5" s="49"/>
    </row>
    <row r="6" spans="1:11" x14ac:dyDescent="0.2">
      <c r="A6" s="6" t="s">
        <v>1037</v>
      </c>
      <c r="B6" s="6" t="s">
        <v>1038</v>
      </c>
      <c r="C6" s="6" t="s">
        <v>1039</v>
      </c>
      <c r="D6" s="6" t="str">
        <f>"0,7829"</f>
        <v>0,7829</v>
      </c>
      <c r="E6" s="6" t="s">
        <v>71</v>
      </c>
      <c r="F6" s="6" t="s">
        <v>372</v>
      </c>
      <c r="G6" s="7" t="s">
        <v>530</v>
      </c>
      <c r="H6" s="7" t="s">
        <v>131</v>
      </c>
      <c r="I6" s="11" t="str">
        <f>"6000,0"</f>
        <v>6000,0</v>
      </c>
      <c r="J6" s="12" t="str">
        <f>"4697,3999"</f>
        <v>4697,3999</v>
      </c>
      <c r="K6" s="6" t="s">
        <v>28</v>
      </c>
    </row>
    <row r="8" spans="1:11" ht="15" x14ac:dyDescent="0.2">
      <c r="A8" s="56" t="s">
        <v>143</v>
      </c>
      <c r="B8" s="56"/>
      <c r="C8" s="56"/>
      <c r="D8" s="56"/>
      <c r="E8" s="56"/>
      <c r="F8" s="56"/>
      <c r="G8" s="56"/>
      <c r="H8" s="56"/>
    </row>
    <row r="9" spans="1:11" x14ac:dyDescent="0.2">
      <c r="A9" s="19" t="s">
        <v>379</v>
      </c>
      <c r="B9" s="19" t="s">
        <v>370</v>
      </c>
      <c r="C9" s="19" t="s">
        <v>371</v>
      </c>
      <c r="D9" s="19" t="str">
        <f>"0,7575"</f>
        <v>0,7575</v>
      </c>
      <c r="E9" s="19" t="s">
        <v>71</v>
      </c>
      <c r="F9" s="19" t="s">
        <v>372</v>
      </c>
      <c r="G9" s="20" t="s">
        <v>475</v>
      </c>
      <c r="H9" s="20" t="s">
        <v>354</v>
      </c>
      <c r="I9" s="28" t="str">
        <f>"2125,0"</f>
        <v>2125,0</v>
      </c>
      <c r="J9" s="29" t="str">
        <f>"1609,6875"</f>
        <v>1609,6875</v>
      </c>
      <c r="K9" s="19" t="s">
        <v>28</v>
      </c>
    </row>
    <row r="10" spans="1:11" x14ac:dyDescent="0.2">
      <c r="A10" s="22" t="s">
        <v>379</v>
      </c>
      <c r="B10" s="22" t="s">
        <v>380</v>
      </c>
      <c r="C10" s="22" t="s">
        <v>371</v>
      </c>
      <c r="D10" s="22" t="str">
        <f>"0,7575"</f>
        <v>0,7575</v>
      </c>
      <c r="E10" s="22" t="s">
        <v>71</v>
      </c>
      <c r="F10" s="22" t="s">
        <v>372</v>
      </c>
      <c r="G10" s="23" t="s">
        <v>475</v>
      </c>
      <c r="H10" s="23" t="s">
        <v>354</v>
      </c>
      <c r="I10" s="30" t="str">
        <f>"2125,0"</f>
        <v>2125,0</v>
      </c>
      <c r="J10" s="31" t="str">
        <f>"1609,6875"</f>
        <v>1609,6875</v>
      </c>
      <c r="K10" s="22" t="s">
        <v>28</v>
      </c>
    </row>
    <row r="12" spans="1:11" ht="15" x14ac:dyDescent="0.2">
      <c r="E12" s="9" t="s">
        <v>29</v>
      </c>
    </row>
    <row r="13" spans="1:11" ht="15" x14ac:dyDescent="0.2">
      <c r="E13" s="9" t="s">
        <v>30</v>
      </c>
    </row>
    <row r="14" spans="1:11" ht="15" x14ac:dyDescent="0.2">
      <c r="E14" s="9" t="s">
        <v>31</v>
      </c>
    </row>
    <row r="15" spans="1:11" ht="15" x14ac:dyDescent="0.2">
      <c r="E15" s="9" t="s">
        <v>32</v>
      </c>
    </row>
    <row r="16" spans="1:11" ht="15" x14ac:dyDescent="0.2">
      <c r="E16" s="9" t="s">
        <v>32</v>
      </c>
    </row>
    <row r="17" spans="1:5" ht="15" x14ac:dyDescent="0.2">
      <c r="E17" s="9" t="s">
        <v>33</v>
      </c>
    </row>
    <row r="18" spans="1:5" ht="15" x14ac:dyDescent="0.2">
      <c r="E18" s="9"/>
    </row>
    <row r="20" spans="1:5" ht="18" x14ac:dyDescent="0.25">
      <c r="A20" s="13" t="s">
        <v>34</v>
      </c>
      <c r="B20" s="13"/>
    </row>
    <row r="21" spans="1:5" ht="15" x14ac:dyDescent="0.2">
      <c r="A21" s="14" t="s">
        <v>35</v>
      </c>
      <c r="B21" s="14"/>
    </row>
    <row r="22" spans="1:5" ht="14.25" x14ac:dyDescent="0.2">
      <c r="A22" s="16"/>
      <c r="B22" s="17" t="s">
        <v>81</v>
      </c>
    </row>
    <row r="23" spans="1:5" ht="15" x14ac:dyDescent="0.2">
      <c r="A23" s="18" t="s">
        <v>37</v>
      </c>
      <c r="B23" s="18" t="s">
        <v>38</v>
      </c>
      <c r="C23" s="18" t="s">
        <v>39</v>
      </c>
      <c r="D23" s="18" t="s">
        <v>393</v>
      </c>
      <c r="E23" s="18" t="s">
        <v>1026</v>
      </c>
    </row>
    <row r="24" spans="1:5" x14ac:dyDescent="0.2">
      <c r="A24" s="15" t="s">
        <v>368</v>
      </c>
      <c r="B24" s="4" t="s">
        <v>81</v>
      </c>
      <c r="C24" s="4" t="s">
        <v>256</v>
      </c>
      <c r="D24" s="4" t="s">
        <v>1040</v>
      </c>
      <c r="E24" s="10" t="s">
        <v>1041</v>
      </c>
    </row>
    <row r="26" spans="1:5" ht="14.25" x14ac:dyDescent="0.2">
      <c r="A26" s="16"/>
      <c r="B26" s="17" t="s">
        <v>61</v>
      </c>
    </row>
    <row r="27" spans="1:5" ht="15" x14ac:dyDescent="0.2">
      <c r="A27" s="18" t="s">
        <v>37</v>
      </c>
      <c r="B27" s="18" t="s">
        <v>38</v>
      </c>
      <c r="C27" s="18" t="s">
        <v>39</v>
      </c>
      <c r="D27" s="18" t="s">
        <v>393</v>
      </c>
      <c r="E27" s="18" t="s">
        <v>1026</v>
      </c>
    </row>
    <row r="28" spans="1:5" x14ac:dyDescent="0.2">
      <c r="A28" s="15" t="s">
        <v>1036</v>
      </c>
      <c r="B28" s="4" t="s">
        <v>336</v>
      </c>
      <c r="C28" s="4" t="s">
        <v>268</v>
      </c>
      <c r="D28" s="4" t="s">
        <v>1042</v>
      </c>
      <c r="E28" s="10" t="s">
        <v>1043</v>
      </c>
    </row>
    <row r="29" spans="1:5" x14ac:dyDescent="0.2">
      <c r="A29" s="15" t="s">
        <v>368</v>
      </c>
      <c r="B29" s="4" t="s">
        <v>281</v>
      </c>
      <c r="C29" s="4" t="s">
        <v>256</v>
      </c>
      <c r="D29" s="4" t="s">
        <v>1040</v>
      </c>
      <c r="E29" s="10" t="s">
        <v>1041</v>
      </c>
    </row>
  </sheetData>
  <mergeCells count="13">
    <mergeCell ref="A8:H8"/>
    <mergeCell ref="G3:H3"/>
    <mergeCell ref="I3:I4"/>
    <mergeCell ref="J3:J4"/>
    <mergeCell ref="K3:K4"/>
    <mergeCell ref="A5:H5"/>
    <mergeCell ref="A1:K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sqref="A1:K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0.85546875" style="4" bestFit="1" customWidth="1"/>
    <col min="7" max="7" width="5" style="3" customWidth="1"/>
    <col min="8" max="8" width="10.42578125" style="3" customWidth="1"/>
    <col min="9" max="9" width="7.85546875" style="10" bestFit="1" customWidth="1"/>
    <col min="10" max="10" width="9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 x14ac:dyDescent="0.2">
      <c r="A1" s="50" t="s">
        <v>1330</v>
      </c>
      <c r="B1" s="51"/>
      <c r="C1" s="51"/>
      <c r="D1" s="51"/>
      <c r="E1" s="51"/>
      <c r="F1" s="51"/>
      <c r="G1" s="51"/>
      <c r="H1" s="51"/>
      <c r="I1" s="51"/>
      <c r="J1" s="51"/>
      <c r="K1" s="52"/>
    </row>
    <row r="2" spans="1:11" s="2" customFormat="1" ht="62.1" customHeight="1" thickBot="1" x14ac:dyDescent="0.25">
      <c r="A2" s="53"/>
      <c r="B2" s="54"/>
      <c r="C2" s="54"/>
      <c r="D2" s="54"/>
      <c r="E2" s="54"/>
      <c r="F2" s="54"/>
      <c r="G2" s="54"/>
      <c r="H2" s="54"/>
      <c r="I2" s="54"/>
      <c r="J2" s="54"/>
      <c r="K2" s="55"/>
    </row>
    <row r="3" spans="1:11" s="1" customFormat="1" ht="12.75" customHeight="1" x14ac:dyDescent="0.2">
      <c r="A3" s="41" t="s">
        <v>0</v>
      </c>
      <c r="B3" s="43" t="s">
        <v>6</v>
      </c>
      <c r="C3" s="43" t="s">
        <v>10</v>
      </c>
      <c r="D3" s="45" t="s">
        <v>1017</v>
      </c>
      <c r="E3" s="45" t="s">
        <v>4</v>
      </c>
      <c r="F3" s="45" t="s">
        <v>7</v>
      </c>
      <c r="G3" s="45" t="s">
        <v>1018</v>
      </c>
      <c r="H3" s="45"/>
      <c r="I3" s="45" t="s">
        <v>1035</v>
      </c>
      <c r="J3" s="45" t="s">
        <v>3</v>
      </c>
      <c r="K3" s="46" t="s">
        <v>2</v>
      </c>
    </row>
    <row r="4" spans="1:11" s="1" customFormat="1" ht="21" customHeight="1" thickBot="1" x14ac:dyDescent="0.25">
      <c r="A4" s="42"/>
      <c r="B4" s="44"/>
      <c r="C4" s="44"/>
      <c r="D4" s="44"/>
      <c r="E4" s="44"/>
      <c r="F4" s="44"/>
      <c r="G4" s="5" t="s">
        <v>8</v>
      </c>
      <c r="H4" s="5" t="s">
        <v>9</v>
      </c>
      <c r="I4" s="44"/>
      <c r="J4" s="44"/>
      <c r="K4" s="47"/>
    </row>
    <row r="5" spans="1:11" ht="15" x14ac:dyDescent="0.2">
      <c r="A5" s="48" t="s">
        <v>187</v>
      </c>
      <c r="B5" s="49"/>
      <c r="C5" s="49"/>
      <c r="D5" s="49"/>
      <c r="E5" s="49"/>
      <c r="F5" s="49"/>
      <c r="G5" s="49"/>
      <c r="H5" s="49"/>
    </row>
    <row r="6" spans="1:11" x14ac:dyDescent="0.2">
      <c r="A6" s="6" t="s">
        <v>1037</v>
      </c>
      <c r="B6" s="6" t="s">
        <v>1038</v>
      </c>
      <c r="C6" s="6" t="s">
        <v>1039</v>
      </c>
      <c r="D6" s="6" t="str">
        <f>"0,7829"</f>
        <v>0,7829</v>
      </c>
      <c r="E6" s="6" t="s">
        <v>71</v>
      </c>
      <c r="F6" s="6" t="s">
        <v>372</v>
      </c>
      <c r="G6" s="7" t="s">
        <v>530</v>
      </c>
      <c r="H6" s="7" t="s">
        <v>131</v>
      </c>
      <c r="I6" s="11" t="str">
        <f>"6000,0"</f>
        <v>6000,0</v>
      </c>
      <c r="J6" s="12" t="str">
        <f>"4697,3999"</f>
        <v>4697,3999</v>
      </c>
      <c r="K6" s="6" t="s">
        <v>28</v>
      </c>
    </row>
    <row r="8" spans="1:11" ht="15" x14ac:dyDescent="0.2">
      <c r="A8" s="56" t="s">
        <v>143</v>
      </c>
      <c r="B8" s="56"/>
      <c r="C8" s="56"/>
      <c r="D8" s="56"/>
      <c r="E8" s="56"/>
      <c r="F8" s="56"/>
      <c r="G8" s="56"/>
      <c r="H8" s="56"/>
    </row>
    <row r="9" spans="1:11" x14ac:dyDescent="0.2">
      <c r="A9" s="19" t="s">
        <v>379</v>
      </c>
      <c r="B9" s="19" t="s">
        <v>370</v>
      </c>
      <c r="C9" s="19" t="s">
        <v>371</v>
      </c>
      <c r="D9" s="19" t="str">
        <f>"0,7575"</f>
        <v>0,7575</v>
      </c>
      <c r="E9" s="19" t="s">
        <v>71</v>
      </c>
      <c r="F9" s="19" t="s">
        <v>372</v>
      </c>
      <c r="G9" s="20" t="s">
        <v>475</v>
      </c>
      <c r="H9" s="20" t="s">
        <v>354</v>
      </c>
      <c r="I9" s="28" t="str">
        <f>"2125,0"</f>
        <v>2125,0</v>
      </c>
      <c r="J9" s="29" t="str">
        <f>"1609,6875"</f>
        <v>1609,6875</v>
      </c>
      <c r="K9" s="19" t="s">
        <v>28</v>
      </c>
    </row>
    <row r="10" spans="1:11" x14ac:dyDescent="0.2">
      <c r="A10" s="22" t="s">
        <v>379</v>
      </c>
      <c r="B10" s="22" t="s">
        <v>380</v>
      </c>
      <c r="C10" s="22" t="s">
        <v>371</v>
      </c>
      <c r="D10" s="22" t="str">
        <f>"0,7575"</f>
        <v>0,7575</v>
      </c>
      <c r="E10" s="22" t="s">
        <v>71</v>
      </c>
      <c r="F10" s="22" t="s">
        <v>372</v>
      </c>
      <c r="G10" s="23" t="s">
        <v>475</v>
      </c>
      <c r="H10" s="23" t="s">
        <v>354</v>
      </c>
      <c r="I10" s="30" t="str">
        <f>"2125,0"</f>
        <v>2125,0</v>
      </c>
      <c r="J10" s="31" t="str">
        <f>"1609,6875"</f>
        <v>1609,6875</v>
      </c>
      <c r="K10" s="22" t="s">
        <v>28</v>
      </c>
    </row>
    <row r="12" spans="1:11" ht="15" x14ac:dyDescent="0.2">
      <c r="E12" s="9" t="s">
        <v>29</v>
      </c>
    </row>
    <row r="13" spans="1:11" ht="15" x14ac:dyDescent="0.2">
      <c r="E13" s="9" t="s">
        <v>30</v>
      </c>
    </row>
    <row r="14" spans="1:11" ht="15" x14ac:dyDescent="0.2">
      <c r="E14" s="9" t="s">
        <v>31</v>
      </c>
    </row>
    <row r="15" spans="1:11" ht="15" x14ac:dyDescent="0.2">
      <c r="E15" s="9" t="s">
        <v>32</v>
      </c>
    </row>
    <row r="16" spans="1:11" ht="15" x14ac:dyDescent="0.2">
      <c r="E16" s="9" t="s">
        <v>32</v>
      </c>
    </row>
    <row r="17" spans="1:5" ht="15" x14ac:dyDescent="0.2">
      <c r="E17" s="9" t="s">
        <v>33</v>
      </c>
    </row>
    <row r="18" spans="1:5" ht="15" x14ac:dyDescent="0.2">
      <c r="E18" s="9"/>
    </row>
    <row r="20" spans="1:5" ht="18" x14ac:dyDescent="0.25">
      <c r="A20" s="13" t="s">
        <v>34</v>
      </c>
      <c r="B20" s="13"/>
    </row>
    <row r="21" spans="1:5" ht="15" x14ac:dyDescent="0.2">
      <c r="A21" s="14" t="s">
        <v>35</v>
      </c>
      <c r="B21" s="14"/>
    </row>
    <row r="22" spans="1:5" ht="14.25" x14ac:dyDescent="0.2">
      <c r="A22" s="16"/>
      <c r="B22" s="17" t="s">
        <v>81</v>
      </c>
    </row>
    <row r="23" spans="1:5" ht="15" x14ac:dyDescent="0.2">
      <c r="A23" s="18" t="s">
        <v>37</v>
      </c>
      <c r="B23" s="18" t="s">
        <v>38</v>
      </c>
      <c r="C23" s="18" t="s">
        <v>39</v>
      </c>
      <c r="D23" s="18" t="s">
        <v>393</v>
      </c>
      <c r="E23" s="18" t="s">
        <v>1026</v>
      </c>
    </row>
    <row r="24" spans="1:5" x14ac:dyDescent="0.2">
      <c r="A24" s="15" t="s">
        <v>368</v>
      </c>
      <c r="B24" s="4" t="s">
        <v>81</v>
      </c>
      <c r="C24" s="4" t="s">
        <v>256</v>
      </c>
      <c r="D24" s="4" t="s">
        <v>1040</v>
      </c>
      <c r="E24" s="10" t="s">
        <v>1041</v>
      </c>
    </row>
    <row r="26" spans="1:5" ht="14.25" x14ac:dyDescent="0.2">
      <c r="A26" s="16"/>
      <c r="B26" s="17" t="s">
        <v>61</v>
      </c>
    </row>
    <row r="27" spans="1:5" ht="15" x14ac:dyDescent="0.2">
      <c r="A27" s="18" t="s">
        <v>37</v>
      </c>
      <c r="B27" s="18" t="s">
        <v>38</v>
      </c>
      <c r="C27" s="18" t="s">
        <v>39</v>
      </c>
      <c r="D27" s="18" t="s">
        <v>393</v>
      </c>
      <c r="E27" s="18" t="s">
        <v>1026</v>
      </c>
    </row>
    <row r="28" spans="1:5" x14ac:dyDescent="0.2">
      <c r="A28" s="15" t="s">
        <v>1036</v>
      </c>
      <c r="B28" s="4" t="s">
        <v>336</v>
      </c>
      <c r="C28" s="4" t="s">
        <v>268</v>
      </c>
      <c r="D28" s="4" t="s">
        <v>1042</v>
      </c>
      <c r="E28" s="10" t="s">
        <v>1043</v>
      </c>
    </row>
    <row r="29" spans="1:5" x14ac:dyDescent="0.2">
      <c r="A29" s="15" t="s">
        <v>368</v>
      </c>
      <c r="B29" s="4" t="s">
        <v>281</v>
      </c>
      <c r="C29" s="4" t="s">
        <v>256</v>
      </c>
      <c r="D29" s="4" t="s">
        <v>1040</v>
      </c>
      <c r="E29" s="10" t="s">
        <v>1041</v>
      </c>
    </row>
  </sheetData>
  <mergeCells count="13">
    <mergeCell ref="A8:H8"/>
    <mergeCell ref="G3:H3"/>
    <mergeCell ref="I3:I4"/>
    <mergeCell ref="J3:J4"/>
    <mergeCell ref="K3:K4"/>
    <mergeCell ref="A5:H5"/>
    <mergeCell ref="A1:K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A3" workbookViewId="0">
      <selection activeCell="C19" sqref="C19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9.28515625" style="4" bestFit="1" customWidth="1"/>
    <col min="7" max="7" width="5.5703125" style="3" customWidth="1"/>
    <col min="8" max="8" width="10.42578125" style="3" customWidth="1"/>
    <col min="9" max="9" width="7.85546875" style="10" bestFit="1" customWidth="1"/>
    <col min="10" max="10" width="9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 x14ac:dyDescent="0.2">
      <c r="A1" s="35" t="s">
        <v>1331</v>
      </c>
      <c r="B1" s="36"/>
      <c r="C1" s="36"/>
      <c r="D1" s="36"/>
      <c r="E1" s="36"/>
      <c r="F1" s="36"/>
      <c r="G1" s="36"/>
      <c r="H1" s="36"/>
      <c r="I1" s="36"/>
      <c r="J1" s="36"/>
      <c r="K1" s="37"/>
    </row>
    <row r="2" spans="1:11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40"/>
    </row>
    <row r="3" spans="1:11" s="1" customFormat="1" ht="12.75" customHeight="1" x14ac:dyDescent="0.2">
      <c r="A3" s="41" t="s">
        <v>0</v>
      </c>
      <c r="B3" s="43" t="s">
        <v>6</v>
      </c>
      <c r="C3" s="43" t="s">
        <v>10</v>
      </c>
      <c r="D3" s="45" t="s">
        <v>1017</v>
      </c>
      <c r="E3" s="45" t="s">
        <v>4</v>
      </c>
      <c r="F3" s="45" t="s">
        <v>7</v>
      </c>
      <c r="G3" s="45" t="s">
        <v>1018</v>
      </c>
      <c r="H3" s="45"/>
      <c r="I3" s="45" t="s">
        <v>1035</v>
      </c>
      <c r="J3" s="45" t="s">
        <v>3</v>
      </c>
      <c r="K3" s="46" t="s">
        <v>2</v>
      </c>
    </row>
    <row r="4" spans="1:11" s="1" customFormat="1" ht="21" customHeight="1" thickBot="1" x14ac:dyDescent="0.25">
      <c r="A4" s="42"/>
      <c r="B4" s="44"/>
      <c r="C4" s="44"/>
      <c r="D4" s="44"/>
      <c r="E4" s="44"/>
      <c r="F4" s="44"/>
      <c r="G4" s="5" t="s">
        <v>8</v>
      </c>
      <c r="H4" s="5" t="s">
        <v>9</v>
      </c>
      <c r="I4" s="44"/>
      <c r="J4" s="44"/>
      <c r="K4" s="47"/>
    </row>
    <row r="5" spans="1:11" ht="15" x14ac:dyDescent="0.2">
      <c r="A5" s="48" t="s">
        <v>170</v>
      </c>
      <c r="B5" s="49"/>
      <c r="C5" s="49"/>
      <c r="D5" s="49"/>
      <c r="E5" s="49"/>
      <c r="F5" s="49"/>
      <c r="G5" s="49"/>
      <c r="H5" s="49"/>
    </row>
    <row r="6" spans="1:11" x14ac:dyDescent="0.2">
      <c r="A6" s="6" t="s">
        <v>1019</v>
      </c>
      <c r="B6" s="6" t="s">
        <v>504</v>
      </c>
      <c r="C6" s="6" t="s">
        <v>505</v>
      </c>
      <c r="D6" s="6" t="str">
        <f>"0,8469"</f>
        <v>0,8469</v>
      </c>
      <c r="E6" s="6" t="s">
        <v>51</v>
      </c>
      <c r="F6" s="6" t="s">
        <v>137</v>
      </c>
      <c r="G6" s="7" t="s">
        <v>74</v>
      </c>
      <c r="H6" s="7" t="s">
        <v>984</v>
      </c>
      <c r="I6" s="11" t="str">
        <f>"2030,0"</f>
        <v>2030,0</v>
      </c>
      <c r="J6" s="12" t="str">
        <f>"1719,2070"</f>
        <v>1719,2070</v>
      </c>
      <c r="K6" s="6" t="s">
        <v>28</v>
      </c>
    </row>
    <row r="8" spans="1:11" ht="15" x14ac:dyDescent="0.2">
      <c r="A8" s="56" t="s">
        <v>143</v>
      </c>
      <c r="B8" s="56"/>
      <c r="C8" s="56"/>
      <c r="D8" s="56"/>
      <c r="E8" s="56"/>
      <c r="F8" s="56"/>
      <c r="G8" s="56"/>
      <c r="H8" s="56"/>
    </row>
    <row r="9" spans="1:11" x14ac:dyDescent="0.2">
      <c r="A9" s="6" t="s">
        <v>546</v>
      </c>
      <c r="B9" s="6" t="s">
        <v>547</v>
      </c>
      <c r="C9" s="6" t="s">
        <v>543</v>
      </c>
      <c r="D9" s="6" t="str">
        <f>"0,7291"</f>
        <v>0,7291</v>
      </c>
      <c r="E9" s="6" t="s">
        <v>389</v>
      </c>
      <c r="F9" s="6" t="s">
        <v>137</v>
      </c>
      <c r="G9" s="7" t="s">
        <v>91</v>
      </c>
      <c r="H9" s="7" t="s">
        <v>1020</v>
      </c>
      <c r="I9" s="11" t="str">
        <f>"3240,0"</f>
        <v>3240,0</v>
      </c>
      <c r="J9" s="12" t="str">
        <f>"2362,2840"</f>
        <v>2362,2840</v>
      </c>
      <c r="K9" s="6" t="s">
        <v>28</v>
      </c>
    </row>
    <row r="11" spans="1:11" ht="15" x14ac:dyDescent="0.2">
      <c r="A11" s="56" t="s">
        <v>15</v>
      </c>
      <c r="B11" s="56"/>
      <c r="C11" s="56"/>
      <c r="D11" s="56"/>
      <c r="E11" s="56"/>
      <c r="F11" s="56"/>
      <c r="G11" s="56"/>
      <c r="H11" s="56"/>
    </row>
    <row r="12" spans="1:11" x14ac:dyDescent="0.2">
      <c r="A12" s="6" t="s">
        <v>991</v>
      </c>
      <c r="B12" s="6" t="s">
        <v>992</v>
      </c>
      <c r="C12" s="6" t="s">
        <v>993</v>
      </c>
      <c r="D12" s="6" t="str">
        <f>"0,6894"</f>
        <v>0,6894</v>
      </c>
      <c r="E12" s="6" t="s">
        <v>587</v>
      </c>
      <c r="F12" s="6" t="s">
        <v>137</v>
      </c>
      <c r="G12" s="7" t="s">
        <v>510</v>
      </c>
      <c r="H12" s="7" t="s">
        <v>995</v>
      </c>
      <c r="I12" s="11" t="str">
        <f>"2050,0"</f>
        <v>2050,0</v>
      </c>
      <c r="J12" s="12" t="str">
        <f>"1413,2700"</f>
        <v>1413,2700</v>
      </c>
      <c r="K12" s="6" t="s">
        <v>28</v>
      </c>
    </row>
    <row r="14" spans="1:11" ht="15" x14ac:dyDescent="0.2">
      <c r="A14" s="56" t="s">
        <v>345</v>
      </c>
      <c r="B14" s="56"/>
      <c r="C14" s="56"/>
      <c r="D14" s="56"/>
      <c r="E14" s="56"/>
      <c r="F14" s="56"/>
      <c r="G14" s="56"/>
      <c r="H14" s="56"/>
    </row>
    <row r="15" spans="1:11" x14ac:dyDescent="0.2">
      <c r="A15" s="6" t="s">
        <v>1022</v>
      </c>
      <c r="B15" s="6" t="s">
        <v>1023</v>
      </c>
      <c r="C15" s="6" t="s">
        <v>1024</v>
      </c>
      <c r="D15" s="6" t="str">
        <f>"0,6414"</f>
        <v>0,6414</v>
      </c>
      <c r="E15" s="6" t="s">
        <v>318</v>
      </c>
      <c r="F15" s="6" t="s">
        <v>319</v>
      </c>
      <c r="G15" s="7" t="s">
        <v>299</v>
      </c>
      <c r="H15" s="7" t="s">
        <v>1025</v>
      </c>
      <c r="I15" s="11" t="str">
        <f>"3062,5"</f>
        <v>3062,5</v>
      </c>
      <c r="J15" s="12" t="str">
        <f>"1964,2874"</f>
        <v>1964,2874</v>
      </c>
      <c r="K15" s="6" t="s">
        <v>28</v>
      </c>
    </row>
    <row r="17" spans="1:5" ht="15" x14ac:dyDescent="0.2">
      <c r="E17" s="9" t="s">
        <v>29</v>
      </c>
    </row>
    <row r="18" spans="1:5" ht="15" x14ac:dyDescent="0.2">
      <c r="E18" s="9" t="s">
        <v>30</v>
      </c>
    </row>
    <row r="19" spans="1:5" ht="15" x14ac:dyDescent="0.2">
      <c r="E19" s="9" t="s">
        <v>31</v>
      </c>
    </row>
    <row r="20" spans="1:5" ht="15" x14ac:dyDescent="0.2">
      <c r="E20" s="9" t="s">
        <v>32</v>
      </c>
    </row>
    <row r="21" spans="1:5" ht="15" x14ac:dyDescent="0.2">
      <c r="E21" s="9" t="s">
        <v>32</v>
      </c>
    </row>
    <row r="22" spans="1:5" ht="15" x14ac:dyDescent="0.2">
      <c r="E22" s="9" t="s">
        <v>33</v>
      </c>
    </row>
    <row r="23" spans="1:5" ht="15" x14ac:dyDescent="0.2">
      <c r="E23" s="9"/>
    </row>
    <row r="25" spans="1:5" ht="18" x14ac:dyDescent="0.25">
      <c r="A25" s="13" t="s">
        <v>34</v>
      </c>
      <c r="B25" s="13"/>
    </row>
    <row r="26" spans="1:5" ht="15" x14ac:dyDescent="0.2">
      <c r="A26" s="14" t="s">
        <v>35</v>
      </c>
      <c r="B26" s="14"/>
    </row>
    <row r="27" spans="1:5" ht="14.25" x14ac:dyDescent="0.2">
      <c r="A27" s="16"/>
      <c r="B27" s="17" t="s">
        <v>81</v>
      </c>
    </row>
    <row r="28" spans="1:5" ht="15" x14ac:dyDescent="0.2">
      <c r="A28" s="18" t="s">
        <v>37</v>
      </c>
      <c r="B28" s="18" t="s">
        <v>38</v>
      </c>
      <c r="C28" s="18" t="s">
        <v>39</v>
      </c>
      <c r="D28" s="18" t="s">
        <v>393</v>
      </c>
      <c r="E28" s="18" t="s">
        <v>1026</v>
      </c>
    </row>
    <row r="29" spans="1:5" x14ac:dyDescent="0.2">
      <c r="A29" s="15" t="s">
        <v>1021</v>
      </c>
      <c r="B29" s="4" t="s">
        <v>81</v>
      </c>
      <c r="C29" s="4" t="s">
        <v>642</v>
      </c>
      <c r="D29" s="4" t="s">
        <v>1027</v>
      </c>
      <c r="E29" s="10" t="s">
        <v>1028</v>
      </c>
    </row>
    <row r="30" spans="1:5" x14ac:dyDescent="0.2">
      <c r="A30" s="15" t="s">
        <v>502</v>
      </c>
      <c r="B30" s="4" t="s">
        <v>81</v>
      </c>
      <c r="C30" s="4" t="s">
        <v>263</v>
      </c>
      <c r="D30" s="4" t="s">
        <v>1029</v>
      </c>
      <c r="E30" s="10" t="s">
        <v>1030</v>
      </c>
    </row>
    <row r="31" spans="1:5" x14ac:dyDescent="0.2">
      <c r="A31" s="15" t="s">
        <v>990</v>
      </c>
      <c r="B31" s="4" t="s">
        <v>81</v>
      </c>
      <c r="C31" s="4" t="s">
        <v>43</v>
      </c>
      <c r="D31" s="4" t="s">
        <v>1031</v>
      </c>
      <c r="E31" s="10" t="s">
        <v>1032</v>
      </c>
    </row>
    <row r="33" spans="1:5" ht="14.25" x14ac:dyDescent="0.2">
      <c r="A33" s="16"/>
      <c r="B33" s="17" t="s">
        <v>61</v>
      </c>
    </row>
    <row r="34" spans="1:5" ht="15" x14ac:dyDescent="0.2">
      <c r="A34" s="18" t="s">
        <v>37</v>
      </c>
      <c r="B34" s="18" t="s">
        <v>38</v>
      </c>
      <c r="C34" s="18" t="s">
        <v>39</v>
      </c>
      <c r="D34" s="18" t="s">
        <v>393</v>
      </c>
      <c r="E34" s="18" t="s">
        <v>1026</v>
      </c>
    </row>
    <row r="35" spans="1:5" x14ac:dyDescent="0.2">
      <c r="A35" s="15" t="s">
        <v>540</v>
      </c>
      <c r="B35" s="4" t="s">
        <v>285</v>
      </c>
      <c r="C35" s="4" t="s">
        <v>256</v>
      </c>
      <c r="D35" s="4" t="s">
        <v>1033</v>
      </c>
      <c r="E35" s="10" t="s">
        <v>1034</v>
      </c>
    </row>
  </sheetData>
  <mergeCells count="15">
    <mergeCell ref="A8:H8"/>
    <mergeCell ref="A11:H11"/>
    <mergeCell ref="A14:H14"/>
    <mergeCell ref="G3:H3"/>
    <mergeCell ref="I3:I4"/>
    <mergeCell ref="J3:J4"/>
    <mergeCell ref="K3:K4"/>
    <mergeCell ref="A5:H5"/>
    <mergeCell ref="A1:K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K16" sqref="K16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24.140625" style="4" bestFit="1" customWidth="1"/>
    <col min="7" max="9" width="5.5703125" style="3" customWidth="1"/>
    <col min="10" max="10" width="4.85546875" style="3" customWidth="1"/>
    <col min="11" max="11" width="5" style="3" customWidth="1"/>
    <col min="12" max="12" width="10.42578125" style="3" customWidth="1"/>
    <col min="13" max="13" width="7.85546875" style="10" bestFit="1" customWidth="1"/>
    <col min="14" max="14" width="9.5703125" style="2" bestFit="1" customWidth="1"/>
    <col min="15" max="15" width="8.85546875" style="4" bestFit="1" customWidth="1"/>
    <col min="16" max="16384" width="9.140625" style="3"/>
  </cols>
  <sheetData>
    <row r="1" spans="1:15" s="2" customFormat="1" ht="29.1" customHeight="1" x14ac:dyDescent="0.2">
      <c r="A1" s="35" t="s">
        <v>1332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7"/>
    </row>
    <row r="2" spans="1:15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1:15" s="1" customFormat="1" ht="12.75" customHeight="1" x14ac:dyDescent="0.2">
      <c r="A3" s="41" t="s">
        <v>0</v>
      </c>
      <c r="B3" s="43" t="s">
        <v>6</v>
      </c>
      <c r="C3" s="43" t="s">
        <v>10</v>
      </c>
      <c r="D3" s="45" t="s">
        <v>1007</v>
      </c>
      <c r="E3" s="45" t="s">
        <v>4</v>
      </c>
      <c r="F3" s="45" t="s">
        <v>7</v>
      </c>
      <c r="G3" s="45" t="s">
        <v>13</v>
      </c>
      <c r="H3" s="45"/>
      <c r="I3" s="45"/>
      <c r="J3" s="45"/>
      <c r="K3" s="45" t="s">
        <v>979</v>
      </c>
      <c r="L3" s="45"/>
      <c r="M3" s="45" t="s">
        <v>1</v>
      </c>
      <c r="N3" s="45" t="s">
        <v>3</v>
      </c>
      <c r="O3" s="46" t="s">
        <v>2</v>
      </c>
    </row>
    <row r="4" spans="1:15" s="1" customFormat="1" ht="21" customHeight="1" thickBot="1" x14ac:dyDescent="0.25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5" t="s">
        <v>8</v>
      </c>
      <c r="L4" s="5" t="s">
        <v>9</v>
      </c>
      <c r="M4" s="44"/>
      <c r="N4" s="44"/>
      <c r="O4" s="47"/>
    </row>
    <row r="5" spans="1:15" ht="15" x14ac:dyDescent="0.2">
      <c r="A5" s="48" t="s">
        <v>143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5" x14ac:dyDescent="0.2">
      <c r="A6" s="6" t="s">
        <v>1013</v>
      </c>
      <c r="B6" s="6" t="s">
        <v>1014</v>
      </c>
      <c r="C6" s="6" t="s">
        <v>1015</v>
      </c>
      <c r="D6" s="6" t="str">
        <f>"0,5918"</f>
        <v>0,5918</v>
      </c>
      <c r="E6" s="6" t="s">
        <v>1000</v>
      </c>
      <c r="F6" s="6" t="s">
        <v>155</v>
      </c>
      <c r="G6" s="7" t="s">
        <v>217</v>
      </c>
      <c r="H6" s="8" t="s">
        <v>201</v>
      </c>
      <c r="I6" s="8" t="s">
        <v>201</v>
      </c>
      <c r="J6" s="8"/>
      <c r="K6" s="7" t="s">
        <v>91</v>
      </c>
      <c r="L6" s="7" t="s">
        <v>474</v>
      </c>
      <c r="M6" s="11" t="str">
        <f>"220,0"</f>
        <v>220,0</v>
      </c>
      <c r="N6" s="12" t="str">
        <f>"2225,2929"</f>
        <v>2225,2929</v>
      </c>
      <c r="O6" s="6" t="s">
        <v>28</v>
      </c>
    </row>
    <row r="8" spans="1:15" ht="15" x14ac:dyDescent="0.2">
      <c r="E8" s="9" t="s">
        <v>29</v>
      </c>
    </row>
    <row r="9" spans="1:15" ht="15" x14ac:dyDescent="0.2">
      <c r="E9" s="9" t="s">
        <v>30</v>
      </c>
    </row>
    <row r="10" spans="1:15" ht="15" x14ac:dyDescent="0.2">
      <c r="E10" s="9" t="s">
        <v>31</v>
      </c>
    </row>
    <row r="11" spans="1:15" ht="15" x14ac:dyDescent="0.2">
      <c r="E11" s="9" t="s">
        <v>32</v>
      </c>
    </row>
    <row r="12" spans="1:15" ht="15" x14ac:dyDescent="0.2">
      <c r="E12" s="9" t="s">
        <v>32</v>
      </c>
    </row>
    <row r="13" spans="1:15" ht="15" x14ac:dyDescent="0.2">
      <c r="E13" s="9" t="s">
        <v>33</v>
      </c>
    </row>
    <row r="14" spans="1:15" ht="15" x14ac:dyDescent="0.2">
      <c r="E14" s="9"/>
    </row>
    <row r="16" spans="1:15" ht="18" x14ac:dyDescent="0.25">
      <c r="A16" s="13" t="s">
        <v>34</v>
      </c>
      <c r="B16" s="13"/>
    </row>
    <row r="17" spans="1:5" ht="15" x14ac:dyDescent="0.2">
      <c r="A17" s="14" t="s">
        <v>35</v>
      </c>
      <c r="B17" s="14"/>
    </row>
    <row r="18" spans="1:5" ht="14.25" x14ac:dyDescent="0.2">
      <c r="A18" s="16"/>
      <c r="B18" s="17" t="s">
        <v>81</v>
      </c>
    </row>
    <row r="19" spans="1:5" ht="15" x14ac:dyDescent="0.2">
      <c r="A19" s="18" t="s">
        <v>37</v>
      </c>
      <c r="B19" s="18" t="s">
        <v>38</v>
      </c>
      <c r="C19" s="18" t="s">
        <v>39</v>
      </c>
      <c r="D19" s="18" t="s">
        <v>40</v>
      </c>
      <c r="E19" s="18" t="s">
        <v>1002</v>
      </c>
    </row>
    <row r="20" spans="1:5" x14ac:dyDescent="0.2">
      <c r="A20" s="15" t="s">
        <v>1012</v>
      </c>
      <c r="B20" s="4" t="s">
        <v>81</v>
      </c>
      <c r="C20" s="4" t="s">
        <v>256</v>
      </c>
      <c r="D20" s="4" t="s">
        <v>53</v>
      </c>
      <c r="E20" s="10" t="s">
        <v>1016</v>
      </c>
    </row>
  </sheetData>
  <mergeCells count="13">
    <mergeCell ref="A5:L5"/>
    <mergeCell ref="A1:O2"/>
    <mergeCell ref="A3:A4"/>
    <mergeCell ref="B3:B4"/>
    <mergeCell ref="C3:C4"/>
    <mergeCell ref="D3:D4"/>
    <mergeCell ref="E3:E4"/>
    <mergeCell ref="F3:F4"/>
    <mergeCell ref="G3:J3"/>
    <mergeCell ref="K3:L3"/>
    <mergeCell ref="M3:M4"/>
    <mergeCell ref="N3:N4"/>
    <mergeCell ref="O3:O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B13" sqref="B13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7.85546875" style="4" bestFit="1" customWidth="1"/>
    <col min="7" max="7" width="5.5703125" style="3" customWidth="1"/>
    <col min="8" max="8" width="10.42578125" style="3" customWidth="1"/>
    <col min="9" max="9" width="7.85546875" style="10" bestFit="1" customWidth="1"/>
    <col min="10" max="10" width="7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 x14ac:dyDescent="0.2">
      <c r="A1" s="35" t="s">
        <v>1327</v>
      </c>
      <c r="B1" s="36"/>
      <c r="C1" s="36"/>
      <c r="D1" s="36"/>
      <c r="E1" s="36"/>
      <c r="F1" s="36"/>
      <c r="G1" s="36"/>
      <c r="H1" s="36"/>
      <c r="I1" s="36"/>
      <c r="J1" s="36"/>
      <c r="K1" s="37"/>
    </row>
    <row r="2" spans="1:11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40"/>
    </row>
    <row r="3" spans="1:11" s="1" customFormat="1" ht="12.75" customHeight="1" x14ac:dyDescent="0.2">
      <c r="A3" s="41" t="s">
        <v>0</v>
      </c>
      <c r="B3" s="43" t="s">
        <v>6</v>
      </c>
      <c r="C3" s="43" t="s">
        <v>10</v>
      </c>
      <c r="D3" s="45" t="s">
        <v>1226</v>
      </c>
      <c r="E3" s="45" t="s">
        <v>4</v>
      </c>
      <c r="F3" s="45" t="s">
        <v>7</v>
      </c>
      <c r="G3" s="45" t="s">
        <v>1289</v>
      </c>
      <c r="H3" s="45"/>
      <c r="I3" s="45" t="s">
        <v>1035</v>
      </c>
      <c r="J3" s="45" t="s">
        <v>3</v>
      </c>
      <c r="K3" s="46" t="s">
        <v>2</v>
      </c>
    </row>
    <row r="4" spans="1:11" s="1" customFormat="1" ht="21" customHeight="1" thickBot="1" x14ac:dyDescent="0.25">
      <c r="A4" s="42"/>
      <c r="B4" s="44"/>
      <c r="C4" s="44"/>
      <c r="D4" s="44"/>
      <c r="E4" s="44"/>
      <c r="F4" s="44"/>
      <c r="G4" s="5" t="s">
        <v>8</v>
      </c>
      <c r="H4" s="5" t="s">
        <v>9</v>
      </c>
      <c r="I4" s="44"/>
      <c r="J4" s="44"/>
      <c r="K4" s="47"/>
    </row>
    <row r="5" spans="1:11" ht="15" x14ac:dyDescent="0.2">
      <c r="A5" s="48" t="s">
        <v>1228</v>
      </c>
      <c r="B5" s="49"/>
      <c r="C5" s="49"/>
      <c r="D5" s="49"/>
      <c r="E5" s="49"/>
      <c r="F5" s="49"/>
      <c r="G5" s="49"/>
      <c r="H5" s="49"/>
    </row>
    <row r="6" spans="1:11" x14ac:dyDescent="0.2">
      <c r="A6" s="19" t="s">
        <v>1290</v>
      </c>
      <c r="B6" s="19" t="s">
        <v>883</v>
      </c>
      <c r="C6" s="19" t="s">
        <v>884</v>
      </c>
      <c r="D6" s="19" t="str">
        <f>"1,0000"</f>
        <v>1,0000</v>
      </c>
      <c r="E6" s="19" t="s">
        <v>389</v>
      </c>
      <c r="F6" s="19" t="s">
        <v>137</v>
      </c>
      <c r="G6" s="20" t="s">
        <v>131</v>
      </c>
      <c r="H6" s="20" t="s">
        <v>1025</v>
      </c>
      <c r="I6" s="28" t="str">
        <f>"3750,0"</f>
        <v>3750,0</v>
      </c>
      <c r="J6" s="29" t="str">
        <f>"38,1097"</f>
        <v>38,1097</v>
      </c>
      <c r="K6" s="19" t="s">
        <v>28</v>
      </c>
    </row>
    <row r="7" spans="1:11" x14ac:dyDescent="0.2">
      <c r="A7" s="22" t="s">
        <v>1291</v>
      </c>
      <c r="B7" s="22" t="s">
        <v>205</v>
      </c>
      <c r="C7" s="22" t="s">
        <v>206</v>
      </c>
      <c r="D7" s="22" t="str">
        <f>"1,0000"</f>
        <v>1,0000</v>
      </c>
      <c r="E7" s="22" t="s">
        <v>148</v>
      </c>
      <c r="F7" s="22" t="s">
        <v>119</v>
      </c>
      <c r="G7" s="23" t="s">
        <v>131</v>
      </c>
      <c r="H7" s="23" t="s">
        <v>1292</v>
      </c>
      <c r="I7" s="30" t="str">
        <f>"2400,0"</f>
        <v>2400,0</v>
      </c>
      <c r="J7" s="31" t="str">
        <f>"30,6905"</f>
        <v>30,6905</v>
      </c>
      <c r="K7" s="22" t="s">
        <v>28</v>
      </c>
    </row>
    <row r="9" spans="1:11" ht="15" x14ac:dyDescent="0.2">
      <c r="E9" s="9" t="s">
        <v>29</v>
      </c>
    </row>
    <row r="10" spans="1:11" ht="15" x14ac:dyDescent="0.2">
      <c r="E10" s="9" t="s">
        <v>30</v>
      </c>
    </row>
    <row r="11" spans="1:11" ht="15" x14ac:dyDescent="0.2">
      <c r="E11" s="9" t="s">
        <v>31</v>
      </c>
    </row>
    <row r="12" spans="1:11" ht="15" x14ac:dyDescent="0.2">
      <c r="E12" s="9" t="s">
        <v>32</v>
      </c>
    </row>
    <row r="13" spans="1:11" ht="15" x14ac:dyDescent="0.2">
      <c r="E13" s="9" t="s">
        <v>32</v>
      </c>
    </row>
    <row r="14" spans="1:11" ht="15" x14ac:dyDescent="0.2">
      <c r="E14" s="9" t="s">
        <v>33</v>
      </c>
    </row>
    <row r="15" spans="1:11" ht="15" x14ac:dyDescent="0.2">
      <c r="E15" s="9"/>
    </row>
    <row r="17" spans="1:5" ht="18" x14ac:dyDescent="0.25">
      <c r="A17" s="13" t="s">
        <v>34</v>
      </c>
      <c r="B17" s="13"/>
    </row>
    <row r="18" spans="1:5" ht="15" x14ac:dyDescent="0.2">
      <c r="A18" s="14" t="s">
        <v>35</v>
      </c>
      <c r="B18" s="14"/>
    </row>
    <row r="19" spans="1:5" ht="14.25" x14ac:dyDescent="0.2">
      <c r="A19" s="16"/>
      <c r="B19" s="17" t="s">
        <v>81</v>
      </c>
    </row>
    <row r="20" spans="1:5" ht="15" x14ac:dyDescent="0.2">
      <c r="A20" s="18" t="s">
        <v>37</v>
      </c>
      <c r="B20" s="18" t="s">
        <v>38</v>
      </c>
      <c r="C20" s="18" t="s">
        <v>39</v>
      </c>
      <c r="D20" s="18" t="s">
        <v>393</v>
      </c>
      <c r="E20" s="18" t="s">
        <v>1229</v>
      </c>
    </row>
    <row r="21" spans="1:5" x14ac:dyDescent="0.2">
      <c r="A21" s="15" t="s">
        <v>881</v>
      </c>
      <c r="B21" s="4" t="s">
        <v>81</v>
      </c>
      <c r="C21" s="4" t="s">
        <v>1230</v>
      </c>
      <c r="D21" s="4" t="s">
        <v>1293</v>
      </c>
      <c r="E21" s="10" t="s">
        <v>1294</v>
      </c>
    </row>
    <row r="22" spans="1:5" x14ac:dyDescent="0.2">
      <c r="A22" s="15" t="s">
        <v>203</v>
      </c>
      <c r="B22" s="4" t="s">
        <v>81</v>
      </c>
      <c r="C22" s="4" t="s">
        <v>1230</v>
      </c>
      <c r="D22" s="4" t="s">
        <v>1295</v>
      </c>
      <c r="E22" s="10" t="s">
        <v>1296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workbookViewId="0">
      <selection activeCell="A3" sqref="A3:A4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31.28515625" style="4" bestFit="1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5" width="7.85546875" style="10" bestFit="1" customWidth="1"/>
    <col min="16" max="16" width="8.5703125" style="2" bestFit="1" customWidth="1"/>
    <col min="17" max="17" width="8.85546875" style="4" bestFit="1" customWidth="1"/>
    <col min="18" max="16384" width="9.140625" style="3"/>
  </cols>
  <sheetData>
    <row r="1" spans="1:17" s="2" customFormat="1" ht="29.1" customHeight="1" x14ac:dyDescent="0.2">
      <c r="A1" s="35" t="s">
        <v>1335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7"/>
    </row>
    <row r="2" spans="1:17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40"/>
    </row>
    <row r="3" spans="1:17" s="1" customFormat="1" ht="12.75" customHeight="1" x14ac:dyDescent="0.2">
      <c r="A3" s="41" t="s">
        <v>0</v>
      </c>
      <c r="B3" s="43" t="s">
        <v>6</v>
      </c>
      <c r="C3" s="43" t="s">
        <v>10</v>
      </c>
      <c r="D3" s="45" t="s">
        <v>11</v>
      </c>
      <c r="E3" s="45" t="s">
        <v>4</v>
      </c>
      <c r="F3" s="45" t="s">
        <v>7</v>
      </c>
      <c r="G3" s="45" t="s">
        <v>13</v>
      </c>
      <c r="H3" s="45"/>
      <c r="I3" s="45"/>
      <c r="J3" s="45"/>
      <c r="K3" s="45" t="s">
        <v>14</v>
      </c>
      <c r="L3" s="45"/>
      <c r="M3" s="45"/>
      <c r="N3" s="45"/>
      <c r="O3" s="45" t="s">
        <v>1</v>
      </c>
      <c r="P3" s="45" t="s">
        <v>3</v>
      </c>
      <c r="Q3" s="46" t="s">
        <v>2</v>
      </c>
    </row>
    <row r="4" spans="1:17" s="1" customFormat="1" ht="21" customHeight="1" thickBot="1" x14ac:dyDescent="0.25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44"/>
      <c r="P4" s="44"/>
      <c r="Q4" s="47"/>
    </row>
    <row r="5" spans="1:17" ht="15" x14ac:dyDescent="0.2">
      <c r="A5" s="48" t="s">
        <v>46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7" x14ac:dyDescent="0.2">
      <c r="A6" s="6" t="s">
        <v>1009</v>
      </c>
      <c r="B6" s="6" t="s">
        <v>1010</v>
      </c>
      <c r="C6" s="6" t="s">
        <v>438</v>
      </c>
      <c r="D6" s="6" t="str">
        <f>"0,5543"</f>
        <v>0,5543</v>
      </c>
      <c r="E6" s="6" t="s">
        <v>566</v>
      </c>
      <c r="F6" s="6" t="s">
        <v>567</v>
      </c>
      <c r="G6" s="7" t="s">
        <v>132</v>
      </c>
      <c r="H6" s="8" t="s">
        <v>200</v>
      </c>
      <c r="I6" s="7" t="s">
        <v>200</v>
      </c>
      <c r="J6" s="8"/>
      <c r="K6" s="7" t="s">
        <v>241</v>
      </c>
      <c r="L6" s="8" t="s">
        <v>313</v>
      </c>
      <c r="M6" s="8" t="s">
        <v>313</v>
      </c>
      <c r="N6" s="8"/>
      <c r="O6" s="11" t="str">
        <f>"460,0"</f>
        <v>460,0</v>
      </c>
      <c r="P6" s="12" t="str">
        <f>"254,9780"</f>
        <v>254,9780</v>
      </c>
      <c r="Q6" s="6" t="s">
        <v>28</v>
      </c>
    </row>
    <row r="8" spans="1:17" ht="15" x14ac:dyDescent="0.2">
      <c r="E8" s="9" t="s">
        <v>29</v>
      </c>
    </row>
    <row r="9" spans="1:17" ht="15" x14ac:dyDescent="0.2">
      <c r="E9" s="9" t="s">
        <v>30</v>
      </c>
    </row>
    <row r="10" spans="1:17" ht="15" x14ac:dyDescent="0.2">
      <c r="E10" s="9" t="s">
        <v>31</v>
      </c>
    </row>
    <row r="11" spans="1:17" ht="15" x14ac:dyDescent="0.2">
      <c r="E11" s="9" t="s">
        <v>32</v>
      </c>
    </row>
    <row r="12" spans="1:17" ht="15" x14ac:dyDescent="0.2">
      <c r="E12" s="9" t="s">
        <v>32</v>
      </c>
    </row>
    <row r="13" spans="1:17" ht="15" x14ac:dyDescent="0.2">
      <c r="E13" s="9" t="s">
        <v>33</v>
      </c>
    </row>
    <row r="14" spans="1:17" ht="15" x14ac:dyDescent="0.2">
      <c r="E14" s="9"/>
    </row>
    <row r="16" spans="1:17" ht="18" x14ac:dyDescent="0.25">
      <c r="A16" s="13" t="s">
        <v>34</v>
      </c>
      <c r="B16" s="13"/>
    </row>
    <row r="17" spans="1:5" ht="15" x14ac:dyDescent="0.2">
      <c r="A17" s="14" t="s">
        <v>35</v>
      </c>
      <c r="B17" s="14"/>
    </row>
    <row r="18" spans="1:5" ht="14.25" x14ac:dyDescent="0.2">
      <c r="A18" s="16"/>
      <c r="B18" s="17" t="s">
        <v>81</v>
      </c>
    </row>
    <row r="19" spans="1:5" ht="15" x14ac:dyDescent="0.2">
      <c r="A19" s="18" t="s">
        <v>37</v>
      </c>
      <c r="B19" s="18" t="s">
        <v>38</v>
      </c>
      <c r="C19" s="18" t="s">
        <v>39</v>
      </c>
      <c r="D19" s="18" t="s">
        <v>40</v>
      </c>
      <c r="E19" s="18" t="s">
        <v>41</v>
      </c>
    </row>
    <row r="20" spans="1:5" x14ac:dyDescent="0.2">
      <c r="A20" s="15" t="s">
        <v>1008</v>
      </c>
      <c r="B20" s="4" t="s">
        <v>81</v>
      </c>
      <c r="C20" s="4" t="s">
        <v>63</v>
      </c>
      <c r="D20" s="4" t="s">
        <v>273</v>
      </c>
      <c r="E20" s="10" t="s">
        <v>1011</v>
      </c>
    </row>
  </sheetData>
  <mergeCells count="13">
    <mergeCell ref="O3:O4"/>
    <mergeCell ref="P3:P4"/>
    <mergeCell ref="Q3:Q4"/>
    <mergeCell ref="A5:N5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workbookViewId="0">
      <selection activeCell="A3" sqref="A3:A4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24.140625" style="4" bestFit="1" customWidth="1"/>
    <col min="7" max="9" width="5.5703125" style="3" customWidth="1"/>
    <col min="10" max="10" width="4.85546875" style="3" customWidth="1"/>
    <col min="11" max="11" width="5.5703125" style="3" customWidth="1"/>
    <col min="12" max="12" width="10.42578125" style="3" customWidth="1"/>
    <col min="13" max="13" width="7.85546875" style="10" bestFit="1" customWidth="1"/>
    <col min="14" max="14" width="9.5703125" style="2" bestFit="1" customWidth="1"/>
    <col min="15" max="15" width="8.85546875" style="4" bestFit="1" customWidth="1"/>
    <col min="16" max="16384" width="9.140625" style="3"/>
  </cols>
  <sheetData>
    <row r="1" spans="1:15" s="2" customFormat="1" ht="29.1" customHeight="1" x14ac:dyDescent="0.2">
      <c r="A1" s="35" t="s">
        <v>1334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7"/>
    </row>
    <row r="2" spans="1:15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1:15" s="1" customFormat="1" ht="12.75" customHeight="1" x14ac:dyDescent="0.2">
      <c r="A3" s="41" t="s">
        <v>0</v>
      </c>
      <c r="B3" s="43" t="s">
        <v>6</v>
      </c>
      <c r="C3" s="43" t="s">
        <v>10</v>
      </c>
      <c r="D3" s="45" t="s">
        <v>1007</v>
      </c>
      <c r="E3" s="45" t="s">
        <v>4</v>
      </c>
      <c r="F3" s="45" t="s">
        <v>7</v>
      </c>
      <c r="G3" s="45" t="s">
        <v>13</v>
      </c>
      <c r="H3" s="45"/>
      <c r="I3" s="45"/>
      <c r="J3" s="45"/>
      <c r="K3" s="45" t="s">
        <v>979</v>
      </c>
      <c r="L3" s="45"/>
      <c r="M3" s="45" t="s">
        <v>1</v>
      </c>
      <c r="N3" s="45" t="s">
        <v>3</v>
      </c>
      <c r="O3" s="46" t="s">
        <v>2</v>
      </c>
    </row>
    <row r="4" spans="1:15" s="1" customFormat="1" ht="21" customHeight="1" thickBot="1" x14ac:dyDescent="0.25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5" t="s">
        <v>8</v>
      </c>
      <c r="L4" s="5" t="s">
        <v>9</v>
      </c>
      <c r="M4" s="44"/>
      <c r="N4" s="44"/>
      <c r="O4" s="47"/>
    </row>
    <row r="5" spans="1:15" ht="15" x14ac:dyDescent="0.2">
      <c r="A5" s="48" t="s">
        <v>187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5" x14ac:dyDescent="0.2">
      <c r="A6" s="6" t="s">
        <v>981</v>
      </c>
      <c r="B6" s="6" t="s">
        <v>982</v>
      </c>
      <c r="C6" s="6" t="s">
        <v>517</v>
      </c>
      <c r="D6" s="6" t="str">
        <f>"0,6295"</f>
        <v>0,6295</v>
      </c>
      <c r="E6" s="6" t="s">
        <v>389</v>
      </c>
      <c r="F6" s="6" t="s">
        <v>137</v>
      </c>
      <c r="G6" s="7" t="s">
        <v>121</v>
      </c>
      <c r="H6" s="7" t="s">
        <v>127</v>
      </c>
      <c r="I6" s="7" t="s">
        <v>73</v>
      </c>
      <c r="J6" s="8"/>
      <c r="K6" s="7" t="s">
        <v>983</v>
      </c>
      <c r="L6" s="7" t="s">
        <v>984</v>
      </c>
      <c r="M6" s="11" t="str">
        <f>"170,0"</f>
        <v>170,0</v>
      </c>
      <c r="N6" s="12" t="str">
        <f>"1792,1029"</f>
        <v>1792,1029</v>
      </c>
      <c r="O6" s="6" t="s">
        <v>28</v>
      </c>
    </row>
    <row r="8" spans="1:15" ht="15" x14ac:dyDescent="0.2">
      <c r="A8" s="56" t="s">
        <v>46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5" x14ac:dyDescent="0.2">
      <c r="A9" s="6" t="s">
        <v>986</v>
      </c>
      <c r="B9" s="6" t="s">
        <v>987</v>
      </c>
      <c r="C9" s="6" t="s">
        <v>988</v>
      </c>
      <c r="D9" s="6" t="str">
        <f>"0,5540"</f>
        <v>0,5540</v>
      </c>
      <c r="E9" s="6" t="s">
        <v>51</v>
      </c>
      <c r="F9" s="6" t="s">
        <v>155</v>
      </c>
      <c r="G9" s="7" t="s">
        <v>106</v>
      </c>
      <c r="H9" s="7" t="s">
        <v>77</v>
      </c>
      <c r="I9" s="7" t="s">
        <v>525</v>
      </c>
      <c r="J9" s="8"/>
      <c r="K9" s="7" t="s">
        <v>94</v>
      </c>
      <c r="L9" s="7" t="s">
        <v>989</v>
      </c>
      <c r="M9" s="11" t="str">
        <f>"137,5"</f>
        <v>137,5</v>
      </c>
      <c r="N9" s="12" t="str">
        <f>"1422,7001"</f>
        <v>1422,7001</v>
      </c>
      <c r="O9" s="6" t="s">
        <v>28</v>
      </c>
    </row>
    <row r="11" spans="1:15" ht="15" x14ac:dyDescent="0.2">
      <c r="A11" s="56" t="s">
        <v>15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</row>
    <row r="12" spans="1:15" x14ac:dyDescent="0.2">
      <c r="A12" s="19" t="s">
        <v>991</v>
      </c>
      <c r="B12" s="19" t="s">
        <v>992</v>
      </c>
      <c r="C12" s="19" t="s">
        <v>993</v>
      </c>
      <c r="D12" s="19" t="str">
        <f>"0,5491"</f>
        <v>0,5491</v>
      </c>
      <c r="E12" s="19" t="s">
        <v>587</v>
      </c>
      <c r="F12" s="19" t="s">
        <v>137</v>
      </c>
      <c r="G12" s="20" t="s">
        <v>132</v>
      </c>
      <c r="H12" s="20" t="s">
        <v>200</v>
      </c>
      <c r="I12" s="20" t="s">
        <v>24</v>
      </c>
      <c r="J12" s="21"/>
      <c r="K12" s="20" t="s">
        <v>994</v>
      </c>
      <c r="L12" s="20" t="s">
        <v>995</v>
      </c>
      <c r="M12" s="28" t="str">
        <f>"200,0"</f>
        <v>200,0</v>
      </c>
      <c r="N12" s="29" t="str">
        <f>"1996,7199"</f>
        <v>1996,7199</v>
      </c>
      <c r="O12" s="19" t="s">
        <v>28</v>
      </c>
    </row>
    <row r="13" spans="1:15" x14ac:dyDescent="0.2">
      <c r="A13" s="22" t="s">
        <v>997</v>
      </c>
      <c r="B13" s="22" t="s">
        <v>998</v>
      </c>
      <c r="C13" s="22" t="s">
        <v>999</v>
      </c>
      <c r="D13" s="22" t="str">
        <f>"0,5401"</f>
        <v>0,5401</v>
      </c>
      <c r="E13" s="22" t="s">
        <v>1000</v>
      </c>
      <c r="F13" s="22" t="s">
        <v>155</v>
      </c>
      <c r="G13" s="23" t="s">
        <v>131</v>
      </c>
      <c r="H13" s="23" t="s">
        <v>222</v>
      </c>
      <c r="I13" s="24" t="s">
        <v>132</v>
      </c>
      <c r="J13" s="24"/>
      <c r="K13" s="23" t="s">
        <v>1001</v>
      </c>
      <c r="L13" s="23" t="s">
        <v>995</v>
      </c>
      <c r="M13" s="30" t="str">
        <f>"175,0"</f>
        <v>175,0</v>
      </c>
      <c r="N13" s="31" t="str">
        <f>"1694,4399"</f>
        <v>1694,4399</v>
      </c>
      <c r="O13" s="22" t="s">
        <v>28</v>
      </c>
    </row>
    <row r="15" spans="1:15" ht="15" x14ac:dyDescent="0.2">
      <c r="E15" s="9" t="s">
        <v>29</v>
      </c>
    </row>
    <row r="16" spans="1:15" ht="15" x14ac:dyDescent="0.2">
      <c r="E16" s="9" t="s">
        <v>30</v>
      </c>
    </row>
    <row r="17" spans="1:5" ht="15" x14ac:dyDescent="0.2">
      <c r="E17" s="9" t="s">
        <v>31</v>
      </c>
    </row>
    <row r="18" spans="1:5" ht="15" x14ac:dyDescent="0.2">
      <c r="E18" s="9" t="s">
        <v>32</v>
      </c>
    </row>
    <row r="19" spans="1:5" ht="15" x14ac:dyDescent="0.2">
      <c r="E19" s="9" t="s">
        <v>32</v>
      </c>
    </row>
    <row r="20" spans="1:5" ht="15" x14ac:dyDescent="0.2">
      <c r="E20" s="9" t="s">
        <v>33</v>
      </c>
    </row>
    <row r="21" spans="1:5" ht="15" x14ac:dyDescent="0.2">
      <c r="E21" s="9"/>
    </row>
    <row r="23" spans="1:5" ht="18" x14ac:dyDescent="0.25">
      <c r="A23" s="13" t="s">
        <v>34</v>
      </c>
      <c r="B23" s="13"/>
    </row>
    <row r="24" spans="1:5" ht="15" x14ac:dyDescent="0.2">
      <c r="A24" s="14" t="s">
        <v>35</v>
      </c>
      <c r="B24" s="14"/>
    </row>
    <row r="25" spans="1:5" ht="14.25" x14ac:dyDescent="0.2">
      <c r="A25" s="16"/>
      <c r="B25" s="17" t="s">
        <v>81</v>
      </c>
    </row>
    <row r="26" spans="1:5" ht="15" x14ac:dyDescent="0.2">
      <c r="A26" s="18" t="s">
        <v>37</v>
      </c>
      <c r="B26" s="18" t="s">
        <v>38</v>
      </c>
      <c r="C26" s="18" t="s">
        <v>39</v>
      </c>
      <c r="D26" s="18" t="s">
        <v>40</v>
      </c>
      <c r="E26" s="18" t="s">
        <v>1002</v>
      </c>
    </row>
    <row r="27" spans="1:5" x14ac:dyDescent="0.2">
      <c r="A27" s="15" t="s">
        <v>990</v>
      </c>
      <c r="B27" s="4" t="s">
        <v>81</v>
      </c>
      <c r="C27" s="4" t="s">
        <v>43</v>
      </c>
      <c r="D27" s="4" t="s">
        <v>25</v>
      </c>
      <c r="E27" s="10" t="s">
        <v>1003</v>
      </c>
    </row>
    <row r="29" spans="1:5" ht="14.25" x14ac:dyDescent="0.2">
      <c r="A29" s="16"/>
      <c r="B29" s="17" t="s">
        <v>61</v>
      </c>
    </row>
    <row r="30" spans="1:5" ht="15" x14ac:dyDescent="0.2">
      <c r="A30" s="18" t="s">
        <v>37</v>
      </c>
      <c r="B30" s="18" t="s">
        <v>38</v>
      </c>
      <c r="C30" s="18" t="s">
        <v>39</v>
      </c>
      <c r="D30" s="18" t="s">
        <v>40</v>
      </c>
      <c r="E30" s="18" t="s">
        <v>1002</v>
      </c>
    </row>
    <row r="31" spans="1:5" x14ac:dyDescent="0.2">
      <c r="A31" s="15" t="s">
        <v>980</v>
      </c>
      <c r="B31" s="4" t="s">
        <v>336</v>
      </c>
      <c r="C31" s="4" t="s">
        <v>268</v>
      </c>
      <c r="D31" s="4" t="s">
        <v>200</v>
      </c>
      <c r="E31" s="10" t="s">
        <v>1004</v>
      </c>
    </row>
    <row r="32" spans="1:5" x14ac:dyDescent="0.2">
      <c r="A32" s="15" t="s">
        <v>996</v>
      </c>
      <c r="B32" s="4" t="s">
        <v>406</v>
      </c>
      <c r="C32" s="4" t="s">
        <v>43</v>
      </c>
      <c r="D32" s="4" t="s">
        <v>212</v>
      </c>
      <c r="E32" s="10" t="s">
        <v>1005</v>
      </c>
    </row>
    <row r="33" spans="1:5" x14ac:dyDescent="0.2">
      <c r="A33" s="15" t="s">
        <v>985</v>
      </c>
      <c r="B33" s="4" t="s">
        <v>281</v>
      </c>
      <c r="C33" s="4" t="s">
        <v>63</v>
      </c>
      <c r="D33" s="4" t="s">
        <v>79</v>
      </c>
      <c r="E33" s="10" t="s">
        <v>1006</v>
      </c>
    </row>
  </sheetData>
  <mergeCells count="15">
    <mergeCell ref="A8:L8"/>
    <mergeCell ref="A11:L11"/>
    <mergeCell ref="K3:L3"/>
    <mergeCell ref="M3:M4"/>
    <mergeCell ref="N3:N4"/>
    <mergeCell ref="O3:O4"/>
    <mergeCell ref="A5:L5"/>
    <mergeCell ref="A1:O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workbookViewId="0">
      <selection activeCell="F12" sqref="F1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32.140625" style="4" bestFit="1" customWidth="1"/>
    <col min="7" max="9" width="5.5703125" style="3" customWidth="1"/>
    <col min="10" max="10" width="4.85546875" style="3" customWidth="1"/>
    <col min="11" max="11" width="6.5703125" style="3" customWidth="1"/>
    <col min="12" max="12" width="5.5703125" style="3" customWidth="1"/>
    <col min="13" max="14" width="6.5703125" style="3" customWidth="1"/>
    <col min="15" max="15" width="7.85546875" style="10" bestFit="1" customWidth="1"/>
    <col min="16" max="16" width="8.5703125" style="2" bestFit="1" customWidth="1"/>
    <col min="17" max="17" width="8.85546875" style="4" bestFit="1" customWidth="1"/>
    <col min="18" max="16384" width="9.140625" style="3"/>
  </cols>
  <sheetData>
    <row r="1" spans="1:17" s="2" customFormat="1" ht="29.1" customHeight="1" x14ac:dyDescent="0.2">
      <c r="A1" s="35" t="s">
        <v>1333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7"/>
    </row>
    <row r="2" spans="1:17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40"/>
    </row>
    <row r="3" spans="1:17" s="1" customFormat="1" ht="12.75" customHeight="1" x14ac:dyDescent="0.2">
      <c r="A3" s="41" t="s">
        <v>0</v>
      </c>
      <c r="B3" s="43" t="s">
        <v>6</v>
      </c>
      <c r="C3" s="43" t="s">
        <v>10</v>
      </c>
      <c r="D3" s="45" t="s">
        <v>11</v>
      </c>
      <c r="E3" s="45" t="s">
        <v>4</v>
      </c>
      <c r="F3" s="45" t="s">
        <v>7</v>
      </c>
      <c r="G3" s="45" t="s">
        <v>13</v>
      </c>
      <c r="H3" s="45"/>
      <c r="I3" s="45"/>
      <c r="J3" s="45"/>
      <c r="K3" s="45" t="s">
        <v>14</v>
      </c>
      <c r="L3" s="45"/>
      <c r="M3" s="45"/>
      <c r="N3" s="45"/>
      <c r="O3" s="45" t="s">
        <v>1</v>
      </c>
      <c r="P3" s="45" t="s">
        <v>3</v>
      </c>
      <c r="Q3" s="46" t="s">
        <v>2</v>
      </c>
    </row>
    <row r="4" spans="1:17" s="1" customFormat="1" ht="21" customHeight="1" thickBot="1" x14ac:dyDescent="0.25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44"/>
      <c r="P4" s="44"/>
      <c r="Q4" s="47"/>
    </row>
    <row r="5" spans="1:17" ht="15" x14ac:dyDescent="0.2">
      <c r="A5" s="48" t="s">
        <v>150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7" x14ac:dyDescent="0.2">
      <c r="A6" s="6" t="s">
        <v>460</v>
      </c>
      <c r="B6" s="6" t="s">
        <v>461</v>
      </c>
      <c r="C6" s="6" t="s">
        <v>462</v>
      </c>
      <c r="D6" s="6" t="str">
        <f>"0,9912"</f>
        <v>0,9912</v>
      </c>
      <c r="E6" s="6" t="s">
        <v>51</v>
      </c>
      <c r="F6" s="6" t="s">
        <v>137</v>
      </c>
      <c r="G6" s="7" t="s">
        <v>354</v>
      </c>
      <c r="H6" s="7" t="s">
        <v>120</v>
      </c>
      <c r="I6" s="8" t="s">
        <v>93</v>
      </c>
      <c r="J6" s="8"/>
      <c r="K6" s="7" t="s">
        <v>91</v>
      </c>
      <c r="L6" s="7" t="s">
        <v>94</v>
      </c>
      <c r="M6" s="7" t="s">
        <v>57</v>
      </c>
      <c r="N6" s="8"/>
      <c r="O6" s="11" t="str">
        <f>"165,0"</f>
        <v>165,0</v>
      </c>
      <c r="P6" s="12" t="str">
        <f>"163,5398"</f>
        <v>163,5398</v>
      </c>
      <c r="Q6" s="6" t="s">
        <v>28</v>
      </c>
    </row>
    <row r="8" spans="1:17" ht="15" x14ac:dyDescent="0.2">
      <c r="A8" s="56" t="s">
        <v>95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spans="1:17" x14ac:dyDescent="0.2">
      <c r="A9" s="6" t="s">
        <v>464</v>
      </c>
      <c r="B9" s="6" t="s">
        <v>465</v>
      </c>
      <c r="C9" s="6" t="s">
        <v>466</v>
      </c>
      <c r="D9" s="6" t="str">
        <f>"0,9426"</f>
        <v>0,9426</v>
      </c>
      <c r="E9" s="6" t="s">
        <v>20</v>
      </c>
      <c r="F9" s="6" t="s">
        <v>21</v>
      </c>
      <c r="G9" s="7" t="s">
        <v>120</v>
      </c>
      <c r="H9" s="7" t="s">
        <v>103</v>
      </c>
      <c r="I9" s="7" t="s">
        <v>104</v>
      </c>
      <c r="J9" s="8"/>
      <c r="K9" s="7" t="s">
        <v>55</v>
      </c>
      <c r="L9" s="7" t="s">
        <v>57</v>
      </c>
      <c r="M9" s="7" t="s">
        <v>105</v>
      </c>
      <c r="N9" s="7" t="s">
        <v>106</v>
      </c>
      <c r="O9" s="11" t="str">
        <f>"180,0"</f>
        <v>180,0</v>
      </c>
      <c r="P9" s="12" t="str">
        <f>"325,7626"</f>
        <v>325,7626</v>
      </c>
      <c r="Q9" s="6" t="s">
        <v>28</v>
      </c>
    </row>
    <row r="11" spans="1:17" ht="15" x14ac:dyDescent="0.2">
      <c r="A11" s="56" t="s">
        <v>66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</row>
    <row r="12" spans="1:17" x14ac:dyDescent="0.2">
      <c r="A12" s="6" t="s">
        <v>967</v>
      </c>
      <c r="B12" s="6" t="s">
        <v>830</v>
      </c>
      <c r="C12" s="6" t="s">
        <v>773</v>
      </c>
      <c r="D12" s="6" t="str">
        <f>"0,7872"</f>
        <v>0,7872</v>
      </c>
      <c r="E12" s="6" t="s">
        <v>389</v>
      </c>
      <c r="F12" s="6" t="s">
        <v>137</v>
      </c>
      <c r="G12" s="7" t="s">
        <v>354</v>
      </c>
      <c r="H12" s="7" t="s">
        <v>120</v>
      </c>
      <c r="I12" s="8" t="s">
        <v>103</v>
      </c>
      <c r="J12" s="8"/>
      <c r="K12" s="7" t="s">
        <v>106</v>
      </c>
      <c r="L12" s="7" t="s">
        <v>121</v>
      </c>
      <c r="M12" s="7" t="s">
        <v>79</v>
      </c>
      <c r="N12" s="8"/>
      <c r="O12" s="11" t="str">
        <f>"192,5"</f>
        <v>192,5</v>
      </c>
      <c r="P12" s="12" t="str">
        <f>"151,5360"</f>
        <v>151,5360</v>
      </c>
      <c r="Q12" s="6" t="s">
        <v>28</v>
      </c>
    </row>
    <row r="14" spans="1:17" ht="15" x14ac:dyDescent="0.2">
      <c r="A14" s="56" t="s">
        <v>150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</row>
    <row r="15" spans="1:17" x14ac:dyDescent="0.2">
      <c r="A15" s="6" t="s">
        <v>152</v>
      </c>
      <c r="B15" s="6" t="s">
        <v>153</v>
      </c>
      <c r="C15" s="6" t="s">
        <v>154</v>
      </c>
      <c r="D15" s="6" t="str">
        <f>"0,9849"</f>
        <v>0,9849</v>
      </c>
      <c r="E15" s="6" t="s">
        <v>51</v>
      </c>
      <c r="F15" s="6" t="s">
        <v>155</v>
      </c>
      <c r="G15" s="7" t="s">
        <v>104</v>
      </c>
      <c r="H15" s="7" t="s">
        <v>149</v>
      </c>
      <c r="I15" s="7" t="s">
        <v>74</v>
      </c>
      <c r="J15" s="8"/>
      <c r="K15" s="7" t="s">
        <v>164</v>
      </c>
      <c r="L15" s="7" t="s">
        <v>106</v>
      </c>
      <c r="M15" s="7" t="s">
        <v>141</v>
      </c>
      <c r="N15" s="7" t="s">
        <v>968</v>
      </c>
      <c r="O15" s="11" t="str">
        <f>"195.00o"</f>
        <v>195.00o</v>
      </c>
      <c r="P15" s="12" t="str">
        <f>"368,7466"</f>
        <v>368,7466</v>
      </c>
      <c r="Q15" s="6" t="s">
        <v>28</v>
      </c>
    </row>
    <row r="17" spans="1:17" ht="15" x14ac:dyDescent="0.2">
      <c r="A17" s="56" t="s">
        <v>143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</row>
    <row r="18" spans="1:17" x14ac:dyDescent="0.2">
      <c r="A18" s="6" t="s">
        <v>970</v>
      </c>
      <c r="B18" s="6" t="s">
        <v>971</v>
      </c>
      <c r="C18" s="6" t="s">
        <v>972</v>
      </c>
      <c r="D18" s="6" t="str">
        <f>"0,5950"</f>
        <v>0,5950</v>
      </c>
      <c r="E18" s="6" t="s">
        <v>479</v>
      </c>
      <c r="F18" s="6" t="s">
        <v>312</v>
      </c>
      <c r="G18" s="7" t="s">
        <v>57</v>
      </c>
      <c r="H18" s="7" t="s">
        <v>808</v>
      </c>
      <c r="I18" s="8" t="s">
        <v>105</v>
      </c>
      <c r="J18" s="8"/>
      <c r="K18" s="7" t="s">
        <v>132</v>
      </c>
      <c r="L18" s="7" t="s">
        <v>200</v>
      </c>
      <c r="M18" s="7" t="s">
        <v>24</v>
      </c>
      <c r="N18" s="8"/>
      <c r="O18" s="11" t="str">
        <f>"292,5"</f>
        <v>292,5</v>
      </c>
      <c r="P18" s="12" t="str">
        <f>"205,3470"</f>
        <v>205,3470</v>
      </c>
      <c r="Q18" s="6" t="s">
        <v>28</v>
      </c>
    </row>
    <row r="20" spans="1:17" ht="15" x14ac:dyDescent="0.2">
      <c r="E20" s="9" t="s">
        <v>29</v>
      </c>
    </row>
    <row r="21" spans="1:17" ht="15" x14ac:dyDescent="0.2">
      <c r="E21" s="9" t="s">
        <v>30</v>
      </c>
    </row>
    <row r="22" spans="1:17" ht="15" x14ac:dyDescent="0.2">
      <c r="E22" s="9" t="s">
        <v>31</v>
      </c>
    </row>
    <row r="23" spans="1:17" ht="15" x14ac:dyDescent="0.2">
      <c r="E23" s="9" t="s">
        <v>32</v>
      </c>
    </row>
    <row r="24" spans="1:17" ht="15" x14ac:dyDescent="0.2">
      <c r="E24" s="9" t="s">
        <v>32</v>
      </c>
    </row>
    <row r="25" spans="1:17" ht="15" x14ac:dyDescent="0.2">
      <c r="E25" s="9" t="s">
        <v>33</v>
      </c>
    </row>
    <row r="26" spans="1:17" ht="15" x14ac:dyDescent="0.2">
      <c r="E26" s="9"/>
    </row>
    <row r="28" spans="1:17" ht="18" x14ac:dyDescent="0.25">
      <c r="A28" s="13" t="s">
        <v>34</v>
      </c>
      <c r="B28" s="13"/>
    </row>
    <row r="29" spans="1:17" ht="15" x14ac:dyDescent="0.2">
      <c r="A29" s="14" t="s">
        <v>80</v>
      </c>
      <c r="B29" s="14"/>
    </row>
    <row r="30" spans="1:17" ht="14.25" x14ac:dyDescent="0.2">
      <c r="A30" s="16"/>
      <c r="B30" s="17" t="s">
        <v>81</v>
      </c>
    </row>
    <row r="31" spans="1:17" ht="15" x14ac:dyDescent="0.2">
      <c r="A31" s="18" t="s">
        <v>37</v>
      </c>
      <c r="B31" s="18" t="s">
        <v>38</v>
      </c>
      <c r="C31" s="18" t="s">
        <v>39</v>
      </c>
      <c r="D31" s="18" t="s">
        <v>40</v>
      </c>
      <c r="E31" s="18" t="s">
        <v>41</v>
      </c>
    </row>
    <row r="32" spans="1:17" x14ac:dyDescent="0.2">
      <c r="A32" s="15" t="s">
        <v>459</v>
      </c>
      <c r="B32" s="4" t="s">
        <v>81</v>
      </c>
      <c r="C32" s="4" t="s">
        <v>282</v>
      </c>
      <c r="D32" s="4" t="s">
        <v>240</v>
      </c>
      <c r="E32" s="10" t="s">
        <v>973</v>
      </c>
    </row>
    <row r="33" spans="1:5" x14ac:dyDescent="0.2">
      <c r="A33" s="15" t="s">
        <v>828</v>
      </c>
      <c r="B33" s="4" t="s">
        <v>81</v>
      </c>
      <c r="C33" s="4" t="s">
        <v>82</v>
      </c>
      <c r="D33" s="4" t="s">
        <v>848</v>
      </c>
      <c r="E33" s="10" t="s">
        <v>974</v>
      </c>
    </row>
    <row r="35" spans="1:5" ht="14.25" x14ac:dyDescent="0.2">
      <c r="A35" s="16"/>
      <c r="B35" s="17" t="s">
        <v>61</v>
      </c>
    </row>
    <row r="36" spans="1:5" ht="15" x14ac:dyDescent="0.2">
      <c r="A36" s="18" t="s">
        <v>37</v>
      </c>
      <c r="B36" s="18" t="s">
        <v>38</v>
      </c>
      <c r="C36" s="18" t="s">
        <v>39</v>
      </c>
      <c r="D36" s="18" t="s">
        <v>40</v>
      </c>
      <c r="E36" s="18" t="s">
        <v>41</v>
      </c>
    </row>
    <row r="37" spans="1:5" x14ac:dyDescent="0.2">
      <c r="A37" s="15" t="s">
        <v>463</v>
      </c>
      <c r="B37" s="4" t="s">
        <v>281</v>
      </c>
      <c r="C37" s="4" t="s">
        <v>252</v>
      </c>
      <c r="D37" s="4" t="s">
        <v>24</v>
      </c>
      <c r="E37" s="10" t="s">
        <v>975</v>
      </c>
    </row>
    <row r="40" spans="1:5" ht="15" x14ac:dyDescent="0.2">
      <c r="A40" s="14" t="s">
        <v>35</v>
      </c>
      <c r="B40" s="14"/>
    </row>
    <row r="41" spans="1:5" ht="14.25" x14ac:dyDescent="0.2">
      <c r="A41" s="16"/>
      <c r="B41" s="17" t="s">
        <v>614</v>
      </c>
    </row>
    <row r="42" spans="1:5" ht="15" x14ac:dyDescent="0.2">
      <c r="A42" s="18" t="s">
        <v>37</v>
      </c>
      <c r="B42" s="18" t="s">
        <v>38</v>
      </c>
      <c r="C42" s="18" t="s">
        <v>39</v>
      </c>
      <c r="D42" s="18" t="s">
        <v>40</v>
      </c>
      <c r="E42" s="18" t="s">
        <v>41</v>
      </c>
    </row>
    <row r="43" spans="1:5" x14ac:dyDescent="0.2">
      <c r="A43" s="15" t="s">
        <v>969</v>
      </c>
      <c r="B43" s="4" t="s">
        <v>619</v>
      </c>
      <c r="C43" s="4" t="s">
        <v>256</v>
      </c>
      <c r="D43" s="4" t="s">
        <v>976</v>
      </c>
      <c r="E43" s="10" t="s">
        <v>977</v>
      </c>
    </row>
    <row r="45" spans="1:5" ht="14.25" x14ac:dyDescent="0.2">
      <c r="A45" s="16"/>
      <c r="B45" s="17" t="s">
        <v>61</v>
      </c>
    </row>
    <row r="46" spans="1:5" ht="15" x14ac:dyDescent="0.2">
      <c r="A46" s="18" t="s">
        <v>37</v>
      </c>
      <c r="B46" s="18" t="s">
        <v>38</v>
      </c>
      <c r="C46" s="18" t="s">
        <v>39</v>
      </c>
      <c r="D46" s="18" t="s">
        <v>40</v>
      </c>
      <c r="E46" s="18" t="s">
        <v>41</v>
      </c>
    </row>
    <row r="47" spans="1:5" x14ac:dyDescent="0.2">
      <c r="A47" s="15" t="s">
        <v>151</v>
      </c>
      <c r="B47" s="4" t="s">
        <v>281</v>
      </c>
      <c r="C47" s="4" t="s">
        <v>282</v>
      </c>
      <c r="D47" s="4" t="s">
        <v>185</v>
      </c>
      <c r="E47" s="10" t="s">
        <v>978</v>
      </c>
    </row>
  </sheetData>
  <mergeCells count="17">
    <mergeCell ref="A8:N8"/>
    <mergeCell ref="A11:N11"/>
    <mergeCell ref="A14:N14"/>
    <mergeCell ref="A17:N17"/>
    <mergeCell ref="O3:O4"/>
    <mergeCell ref="P3:P4"/>
    <mergeCell ref="Q3:Q4"/>
    <mergeCell ref="A5:N5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A3" sqref="A3:A4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0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35" t="s">
        <v>1336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 x14ac:dyDescent="0.2">
      <c r="A3" s="41" t="s">
        <v>0</v>
      </c>
      <c r="B3" s="43" t="s">
        <v>6</v>
      </c>
      <c r="C3" s="43" t="s">
        <v>10</v>
      </c>
      <c r="D3" s="45" t="s">
        <v>11</v>
      </c>
      <c r="E3" s="45" t="s">
        <v>4</v>
      </c>
      <c r="F3" s="45" t="s">
        <v>7</v>
      </c>
      <c r="G3" s="45" t="s">
        <v>12</v>
      </c>
      <c r="H3" s="45"/>
      <c r="I3" s="45"/>
      <c r="J3" s="45"/>
      <c r="K3" s="45" t="s">
        <v>408</v>
      </c>
      <c r="L3" s="45" t="s">
        <v>3</v>
      </c>
      <c r="M3" s="46" t="s">
        <v>2</v>
      </c>
    </row>
    <row r="4" spans="1:13" s="1" customFormat="1" ht="21" customHeight="1" thickBot="1" x14ac:dyDescent="0.25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44"/>
      <c r="L4" s="44"/>
      <c r="M4" s="47"/>
    </row>
    <row r="5" spans="1:13" ht="15" x14ac:dyDescent="0.2">
      <c r="A5" s="48" t="s">
        <v>170</v>
      </c>
      <c r="B5" s="49"/>
      <c r="C5" s="49"/>
      <c r="D5" s="49"/>
      <c r="E5" s="49"/>
      <c r="F5" s="49"/>
      <c r="G5" s="49"/>
      <c r="H5" s="49"/>
      <c r="I5" s="49"/>
      <c r="J5" s="49"/>
    </row>
    <row r="6" spans="1:13" x14ac:dyDescent="0.2">
      <c r="A6" s="6" t="s">
        <v>296</v>
      </c>
      <c r="B6" s="6" t="s">
        <v>297</v>
      </c>
      <c r="C6" s="6" t="s">
        <v>298</v>
      </c>
      <c r="D6" s="6" t="str">
        <f>"0,6939"</f>
        <v>0,6939</v>
      </c>
      <c r="E6" s="6" t="s">
        <v>51</v>
      </c>
      <c r="F6" s="6" t="s">
        <v>169</v>
      </c>
      <c r="G6" s="7" t="s">
        <v>57</v>
      </c>
      <c r="H6" s="8" t="s">
        <v>106</v>
      </c>
      <c r="I6" s="8" t="s">
        <v>299</v>
      </c>
      <c r="J6" s="8"/>
      <c r="K6" s="11" t="str">
        <f>"110,0"</f>
        <v>110,0</v>
      </c>
      <c r="L6" s="12" t="str">
        <f>"158,9829"</f>
        <v>158,9829</v>
      </c>
      <c r="M6" s="6" t="s">
        <v>28</v>
      </c>
    </row>
    <row r="8" spans="1:13" ht="15" x14ac:dyDescent="0.2">
      <c r="E8" s="9" t="s">
        <v>29</v>
      </c>
    </row>
    <row r="9" spans="1:13" ht="15" x14ac:dyDescent="0.2">
      <c r="E9" s="9" t="s">
        <v>30</v>
      </c>
    </row>
    <row r="10" spans="1:13" ht="15" x14ac:dyDescent="0.2">
      <c r="E10" s="9" t="s">
        <v>31</v>
      </c>
    </row>
    <row r="11" spans="1:13" ht="15" x14ac:dyDescent="0.2">
      <c r="E11" s="9" t="s">
        <v>32</v>
      </c>
    </row>
    <row r="12" spans="1:13" ht="15" x14ac:dyDescent="0.2">
      <c r="E12" s="9" t="s">
        <v>32</v>
      </c>
    </row>
    <row r="13" spans="1:13" ht="15" x14ac:dyDescent="0.2">
      <c r="E13" s="9" t="s">
        <v>33</v>
      </c>
    </row>
    <row r="14" spans="1:13" ht="15" x14ac:dyDescent="0.2">
      <c r="E14" s="9"/>
    </row>
    <row r="16" spans="1:13" ht="18" x14ac:dyDescent="0.25">
      <c r="A16" s="13" t="s">
        <v>34</v>
      </c>
      <c r="B16" s="13"/>
    </row>
    <row r="17" spans="1:5" ht="15" x14ac:dyDescent="0.2">
      <c r="A17" s="14" t="s">
        <v>35</v>
      </c>
      <c r="B17" s="14"/>
    </row>
    <row r="18" spans="1:5" ht="14.25" x14ac:dyDescent="0.2">
      <c r="A18" s="16"/>
      <c r="B18" s="17" t="s">
        <v>61</v>
      </c>
    </row>
    <row r="19" spans="1:5" ht="15" x14ac:dyDescent="0.2">
      <c r="A19" s="18" t="s">
        <v>37</v>
      </c>
      <c r="B19" s="18" t="s">
        <v>38</v>
      </c>
      <c r="C19" s="18" t="s">
        <v>39</v>
      </c>
      <c r="D19" s="18" t="s">
        <v>393</v>
      </c>
      <c r="E19" s="18" t="s">
        <v>41</v>
      </c>
    </row>
    <row r="20" spans="1:5" x14ac:dyDescent="0.2">
      <c r="A20" s="15" t="s">
        <v>295</v>
      </c>
      <c r="B20" s="4" t="s">
        <v>339</v>
      </c>
      <c r="C20" s="4" t="s">
        <v>263</v>
      </c>
      <c r="D20" s="4" t="s">
        <v>57</v>
      </c>
      <c r="E20" s="10" t="s">
        <v>966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opLeftCell="A3" workbookViewId="0">
      <selection activeCell="A9" sqref="A9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9.28515625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35" t="s">
        <v>1337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 x14ac:dyDescent="0.2">
      <c r="A3" s="41" t="s">
        <v>0</v>
      </c>
      <c r="B3" s="43" t="s">
        <v>6</v>
      </c>
      <c r="C3" s="43" t="s">
        <v>10</v>
      </c>
      <c r="D3" s="45" t="s">
        <v>11</v>
      </c>
      <c r="E3" s="45" t="s">
        <v>4</v>
      </c>
      <c r="F3" s="45" t="s">
        <v>7</v>
      </c>
      <c r="G3" s="45" t="s">
        <v>12</v>
      </c>
      <c r="H3" s="45"/>
      <c r="I3" s="45"/>
      <c r="J3" s="45"/>
      <c r="K3" s="45" t="s">
        <v>408</v>
      </c>
      <c r="L3" s="45" t="s">
        <v>3</v>
      </c>
      <c r="M3" s="46" t="s">
        <v>2</v>
      </c>
    </row>
    <row r="4" spans="1:13" s="1" customFormat="1" ht="21" customHeight="1" thickBot="1" x14ac:dyDescent="0.25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44"/>
      <c r="L4" s="44"/>
      <c r="M4" s="47"/>
    </row>
    <row r="5" spans="1:13" ht="15" x14ac:dyDescent="0.2">
      <c r="A5" s="48" t="s">
        <v>95</v>
      </c>
      <c r="B5" s="49"/>
      <c r="C5" s="49"/>
      <c r="D5" s="49"/>
      <c r="E5" s="49"/>
      <c r="F5" s="49"/>
      <c r="G5" s="49"/>
      <c r="H5" s="49"/>
      <c r="I5" s="49"/>
      <c r="J5" s="49"/>
    </row>
    <row r="6" spans="1:13" x14ac:dyDescent="0.2">
      <c r="A6" s="6" t="s">
        <v>471</v>
      </c>
      <c r="B6" s="6" t="s">
        <v>472</v>
      </c>
      <c r="C6" s="6" t="s">
        <v>473</v>
      </c>
      <c r="D6" s="6" t="str">
        <f>"0,8835"</f>
        <v>0,8835</v>
      </c>
      <c r="E6" s="6" t="s">
        <v>318</v>
      </c>
      <c r="F6" s="6" t="s">
        <v>319</v>
      </c>
      <c r="G6" s="7" t="s">
        <v>530</v>
      </c>
      <c r="H6" s="7" t="s">
        <v>354</v>
      </c>
      <c r="I6" s="7" t="s">
        <v>103</v>
      </c>
      <c r="J6" s="8"/>
      <c r="K6" s="11" t="str">
        <f>"60,0"</f>
        <v>60,0</v>
      </c>
      <c r="L6" s="12" t="str">
        <f>"65,2023"</f>
        <v>65,2023</v>
      </c>
      <c r="M6" s="6" t="s">
        <v>28</v>
      </c>
    </row>
    <row r="8" spans="1:13" ht="15" x14ac:dyDescent="0.2">
      <c r="A8" s="56" t="s">
        <v>46</v>
      </c>
      <c r="B8" s="56"/>
      <c r="C8" s="56"/>
      <c r="D8" s="56"/>
      <c r="E8" s="56"/>
      <c r="F8" s="56"/>
      <c r="G8" s="56"/>
      <c r="H8" s="56"/>
      <c r="I8" s="56"/>
      <c r="J8" s="56"/>
    </row>
    <row r="9" spans="1:13" x14ac:dyDescent="0.2">
      <c r="A9" s="6" t="s">
        <v>230</v>
      </c>
      <c r="B9" s="6" t="s">
        <v>231</v>
      </c>
      <c r="C9" s="6" t="s">
        <v>232</v>
      </c>
      <c r="D9" s="6" t="str">
        <f>"0,5541"</f>
        <v>0,5541</v>
      </c>
      <c r="E9" s="6" t="s">
        <v>51</v>
      </c>
      <c r="F9" s="6" t="s">
        <v>233</v>
      </c>
      <c r="G9" s="7" t="s">
        <v>200</v>
      </c>
      <c r="H9" s="7" t="s">
        <v>24</v>
      </c>
      <c r="I9" s="8" t="s">
        <v>201</v>
      </c>
      <c r="J9" s="8"/>
      <c r="K9" s="11" t="str">
        <f>"180,0"</f>
        <v>180,0</v>
      </c>
      <c r="L9" s="12" t="str">
        <f>"111,4174"</f>
        <v>111,4174</v>
      </c>
      <c r="M9" s="6" t="s">
        <v>28</v>
      </c>
    </row>
    <row r="11" spans="1:13" ht="15" x14ac:dyDescent="0.2">
      <c r="E11" s="9" t="s">
        <v>29</v>
      </c>
    </row>
    <row r="12" spans="1:13" ht="15" x14ac:dyDescent="0.2">
      <c r="E12" s="9" t="s">
        <v>30</v>
      </c>
    </row>
    <row r="13" spans="1:13" ht="15" x14ac:dyDescent="0.2">
      <c r="E13" s="9" t="s">
        <v>31</v>
      </c>
    </row>
    <row r="14" spans="1:13" ht="15" x14ac:dyDescent="0.2">
      <c r="E14" s="9" t="s">
        <v>32</v>
      </c>
    </row>
    <row r="15" spans="1:13" ht="15" x14ac:dyDescent="0.2">
      <c r="E15" s="9" t="s">
        <v>32</v>
      </c>
    </row>
    <row r="16" spans="1:13" ht="15" x14ac:dyDescent="0.2">
      <c r="E16" s="9" t="s">
        <v>33</v>
      </c>
    </row>
    <row r="17" spans="1:5" ht="15" x14ac:dyDescent="0.2">
      <c r="E17" s="9"/>
    </row>
    <row r="19" spans="1:5" ht="18" x14ac:dyDescent="0.25">
      <c r="A19" s="13" t="s">
        <v>34</v>
      </c>
      <c r="B19" s="13"/>
    </row>
    <row r="20" spans="1:5" ht="15" x14ac:dyDescent="0.2">
      <c r="A20" s="14" t="s">
        <v>35</v>
      </c>
      <c r="B20" s="14"/>
    </row>
    <row r="21" spans="1:5" ht="14.25" x14ac:dyDescent="0.2">
      <c r="A21" s="16"/>
      <c r="B21" s="17" t="s">
        <v>614</v>
      </c>
    </row>
    <row r="22" spans="1:5" ht="15" x14ac:dyDescent="0.2">
      <c r="A22" s="18" t="s">
        <v>37</v>
      </c>
      <c r="B22" s="18" t="s">
        <v>38</v>
      </c>
      <c r="C22" s="18" t="s">
        <v>39</v>
      </c>
      <c r="D22" s="18" t="s">
        <v>393</v>
      </c>
      <c r="E22" s="18" t="s">
        <v>41</v>
      </c>
    </row>
    <row r="23" spans="1:5" x14ac:dyDescent="0.2">
      <c r="A23" s="15" t="s">
        <v>470</v>
      </c>
      <c r="B23" s="4" t="s">
        <v>617</v>
      </c>
      <c r="C23" s="4" t="s">
        <v>252</v>
      </c>
      <c r="D23" s="4" t="s">
        <v>103</v>
      </c>
      <c r="E23" s="10" t="s">
        <v>964</v>
      </c>
    </row>
    <row r="25" spans="1:5" ht="14.25" x14ac:dyDescent="0.2">
      <c r="A25" s="16"/>
      <c r="B25" s="17" t="s">
        <v>61</v>
      </c>
    </row>
    <row r="26" spans="1:5" ht="15" x14ac:dyDescent="0.2">
      <c r="A26" s="18" t="s">
        <v>37</v>
      </c>
      <c r="B26" s="18" t="s">
        <v>38</v>
      </c>
      <c r="C26" s="18" t="s">
        <v>39</v>
      </c>
      <c r="D26" s="18" t="s">
        <v>393</v>
      </c>
      <c r="E26" s="18" t="s">
        <v>41</v>
      </c>
    </row>
    <row r="27" spans="1:5" x14ac:dyDescent="0.2">
      <c r="A27" s="15" t="s">
        <v>229</v>
      </c>
      <c r="B27" s="4" t="s">
        <v>285</v>
      </c>
      <c r="C27" s="4" t="s">
        <v>63</v>
      </c>
      <c r="D27" s="4" t="s">
        <v>24</v>
      </c>
      <c r="E27" s="10" t="s">
        <v>965</v>
      </c>
    </row>
  </sheetData>
  <mergeCells count="13">
    <mergeCell ref="A8:J8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A3" sqref="A3:A4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7.85546875" style="4" bestFit="1" customWidth="1"/>
    <col min="7" max="8" width="5.5703125" style="3" customWidth="1"/>
    <col min="9" max="9" width="6.57031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29.42578125" style="4" bestFit="1" customWidth="1"/>
    <col min="14" max="16384" width="9.140625" style="3"/>
  </cols>
  <sheetData>
    <row r="1" spans="1:13" s="2" customFormat="1" ht="29.1" customHeight="1" x14ac:dyDescent="0.2">
      <c r="A1" s="35" t="s">
        <v>1338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 x14ac:dyDescent="0.2">
      <c r="A3" s="41" t="s">
        <v>0</v>
      </c>
      <c r="B3" s="43" t="s">
        <v>6</v>
      </c>
      <c r="C3" s="43" t="s">
        <v>10</v>
      </c>
      <c r="D3" s="45" t="s">
        <v>11</v>
      </c>
      <c r="E3" s="45" t="s">
        <v>4</v>
      </c>
      <c r="F3" s="45" t="s">
        <v>7</v>
      </c>
      <c r="G3" s="45" t="s">
        <v>12</v>
      </c>
      <c r="H3" s="45"/>
      <c r="I3" s="45"/>
      <c r="J3" s="45"/>
      <c r="K3" s="45" t="s">
        <v>408</v>
      </c>
      <c r="L3" s="45" t="s">
        <v>3</v>
      </c>
      <c r="M3" s="46" t="s">
        <v>2</v>
      </c>
    </row>
    <row r="4" spans="1:13" s="1" customFormat="1" ht="21" customHeight="1" thickBot="1" x14ac:dyDescent="0.25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44"/>
      <c r="L4" s="44"/>
      <c r="M4" s="47"/>
    </row>
    <row r="5" spans="1:13" ht="15" x14ac:dyDescent="0.2">
      <c r="A5" s="48" t="s">
        <v>46</v>
      </c>
      <c r="B5" s="49"/>
      <c r="C5" s="49"/>
      <c r="D5" s="49"/>
      <c r="E5" s="49"/>
      <c r="F5" s="49"/>
      <c r="G5" s="49"/>
      <c r="H5" s="49"/>
      <c r="I5" s="49"/>
      <c r="J5" s="49"/>
    </row>
    <row r="6" spans="1:13" x14ac:dyDescent="0.2">
      <c r="A6" s="6" t="s">
        <v>48</v>
      </c>
      <c r="B6" s="6" t="s">
        <v>49</v>
      </c>
      <c r="C6" s="6" t="s">
        <v>50</v>
      </c>
      <c r="D6" s="6" t="str">
        <f>"0,5830"</f>
        <v>0,5830</v>
      </c>
      <c r="E6" s="6" t="s">
        <v>51</v>
      </c>
      <c r="F6" s="6" t="s">
        <v>52</v>
      </c>
      <c r="G6" s="8" t="s">
        <v>53</v>
      </c>
      <c r="H6" s="8" t="s">
        <v>53</v>
      </c>
      <c r="I6" s="7" t="s">
        <v>54</v>
      </c>
      <c r="J6" s="8"/>
      <c r="K6" s="11" t="str">
        <f>"220,0"</f>
        <v>220,0</v>
      </c>
      <c r="L6" s="12" t="str">
        <f>"266,2678"</f>
        <v>266,2678</v>
      </c>
      <c r="M6" s="6" t="s">
        <v>60</v>
      </c>
    </row>
    <row r="8" spans="1:13" ht="15" x14ac:dyDescent="0.2">
      <c r="E8" s="9" t="s">
        <v>29</v>
      </c>
    </row>
    <row r="9" spans="1:13" ht="15" x14ac:dyDescent="0.2">
      <c r="E9" s="9" t="s">
        <v>30</v>
      </c>
    </row>
    <row r="10" spans="1:13" ht="15" x14ac:dyDescent="0.2">
      <c r="E10" s="9" t="s">
        <v>31</v>
      </c>
    </row>
    <row r="11" spans="1:13" ht="15" x14ac:dyDescent="0.2">
      <c r="E11" s="9" t="s">
        <v>32</v>
      </c>
    </row>
    <row r="12" spans="1:13" ht="15" x14ac:dyDescent="0.2">
      <c r="E12" s="9" t="s">
        <v>32</v>
      </c>
    </row>
    <row r="13" spans="1:13" ht="15" x14ac:dyDescent="0.2">
      <c r="E13" s="9" t="s">
        <v>33</v>
      </c>
    </row>
    <row r="14" spans="1:13" ht="15" x14ac:dyDescent="0.2">
      <c r="E14" s="9"/>
    </row>
    <row r="16" spans="1:13" ht="18" x14ac:dyDescent="0.25">
      <c r="A16" s="13" t="s">
        <v>34</v>
      </c>
      <c r="B16" s="13"/>
    </row>
    <row r="17" spans="1:5" ht="15" x14ac:dyDescent="0.2">
      <c r="A17" s="14" t="s">
        <v>35</v>
      </c>
      <c r="B17" s="14"/>
    </row>
    <row r="18" spans="1:5" ht="14.25" x14ac:dyDescent="0.2">
      <c r="A18" s="16"/>
      <c r="B18" s="17" t="s">
        <v>61</v>
      </c>
    </row>
    <row r="19" spans="1:5" ht="15" x14ac:dyDescent="0.2">
      <c r="A19" s="18" t="s">
        <v>37</v>
      </c>
      <c r="B19" s="18" t="s">
        <v>38</v>
      </c>
      <c r="C19" s="18" t="s">
        <v>39</v>
      </c>
      <c r="D19" s="18" t="s">
        <v>393</v>
      </c>
      <c r="E19" s="18" t="s">
        <v>41</v>
      </c>
    </row>
    <row r="20" spans="1:5" x14ac:dyDescent="0.2">
      <c r="A20" s="15" t="s">
        <v>47</v>
      </c>
      <c r="B20" s="4" t="s">
        <v>62</v>
      </c>
      <c r="C20" s="4" t="s">
        <v>63</v>
      </c>
      <c r="D20" s="4" t="s">
        <v>53</v>
      </c>
      <c r="E20" s="10" t="s">
        <v>963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A3" sqref="A3:A4"/>
    </sheetView>
  </sheetViews>
  <sheetFormatPr defaultRowHeight="12.75" x14ac:dyDescent="0.2"/>
  <cols>
    <col min="1" max="1" width="26" style="4" bestFit="1" customWidth="1"/>
    <col min="2" max="2" width="28.42578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1.85546875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35" t="s">
        <v>1339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 x14ac:dyDescent="0.2">
      <c r="A3" s="41" t="s">
        <v>0</v>
      </c>
      <c r="B3" s="43" t="s">
        <v>6</v>
      </c>
      <c r="C3" s="43" t="s">
        <v>10</v>
      </c>
      <c r="D3" s="45" t="s">
        <v>11</v>
      </c>
      <c r="E3" s="45" t="s">
        <v>4</v>
      </c>
      <c r="F3" s="45" t="s">
        <v>7</v>
      </c>
      <c r="G3" s="45" t="s">
        <v>12</v>
      </c>
      <c r="H3" s="45"/>
      <c r="I3" s="45"/>
      <c r="J3" s="45"/>
      <c r="K3" s="45" t="s">
        <v>408</v>
      </c>
      <c r="L3" s="45" t="s">
        <v>3</v>
      </c>
      <c r="M3" s="46" t="s">
        <v>2</v>
      </c>
    </row>
    <row r="4" spans="1:13" s="1" customFormat="1" ht="21" customHeight="1" thickBot="1" x14ac:dyDescent="0.25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44"/>
      <c r="L4" s="44"/>
      <c r="M4" s="47"/>
    </row>
    <row r="5" spans="1:13" ht="15" x14ac:dyDescent="0.2">
      <c r="A5" s="48" t="s">
        <v>15</v>
      </c>
      <c r="B5" s="49"/>
      <c r="C5" s="49"/>
      <c r="D5" s="49"/>
      <c r="E5" s="49"/>
      <c r="F5" s="49"/>
      <c r="G5" s="49"/>
      <c r="H5" s="49"/>
      <c r="I5" s="49"/>
      <c r="J5" s="49"/>
    </row>
    <row r="6" spans="1:13" x14ac:dyDescent="0.2">
      <c r="A6" s="6" t="s">
        <v>17</v>
      </c>
      <c r="B6" s="6" t="s">
        <v>18</v>
      </c>
      <c r="C6" s="6" t="s">
        <v>19</v>
      </c>
      <c r="D6" s="6" t="str">
        <f>"0,5395"</f>
        <v>0,5395</v>
      </c>
      <c r="E6" s="6" t="s">
        <v>20</v>
      </c>
      <c r="F6" s="6" t="s">
        <v>21</v>
      </c>
      <c r="G6" s="7" t="s">
        <v>22</v>
      </c>
      <c r="H6" s="8" t="s">
        <v>23</v>
      </c>
      <c r="I6" s="8" t="s">
        <v>23</v>
      </c>
      <c r="J6" s="8"/>
      <c r="K6" s="11" t="str">
        <f>"280,0"</f>
        <v>280,0</v>
      </c>
      <c r="L6" s="12" t="str">
        <f>"151,0600"</f>
        <v>151,0600</v>
      </c>
      <c r="M6" s="6" t="s">
        <v>28</v>
      </c>
    </row>
    <row r="8" spans="1:13" ht="15" x14ac:dyDescent="0.2">
      <c r="E8" s="9" t="s">
        <v>29</v>
      </c>
    </row>
    <row r="9" spans="1:13" ht="15" x14ac:dyDescent="0.2">
      <c r="E9" s="9" t="s">
        <v>30</v>
      </c>
    </row>
    <row r="10" spans="1:13" ht="15" x14ac:dyDescent="0.2">
      <c r="E10" s="9" t="s">
        <v>31</v>
      </c>
    </row>
    <row r="11" spans="1:13" ht="15" x14ac:dyDescent="0.2">
      <c r="E11" s="9" t="s">
        <v>32</v>
      </c>
    </row>
    <row r="12" spans="1:13" ht="15" x14ac:dyDescent="0.2">
      <c r="E12" s="9" t="s">
        <v>32</v>
      </c>
    </row>
    <row r="13" spans="1:13" ht="15" x14ac:dyDescent="0.2">
      <c r="E13" s="9" t="s">
        <v>33</v>
      </c>
    </row>
    <row r="14" spans="1:13" ht="15" x14ac:dyDescent="0.2">
      <c r="E14" s="9"/>
    </row>
    <row r="16" spans="1:13" ht="18" x14ac:dyDescent="0.25">
      <c r="A16" s="13" t="s">
        <v>34</v>
      </c>
      <c r="B16" s="13"/>
    </row>
    <row r="17" spans="1:5" ht="15" x14ac:dyDescent="0.2">
      <c r="A17" s="14" t="s">
        <v>35</v>
      </c>
      <c r="B17" s="14"/>
    </row>
    <row r="18" spans="1:5" ht="14.25" x14ac:dyDescent="0.2">
      <c r="A18" s="16"/>
      <c r="B18" s="17" t="s">
        <v>36</v>
      </c>
    </row>
    <row r="19" spans="1:5" ht="15" x14ac:dyDescent="0.2">
      <c r="A19" s="18" t="s">
        <v>37</v>
      </c>
      <c r="B19" s="18" t="s">
        <v>38</v>
      </c>
      <c r="C19" s="18" t="s">
        <v>39</v>
      </c>
      <c r="D19" s="18" t="s">
        <v>393</v>
      </c>
      <c r="E19" s="18" t="s">
        <v>41</v>
      </c>
    </row>
    <row r="20" spans="1:5" x14ac:dyDescent="0.2">
      <c r="A20" s="15" t="s">
        <v>16</v>
      </c>
      <c r="B20" s="4" t="s">
        <v>42</v>
      </c>
      <c r="C20" s="4" t="s">
        <v>43</v>
      </c>
      <c r="D20" s="4" t="s">
        <v>22</v>
      </c>
      <c r="E20" s="10" t="s">
        <v>962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3" sqref="A3:A4"/>
    </sheetView>
  </sheetViews>
  <sheetFormatPr defaultRowHeight="12.75" x14ac:dyDescent="0.2"/>
  <cols>
    <col min="1" max="1" width="26" style="4" bestFit="1" customWidth="1"/>
    <col min="2" max="2" width="29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3" style="4" bestFit="1" customWidth="1"/>
    <col min="7" max="7" width="6.5703125" style="3" customWidth="1"/>
    <col min="8" max="9" width="5.57031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20.28515625" style="4" bestFit="1" customWidth="1"/>
    <col min="14" max="16384" width="9.140625" style="3"/>
  </cols>
  <sheetData>
    <row r="1" spans="1:13" s="2" customFormat="1" ht="29.1" customHeight="1" x14ac:dyDescent="0.2">
      <c r="A1" s="35" t="s">
        <v>1340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 x14ac:dyDescent="0.2">
      <c r="A3" s="41" t="s">
        <v>0</v>
      </c>
      <c r="B3" s="43" t="s">
        <v>6</v>
      </c>
      <c r="C3" s="43" t="s">
        <v>10</v>
      </c>
      <c r="D3" s="45" t="s">
        <v>11</v>
      </c>
      <c r="E3" s="45" t="s">
        <v>4</v>
      </c>
      <c r="F3" s="45" t="s">
        <v>7</v>
      </c>
      <c r="G3" s="45" t="s">
        <v>14</v>
      </c>
      <c r="H3" s="45"/>
      <c r="I3" s="45"/>
      <c r="J3" s="45"/>
      <c r="K3" s="45" t="s">
        <v>408</v>
      </c>
      <c r="L3" s="45" t="s">
        <v>3</v>
      </c>
      <c r="M3" s="46" t="s">
        <v>2</v>
      </c>
    </row>
    <row r="4" spans="1:13" s="1" customFormat="1" ht="21" customHeight="1" thickBot="1" x14ac:dyDescent="0.25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44"/>
      <c r="L4" s="44"/>
      <c r="M4" s="47"/>
    </row>
    <row r="5" spans="1:13" ht="15" x14ac:dyDescent="0.2">
      <c r="A5" s="48" t="s">
        <v>66</v>
      </c>
      <c r="B5" s="49"/>
      <c r="C5" s="49"/>
      <c r="D5" s="49"/>
      <c r="E5" s="49"/>
      <c r="F5" s="49"/>
      <c r="G5" s="49"/>
      <c r="H5" s="49"/>
      <c r="I5" s="49"/>
      <c r="J5" s="49"/>
    </row>
    <row r="6" spans="1:13" x14ac:dyDescent="0.2">
      <c r="A6" s="6" t="s">
        <v>932</v>
      </c>
      <c r="B6" s="6" t="s">
        <v>933</v>
      </c>
      <c r="C6" s="6" t="s">
        <v>934</v>
      </c>
      <c r="D6" s="6" t="str">
        <f>"0,7893"</f>
        <v>0,7893</v>
      </c>
      <c r="E6" s="6" t="s">
        <v>71</v>
      </c>
      <c r="F6" s="6" t="s">
        <v>21</v>
      </c>
      <c r="G6" s="7" t="s">
        <v>91</v>
      </c>
      <c r="H6" s="7" t="s">
        <v>94</v>
      </c>
      <c r="I6" s="7" t="s">
        <v>57</v>
      </c>
      <c r="J6" s="8"/>
      <c r="K6" s="11" t="str">
        <f>"110,0"</f>
        <v>110,0</v>
      </c>
      <c r="L6" s="12" t="str">
        <f>"86,8175"</f>
        <v>86,8175</v>
      </c>
      <c r="M6" s="6" t="s">
        <v>748</v>
      </c>
    </row>
    <row r="8" spans="1:13" ht="15" x14ac:dyDescent="0.2">
      <c r="A8" s="56" t="s">
        <v>170</v>
      </c>
      <c r="B8" s="56"/>
      <c r="C8" s="56"/>
      <c r="D8" s="56"/>
      <c r="E8" s="56"/>
      <c r="F8" s="56"/>
      <c r="G8" s="56"/>
      <c r="H8" s="56"/>
      <c r="I8" s="56"/>
      <c r="J8" s="56"/>
    </row>
    <row r="9" spans="1:13" x14ac:dyDescent="0.2">
      <c r="A9" s="6" t="s">
        <v>296</v>
      </c>
      <c r="B9" s="6" t="s">
        <v>297</v>
      </c>
      <c r="C9" s="6" t="s">
        <v>298</v>
      </c>
      <c r="D9" s="6" t="str">
        <f>"0,6939"</f>
        <v>0,6939</v>
      </c>
      <c r="E9" s="6" t="s">
        <v>51</v>
      </c>
      <c r="F9" s="6" t="s">
        <v>169</v>
      </c>
      <c r="G9" s="7" t="s">
        <v>293</v>
      </c>
      <c r="H9" s="8" t="s">
        <v>222</v>
      </c>
      <c r="I9" s="8" t="s">
        <v>132</v>
      </c>
      <c r="J9" s="8"/>
      <c r="K9" s="11" t="str">
        <f>"150.00o"</f>
        <v>150.00o</v>
      </c>
      <c r="L9" s="12" t="str">
        <f>"216,7948"</f>
        <v>216,7948</v>
      </c>
      <c r="M9" s="6" t="s">
        <v>28</v>
      </c>
    </row>
    <row r="11" spans="1:13" ht="15" x14ac:dyDescent="0.2">
      <c r="A11" s="56" t="s">
        <v>187</v>
      </c>
      <c r="B11" s="56"/>
      <c r="C11" s="56"/>
      <c r="D11" s="56"/>
      <c r="E11" s="56"/>
      <c r="F11" s="56"/>
      <c r="G11" s="56"/>
      <c r="H11" s="56"/>
      <c r="I11" s="56"/>
      <c r="J11" s="56"/>
    </row>
    <row r="12" spans="1:13" x14ac:dyDescent="0.2">
      <c r="A12" s="6" t="s">
        <v>936</v>
      </c>
      <c r="B12" s="6" t="s">
        <v>937</v>
      </c>
      <c r="C12" s="6" t="s">
        <v>938</v>
      </c>
      <c r="D12" s="6" t="str">
        <f>"0,6209"</f>
        <v>0,6209</v>
      </c>
      <c r="E12" s="6" t="s">
        <v>118</v>
      </c>
      <c r="F12" s="6" t="s">
        <v>211</v>
      </c>
      <c r="G12" s="7" t="s">
        <v>200</v>
      </c>
      <c r="H12" s="7" t="s">
        <v>212</v>
      </c>
      <c r="I12" s="8" t="s">
        <v>24</v>
      </c>
      <c r="J12" s="8"/>
      <c r="K12" s="11" t="str">
        <f>"175,0"</f>
        <v>175,0</v>
      </c>
      <c r="L12" s="12" t="str">
        <f>"108,6575"</f>
        <v>108,6575</v>
      </c>
      <c r="M12" s="6" t="s">
        <v>28</v>
      </c>
    </row>
    <row r="14" spans="1:13" ht="15" x14ac:dyDescent="0.2">
      <c r="A14" s="56" t="s">
        <v>46</v>
      </c>
      <c r="B14" s="56"/>
      <c r="C14" s="56"/>
      <c r="D14" s="56"/>
      <c r="E14" s="56"/>
      <c r="F14" s="56"/>
      <c r="G14" s="56"/>
      <c r="H14" s="56"/>
      <c r="I14" s="56"/>
      <c r="J14" s="56"/>
    </row>
    <row r="15" spans="1:13" x14ac:dyDescent="0.2">
      <c r="A15" s="19" t="s">
        <v>940</v>
      </c>
      <c r="B15" s="19" t="s">
        <v>941</v>
      </c>
      <c r="C15" s="19" t="s">
        <v>942</v>
      </c>
      <c r="D15" s="19" t="str">
        <f>"0,5834"</f>
        <v>0,5834</v>
      </c>
      <c r="E15" s="19" t="s">
        <v>51</v>
      </c>
      <c r="F15" s="19" t="s">
        <v>155</v>
      </c>
      <c r="G15" s="20" t="s">
        <v>943</v>
      </c>
      <c r="H15" s="20" t="s">
        <v>222</v>
      </c>
      <c r="I15" s="20" t="s">
        <v>419</v>
      </c>
      <c r="J15" s="21"/>
      <c r="K15" s="28" t="str">
        <f>"162,5"</f>
        <v>162,5</v>
      </c>
      <c r="L15" s="29" t="str">
        <f>"107,1268"</f>
        <v>107,1268</v>
      </c>
      <c r="M15" s="19" t="s">
        <v>735</v>
      </c>
    </row>
    <row r="16" spans="1:13" x14ac:dyDescent="0.2">
      <c r="A16" s="25" t="s">
        <v>410</v>
      </c>
      <c r="B16" s="25" t="s">
        <v>411</v>
      </c>
      <c r="C16" s="25" t="s">
        <v>412</v>
      </c>
      <c r="D16" s="25" t="str">
        <f>"0,5597"</f>
        <v>0,5597</v>
      </c>
      <c r="E16" s="25" t="s">
        <v>51</v>
      </c>
      <c r="F16" s="25" t="s">
        <v>413</v>
      </c>
      <c r="G16" s="26" t="s">
        <v>944</v>
      </c>
      <c r="H16" s="27" t="s">
        <v>945</v>
      </c>
      <c r="I16" s="26" t="s">
        <v>945</v>
      </c>
      <c r="J16" s="27"/>
      <c r="K16" s="32" t="str">
        <f>"257,5"</f>
        <v>257,5</v>
      </c>
      <c r="L16" s="33" t="str">
        <f>"144,1228"</f>
        <v>144,1228</v>
      </c>
      <c r="M16" s="25" t="s">
        <v>28</v>
      </c>
    </row>
    <row r="17" spans="1:13" x14ac:dyDescent="0.2">
      <c r="A17" s="22" t="s">
        <v>947</v>
      </c>
      <c r="B17" s="22" t="s">
        <v>948</v>
      </c>
      <c r="C17" s="22" t="s">
        <v>438</v>
      </c>
      <c r="D17" s="22" t="str">
        <f>"0,5543"</f>
        <v>0,5543</v>
      </c>
      <c r="E17" s="22" t="s">
        <v>20</v>
      </c>
      <c r="F17" s="22" t="s">
        <v>21</v>
      </c>
      <c r="G17" s="23" t="s">
        <v>25</v>
      </c>
      <c r="H17" s="23" t="s">
        <v>53</v>
      </c>
      <c r="I17" s="23" t="s">
        <v>59</v>
      </c>
      <c r="J17" s="24"/>
      <c r="K17" s="30" t="str">
        <f>"240,0"</f>
        <v>240,0</v>
      </c>
      <c r="L17" s="31" t="str">
        <f>"133,0320"</f>
        <v>133,0320</v>
      </c>
      <c r="M17" s="22" t="s">
        <v>949</v>
      </c>
    </row>
    <row r="19" spans="1:13" ht="15" x14ac:dyDescent="0.2">
      <c r="A19" s="56" t="s">
        <v>15</v>
      </c>
      <c r="B19" s="56"/>
      <c r="C19" s="56"/>
      <c r="D19" s="56"/>
      <c r="E19" s="56"/>
      <c r="F19" s="56"/>
      <c r="G19" s="56"/>
      <c r="H19" s="56"/>
      <c r="I19" s="56"/>
      <c r="J19" s="56"/>
    </row>
    <row r="20" spans="1:13" x14ac:dyDescent="0.2">
      <c r="A20" s="6" t="s">
        <v>951</v>
      </c>
      <c r="B20" s="6" t="s">
        <v>952</v>
      </c>
      <c r="C20" s="6" t="s">
        <v>953</v>
      </c>
      <c r="D20" s="6" t="str">
        <f>"0,5485"</f>
        <v>0,5485</v>
      </c>
      <c r="E20" s="6" t="s">
        <v>51</v>
      </c>
      <c r="F20" s="6" t="s">
        <v>211</v>
      </c>
      <c r="G20" s="7" t="s">
        <v>321</v>
      </c>
      <c r="H20" s="7" t="s">
        <v>327</v>
      </c>
      <c r="I20" s="8" t="s">
        <v>241</v>
      </c>
      <c r="J20" s="8"/>
      <c r="K20" s="11" t="str">
        <f>"285,0"</f>
        <v>285,0</v>
      </c>
      <c r="L20" s="12" t="str">
        <f>"156,3225"</f>
        <v>156,3225</v>
      </c>
      <c r="M20" s="6" t="s">
        <v>28</v>
      </c>
    </row>
    <row r="22" spans="1:13" ht="15" x14ac:dyDescent="0.2">
      <c r="E22" s="9" t="s">
        <v>29</v>
      </c>
    </row>
    <row r="23" spans="1:13" ht="15" x14ac:dyDescent="0.2">
      <c r="E23" s="9" t="s">
        <v>30</v>
      </c>
    </row>
    <row r="24" spans="1:13" ht="15" x14ac:dyDescent="0.2">
      <c r="E24" s="9" t="s">
        <v>31</v>
      </c>
    </row>
    <row r="25" spans="1:13" ht="15" x14ac:dyDescent="0.2">
      <c r="E25" s="9" t="s">
        <v>32</v>
      </c>
    </row>
    <row r="26" spans="1:13" ht="15" x14ac:dyDescent="0.2">
      <c r="E26" s="9" t="s">
        <v>32</v>
      </c>
    </row>
    <row r="27" spans="1:13" ht="15" x14ac:dyDescent="0.2">
      <c r="E27" s="9" t="s">
        <v>33</v>
      </c>
    </row>
    <row r="28" spans="1:13" ht="15" x14ac:dyDescent="0.2">
      <c r="E28" s="9"/>
    </row>
    <row r="30" spans="1:13" ht="18" x14ac:dyDescent="0.25">
      <c r="A30" s="13" t="s">
        <v>34</v>
      </c>
      <c r="B30" s="13"/>
    </row>
    <row r="31" spans="1:13" ht="15" x14ac:dyDescent="0.2">
      <c r="A31" s="14" t="s">
        <v>80</v>
      </c>
      <c r="B31" s="14"/>
    </row>
    <row r="32" spans="1:13" ht="14.25" x14ac:dyDescent="0.2">
      <c r="A32" s="16"/>
      <c r="B32" s="17" t="s">
        <v>954</v>
      </c>
    </row>
    <row r="33" spans="1:5" ht="15" x14ac:dyDescent="0.2">
      <c r="A33" s="18" t="s">
        <v>37</v>
      </c>
      <c r="B33" s="18" t="s">
        <v>38</v>
      </c>
      <c r="C33" s="18" t="s">
        <v>39</v>
      </c>
      <c r="D33" s="18" t="s">
        <v>393</v>
      </c>
      <c r="E33" s="18" t="s">
        <v>41</v>
      </c>
    </row>
    <row r="34" spans="1:5" x14ac:dyDescent="0.2">
      <c r="A34" s="15" t="s">
        <v>931</v>
      </c>
      <c r="B34" s="4" t="s">
        <v>42</v>
      </c>
      <c r="C34" s="4" t="s">
        <v>82</v>
      </c>
      <c r="D34" s="4" t="s">
        <v>57</v>
      </c>
      <c r="E34" s="10" t="s">
        <v>955</v>
      </c>
    </row>
    <row r="37" spans="1:5" ht="15" x14ac:dyDescent="0.2">
      <c r="A37" s="14" t="s">
        <v>35</v>
      </c>
      <c r="B37" s="14"/>
    </row>
    <row r="38" spans="1:5" ht="14.25" x14ac:dyDescent="0.2">
      <c r="A38" s="16"/>
      <c r="B38" s="17" t="s">
        <v>614</v>
      </c>
    </row>
    <row r="39" spans="1:5" ht="15" x14ac:dyDescent="0.2">
      <c r="A39" s="18" t="s">
        <v>37</v>
      </c>
      <c r="B39" s="18" t="s">
        <v>38</v>
      </c>
      <c r="C39" s="18" t="s">
        <v>39</v>
      </c>
      <c r="D39" s="18" t="s">
        <v>393</v>
      </c>
      <c r="E39" s="18" t="s">
        <v>41</v>
      </c>
    </row>
    <row r="40" spans="1:5" x14ac:dyDescent="0.2">
      <c r="A40" s="15" t="s">
        <v>939</v>
      </c>
      <c r="B40" s="4" t="s">
        <v>615</v>
      </c>
      <c r="C40" s="4" t="s">
        <v>63</v>
      </c>
      <c r="D40" s="4" t="s">
        <v>419</v>
      </c>
      <c r="E40" s="10" t="s">
        <v>956</v>
      </c>
    </row>
    <row r="42" spans="1:5" ht="14.25" x14ac:dyDescent="0.2">
      <c r="A42" s="16"/>
      <c r="B42" s="17" t="s">
        <v>81</v>
      </c>
    </row>
    <row r="43" spans="1:5" ht="15" x14ac:dyDescent="0.2">
      <c r="A43" s="18" t="s">
        <v>37</v>
      </c>
      <c r="B43" s="18" t="s">
        <v>38</v>
      </c>
      <c r="C43" s="18" t="s">
        <v>39</v>
      </c>
      <c r="D43" s="18" t="s">
        <v>393</v>
      </c>
      <c r="E43" s="18" t="s">
        <v>41</v>
      </c>
    </row>
    <row r="44" spans="1:5" x14ac:dyDescent="0.2">
      <c r="A44" s="15" t="s">
        <v>950</v>
      </c>
      <c r="B44" s="4" t="s">
        <v>81</v>
      </c>
      <c r="C44" s="4" t="s">
        <v>43</v>
      </c>
      <c r="D44" s="4" t="s">
        <v>327</v>
      </c>
      <c r="E44" s="10" t="s">
        <v>957</v>
      </c>
    </row>
    <row r="45" spans="1:5" x14ac:dyDescent="0.2">
      <c r="A45" s="15" t="s">
        <v>409</v>
      </c>
      <c r="B45" s="4" t="s">
        <v>81</v>
      </c>
      <c r="C45" s="4" t="s">
        <v>63</v>
      </c>
      <c r="D45" s="4" t="s">
        <v>945</v>
      </c>
      <c r="E45" s="10" t="s">
        <v>958</v>
      </c>
    </row>
    <row r="46" spans="1:5" x14ac:dyDescent="0.2">
      <c r="A46" s="15" t="s">
        <v>946</v>
      </c>
      <c r="B46" s="4" t="s">
        <v>81</v>
      </c>
      <c r="C46" s="4" t="s">
        <v>63</v>
      </c>
      <c r="D46" s="4" t="s">
        <v>59</v>
      </c>
      <c r="E46" s="10" t="s">
        <v>959</v>
      </c>
    </row>
    <row r="47" spans="1:5" x14ac:dyDescent="0.2">
      <c r="A47" s="15" t="s">
        <v>935</v>
      </c>
      <c r="B47" s="4" t="s">
        <v>81</v>
      </c>
      <c r="C47" s="4" t="s">
        <v>268</v>
      </c>
      <c r="D47" s="4" t="s">
        <v>212</v>
      </c>
      <c r="E47" s="10" t="s">
        <v>960</v>
      </c>
    </row>
    <row r="49" spans="1:5" ht="14.25" x14ac:dyDescent="0.2">
      <c r="A49" s="16"/>
      <c r="B49" s="17" t="s">
        <v>61</v>
      </c>
    </row>
    <row r="50" spans="1:5" ht="15" x14ac:dyDescent="0.2">
      <c r="A50" s="18" t="s">
        <v>37</v>
      </c>
      <c r="B50" s="18" t="s">
        <v>38</v>
      </c>
      <c r="C50" s="18" t="s">
        <v>39</v>
      </c>
      <c r="D50" s="18" t="s">
        <v>393</v>
      </c>
      <c r="E50" s="18" t="s">
        <v>41</v>
      </c>
    </row>
    <row r="51" spans="1:5" x14ac:dyDescent="0.2">
      <c r="A51" s="15" t="s">
        <v>295</v>
      </c>
      <c r="B51" s="4" t="s">
        <v>339</v>
      </c>
      <c r="C51" s="4" t="s">
        <v>263</v>
      </c>
      <c r="D51" s="4" t="s">
        <v>131</v>
      </c>
      <c r="E51" s="10" t="s">
        <v>961</v>
      </c>
    </row>
  </sheetData>
  <mergeCells count="16">
    <mergeCell ref="A8:J8"/>
    <mergeCell ref="A11:J11"/>
    <mergeCell ref="A14:J14"/>
    <mergeCell ref="A19:J19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4"/>
  <sheetViews>
    <sheetView topLeftCell="A63" workbookViewId="0">
      <selection activeCell="A84" sqref="A84"/>
    </sheetView>
  </sheetViews>
  <sheetFormatPr defaultRowHeight="12.75" x14ac:dyDescent="0.2"/>
  <cols>
    <col min="1" max="1" width="26" style="4" bestFit="1" customWidth="1"/>
    <col min="2" max="2" width="29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2.140625" style="4" bestFit="1" customWidth="1"/>
    <col min="7" max="10" width="5.5703125" style="3" customWidth="1"/>
    <col min="11" max="11" width="7.85546875" style="10" bestFit="1" customWidth="1"/>
    <col min="12" max="12" width="8.5703125" style="2" bestFit="1" customWidth="1"/>
    <col min="13" max="13" width="30.7109375" style="4" bestFit="1" customWidth="1"/>
    <col min="14" max="16384" width="9.140625" style="3"/>
  </cols>
  <sheetData>
    <row r="1" spans="1:13" s="2" customFormat="1" ht="29.1" customHeight="1" x14ac:dyDescent="0.2">
      <c r="A1" s="35" t="s">
        <v>1341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 x14ac:dyDescent="0.2">
      <c r="A3" s="41" t="s">
        <v>0</v>
      </c>
      <c r="B3" s="43" t="s">
        <v>6</v>
      </c>
      <c r="C3" s="43" t="s">
        <v>10</v>
      </c>
      <c r="D3" s="45" t="s">
        <v>11</v>
      </c>
      <c r="E3" s="45" t="s">
        <v>4</v>
      </c>
      <c r="F3" s="45" t="s">
        <v>7</v>
      </c>
      <c r="G3" s="45" t="s">
        <v>14</v>
      </c>
      <c r="H3" s="45"/>
      <c r="I3" s="45"/>
      <c r="J3" s="45"/>
      <c r="K3" s="45" t="s">
        <v>408</v>
      </c>
      <c r="L3" s="45" t="s">
        <v>3</v>
      </c>
      <c r="M3" s="46" t="s">
        <v>2</v>
      </c>
    </row>
    <row r="4" spans="1:13" s="1" customFormat="1" ht="21" customHeight="1" thickBot="1" x14ac:dyDescent="0.25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44"/>
      <c r="L4" s="44"/>
      <c r="M4" s="47"/>
    </row>
    <row r="5" spans="1:13" ht="15" x14ac:dyDescent="0.2">
      <c r="A5" s="48" t="s">
        <v>95</v>
      </c>
      <c r="B5" s="49"/>
      <c r="C5" s="49"/>
      <c r="D5" s="49"/>
      <c r="E5" s="49"/>
      <c r="F5" s="49"/>
      <c r="G5" s="49"/>
      <c r="H5" s="49"/>
      <c r="I5" s="49"/>
      <c r="J5" s="49"/>
    </row>
    <row r="6" spans="1:13" x14ac:dyDescent="0.2">
      <c r="A6" s="19" t="s">
        <v>804</v>
      </c>
      <c r="B6" s="19" t="s">
        <v>805</v>
      </c>
      <c r="C6" s="19" t="s">
        <v>806</v>
      </c>
      <c r="D6" s="19" t="str">
        <f>"0,9256"</f>
        <v>0,9256</v>
      </c>
      <c r="E6" s="19" t="s">
        <v>807</v>
      </c>
      <c r="F6" s="19" t="s">
        <v>21</v>
      </c>
      <c r="G6" s="20" t="s">
        <v>94</v>
      </c>
      <c r="H6" s="20" t="s">
        <v>434</v>
      </c>
      <c r="I6" s="21" t="s">
        <v>808</v>
      </c>
      <c r="J6" s="21"/>
      <c r="K6" s="28" t="str">
        <f>"107,5"</f>
        <v>107,5</v>
      </c>
      <c r="L6" s="29" t="str">
        <f>"105,4721"</f>
        <v>105,4721</v>
      </c>
      <c r="M6" s="19" t="s">
        <v>28</v>
      </c>
    </row>
    <row r="7" spans="1:13" x14ac:dyDescent="0.2">
      <c r="A7" s="25" t="s">
        <v>97</v>
      </c>
      <c r="B7" s="25" t="s">
        <v>98</v>
      </c>
      <c r="C7" s="25" t="s">
        <v>99</v>
      </c>
      <c r="D7" s="25" t="str">
        <f>"0,9160"</f>
        <v>0,9160</v>
      </c>
      <c r="E7" s="25" t="s">
        <v>100</v>
      </c>
      <c r="F7" s="25" t="s">
        <v>101</v>
      </c>
      <c r="G7" s="26" t="s">
        <v>57</v>
      </c>
      <c r="H7" s="26" t="s">
        <v>105</v>
      </c>
      <c r="I7" s="26" t="s">
        <v>106</v>
      </c>
      <c r="J7" s="27"/>
      <c r="K7" s="32" t="str">
        <f>"120,0"</f>
        <v>120,0</v>
      </c>
      <c r="L7" s="33" t="str">
        <f>"109,9200"</f>
        <v>109,9200</v>
      </c>
      <c r="M7" s="25" t="s">
        <v>28</v>
      </c>
    </row>
    <row r="8" spans="1:13" x14ac:dyDescent="0.2">
      <c r="A8" s="25" t="s">
        <v>810</v>
      </c>
      <c r="B8" s="25" t="s">
        <v>811</v>
      </c>
      <c r="C8" s="25" t="s">
        <v>812</v>
      </c>
      <c r="D8" s="25" t="str">
        <f>"0,9167"</f>
        <v>0,9167</v>
      </c>
      <c r="E8" s="25" t="s">
        <v>813</v>
      </c>
      <c r="F8" s="25" t="s">
        <v>21</v>
      </c>
      <c r="G8" s="26" t="s">
        <v>57</v>
      </c>
      <c r="H8" s="27" t="s">
        <v>373</v>
      </c>
      <c r="I8" s="27" t="s">
        <v>373</v>
      </c>
      <c r="J8" s="27"/>
      <c r="K8" s="32" t="str">
        <f>"110,0"</f>
        <v>110,0</v>
      </c>
      <c r="L8" s="33" t="str">
        <f>"101,7445"</f>
        <v>101,7445</v>
      </c>
      <c r="M8" s="25" t="s">
        <v>28</v>
      </c>
    </row>
    <row r="9" spans="1:13" x14ac:dyDescent="0.2">
      <c r="A9" s="22" t="s">
        <v>464</v>
      </c>
      <c r="B9" s="22" t="s">
        <v>465</v>
      </c>
      <c r="C9" s="22" t="s">
        <v>466</v>
      </c>
      <c r="D9" s="22" t="str">
        <f>"0,9426"</f>
        <v>0,9426</v>
      </c>
      <c r="E9" s="22" t="s">
        <v>20</v>
      </c>
      <c r="F9" s="22" t="s">
        <v>21</v>
      </c>
      <c r="G9" s="23" t="s">
        <v>55</v>
      </c>
      <c r="H9" s="23" t="s">
        <v>57</v>
      </c>
      <c r="I9" s="23" t="s">
        <v>105</v>
      </c>
      <c r="J9" s="23" t="s">
        <v>106</v>
      </c>
      <c r="K9" s="30" t="str">
        <f>"115,0"</f>
        <v>115,0</v>
      </c>
      <c r="L9" s="31" t="str">
        <f>"208,1261"</f>
        <v>208,1261</v>
      </c>
      <c r="M9" s="22" t="s">
        <v>28</v>
      </c>
    </row>
    <row r="11" spans="1:13" ht="15" x14ac:dyDescent="0.2">
      <c r="A11" s="56" t="s">
        <v>107</v>
      </c>
      <c r="B11" s="56"/>
      <c r="C11" s="56"/>
      <c r="D11" s="56"/>
      <c r="E11" s="56"/>
      <c r="F11" s="56"/>
      <c r="G11" s="56"/>
      <c r="H11" s="56"/>
      <c r="I11" s="56"/>
      <c r="J11" s="56"/>
    </row>
    <row r="12" spans="1:13" x14ac:dyDescent="0.2">
      <c r="A12" s="19" t="s">
        <v>814</v>
      </c>
      <c r="B12" s="19" t="s">
        <v>116</v>
      </c>
      <c r="C12" s="19" t="s">
        <v>117</v>
      </c>
      <c r="D12" s="19" t="str">
        <f>"0,8756"</f>
        <v>0,8756</v>
      </c>
      <c r="E12" s="19" t="s">
        <v>118</v>
      </c>
      <c r="F12" s="19" t="s">
        <v>119</v>
      </c>
      <c r="G12" s="20" t="s">
        <v>121</v>
      </c>
      <c r="H12" s="20" t="s">
        <v>79</v>
      </c>
      <c r="I12" s="20" t="s">
        <v>122</v>
      </c>
      <c r="J12" s="21"/>
      <c r="K12" s="28" t="str">
        <f>"142,5"</f>
        <v>142,5</v>
      </c>
      <c r="L12" s="29" t="str">
        <f>"124,7801"</f>
        <v>124,7801</v>
      </c>
      <c r="M12" s="19" t="s">
        <v>28</v>
      </c>
    </row>
    <row r="13" spans="1:13" x14ac:dyDescent="0.2">
      <c r="A13" s="25" t="s">
        <v>815</v>
      </c>
      <c r="B13" s="25" t="s">
        <v>110</v>
      </c>
      <c r="C13" s="25" t="s">
        <v>111</v>
      </c>
      <c r="D13" s="25" t="str">
        <f>"0,8857"</f>
        <v>0,8857</v>
      </c>
      <c r="E13" s="25" t="s">
        <v>71</v>
      </c>
      <c r="F13" s="25" t="s">
        <v>112</v>
      </c>
      <c r="G13" s="26" t="s">
        <v>77</v>
      </c>
      <c r="H13" s="26" t="s">
        <v>78</v>
      </c>
      <c r="I13" s="27"/>
      <c r="J13" s="27"/>
      <c r="K13" s="32" t="str">
        <f>"132,5"</f>
        <v>132,5</v>
      </c>
      <c r="L13" s="33" t="str">
        <f>"117,3552"</f>
        <v>117,3552</v>
      </c>
      <c r="M13" s="25" t="s">
        <v>28</v>
      </c>
    </row>
    <row r="14" spans="1:13" x14ac:dyDescent="0.2">
      <c r="A14" s="22" t="s">
        <v>817</v>
      </c>
      <c r="B14" s="22" t="s">
        <v>818</v>
      </c>
      <c r="C14" s="22" t="s">
        <v>819</v>
      </c>
      <c r="D14" s="22" t="str">
        <f>"0,8707"</f>
        <v>0,8707</v>
      </c>
      <c r="E14" s="22" t="s">
        <v>118</v>
      </c>
      <c r="F14" s="22" t="s">
        <v>211</v>
      </c>
      <c r="G14" s="23" t="s">
        <v>94</v>
      </c>
      <c r="H14" s="23" t="s">
        <v>106</v>
      </c>
      <c r="I14" s="23" t="s">
        <v>121</v>
      </c>
      <c r="J14" s="24"/>
      <c r="K14" s="30" t="str">
        <f>"130,0"</f>
        <v>130,0</v>
      </c>
      <c r="L14" s="31" t="str">
        <f>"113,1910"</f>
        <v>113,1910</v>
      </c>
      <c r="M14" s="22" t="s">
        <v>28</v>
      </c>
    </row>
    <row r="16" spans="1:13" ht="15" x14ac:dyDescent="0.2">
      <c r="A16" s="56" t="s">
        <v>66</v>
      </c>
      <c r="B16" s="56"/>
      <c r="C16" s="56"/>
      <c r="D16" s="56"/>
      <c r="E16" s="56"/>
      <c r="F16" s="56"/>
      <c r="G16" s="56"/>
      <c r="H16" s="56"/>
      <c r="I16" s="56"/>
      <c r="J16" s="56"/>
    </row>
    <row r="17" spans="1:13" x14ac:dyDescent="0.2">
      <c r="A17" s="19" t="s">
        <v>821</v>
      </c>
      <c r="B17" s="19" t="s">
        <v>822</v>
      </c>
      <c r="C17" s="19" t="s">
        <v>823</v>
      </c>
      <c r="D17" s="19" t="str">
        <f>"0,7943"</f>
        <v>0,7943</v>
      </c>
      <c r="E17" s="19" t="s">
        <v>71</v>
      </c>
      <c r="F17" s="19" t="s">
        <v>112</v>
      </c>
      <c r="G17" s="20" t="s">
        <v>200</v>
      </c>
      <c r="H17" s="20" t="s">
        <v>24</v>
      </c>
      <c r="I17" s="21" t="s">
        <v>201</v>
      </c>
      <c r="J17" s="21"/>
      <c r="K17" s="28" t="str">
        <f>"180,0"</f>
        <v>180,0</v>
      </c>
      <c r="L17" s="29" t="str">
        <f>"142,9740"</f>
        <v>142,9740</v>
      </c>
      <c r="M17" s="19" t="s">
        <v>28</v>
      </c>
    </row>
    <row r="18" spans="1:13" x14ac:dyDescent="0.2">
      <c r="A18" s="25" t="s">
        <v>824</v>
      </c>
      <c r="B18" s="25" t="s">
        <v>125</v>
      </c>
      <c r="C18" s="25" t="s">
        <v>126</v>
      </c>
      <c r="D18" s="25" t="str">
        <f>"0,7822"</f>
        <v>0,7822</v>
      </c>
      <c r="E18" s="25" t="s">
        <v>71</v>
      </c>
      <c r="F18" s="25" t="s">
        <v>112</v>
      </c>
      <c r="G18" s="26" t="s">
        <v>130</v>
      </c>
      <c r="H18" s="26" t="s">
        <v>131</v>
      </c>
      <c r="I18" s="27" t="s">
        <v>132</v>
      </c>
      <c r="J18" s="27"/>
      <c r="K18" s="32" t="str">
        <f>"150,0"</f>
        <v>150,0</v>
      </c>
      <c r="L18" s="33" t="str">
        <f>"117,3300"</f>
        <v>117,3300</v>
      </c>
      <c r="M18" s="25" t="s">
        <v>28</v>
      </c>
    </row>
    <row r="19" spans="1:13" x14ac:dyDescent="0.2">
      <c r="A19" s="25" t="s">
        <v>826</v>
      </c>
      <c r="B19" s="25" t="s">
        <v>827</v>
      </c>
      <c r="C19" s="25" t="s">
        <v>70</v>
      </c>
      <c r="D19" s="25" t="str">
        <f>"0,8058"</f>
        <v>0,8058</v>
      </c>
      <c r="E19" s="25" t="s">
        <v>389</v>
      </c>
      <c r="F19" s="25" t="s">
        <v>137</v>
      </c>
      <c r="G19" s="26" t="s">
        <v>121</v>
      </c>
      <c r="H19" s="27" t="s">
        <v>79</v>
      </c>
      <c r="I19" s="26" t="s">
        <v>79</v>
      </c>
      <c r="J19" s="27"/>
      <c r="K19" s="32" t="str">
        <f>"137,5"</f>
        <v>137,5</v>
      </c>
      <c r="L19" s="33" t="str">
        <f>"110,7906"</f>
        <v>110,7906</v>
      </c>
      <c r="M19" s="25" t="s">
        <v>28</v>
      </c>
    </row>
    <row r="20" spans="1:13" x14ac:dyDescent="0.2">
      <c r="A20" s="22" t="s">
        <v>829</v>
      </c>
      <c r="B20" s="22" t="s">
        <v>830</v>
      </c>
      <c r="C20" s="22" t="s">
        <v>773</v>
      </c>
      <c r="D20" s="22" t="str">
        <f>"0,7872"</f>
        <v>0,7872</v>
      </c>
      <c r="E20" s="22" t="s">
        <v>389</v>
      </c>
      <c r="F20" s="22" t="s">
        <v>137</v>
      </c>
      <c r="G20" s="23" t="s">
        <v>106</v>
      </c>
      <c r="H20" s="23" t="s">
        <v>121</v>
      </c>
      <c r="I20" s="23" t="s">
        <v>79</v>
      </c>
      <c r="J20" s="24"/>
      <c r="K20" s="30" t="str">
        <f>"137,5"</f>
        <v>137,5</v>
      </c>
      <c r="L20" s="31" t="str">
        <f>"108,2400"</f>
        <v>108,2400</v>
      </c>
      <c r="M20" s="22" t="s">
        <v>28</v>
      </c>
    </row>
    <row r="22" spans="1:13" ht="15" x14ac:dyDescent="0.2">
      <c r="A22" s="56" t="s">
        <v>170</v>
      </c>
      <c r="B22" s="56"/>
      <c r="C22" s="56"/>
      <c r="D22" s="56"/>
      <c r="E22" s="56"/>
      <c r="F22" s="56"/>
      <c r="G22" s="56"/>
      <c r="H22" s="56"/>
      <c r="I22" s="56"/>
      <c r="J22" s="56"/>
    </row>
    <row r="23" spans="1:13" x14ac:dyDescent="0.2">
      <c r="A23" s="19" t="s">
        <v>832</v>
      </c>
      <c r="B23" s="19" t="s">
        <v>833</v>
      </c>
      <c r="C23" s="19" t="s">
        <v>834</v>
      </c>
      <c r="D23" s="19" t="str">
        <f>"0,7398"</f>
        <v>0,7398</v>
      </c>
      <c r="E23" s="19" t="s">
        <v>71</v>
      </c>
      <c r="F23" s="19" t="s">
        <v>112</v>
      </c>
      <c r="G23" s="20" t="s">
        <v>77</v>
      </c>
      <c r="H23" s="20" t="s">
        <v>78</v>
      </c>
      <c r="I23" s="20" t="s">
        <v>73</v>
      </c>
      <c r="J23" s="21"/>
      <c r="K23" s="28" t="str">
        <f>"140,0"</f>
        <v>140,0</v>
      </c>
      <c r="L23" s="29" t="str">
        <f>"103,5650"</f>
        <v>103,5650</v>
      </c>
      <c r="M23" s="19" t="s">
        <v>28</v>
      </c>
    </row>
    <row r="24" spans="1:13" x14ac:dyDescent="0.2">
      <c r="A24" s="22" t="s">
        <v>832</v>
      </c>
      <c r="B24" s="22" t="s">
        <v>835</v>
      </c>
      <c r="C24" s="22" t="s">
        <v>834</v>
      </c>
      <c r="D24" s="22" t="str">
        <f>"0,7398"</f>
        <v>0,7398</v>
      </c>
      <c r="E24" s="22" t="s">
        <v>71</v>
      </c>
      <c r="F24" s="22" t="s">
        <v>112</v>
      </c>
      <c r="G24" s="23" t="s">
        <v>77</v>
      </c>
      <c r="H24" s="23" t="s">
        <v>78</v>
      </c>
      <c r="I24" s="23" t="s">
        <v>73</v>
      </c>
      <c r="J24" s="24"/>
      <c r="K24" s="30" t="str">
        <f>"140,0"</f>
        <v>140,0</v>
      </c>
      <c r="L24" s="31" t="str">
        <f>"164,6684"</f>
        <v>164,6684</v>
      </c>
      <c r="M24" s="22" t="s">
        <v>28</v>
      </c>
    </row>
    <row r="26" spans="1:13" ht="15" x14ac:dyDescent="0.2">
      <c r="A26" s="56" t="s">
        <v>107</v>
      </c>
      <c r="B26" s="56"/>
      <c r="C26" s="56"/>
      <c r="D26" s="56"/>
      <c r="E26" s="56"/>
      <c r="F26" s="56"/>
      <c r="G26" s="56"/>
      <c r="H26" s="56"/>
      <c r="I26" s="56"/>
      <c r="J26" s="56"/>
    </row>
    <row r="27" spans="1:13" x14ac:dyDescent="0.2">
      <c r="A27" s="19" t="s">
        <v>837</v>
      </c>
      <c r="B27" s="19" t="s">
        <v>838</v>
      </c>
      <c r="C27" s="19" t="s">
        <v>839</v>
      </c>
      <c r="D27" s="19" t="str">
        <f>"0,8330"</f>
        <v>0,8330</v>
      </c>
      <c r="E27" s="19" t="s">
        <v>389</v>
      </c>
      <c r="F27" s="19" t="s">
        <v>137</v>
      </c>
      <c r="G27" s="21" t="s">
        <v>73</v>
      </c>
      <c r="H27" s="20" t="s">
        <v>73</v>
      </c>
      <c r="I27" s="20" t="s">
        <v>500</v>
      </c>
      <c r="J27" s="21"/>
      <c r="K27" s="28" t="str">
        <f>"152,5"</f>
        <v>152,5</v>
      </c>
      <c r="L27" s="29" t="str">
        <f>"129,5732"</f>
        <v>129,5732</v>
      </c>
      <c r="M27" s="19" t="s">
        <v>28</v>
      </c>
    </row>
    <row r="28" spans="1:13" x14ac:dyDescent="0.2">
      <c r="A28" s="22" t="s">
        <v>841</v>
      </c>
      <c r="B28" s="22" t="s">
        <v>842</v>
      </c>
      <c r="C28" s="22" t="s">
        <v>843</v>
      </c>
      <c r="D28" s="22" t="str">
        <f>"0,8213"</f>
        <v>0,8213</v>
      </c>
      <c r="E28" s="22" t="s">
        <v>807</v>
      </c>
      <c r="F28" s="22" t="s">
        <v>21</v>
      </c>
      <c r="G28" s="23" t="s">
        <v>185</v>
      </c>
      <c r="H28" s="23" t="s">
        <v>202</v>
      </c>
      <c r="I28" s="23" t="s">
        <v>186</v>
      </c>
      <c r="J28" s="24"/>
      <c r="K28" s="30" t="str">
        <f>"207,5"</f>
        <v>207,5</v>
      </c>
      <c r="L28" s="31" t="str">
        <f>"170,4198"</f>
        <v>170,4198</v>
      </c>
      <c r="M28" s="22" t="s">
        <v>28</v>
      </c>
    </row>
    <row r="30" spans="1:13" ht="15" x14ac:dyDescent="0.2">
      <c r="A30" s="56" t="s">
        <v>66</v>
      </c>
      <c r="B30" s="56"/>
      <c r="C30" s="56"/>
      <c r="D30" s="56"/>
      <c r="E30" s="56"/>
      <c r="F30" s="56"/>
      <c r="G30" s="56"/>
      <c r="H30" s="56"/>
      <c r="I30" s="56"/>
      <c r="J30" s="56"/>
    </row>
    <row r="31" spans="1:13" x14ac:dyDescent="0.2">
      <c r="A31" s="6" t="s">
        <v>845</v>
      </c>
      <c r="B31" s="6" t="s">
        <v>846</v>
      </c>
      <c r="C31" s="6" t="s">
        <v>847</v>
      </c>
      <c r="D31" s="6" t="str">
        <f>"0,7481"</f>
        <v>0,7481</v>
      </c>
      <c r="E31" s="6" t="s">
        <v>807</v>
      </c>
      <c r="F31" s="6" t="s">
        <v>21</v>
      </c>
      <c r="G31" s="7" t="s">
        <v>212</v>
      </c>
      <c r="H31" s="7" t="s">
        <v>426</v>
      </c>
      <c r="I31" s="8" t="s">
        <v>848</v>
      </c>
      <c r="J31" s="8"/>
      <c r="K31" s="11" t="str">
        <f>"182,5"</f>
        <v>182,5</v>
      </c>
      <c r="L31" s="12" t="str">
        <f>"144,7199"</f>
        <v>144,7199</v>
      </c>
      <c r="M31" s="6" t="s">
        <v>28</v>
      </c>
    </row>
    <row r="33" spans="1:13" ht="15" x14ac:dyDescent="0.2">
      <c r="A33" s="56" t="s">
        <v>170</v>
      </c>
      <c r="B33" s="56"/>
      <c r="C33" s="56"/>
      <c r="D33" s="56"/>
      <c r="E33" s="56"/>
      <c r="F33" s="56"/>
      <c r="G33" s="56"/>
      <c r="H33" s="56"/>
      <c r="I33" s="56"/>
      <c r="J33" s="56"/>
    </row>
    <row r="34" spans="1:13" x14ac:dyDescent="0.2">
      <c r="A34" s="19" t="s">
        <v>850</v>
      </c>
      <c r="B34" s="19" t="s">
        <v>851</v>
      </c>
      <c r="C34" s="19" t="s">
        <v>852</v>
      </c>
      <c r="D34" s="19" t="str">
        <f>"0,6752"</f>
        <v>0,6752</v>
      </c>
      <c r="E34" s="19" t="s">
        <v>20</v>
      </c>
      <c r="F34" s="19" t="s">
        <v>21</v>
      </c>
      <c r="G34" s="20" t="s">
        <v>200</v>
      </c>
      <c r="H34" s="20" t="s">
        <v>24</v>
      </c>
      <c r="I34" s="21" t="s">
        <v>235</v>
      </c>
      <c r="J34" s="21"/>
      <c r="K34" s="28" t="str">
        <f>"180,0"</f>
        <v>180,0</v>
      </c>
      <c r="L34" s="29" t="str">
        <f>"131,2589"</f>
        <v>131,2589</v>
      </c>
      <c r="M34" s="19" t="s">
        <v>355</v>
      </c>
    </row>
    <row r="35" spans="1:13" x14ac:dyDescent="0.2">
      <c r="A35" s="25" t="s">
        <v>854</v>
      </c>
      <c r="B35" s="25" t="s">
        <v>855</v>
      </c>
      <c r="C35" s="25" t="s">
        <v>488</v>
      </c>
      <c r="D35" s="25" t="str">
        <f>"0,6745"</f>
        <v>0,6745</v>
      </c>
      <c r="E35" s="25" t="s">
        <v>51</v>
      </c>
      <c r="F35" s="25" t="s">
        <v>211</v>
      </c>
      <c r="G35" s="26" t="s">
        <v>130</v>
      </c>
      <c r="H35" s="26" t="s">
        <v>131</v>
      </c>
      <c r="I35" s="26" t="s">
        <v>132</v>
      </c>
      <c r="J35" s="27"/>
      <c r="K35" s="32" t="str">
        <f>"160,0"</f>
        <v>160,0</v>
      </c>
      <c r="L35" s="33" t="str">
        <f>"112,2368"</f>
        <v>112,2368</v>
      </c>
      <c r="M35" s="25" t="s">
        <v>28</v>
      </c>
    </row>
    <row r="36" spans="1:13" x14ac:dyDescent="0.2">
      <c r="A36" s="25" t="s">
        <v>857</v>
      </c>
      <c r="B36" s="25" t="s">
        <v>858</v>
      </c>
      <c r="C36" s="25" t="s">
        <v>859</v>
      </c>
      <c r="D36" s="25" t="str">
        <f>"0,7164"</f>
        <v>0,7164</v>
      </c>
      <c r="E36" s="25" t="s">
        <v>71</v>
      </c>
      <c r="F36" s="25" t="s">
        <v>21</v>
      </c>
      <c r="G36" s="26" t="s">
        <v>131</v>
      </c>
      <c r="H36" s="26" t="s">
        <v>240</v>
      </c>
      <c r="I36" s="26" t="s">
        <v>24</v>
      </c>
      <c r="J36" s="27"/>
      <c r="K36" s="32" t="str">
        <f>"180,0"</f>
        <v>180,0</v>
      </c>
      <c r="L36" s="33" t="str">
        <f>"128,9520"</f>
        <v>128,9520</v>
      </c>
      <c r="M36" s="25" t="s">
        <v>748</v>
      </c>
    </row>
    <row r="37" spans="1:13" x14ac:dyDescent="0.2">
      <c r="A37" s="22" t="s">
        <v>860</v>
      </c>
      <c r="B37" s="22" t="s">
        <v>508</v>
      </c>
      <c r="C37" s="22" t="s">
        <v>509</v>
      </c>
      <c r="D37" s="22" t="str">
        <f>"0,6774"</f>
        <v>0,6774</v>
      </c>
      <c r="E37" s="22" t="s">
        <v>148</v>
      </c>
      <c r="F37" s="22" t="s">
        <v>119</v>
      </c>
      <c r="G37" s="23" t="s">
        <v>106</v>
      </c>
      <c r="H37" s="23" t="s">
        <v>121</v>
      </c>
      <c r="I37" s="23" t="s">
        <v>73</v>
      </c>
      <c r="J37" s="24"/>
      <c r="K37" s="30" t="str">
        <f>"140,0"</f>
        <v>140,0</v>
      </c>
      <c r="L37" s="31" t="str">
        <f>"94,8360"</f>
        <v>94,8360</v>
      </c>
      <c r="M37" s="22" t="s">
        <v>28</v>
      </c>
    </row>
    <row r="39" spans="1:13" ht="15" x14ac:dyDescent="0.2">
      <c r="A39" s="56" t="s">
        <v>187</v>
      </c>
      <c r="B39" s="56"/>
      <c r="C39" s="56"/>
      <c r="D39" s="56"/>
      <c r="E39" s="56"/>
      <c r="F39" s="56"/>
      <c r="G39" s="56"/>
      <c r="H39" s="56"/>
      <c r="I39" s="56"/>
      <c r="J39" s="56"/>
    </row>
    <row r="40" spans="1:13" x14ac:dyDescent="0.2">
      <c r="A40" s="19" t="s">
        <v>862</v>
      </c>
      <c r="B40" s="19" t="s">
        <v>863</v>
      </c>
      <c r="C40" s="19" t="s">
        <v>864</v>
      </c>
      <c r="D40" s="19" t="str">
        <f>"0,6287"</f>
        <v>0,6287</v>
      </c>
      <c r="E40" s="19" t="s">
        <v>813</v>
      </c>
      <c r="F40" s="19" t="s">
        <v>21</v>
      </c>
      <c r="G40" s="20" t="s">
        <v>25</v>
      </c>
      <c r="H40" s="20" t="s">
        <v>193</v>
      </c>
      <c r="I40" s="20" t="s">
        <v>865</v>
      </c>
      <c r="J40" s="21"/>
      <c r="K40" s="28" t="str">
        <f>"217,5"</f>
        <v>217,5</v>
      </c>
      <c r="L40" s="29" t="str">
        <f>"136,7423"</f>
        <v>136,7423</v>
      </c>
      <c r="M40" s="19" t="s">
        <v>866</v>
      </c>
    </row>
    <row r="41" spans="1:13" x14ac:dyDescent="0.2">
      <c r="A41" s="22" t="s">
        <v>868</v>
      </c>
      <c r="B41" s="22" t="s">
        <v>869</v>
      </c>
      <c r="C41" s="22" t="s">
        <v>870</v>
      </c>
      <c r="D41" s="22" t="str">
        <f>"0,6219"</f>
        <v>0,6219</v>
      </c>
      <c r="E41" s="22" t="s">
        <v>813</v>
      </c>
      <c r="F41" s="22" t="s">
        <v>21</v>
      </c>
      <c r="G41" s="23" t="s">
        <v>193</v>
      </c>
      <c r="H41" s="24" t="s">
        <v>865</v>
      </c>
      <c r="I41" s="24" t="s">
        <v>865</v>
      </c>
      <c r="J41" s="24"/>
      <c r="K41" s="30" t="str">
        <f>"210,0"</f>
        <v>210,0</v>
      </c>
      <c r="L41" s="31" t="str">
        <f>"130,5990"</f>
        <v>130,5990</v>
      </c>
      <c r="M41" s="22" t="s">
        <v>866</v>
      </c>
    </row>
    <row r="43" spans="1:13" ht="15" x14ac:dyDescent="0.2">
      <c r="A43" s="56" t="s">
        <v>143</v>
      </c>
      <c r="B43" s="56"/>
      <c r="C43" s="56"/>
      <c r="D43" s="56"/>
      <c r="E43" s="56"/>
      <c r="F43" s="56"/>
      <c r="G43" s="56"/>
      <c r="H43" s="56"/>
      <c r="I43" s="56"/>
      <c r="J43" s="56"/>
    </row>
    <row r="44" spans="1:13" x14ac:dyDescent="0.2">
      <c r="A44" s="19" t="s">
        <v>527</v>
      </c>
      <c r="B44" s="19" t="s">
        <v>528</v>
      </c>
      <c r="C44" s="19" t="s">
        <v>529</v>
      </c>
      <c r="D44" s="19" t="str">
        <f>"0,5947"</f>
        <v>0,5947</v>
      </c>
      <c r="E44" s="19" t="s">
        <v>318</v>
      </c>
      <c r="F44" s="19" t="s">
        <v>319</v>
      </c>
      <c r="G44" s="20" t="s">
        <v>104</v>
      </c>
      <c r="H44" s="20" t="s">
        <v>74</v>
      </c>
      <c r="I44" s="20" t="s">
        <v>76</v>
      </c>
      <c r="J44" s="21"/>
      <c r="K44" s="28" t="str">
        <f>"80,0"</f>
        <v>80,0</v>
      </c>
      <c r="L44" s="29" t="str">
        <f>"58,5185"</f>
        <v>58,5185</v>
      </c>
      <c r="M44" s="19" t="s">
        <v>28</v>
      </c>
    </row>
    <row r="45" spans="1:13" x14ac:dyDescent="0.2">
      <c r="A45" s="25" t="s">
        <v>872</v>
      </c>
      <c r="B45" s="25" t="s">
        <v>873</v>
      </c>
      <c r="C45" s="25" t="s">
        <v>874</v>
      </c>
      <c r="D45" s="25" t="str">
        <f>"0,5865"</f>
        <v>0,5865</v>
      </c>
      <c r="E45" s="25" t="s">
        <v>813</v>
      </c>
      <c r="F45" s="25" t="s">
        <v>21</v>
      </c>
      <c r="G45" s="26" t="s">
        <v>875</v>
      </c>
      <c r="H45" s="26" t="s">
        <v>223</v>
      </c>
      <c r="I45" s="27"/>
      <c r="J45" s="27"/>
      <c r="K45" s="32" t="str">
        <f>"260,0"</f>
        <v>260,0</v>
      </c>
      <c r="L45" s="33" t="str">
        <f>"152,4900"</f>
        <v>152,4900</v>
      </c>
      <c r="M45" s="25" t="s">
        <v>28</v>
      </c>
    </row>
    <row r="46" spans="1:13" x14ac:dyDescent="0.2">
      <c r="A46" s="22" t="s">
        <v>876</v>
      </c>
      <c r="B46" s="22" t="s">
        <v>366</v>
      </c>
      <c r="C46" s="22" t="s">
        <v>367</v>
      </c>
      <c r="D46" s="22" t="str">
        <f>"0,6007"</f>
        <v>0,6007</v>
      </c>
      <c r="E46" s="22" t="s">
        <v>51</v>
      </c>
      <c r="F46" s="22" t="s">
        <v>21</v>
      </c>
      <c r="G46" s="23" t="s">
        <v>194</v>
      </c>
      <c r="H46" s="23" t="s">
        <v>59</v>
      </c>
      <c r="I46" s="24"/>
      <c r="J46" s="24"/>
      <c r="K46" s="30" t="str">
        <f>"240,0"</f>
        <v>240,0</v>
      </c>
      <c r="L46" s="31" t="str">
        <f>"144,1560"</f>
        <v>144,1560</v>
      </c>
      <c r="M46" s="22" t="s">
        <v>28</v>
      </c>
    </row>
    <row r="48" spans="1:13" ht="15" x14ac:dyDescent="0.2">
      <c r="A48" s="56" t="s">
        <v>46</v>
      </c>
      <c r="B48" s="56"/>
      <c r="C48" s="56"/>
      <c r="D48" s="56"/>
      <c r="E48" s="56"/>
      <c r="F48" s="56"/>
      <c r="G48" s="56"/>
      <c r="H48" s="56"/>
      <c r="I48" s="56"/>
      <c r="J48" s="56"/>
    </row>
    <row r="49" spans="1:13" x14ac:dyDescent="0.2">
      <c r="A49" s="19" t="s">
        <v>878</v>
      </c>
      <c r="B49" s="19" t="s">
        <v>879</v>
      </c>
      <c r="C49" s="19" t="s">
        <v>880</v>
      </c>
      <c r="D49" s="19" t="str">
        <f>"0,5550"</f>
        <v>0,5550</v>
      </c>
      <c r="E49" s="19" t="s">
        <v>813</v>
      </c>
      <c r="F49" s="19" t="s">
        <v>21</v>
      </c>
      <c r="G49" s="20" t="s">
        <v>721</v>
      </c>
      <c r="H49" s="20" t="s">
        <v>784</v>
      </c>
      <c r="I49" s="21"/>
      <c r="J49" s="21"/>
      <c r="K49" s="28" t="str">
        <f>"245,0"</f>
        <v>245,0</v>
      </c>
      <c r="L49" s="29" t="str">
        <f>"135,9750"</f>
        <v>135,9750</v>
      </c>
      <c r="M49" s="19" t="s">
        <v>28</v>
      </c>
    </row>
    <row r="50" spans="1:13" x14ac:dyDescent="0.2">
      <c r="A50" s="25" t="s">
        <v>882</v>
      </c>
      <c r="B50" s="25" t="s">
        <v>883</v>
      </c>
      <c r="C50" s="25" t="s">
        <v>884</v>
      </c>
      <c r="D50" s="25" t="str">
        <f>"0,5581"</f>
        <v>0,5581</v>
      </c>
      <c r="E50" s="25" t="s">
        <v>389</v>
      </c>
      <c r="F50" s="25" t="s">
        <v>137</v>
      </c>
      <c r="G50" s="26" t="s">
        <v>193</v>
      </c>
      <c r="H50" s="26" t="s">
        <v>53</v>
      </c>
      <c r="I50" s="26" t="s">
        <v>721</v>
      </c>
      <c r="J50" s="27"/>
      <c r="K50" s="32" t="str">
        <f>"235,0"</f>
        <v>235,0</v>
      </c>
      <c r="L50" s="33" t="str">
        <f>"131,1535"</f>
        <v>131,1535</v>
      </c>
      <c r="M50" s="25" t="s">
        <v>28</v>
      </c>
    </row>
    <row r="51" spans="1:13" x14ac:dyDescent="0.2">
      <c r="A51" s="25" t="s">
        <v>886</v>
      </c>
      <c r="B51" s="25" t="s">
        <v>887</v>
      </c>
      <c r="C51" s="25" t="s">
        <v>888</v>
      </c>
      <c r="D51" s="25" t="str">
        <f>"0,5624"</f>
        <v>0,5624</v>
      </c>
      <c r="E51" s="25" t="s">
        <v>51</v>
      </c>
      <c r="F51" s="25" t="s">
        <v>137</v>
      </c>
      <c r="G51" s="26" t="s">
        <v>25</v>
      </c>
      <c r="H51" s="26" t="s">
        <v>235</v>
      </c>
      <c r="I51" s="26" t="s">
        <v>193</v>
      </c>
      <c r="J51" s="27"/>
      <c r="K51" s="32" t="str">
        <f>"210,0"</f>
        <v>210,0</v>
      </c>
      <c r="L51" s="33" t="str">
        <f>"118,1040"</f>
        <v>118,1040</v>
      </c>
      <c r="M51" s="25" t="s">
        <v>28</v>
      </c>
    </row>
    <row r="52" spans="1:13" x14ac:dyDescent="0.2">
      <c r="A52" s="22" t="s">
        <v>230</v>
      </c>
      <c r="B52" s="22" t="s">
        <v>231</v>
      </c>
      <c r="C52" s="22" t="s">
        <v>232</v>
      </c>
      <c r="D52" s="22" t="str">
        <f>"0,5541"</f>
        <v>0,5541</v>
      </c>
      <c r="E52" s="22" t="s">
        <v>51</v>
      </c>
      <c r="F52" s="22" t="s">
        <v>233</v>
      </c>
      <c r="G52" s="23" t="s">
        <v>25</v>
      </c>
      <c r="H52" s="23" t="s">
        <v>235</v>
      </c>
      <c r="I52" s="24"/>
      <c r="J52" s="24"/>
      <c r="K52" s="30" t="str">
        <f>"205,0"</f>
        <v>205,0</v>
      </c>
      <c r="L52" s="31" t="str">
        <f>"126,8920"</f>
        <v>126,8920</v>
      </c>
      <c r="M52" s="22" t="s">
        <v>28</v>
      </c>
    </row>
    <row r="54" spans="1:13" ht="15" x14ac:dyDescent="0.2">
      <c r="A54" s="56" t="s">
        <v>15</v>
      </c>
      <c r="B54" s="56"/>
      <c r="C54" s="56"/>
      <c r="D54" s="56"/>
      <c r="E54" s="56"/>
      <c r="F54" s="56"/>
      <c r="G54" s="56"/>
      <c r="H54" s="56"/>
      <c r="I54" s="56"/>
      <c r="J54" s="56"/>
    </row>
    <row r="55" spans="1:13" x14ac:dyDescent="0.2">
      <c r="A55" s="19" t="s">
        <v>237</v>
      </c>
      <c r="B55" s="19" t="s">
        <v>238</v>
      </c>
      <c r="C55" s="19" t="s">
        <v>239</v>
      </c>
      <c r="D55" s="19" t="str">
        <f>"0,5391"</f>
        <v>0,5391</v>
      </c>
      <c r="E55" s="19" t="s">
        <v>100</v>
      </c>
      <c r="F55" s="19" t="s">
        <v>101</v>
      </c>
      <c r="G55" s="20" t="s">
        <v>22</v>
      </c>
      <c r="H55" s="21"/>
      <c r="I55" s="21"/>
      <c r="J55" s="21"/>
      <c r="K55" s="28" t="str">
        <f>"280,0"</f>
        <v>280,0</v>
      </c>
      <c r="L55" s="29" t="str">
        <f>"150,9480"</f>
        <v>150,9480</v>
      </c>
      <c r="M55" s="19" t="s">
        <v>28</v>
      </c>
    </row>
    <row r="56" spans="1:13" x14ac:dyDescent="0.2">
      <c r="A56" s="25" t="s">
        <v>890</v>
      </c>
      <c r="B56" s="25" t="s">
        <v>891</v>
      </c>
      <c r="C56" s="25" t="s">
        <v>892</v>
      </c>
      <c r="D56" s="25" t="str">
        <f>"0,5536"</f>
        <v>0,5536</v>
      </c>
      <c r="E56" s="25" t="s">
        <v>813</v>
      </c>
      <c r="F56" s="25" t="s">
        <v>21</v>
      </c>
      <c r="G56" s="26" t="s">
        <v>194</v>
      </c>
      <c r="H56" s="26" t="s">
        <v>250</v>
      </c>
      <c r="I56" s="26" t="s">
        <v>307</v>
      </c>
      <c r="J56" s="27"/>
      <c r="K56" s="32" t="str">
        <f>"255,0"</f>
        <v>255,0</v>
      </c>
      <c r="L56" s="33" t="str">
        <f>"141,1680"</f>
        <v>141,1680</v>
      </c>
      <c r="M56" s="25" t="s">
        <v>866</v>
      </c>
    </row>
    <row r="57" spans="1:13" x14ac:dyDescent="0.2">
      <c r="A57" s="25" t="s">
        <v>893</v>
      </c>
      <c r="B57" s="25" t="s">
        <v>600</v>
      </c>
      <c r="C57" s="25" t="s">
        <v>601</v>
      </c>
      <c r="D57" s="25" t="str">
        <f>"0,5450"</f>
        <v>0,5450</v>
      </c>
      <c r="E57" s="25" t="s">
        <v>479</v>
      </c>
      <c r="F57" s="25" t="s">
        <v>312</v>
      </c>
      <c r="G57" s="26" t="s">
        <v>194</v>
      </c>
      <c r="H57" s="26" t="s">
        <v>250</v>
      </c>
      <c r="I57" s="26" t="s">
        <v>793</v>
      </c>
      <c r="J57" s="27"/>
      <c r="K57" s="32" t="str">
        <f>"252,5"</f>
        <v>252,5</v>
      </c>
      <c r="L57" s="33" t="str">
        <f>"137,6125"</f>
        <v>137,6125</v>
      </c>
      <c r="M57" s="25" t="s">
        <v>28</v>
      </c>
    </row>
    <row r="58" spans="1:13" x14ac:dyDescent="0.2">
      <c r="A58" s="22" t="s">
        <v>895</v>
      </c>
      <c r="B58" s="22" t="s">
        <v>896</v>
      </c>
      <c r="C58" s="22" t="s">
        <v>897</v>
      </c>
      <c r="D58" s="22" t="str">
        <f>"0,5411"</f>
        <v>0,5411</v>
      </c>
      <c r="E58" s="22" t="s">
        <v>389</v>
      </c>
      <c r="F58" s="22" t="s">
        <v>137</v>
      </c>
      <c r="G58" s="23" t="s">
        <v>194</v>
      </c>
      <c r="H58" s="24" t="s">
        <v>59</v>
      </c>
      <c r="I58" s="24" t="s">
        <v>59</v>
      </c>
      <c r="J58" s="24"/>
      <c r="K58" s="30" t="str">
        <f>"230,0"</f>
        <v>230,0</v>
      </c>
      <c r="L58" s="31" t="str">
        <f>"124,4530"</f>
        <v>124,4530</v>
      </c>
      <c r="M58" s="22" t="s">
        <v>28</v>
      </c>
    </row>
    <row r="60" spans="1:13" ht="15" x14ac:dyDescent="0.2">
      <c r="E60" s="9" t="s">
        <v>29</v>
      </c>
    </row>
    <row r="61" spans="1:13" ht="15" x14ac:dyDescent="0.2">
      <c r="E61" s="9" t="s">
        <v>30</v>
      </c>
    </row>
    <row r="62" spans="1:13" ht="15" x14ac:dyDescent="0.2">
      <c r="E62" s="9" t="s">
        <v>31</v>
      </c>
    </row>
    <row r="63" spans="1:13" ht="15" x14ac:dyDescent="0.2">
      <c r="E63" s="9" t="s">
        <v>32</v>
      </c>
    </row>
    <row r="64" spans="1:13" ht="15" x14ac:dyDescent="0.2">
      <c r="E64" s="9" t="s">
        <v>32</v>
      </c>
    </row>
    <row r="65" spans="1:5" ht="15" x14ac:dyDescent="0.2">
      <c r="E65" s="9" t="s">
        <v>33</v>
      </c>
    </row>
    <row r="66" spans="1:5" ht="15" x14ac:dyDescent="0.2">
      <c r="E66" s="9"/>
    </row>
    <row r="68" spans="1:5" ht="18" x14ac:dyDescent="0.25">
      <c r="A68" s="13" t="s">
        <v>34</v>
      </c>
      <c r="B68" s="13"/>
    </row>
    <row r="69" spans="1:5" ht="15" x14ac:dyDescent="0.2">
      <c r="A69" s="14" t="s">
        <v>80</v>
      </c>
      <c r="B69" s="14"/>
    </row>
    <row r="70" spans="1:5" ht="14.25" x14ac:dyDescent="0.2">
      <c r="A70" s="16"/>
      <c r="B70" s="17" t="s">
        <v>392</v>
      </c>
    </row>
    <row r="71" spans="1:5" ht="15" x14ac:dyDescent="0.2">
      <c r="A71" s="18" t="s">
        <v>37</v>
      </c>
      <c r="B71" s="18" t="s">
        <v>38</v>
      </c>
      <c r="C71" s="18" t="s">
        <v>39</v>
      </c>
      <c r="D71" s="18" t="s">
        <v>393</v>
      </c>
      <c r="E71" s="18" t="s">
        <v>41</v>
      </c>
    </row>
    <row r="72" spans="1:5" x14ac:dyDescent="0.2">
      <c r="A72" s="15" t="s">
        <v>803</v>
      </c>
      <c r="B72" s="4" t="s">
        <v>394</v>
      </c>
      <c r="C72" s="4" t="s">
        <v>252</v>
      </c>
      <c r="D72" s="4" t="s">
        <v>434</v>
      </c>
      <c r="E72" s="10" t="s">
        <v>898</v>
      </c>
    </row>
    <row r="74" spans="1:5" ht="14.25" x14ac:dyDescent="0.2">
      <c r="A74" s="16"/>
      <c r="B74" s="17" t="s">
        <v>81</v>
      </c>
    </row>
    <row r="75" spans="1:5" ht="15" x14ac:dyDescent="0.2">
      <c r="A75" s="18" t="s">
        <v>37</v>
      </c>
      <c r="B75" s="18" t="s">
        <v>38</v>
      </c>
      <c r="C75" s="18" t="s">
        <v>39</v>
      </c>
      <c r="D75" s="18" t="s">
        <v>393</v>
      </c>
      <c r="E75" s="18" t="s">
        <v>41</v>
      </c>
    </row>
    <row r="76" spans="1:5" x14ac:dyDescent="0.2">
      <c r="A76" s="15" t="s">
        <v>820</v>
      </c>
      <c r="B76" s="4" t="s">
        <v>81</v>
      </c>
      <c r="C76" s="4" t="s">
        <v>82</v>
      </c>
      <c r="D76" s="4" t="s">
        <v>24</v>
      </c>
      <c r="E76" s="10" t="s">
        <v>899</v>
      </c>
    </row>
    <row r="77" spans="1:5" x14ac:dyDescent="0.2">
      <c r="A77" s="15" t="s">
        <v>114</v>
      </c>
      <c r="B77" s="4" t="s">
        <v>81</v>
      </c>
      <c r="C77" s="4" t="s">
        <v>244</v>
      </c>
      <c r="D77" s="4" t="s">
        <v>122</v>
      </c>
      <c r="E77" s="10" t="s">
        <v>900</v>
      </c>
    </row>
    <row r="78" spans="1:5" x14ac:dyDescent="0.2">
      <c r="A78" s="15" t="s">
        <v>108</v>
      </c>
      <c r="B78" s="4" t="s">
        <v>81</v>
      </c>
      <c r="C78" s="4" t="s">
        <v>244</v>
      </c>
      <c r="D78" s="4" t="s">
        <v>78</v>
      </c>
      <c r="E78" s="10" t="s">
        <v>901</v>
      </c>
    </row>
    <row r="79" spans="1:5" x14ac:dyDescent="0.2">
      <c r="A79" s="15" t="s">
        <v>123</v>
      </c>
      <c r="B79" s="4" t="s">
        <v>81</v>
      </c>
      <c r="C79" s="4" t="s">
        <v>82</v>
      </c>
      <c r="D79" s="4" t="s">
        <v>131</v>
      </c>
      <c r="E79" s="10" t="s">
        <v>902</v>
      </c>
    </row>
    <row r="80" spans="1:5" x14ac:dyDescent="0.2">
      <c r="A80" s="15" t="s">
        <v>816</v>
      </c>
      <c r="B80" s="4" t="s">
        <v>81</v>
      </c>
      <c r="C80" s="4" t="s">
        <v>244</v>
      </c>
      <c r="D80" s="4" t="s">
        <v>121</v>
      </c>
      <c r="E80" s="10" t="s">
        <v>903</v>
      </c>
    </row>
    <row r="81" spans="1:5" x14ac:dyDescent="0.2">
      <c r="A81" s="15" t="s">
        <v>825</v>
      </c>
      <c r="B81" s="4" t="s">
        <v>81</v>
      </c>
      <c r="C81" s="4" t="s">
        <v>82</v>
      </c>
      <c r="D81" s="4" t="s">
        <v>79</v>
      </c>
      <c r="E81" s="10" t="s">
        <v>904</v>
      </c>
    </row>
    <row r="82" spans="1:5" x14ac:dyDescent="0.2">
      <c r="A82" s="15" t="s">
        <v>96</v>
      </c>
      <c r="B82" s="4" t="s">
        <v>81</v>
      </c>
      <c r="C82" s="4" t="s">
        <v>252</v>
      </c>
      <c r="D82" s="4" t="s">
        <v>106</v>
      </c>
      <c r="E82" s="10" t="s">
        <v>905</v>
      </c>
    </row>
    <row r="83" spans="1:5" x14ac:dyDescent="0.2">
      <c r="A83" s="15" t="s">
        <v>828</v>
      </c>
      <c r="B83" s="4" t="s">
        <v>81</v>
      </c>
      <c r="C83" s="4" t="s">
        <v>82</v>
      </c>
      <c r="D83" s="4" t="s">
        <v>79</v>
      </c>
      <c r="E83" s="10" t="s">
        <v>906</v>
      </c>
    </row>
    <row r="84" spans="1:5" x14ac:dyDescent="0.2">
      <c r="A84" s="15" t="s">
        <v>831</v>
      </c>
      <c r="B84" s="4" t="s">
        <v>81</v>
      </c>
      <c r="C84" s="4" t="s">
        <v>263</v>
      </c>
      <c r="D84" s="4" t="s">
        <v>73</v>
      </c>
      <c r="E84" s="10" t="s">
        <v>907</v>
      </c>
    </row>
    <row r="86" spans="1:5" ht="14.25" x14ac:dyDescent="0.2">
      <c r="A86" s="16"/>
      <c r="B86" s="17" t="s">
        <v>61</v>
      </c>
    </row>
    <row r="87" spans="1:5" ht="15" x14ac:dyDescent="0.2">
      <c r="A87" s="18" t="s">
        <v>37</v>
      </c>
      <c r="B87" s="18" t="s">
        <v>38</v>
      </c>
      <c r="C87" s="18" t="s">
        <v>39</v>
      </c>
      <c r="D87" s="18" t="s">
        <v>393</v>
      </c>
      <c r="E87" s="18" t="s">
        <v>41</v>
      </c>
    </row>
    <row r="88" spans="1:5" x14ac:dyDescent="0.2">
      <c r="A88" s="15" t="s">
        <v>463</v>
      </c>
      <c r="B88" s="4" t="s">
        <v>281</v>
      </c>
      <c r="C88" s="4" t="s">
        <v>252</v>
      </c>
      <c r="D88" s="4" t="s">
        <v>105</v>
      </c>
      <c r="E88" s="10" t="s">
        <v>908</v>
      </c>
    </row>
    <row r="89" spans="1:5" x14ac:dyDescent="0.2">
      <c r="A89" s="15" t="s">
        <v>831</v>
      </c>
      <c r="B89" s="4" t="s">
        <v>336</v>
      </c>
      <c r="C89" s="4" t="s">
        <v>263</v>
      </c>
      <c r="D89" s="4" t="s">
        <v>73</v>
      </c>
      <c r="E89" s="10" t="s">
        <v>909</v>
      </c>
    </row>
    <row r="90" spans="1:5" x14ac:dyDescent="0.2">
      <c r="A90" s="15" t="s">
        <v>809</v>
      </c>
      <c r="B90" s="4" t="s">
        <v>406</v>
      </c>
      <c r="C90" s="4" t="s">
        <v>252</v>
      </c>
      <c r="D90" s="4" t="s">
        <v>57</v>
      </c>
      <c r="E90" s="10" t="s">
        <v>910</v>
      </c>
    </row>
    <row r="93" spans="1:5" ht="15" x14ac:dyDescent="0.2">
      <c r="A93" s="14" t="s">
        <v>35</v>
      </c>
      <c r="B93" s="14"/>
    </row>
    <row r="94" spans="1:5" ht="14.25" x14ac:dyDescent="0.2">
      <c r="A94" s="16"/>
      <c r="B94" s="17" t="s">
        <v>614</v>
      </c>
    </row>
    <row r="95" spans="1:5" ht="15" x14ac:dyDescent="0.2">
      <c r="A95" s="18" t="s">
        <v>37</v>
      </c>
      <c r="B95" s="18" t="s">
        <v>38</v>
      </c>
      <c r="C95" s="18" t="s">
        <v>39</v>
      </c>
      <c r="D95" s="18" t="s">
        <v>393</v>
      </c>
      <c r="E95" s="18" t="s">
        <v>41</v>
      </c>
    </row>
    <row r="96" spans="1:5" x14ac:dyDescent="0.2">
      <c r="A96" s="15" t="s">
        <v>844</v>
      </c>
      <c r="B96" s="4" t="s">
        <v>394</v>
      </c>
      <c r="C96" s="4" t="s">
        <v>82</v>
      </c>
      <c r="D96" s="4" t="s">
        <v>426</v>
      </c>
      <c r="E96" s="10" t="s">
        <v>911</v>
      </c>
    </row>
    <row r="97" spans="1:5" x14ac:dyDescent="0.2">
      <c r="A97" s="15" t="s">
        <v>849</v>
      </c>
      <c r="B97" s="4" t="s">
        <v>615</v>
      </c>
      <c r="C97" s="4" t="s">
        <v>263</v>
      </c>
      <c r="D97" s="4" t="s">
        <v>24</v>
      </c>
      <c r="E97" s="10" t="s">
        <v>912</v>
      </c>
    </row>
    <row r="98" spans="1:5" x14ac:dyDescent="0.2">
      <c r="A98" s="15" t="s">
        <v>853</v>
      </c>
      <c r="B98" s="4" t="s">
        <v>394</v>
      </c>
      <c r="C98" s="4" t="s">
        <v>263</v>
      </c>
      <c r="D98" s="4" t="s">
        <v>132</v>
      </c>
      <c r="E98" s="10" t="s">
        <v>913</v>
      </c>
    </row>
    <row r="99" spans="1:5" x14ac:dyDescent="0.2">
      <c r="A99" s="15" t="s">
        <v>526</v>
      </c>
      <c r="B99" s="4" t="s">
        <v>619</v>
      </c>
      <c r="C99" s="4" t="s">
        <v>256</v>
      </c>
      <c r="D99" s="4" t="s">
        <v>76</v>
      </c>
      <c r="E99" s="10" t="s">
        <v>914</v>
      </c>
    </row>
    <row r="101" spans="1:5" ht="14.25" x14ac:dyDescent="0.2">
      <c r="A101" s="16"/>
      <c r="B101" s="17" t="s">
        <v>36</v>
      </c>
    </row>
    <row r="102" spans="1:5" ht="15" x14ac:dyDescent="0.2">
      <c r="A102" s="18" t="s">
        <v>37</v>
      </c>
      <c r="B102" s="18" t="s">
        <v>38</v>
      </c>
      <c r="C102" s="18" t="s">
        <v>39</v>
      </c>
      <c r="D102" s="18" t="s">
        <v>393</v>
      </c>
      <c r="E102" s="18" t="s">
        <v>41</v>
      </c>
    </row>
    <row r="103" spans="1:5" x14ac:dyDescent="0.2">
      <c r="A103" s="15" t="s">
        <v>836</v>
      </c>
      <c r="B103" s="4" t="s">
        <v>42</v>
      </c>
      <c r="C103" s="4" t="s">
        <v>244</v>
      </c>
      <c r="D103" s="4" t="s">
        <v>500</v>
      </c>
      <c r="E103" s="10" t="s">
        <v>915</v>
      </c>
    </row>
    <row r="105" spans="1:5" ht="14.25" x14ac:dyDescent="0.2">
      <c r="A105" s="16"/>
      <c r="B105" s="17" t="s">
        <v>81</v>
      </c>
    </row>
    <row r="106" spans="1:5" ht="15" x14ac:dyDescent="0.2">
      <c r="A106" s="18" t="s">
        <v>37</v>
      </c>
      <c r="B106" s="18" t="s">
        <v>38</v>
      </c>
      <c r="C106" s="18" t="s">
        <v>39</v>
      </c>
      <c r="D106" s="18" t="s">
        <v>393</v>
      </c>
      <c r="E106" s="18" t="s">
        <v>41</v>
      </c>
    </row>
    <row r="107" spans="1:5" x14ac:dyDescent="0.2">
      <c r="A107" s="15" t="s">
        <v>840</v>
      </c>
      <c r="B107" s="4" t="s">
        <v>81</v>
      </c>
      <c r="C107" s="4" t="s">
        <v>244</v>
      </c>
      <c r="D107" s="4" t="s">
        <v>186</v>
      </c>
      <c r="E107" s="10" t="s">
        <v>916</v>
      </c>
    </row>
    <row r="108" spans="1:5" x14ac:dyDescent="0.2">
      <c r="A108" s="15" t="s">
        <v>871</v>
      </c>
      <c r="B108" s="4" t="s">
        <v>81</v>
      </c>
      <c r="C108" s="4" t="s">
        <v>256</v>
      </c>
      <c r="D108" s="4" t="s">
        <v>223</v>
      </c>
      <c r="E108" s="10" t="s">
        <v>917</v>
      </c>
    </row>
    <row r="109" spans="1:5" x14ac:dyDescent="0.2">
      <c r="A109" s="15" t="s">
        <v>236</v>
      </c>
      <c r="B109" s="4" t="s">
        <v>81</v>
      </c>
      <c r="C109" s="4" t="s">
        <v>43</v>
      </c>
      <c r="D109" s="4" t="s">
        <v>22</v>
      </c>
      <c r="E109" s="10" t="s">
        <v>918</v>
      </c>
    </row>
    <row r="110" spans="1:5" x14ac:dyDescent="0.2">
      <c r="A110" s="15" t="s">
        <v>364</v>
      </c>
      <c r="B110" s="4" t="s">
        <v>81</v>
      </c>
      <c r="C110" s="4" t="s">
        <v>256</v>
      </c>
      <c r="D110" s="4" t="s">
        <v>59</v>
      </c>
      <c r="E110" s="10" t="s">
        <v>919</v>
      </c>
    </row>
    <row r="111" spans="1:5" x14ac:dyDescent="0.2">
      <c r="A111" s="15" t="s">
        <v>889</v>
      </c>
      <c r="B111" s="4" t="s">
        <v>81</v>
      </c>
      <c r="C111" s="4" t="s">
        <v>43</v>
      </c>
      <c r="D111" s="4" t="s">
        <v>307</v>
      </c>
      <c r="E111" s="10" t="s">
        <v>920</v>
      </c>
    </row>
    <row r="112" spans="1:5" x14ac:dyDescent="0.2">
      <c r="A112" s="15" t="s">
        <v>598</v>
      </c>
      <c r="B112" s="4" t="s">
        <v>81</v>
      </c>
      <c r="C112" s="4" t="s">
        <v>43</v>
      </c>
      <c r="D112" s="4" t="s">
        <v>793</v>
      </c>
      <c r="E112" s="10" t="s">
        <v>921</v>
      </c>
    </row>
    <row r="113" spans="1:5" x14ac:dyDescent="0.2">
      <c r="A113" s="15" t="s">
        <v>861</v>
      </c>
      <c r="B113" s="4" t="s">
        <v>81</v>
      </c>
      <c r="C113" s="4" t="s">
        <v>268</v>
      </c>
      <c r="D113" s="4" t="s">
        <v>865</v>
      </c>
      <c r="E113" s="10" t="s">
        <v>922</v>
      </c>
    </row>
    <row r="114" spans="1:5" x14ac:dyDescent="0.2">
      <c r="A114" s="15" t="s">
        <v>877</v>
      </c>
      <c r="B114" s="4" t="s">
        <v>81</v>
      </c>
      <c r="C114" s="4" t="s">
        <v>63</v>
      </c>
      <c r="D114" s="4" t="s">
        <v>784</v>
      </c>
      <c r="E114" s="10" t="s">
        <v>923</v>
      </c>
    </row>
    <row r="115" spans="1:5" x14ac:dyDescent="0.2">
      <c r="A115" s="15" t="s">
        <v>881</v>
      </c>
      <c r="B115" s="4" t="s">
        <v>81</v>
      </c>
      <c r="C115" s="4" t="s">
        <v>63</v>
      </c>
      <c r="D115" s="4" t="s">
        <v>721</v>
      </c>
      <c r="E115" s="10" t="s">
        <v>924</v>
      </c>
    </row>
    <row r="116" spans="1:5" x14ac:dyDescent="0.2">
      <c r="A116" s="15" t="s">
        <v>867</v>
      </c>
      <c r="B116" s="4" t="s">
        <v>81</v>
      </c>
      <c r="C116" s="4" t="s">
        <v>268</v>
      </c>
      <c r="D116" s="4" t="s">
        <v>193</v>
      </c>
      <c r="E116" s="10" t="s">
        <v>925</v>
      </c>
    </row>
    <row r="117" spans="1:5" x14ac:dyDescent="0.2">
      <c r="A117" s="15" t="s">
        <v>856</v>
      </c>
      <c r="B117" s="4" t="s">
        <v>81</v>
      </c>
      <c r="C117" s="4" t="s">
        <v>263</v>
      </c>
      <c r="D117" s="4" t="s">
        <v>24</v>
      </c>
      <c r="E117" s="10" t="s">
        <v>926</v>
      </c>
    </row>
    <row r="118" spans="1:5" x14ac:dyDescent="0.2">
      <c r="A118" s="15" t="s">
        <v>894</v>
      </c>
      <c r="B118" s="4" t="s">
        <v>81</v>
      </c>
      <c r="C118" s="4" t="s">
        <v>43</v>
      </c>
      <c r="D118" s="4" t="s">
        <v>194</v>
      </c>
      <c r="E118" s="10" t="s">
        <v>927</v>
      </c>
    </row>
    <row r="119" spans="1:5" x14ac:dyDescent="0.2">
      <c r="A119" s="15" t="s">
        <v>885</v>
      </c>
      <c r="B119" s="4" t="s">
        <v>81</v>
      </c>
      <c r="C119" s="4" t="s">
        <v>63</v>
      </c>
      <c r="D119" s="4" t="s">
        <v>193</v>
      </c>
      <c r="E119" s="10" t="s">
        <v>928</v>
      </c>
    </row>
    <row r="120" spans="1:5" x14ac:dyDescent="0.2">
      <c r="A120" s="15" t="s">
        <v>506</v>
      </c>
      <c r="B120" s="4" t="s">
        <v>81</v>
      </c>
      <c r="C120" s="4" t="s">
        <v>263</v>
      </c>
      <c r="D120" s="4" t="s">
        <v>73</v>
      </c>
      <c r="E120" s="10" t="s">
        <v>929</v>
      </c>
    </row>
    <row r="122" spans="1:5" ht="14.25" x14ac:dyDescent="0.2">
      <c r="A122" s="16"/>
      <c r="B122" s="17" t="s">
        <v>61</v>
      </c>
    </row>
    <row r="123" spans="1:5" ht="15" x14ac:dyDescent="0.2">
      <c r="A123" s="18" t="s">
        <v>37</v>
      </c>
      <c r="B123" s="18" t="s">
        <v>38</v>
      </c>
      <c r="C123" s="18" t="s">
        <v>39</v>
      </c>
      <c r="D123" s="18" t="s">
        <v>393</v>
      </c>
      <c r="E123" s="18" t="s">
        <v>41</v>
      </c>
    </row>
    <row r="124" spans="1:5" x14ac:dyDescent="0.2">
      <c r="A124" s="15" t="s">
        <v>229</v>
      </c>
      <c r="B124" s="4" t="s">
        <v>285</v>
      </c>
      <c r="C124" s="4" t="s">
        <v>63</v>
      </c>
      <c r="D124" s="4" t="s">
        <v>235</v>
      </c>
      <c r="E124" s="10" t="s">
        <v>930</v>
      </c>
    </row>
  </sheetData>
  <mergeCells count="22">
    <mergeCell ref="A39:J39"/>
    <mergeCell ref="A43:J43"/>
    <mergeCell ref="A48:J48"/>
    <mergeCell ref="A54:J54"/>
    <mergeCell ref="A11:J11"/>
    <mergeCell ref="A16:J16"/>
    <mergeCell ref="A22:J22"/>
    <mergeCell ref="A26:J26"/>
    <mergeCell ref="A30:J30"/>
    <mergeCell ref="A33:J33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A3" sqref="A3:A4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7.85546875" style="4" bestFit="1" customWidth="1"/>
    <col min="7" max="9" width="6.57031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29.42578125" style="4" bestFit="1" customWidth="1"/>
    <col min="14" max="16384" width="9.140625" style="3"/>
  </cols>
  <sheetData>
    <row r="1" spans="1:13" s="2" customFormat="1" ht="29.1" customHeight="1" x14ac:dyDescent="0.2">
      <c r="A1" s="35" t="s">
        <v>1342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 x14ac:dyDescent="0.2">
      <c r="A3" s="41" t="s">
        <v>0</v>
      </c>
      <c r="B3" s="43" t="s">
        <v>6</v>
      </c>
      <c r="C3" s="43" t="s">
        <v>10</v>
      </c>
      <c r="D3" s="45" t="s">
        <v>11</v>
      </c>
      <c r="E3" s="45" t="s">
        <v>4</v>
      </c>
      <c r="F3" s="45" t="s">
        <v>7</v>
      </c>
      <c r="G3" s="45" t="s">
        <v>14</v>
      </c>
      <c r="H3" s="45"/>
      <c r="I3" s="45"/>
      <c r="J3" s="45"/>
      <c r="K3" s="45" t="s">
        <v>408</v>
      </c>
      <c r="L3" s="45" t="s">
        <v>3</v>
      </c>
      <c r="M3" s="46" t="s">
        <v>2</v>
      </c>
    </row>
    <row r="4" spans="1:13" s="1" customFormat="1" ht="21" customHeight="1" thickBot="1" x14ac:dyDescent="0.25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44"/>
      <c r="L4" s="44"/>
      <c r="M4" s="47"/>
    </row>
    <row r="5" spans="1:13" ht="15" x14ac:dyDescent="0.2">
      <c r="A5" s="48" t="s">
        <v>170</v>
      </c>
      <c r="B5" s="49"/>
      <c r="C5" s="49"/>
      <c r="D5" s="49"/>
      <c r="E5" s="49"/>
      <c r="F5" s="49"/>
      <c r="G5" s="49"/>
      <c r="H5" s="49"/>
      <c r="I5" s="49"/>
      <c r="J5" s="49"/>
    </row>
    <row r="6" spans="1:13" x14ac:dyDescent="0.2">
      <c r="A6" s="6" t="s">
        <v>288</v>
      </c>
      <c r="B6" s="6" t="s">
        <v>289</v>
      </c>
      <c r="C6" s="6" t="s">
        <v>290</v>
      </c>
      <c r="D6" s="6" t="str">
        <f>"0,6730"</f>
        <v>0,6730</v>
      </c>
      <c r="E6" s="6" t="s">
        <v>51</v>
      </c>
      <c r="F6" s="6" t="s">
        <v>291</v>
      </c>
      <c r="G6" s="7" t="s">
        <v>798</v>
      </c>
      <c r="H6" s="7" t="s">
        <v>180</v>
      </c>
      <c r="I6" s="7" t="s">
        <v>799</v>
      </c>
      <c r="J6" s="8"/>
      <c r="K6" s="11" t="str">
        <f>"212.50o"</f>
        <v>212.50o</v>
      </c>
      <c r="L6" s="12" t="str">
        <f>"219,5242"</f>
        <v>219,5242</v>
      </c>
      <c r="M6" s="6" t="s">
        <v>28</v>
      </c>
    </row>
    <row r="8" spans="1:13" ht="15" x14ac:dyDescent="0.2">
      <c r="A8" s="56" t="s">
        <v>46</v>
      </c>
      <c r="B8" s="56"/>
      <c r="C8" s="56"/>
      <c r="D8" s="56"/>
      <c r="E8" s="56"/>
      <c r="F8" s="56"/>
      <c r="G8" s="56"/>
      <c r="H8" s="56"/>
      <c r="I8" s="56"/>
      <c r="J8" s="56"/>
    </row>
    <row r="9" spans="1:13" x14ac:dyDescent="0.2">
      <c r="A9" s="6" t="s">
        <v>48</v>
      </c>
      <c r="B9" s="6" t="s">
        <v>49</v>
      </c>
      <c r="C9" s="6" t="s">
        <v>50</v>
      </c>
      <c r="D9" s="6" t="str">
        <f>"0,5830"</f>
        <v>0,5830</v>
      </c>
      <c r="E9" s="6" t="s">
        <v>51</v>
      </c>
      <c r="F9" s="6" t="s">
        <v>52</v>
      </c>
      <c r="G9" s="7" t="s">
        <v>58</v>
      </c>
      <c r="H9" s="8" t="s">
        <v>59</v>
      </c>
      <c r="I9" s="8" t="s">
        <v>59</v>
      </c>
      <c r="J9" s="8"/>
      <c r="K9" s="11" t="str">
        <f>"230.00o"</f>
        <v>230.00o</v>
      </c>
      <c r="L9" s="12" t="str">
        <f>"278,3708"</f>
        <v>278,3708</v>
      </c>
      <c r="M9" s="6" t="s">
        <v>60</v>
      </c>
    </row>
    <row r="11" spans="1:13" ht="15" x14ac:dyDescent="0.2">
      <c r="E11" s="9" t="s">
        <v>29</v>
      </c>
    </row>
    <row r="12" spans="1:13" ht="15" x14ac:dyDescent="0.2">
      <c r="E12" s="9" t="s">
        <v>30</v>
      </c>
    </row>
    <row r="13" spans="1:13" ht="15" x14ac:dyDescent="0.2">
      <c r="E13" s="9" t="s">
        <v>31</v>
      </c>
    </row>
    <row r="14" spans="1:13" ht="15" x14ac:dyDescent="0.2">
      <c r="E14" s="9" t="s">
        <v>32</v>
      </c>
    </row>
    <row r="15" spans="1:13" ht="15" x14ac:dyDescent="0.2">
      <c r="E15" s="9" t="s">
        <v>32</v>
      </c>
    </row>
    <row r="16" spans="1:13" ht="15" x14ac:dyDescent="0.2">
      <c r="E16" s="9" t="s">
        <v>33</v>
      </c>
    </row>
    <row r="17" spans="1:5" ht="15" x14ac:dyDescent="0.2">
      <c r="E17" s="9"/>
    </row>
    <row r="19" spans="1:5" ht="18" x14ac:dyDescent="0.25">
      <c r="A19" s="13" t="s">
        <v>34</v>
      </c>
      <c r="B19" s="13"/>
    </row>
    <row r="20" spans="1:5" ht="15" x14ac:dyDescent="0.2">
      <c r="A20" s="14" t="s">
        <v>35</v>
      </c>
      <c r="B20" s="14"/>
    </row>
    <row r="21" spans="1:5" ht="14.25" x14ac:dyDescent="0.2">
      <c r="A21" s="16"/>
      <c r="B21" s="17" t="s">
        <v>61</v>
      </c>
    </row>
    <row r="22" spans="1:5" ht="15" x14ac:dyDescent="0.2">
      <c r="A22" s="18" t="s">
        <v>37</v>
      </c>
      <c r="B22" s="18" t="s">
        <v>38</v>
      </c>
      <c r="C22" s="18" t="s">
        <v>39</v>
      </c>
      <c r="D22" s="18" t="s">
        <v>393</v>
      </c>
      <c r="E22" s="18" t="s">
        <v>41</v>
      </c>
    </row>
    <row r="23" spans="1:5" x14ac:dyDescent="0.2">
      <c r="A23" s="15" t="s">
        <v>47</v>
      </c>
      <c r="B23" s="4" t="s">
        <v>62</v>
      </c>
      <c r="C23" s="4" t="s">
        <v>63</v>
      </c>
      <c r="D23" s="4" t="s">
        <v>194</v>
      </c>
      <c r="E23" s="10" t="s">
        <v>800</v>
      </c>
    </row>
    <row r="24" spans="1:5" x14ac:dyDescent="0.2">
      <c r="A24" s="15" t="s">
        <v>287</v>
      </c>
      <c r="B24" s="4" t="s">
        <v>336</v>
      </c>
      <c r="C24" s="4" t="s">
        <v>263</v>
      </c>
      <c r="D24" s="4" t="s">
        <v>801</v>
      </c>
      <c r="E24" s="10" t="s">
        <v>802</v>
      </c>
    </row>
  </sheetData>
  <mergeCells count="13">
    <mergeCell ref="A8:J8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F17" sqref="F17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40.140625" style="4" bestFit="1" customWidth="1"/>
    <col min="7" max="7" width="5" style="3" customWidth="1"/>
    <col min="8" max="8" width="10.42578125" style="3" customWidth="1"/>
    <col min="9" max="9" width="7.85546875" style="10" bestFit="1" customWidth="1"/>
    <col min="10" max="10" width="7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 x14ac:dyDescent="0.2">
      <c r="A1" s="35" t="s">
        <v>1328</v>
      </c>
      <c r="B1" s="36"/>
      <c r="C1" s="36"/>
      <c r="D1" s="36"/>
      <c r="E1" s="36"/>
      <c r="F1" s="36"/>
      <c r="G1" s="36"/>
      <c r="H1" s="36"/>
      <c r="I1" s="36"/>
      <c r="J1" s="36"/>
      <c r="K1" s="37"/>
    </row>
    <row r="2" spans="1:11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40"/>
    </row>
    <row r="3" spans="1:11" s="1" customFormat="1" ht="12.75" customHeight="1" x14ac:dyDescent="0.2">
      <c r="A3" s="41" t="s">
        <v>0</v>
      </c>
      <c r="B3" s="43" t="s">
        <v>6</v>
      </c>
      <c r="C3" s="43" t="s">
        <v>10</v>
      </c>
      <c r="D3" s="45" t="s">
        <v>1226</v>
      </c>
      <c r="E3" s="45" t="s">
        <v>4</v>
      </c>
      <c r="F3" s="45" t="s">
        <v>7</v>
      </c>
      <c r="G3" s="45" t="s">
        <v>1264</v>
      </c>
      <c r="H3" s="45"/>
      <c r="I3" s="45" t="s">
        <v>1035</v>
      </c>
      <c r="J3" s="45" t="s">
        <v>3</v>
      </c>
      <c r="K3" s="46" t="s">
        <v>2</v>
      </c>
    </row>
    <row r="4" spans="1:11" s="1" customFormat="1" ht="21" customHeight="1" thickBot="1" x14ac:dyDescent="0.25">
      <c r="A4" s="42"/>
      <c r="B4" s="44"/>
      <c r="C4" s="44"/>
      <c r="D4" s="44"/>
      <c r="E4" s="44"/>
      <c r="F4" s="44"/>
      <c r="G4" s="5" t="s">
        <v>8</v>
      </c>
      <c r="H4" s="5" t="s">
        <v>9</v>
      </c>
      <c r="I4" s="44"/>
      <c r="J4" s="44"/>
      <c r="K4" s="47"/>
    </row>
    <row r="5" spans="1:11" ht="15" x14ac:dyDescent="0.2">
      <c r="A5" s="48" t="s">
        <v>1228</v>
      </c>
      <c r="B5" s="49"/>
      <c r="C5" s="49"/>
      <c r="D5" s="49"/>
      <c r="E5" s="49"/>
      <c r="F5" s="49"/>
      <c r="G5" s="49"/>
      <c r="H5" s="49"/>
    </row>
    <row r="6" spans="1:11" x14ac:dyDescent="0.2">
      <c r="A6" s="19" t="s">
        <v>1266</v>
      </c>
      <c r="B6" s="19" t="s">
        <v>1267</v>
      </c>
      <c r="C6" s="19" t="s">
        <v>1076</v>
      </c>
      <c r="D6" s="19" t="str">
        <f>"1,0000"</f>
        <v>1,0000</v>
      </c>
      <c r="E6" s="19" t="s">
        <v>424</v>
      </c>
      <c r="F6" s="19" t="s">
        <v>425</v>
      </c>
      <c r="G6" s="20" t="s">
        <v>354</v>
      </c>
      <c r="H6" s="20" t="s">
        <v>1268</v>
      </c>
      <c r="I6" s="28" t="str">
        <f>"1050,0"</f>
        <v>1050,0</v>
      </c>
      <c r="J6" s="29" t="str">
        <f>"17,6470"</f>
        <v>17,6470</v>
      </c>
      <c r="K6" s="19" t="s">
        <v>28</v>
      </c>
    </row>
    <row r="7" spans="1:11" x14ac:dyDescent="0.2">
      <c r="A7" s="25" t="s">
        <v>1270</v>
      </c>
      <c r="B7" s="25" t="s">
        <v>1271</v>
      </c>
      <c r="C7" s="25" t="s">
        <v>1272</v>
      </c>
      <c r="D7" s="25" t="str">
        <f>"1,0000"</f>
        <v>1,0000</v>
      </c>
      <c r="E7" s="25" t="s">
        <v>424</v>
      </c>
      <c r="F7" s="25" t="s">
        <v>425</v>
      </c>
      <c r="G7" s="26" t="s">
        <v>354</v>
      </c>
      <c r="H7" s="26" t="s">
        <v>1273</v>
      </c>
      <c r="I7" s="32" t="str">
        <f>"2300,0"</f>
        <v>2300,0</v>
      </c>
      <c r="J7" s="33" t="str">
        <f>"23,3502"</f>
        <v>23,3502</v>
      </c>
      <c r="K7" s="25" t="s">
        <v>28</v>
      </c>
    </row>
    <row r="8" spans="1:11" x14ac:dyDescent="0.2">
      <c r="A8" s="25" t="s">
        <v>1274</v>
      </c>
      <c r="B8" s="25" t="s">
        <v>1138</v>
      </c>
      <c r="C8" s="25" t="s">
        <v>870</v>
      </c>
      <c r="D8" s="25" t="str">
        <f>"1,0000"</f>
        <v>1,0000</v>
      </c>
      <c r="E8" s="25" t="s">
        <v>118</v>
      </c>
      <c r="F8" s="25" t="s">
        <v>211</v>
      </c>
      <c r="G8" s="26" t="s">
        <v>354</v>
      </c>
      <c r="H8" s="26" t="s">
        <v>530</v>
      </c>
      <c r="I8" s="32" t="str">
        <f>"2000,0"</f>
        <v>2000,0</v>
      </c>
      <c r="J8" s="33" t="str">
        <f>"24,3902"</f>
        <v>24,3902</v>
      </c>
      <c r="K8" s="25" t="s">
        <v>28</v>
      </c>
    </row>
    <row r="9" spans="1:11" x14ac:dyDescent="0.2">
      <c r="A9" s="25" t="s">
        <v>1276</v>
      </c>
      <c r="B9" s="25" t="s">
        <v>1277</v>
      </c>
      <c r="C9" s="25" t="s">
        <v>1278</v>
      </c>
      <c r="D9" s="25" t="str">
        <f>"1,0000"</f>
        <v>1,0000</v>
      </c>
      <c r="E9" s="25" t="s">
        <v>424</v>
      </c>
      <c r="F9" s="25" t="s">
        <v>425</v>
      </c>
      <c r="G9" s="26" t="s">
        <v>354</v>
      </c>
      <c r="H9" s="26" t="s">
        <v>1279</v>
      </c>
      <c r="I9" s="32" t="str">
        <f>"1300,0"</f>
        <v>1300,0</v>
      </c>
      <c r="J9" s="33" t="str">
        <f>"14,8741"</f>
        <v>14,8741</v>
      </c>
      <c r="K9" s="25" t="s">
        <v>28</v>
      </c>
    </row>
    <row r="10" spans="1:11" x14ac:dyDescent="0.2">
      <c r="A10" s="22" t="s">
        <v>676</v>
      </c>
      <c r="B10" s="22" t="s">
        <v>677</v>
      </c>
      <c r="C10" s="22" t="s">
        <v>678</v>
      </c>
      <c r="D10" s="22" t="str">
        <f>"1,0000"</f>
        <v>1,0000</v>
      </c>
      <c r="E10" s="22" t="s">
        <v>424</v>
      </c>
      <c r="F10" s="22" t="s">
        <v>425</v>
      </c>
      <c r="G10" s="23" t="s">
        <v>354</v>
      </c>
      <c r="H10" s="23" t="s">
        <v>1279</v>
      </c>
      <c r="I10" s="30" t="str">
        <f>"1300,0"</f>
        <v>1300,0</v>
      </c>
      <c r="J10" s="31" t="str">
        <f>"14,7392"</f>
        <v>14,7392</v>
      </c>
      <c r="K10" s="22" t="s">
        <v>28</v>
      </c>
    </row>
    <row r="12" spans="1:11" ht="15" x14ac:dyDescent="0.2">
      <c r="E12" s="9" t="s">
        <v>29</v>
      </c>
    </row>
    <row r="13" spans="1:11" ht="15" x14ac:dyDescent="0.2">
      <c r="E13" s="9" t="s">
        <v>30</v>
      </c>
    </row>
    <row r="14" spans="1:11" ht="15" x14ac:dyDescent="0.2">
      <c r="E14" s="9" t="s">
        <v>31</v>
      </c>
    </row>
    <row r="15" spans="1:11" ht="15" x14ac:dyDescent="0.2">
      <c r="E15" s="9" t="s">
        <v>32</v>
      </c>
    </row>
    <row r="16" spans="1:11" ht="15" x14ac:dyDescent="0.2">
      <c r="E16" s="9" t="s">
        <v>32</v>
      </c>
    </row>
    <row r="17" spans="1:5" ht="15" x14ac:dyDescent="0.2">
      <c r="E17" s="9" t="s">
        <v>33</v>
      </c>
    </row>
    <row r="18" spans="1:5" ht="15" x14ac:dyDescent="0.2">
      <c r="E18" s="9"/>
    </row>
    <row r="20" spans="1:5" ht="18" x14ac:dyDescent="0.25">
      <c r="A20" s="13" t="s">
        <v>34</v>
      </c>
      <c r="B20" s="13"/>
    </row>
    <row r="21" spans="1:5" ht="15" x14ac:dyDescent="0.2">
      <c r="A21" s="14" t="s">
        <v>35</v>
      </c>
      <c r="B21" s="14"/>
    </row>
    <row r="22" spans="1:5" ht="14.25" x14ac:dyDescent="0.2">
      <c r="A22" s="16"/>
      <c r="B22" s="17" t="s">
        <v>614</v>
      </c>
    </row>
    <row r="23" spans="1:5" ht="15" x14ac:dyDescent="0.2">
      <c r="A23" s="18" t="s">
        <v>37</v>
      </c>
      <c r="B23" s="18" t="s">
        <v>38</v>
      </c>
      <c r="C23" s="18" t="s">
        <v>39</v>
      </c>
      <c r="D23" s="18" t="s">
        <v>393</v>
      </c>
      <c r="E23" s="18" t="s">
        <v>1229</v>
      </c>
    </row>
    <row r="24" spans="1:5" x14ac:dyDescent="0.2">
      <c r="A24" s="15" t="s">
        <v>1265</v>
      </c>
      <c r="B24" s="4" t="s">
        <v>394</v>
      </c>
      <c r="C24" s="4" t="s">
        <v>1230</v>
      </c>
      <c r="D24" s="4" t="s">
        <v>1280</v>
      </c>
      <c r="E24" s="10" t="s">
        <v>1281</v>
      </c>
    </row>
    <row r="26" spans="1:5" ht="14.25" x14ac:dyDescent="0.2">
      <c r="A26" s="16"/>
      <c r="B26" s="17" t="s">
        <v>81</v>
      </c>
    </row>
    <row r="27" spans="1:5" ht="15" x14ac:dyDescent="0.2">
      <c r="A27" s="18" t="s">
        <v>37</v>
      </c>
      <c r="B27" s="18" t="s">
        <v>38</v>
      </c>
      <c r="C27" s="18" t="s">
        <v>39</v>
      </c>
      <c r="D27" s="18" t="s">
        <v>393</v>
      </c>
      <c r="E27" s="18" t="s">
        <v>1229</v>
      </c>
    </row>
    <row r="28" spans="1:5" x14ac:dyDescent="0.2">
      <c r="A28" s="15" t="s">
        <v>1136</v>
      </c>
      <c r="B28" s="4" t="s">
        <v>81</v>
      </c>
      <c r="C28" s="4" t="s">
        <v>1230</v>
      </c>
      <c r="D28" s="4" t="s">
        <v>1282</v>
      </c>
      <c r="E28" s="10" t="s">
        <v>1283</v>
      </c>
    </row>
    <row r="29" spans="1:5" x14ac:dyDescent="0.2">
      <c r="A29" s="15" t="s">
        <v>1269</v>
      </c>
      <c r="B29" s="4" t="s">
        <v>81</v>
      </c>
      <c r="C29" s="4" t="s">
        <v>1230</v>
      </c>
      <c r="D29" s="4" t="s">
        <v>1284</v>
      </c>
      <c r="E29" s="10" t="s">
        <v>1285</v>
      </c>
    </row>
    <row r="30" spans="1:5" x14ac:dyDescent="0.2">
      <c r="A30" s="15" t="s">
        <v>1275</v>
      </c>
      <c r="B30" s="4" t="s">
        <v>81</v>
      </c>
      <c r="C30" s="4" t="s">
        <v>1230</v>
      </c>
      <c r="D30" s="4" t="s">
        <v>1286</v>
      </c>
      <c r="E30" s="10" t="s">
        <v>1287</v>
      </c>
    </row>
    <row r="32" spans="1:5" ht="14.25" x14ac:dyDescent="0.2">
      <c r="A32" s="16"/>
      <c r="B32" s="17" t="s">
        <v>61</v>
      </c>
    </row>
    <row r="33" spans="1:5" ht="15" x14ac:dyDescent="0.2">
      <c r="A33" s="18" t="s">
        <v>37</v>
      </c>
      <c r="B33" s="18" t="s">
        <v>38</v>
      </c>
      <c r="C33" s="18" t="s">
        <v>39</v>
      </c>
      <c r="D33" s="18" t="s">
        <v>393</v>
      </c>
      <c r="E33" s="18" t="s">
        <v>1229</v>
      </c>
    </row>
    <row r="34" spans="1:5" x14ac:dyDescent="0.2">
      <c r="A34" s="15" t="s">
        <v>675</v>
      </c>
      <c r="B34" s="4" t="s">
        <v>343</v>
      </c>
      <c r="C34" s="4" t="s">
        <v>1230</v>
      </c>
      <c r="D34" s="4" t="s">
        <v>1286</v>
      </c>
      <c r="E34" s="10" t="s">
        <v>1288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selection activeCell="C16" sqref="C16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1.85546875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35" t="s">
        <v>1343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 x14ac:dyDescent="0.2">
      <c r="A3" s="41" t="s">
        <v>0</v>
      </c>
      <c r="B3" s="43" t="s">
        <v>6</v>
      </c>
      <c r="C3" s="43" t="s">
        <v>10</v>
      </c>
      <c r="D3" s="45" t="s">
        <v>11</v>
      </c>
      <c r="E3" s="45" t="s">
        <v>4</v>
      </c>
      <c r="F3" s="45" t="s">
        <v>7</v>
      </c>
      <c r="G3" s="45" t="s">
        <v>14</v>
      </c>
      <c r="H3" s="45"/>
      <c r="I3" s="45"/>
      <c r="J3" s="45"/>
      <c r="K3" s="45" t="s">
        <v>408</v>
      </c>
      <c r="L3" s="45" t="s">
        <v>3</v>
      </c>
      <c r="M3" s="46" t="s">
        <v>2</v>
      </c>
    </row>
    <row r="4" spans="1:13" s="1" customFormat="1" ht="21" customHeight="1" thickBot="1" x14ac:dyDescent="0.25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44"/>
      <c r="L4" s="44"/>
      <c r="M4" s="47"/>
    </row>
    <row r="5" spans="1:13" ht="15" x14ac:dyDescent="0.2">
      <c r="A5" s="48" t="s">
        <v>187</v>
      </c>
      <c r="B5" s="49"/>
      <c r="C5" s="49"/>
      <c r="D5" s="49"/>
      <c r="E5" s="49"/>
      <c r="F5" s="49"/>
      <c r="G5" s="49"/>
      <c r="H5" s="49"/>
      <c r="I5" s="49"/>
      <c r="J5" s="49"/>
    </row>
    <row r="6" spans="1:13" x14ac:dyDescent="0.2">
      <c r="A6" s="6" t="s">
        <v>781</v>
      </c>
      <c r="B6" s="6" t="s">
        <v>782</v>
      </c>
      <c r="C6" s="6" t="s">
        <v>783</v>
      </c>
      <c r="D6" s="6" t="str">
        <f>"0,6298"</f>
        <v>0,6298</v>
      </c>
      <c r="E6" s="6" t="s">
        <v>20</v>
      </c>
      <c r="F6" s="6" t="s">
        <v>21</v>
      </c>
      <c r="G6" s="7" t="s">
        <v>194</v>
      </c>
      <c r="H6" s="7" t="s">
        <v>784</v>
      </c>
      <c r="I6" s="8" t="s">
        <v>223</v>
      </c>
      <c r="J6" s="8"/>
      <c r="K6" s="11" t="str">
        <f>"245,0"</f>
        <v>245,0</v>
      </c>
      <c r="L6" s="12" t="str">
        <f>"154,3010"</f>
        <v>154,3010</v>
      </c>
      <c r="M6" s="6" t="s">
        <v>28</v>
      </c>
    </row>
    <row r="8" spans="1:13" ht="15" x14ac:dyDescent="0.2">
      <c r="A8" s="56" t="s">
        <v>143</v>
      </c>
      <c r="B8" s="56"/>
      <c r="C8" s="56"/>
      <c r="D8" s="56"/>
      <c r="E8" s="56"/>
      <c r="F8" s="56"/>
      <c r="G8" s="56"/>
      <c r="H8" s="56"/>
      <c r="I8" s="56"/>
      <c r="J8" s="56"/>
    </row>
    <row r="9" spans="1:13" x14ac:dyDescent="0.2">
      <c r="A9" s="6" t="s">
        <v>786</v>
      </c>
      <c r="B9" s="6" t="s">
        <v>787</v>
      </c>
      <c r="C9" s="6" t="s">
        <v>788</v>
      </c>
      <c r="D9" s="6" t="str">
        <f>"0,6098"</f>
        <v>0,6098</v>
      </c>
      <c r="E9" s="6" t="s">
        <v>20</v>
      </c>
      <c r="F9" s="6" t="s">
        <v>21</v>
      </c>
      <c r="G9" s="7" t="s">
        <v>131</v>
      </c>
      <c r="H9" s="8"/>
      <c r="I9" s="8"/>
      <c r="J9" s="8"/>
      <c r="K9" s="11" t="str">
        <f>"150,0"</f>
        <v>150,0</v>
      </c>
      <c r="L9" s="12" t="str">
        <f>"183,8547"</f>
        <v>183,8547</v>
      </c>
      <c r="M9" s="6" t="s">
        <v>28</v>
      </c>
    </row>
    <row r="11" spans="1:13" ht="15" x14ac:dyDescent="0.2">
      <c r="A11" s="56" t="s">
        <v>15</v>
      </c>
      <c r="B11" s="56"/>
      <c r="C11" s="56"/>
      <c r="D11" s="56"/>
      <c r="E11" s="56"/>
      <c r="F11" s="56"/>
      <c r="G11" s="56"/>
      <c r="H11" s="56"/>
      <c r="I11" s="56"/>
      <c r="J11" s="56"/>
    </row>
    <row r="12" spans="1:13" x14ac:dyDescent="0.2">
      <c r="A12" s="19" t="s">
        <v>790</v>
      </c>
      <c r="B12" s="19" t="s">
        <v>791</v>
      </c>
      <c r="C12" s="19" t="s">
        <v>792</v>
      </c>
      <c r="D12" s="19" t="str">
        <f>"0,5365"</f>
        <v>0,5365</v>
      </c>
      <c r="E12" s="19" t="s">
        <v>20</v>
      </c>
      <c r="F12" s="19" t="s">
        <v>21</v>
      </c>
      <c r="G12" s="20" t="s">
        <v>194</v>
      </c>
      <c r="H12" s="20" t="s">
        <v>793</v>
      </c>
      <c r="I12" s="21" t="s">
        <v>27</v>
      </c>
      <c r="J12" s="21"/>
      <c r="K12" s="28" t="str">
        <f>"252,5"</f>
        <v>252,5</v>
      </c>
      <c r="L12" s="29" t="str">
        <f>"143,5942"</f>
        <v>143,5942</v>
      </c>
      <c r="M12" s="19" t="s">
        <v>28</v>
      </c>
    </row>
    <row r="13" spans="1:13" x14ac:dyDescent="0.2">
      <c r="A13" s="22" t="s">
        <v>17</v>
      </c>
      <c r="B13" s="22" t="s">
        <v>18</v>
      </c>
      <c r="C13" s="22" t="s">
        <v>19</v>
      </c>
      <c r="D13" s="22" t="str">
        <f>"0,5395"</f>
        <v>0,5395</v>
      </c>
      <c r="E13" s="22" t="s">
        <v>20</v>
      </c>
      <c r="F13" s="22" t="s">
        <v>21</v>
      </c>
      <c r="G13" s="23" t="s">
        <v>26</v>
      </c>
      <c r="H13" s="24" t="s">
        <v>27</v>
      </c>
      <c r="I13" s="24" t="s">
        <v>27</v>
      </c>
      <c r="J13" s="24"/>
      <c r="K13" s="30" t="str">
        <f>"250,0"</f>
        <v>250,0</v>
      </c>
      <c r="L13" s="31" t="str">
        <f>"134,8750"</f>
        <v>134,8750</v>
      </c>
      <c r="M13" s="22" t="s">
        <v>28</v>
      </c>
    </row>
    <row r="15" spans="1:13" ht="15" x14ac:dyDescent="0.2">
      <c r="E15" s="9" t="s">
        <v>29</v>
      </c>
    </row>
    <row r="16" spans="1:13" ht="15" x14ac:dyDescent="0.2">
      <c r="E16" s="9" t="s">
        <v>30</v>
      </c>
    </row>
    <row r="17" spans="1:5" ht="15" x14ac:dyDescent="0.2">
      <c r="E17" s="9" t="s">
        <v>31</v>
      </c>
    </row>
    <row r="18" spans="1:5" ht="15" x14ac:dyDescent="0.2">
      <c r="E18" s="9" t="s">
        <v>32</v>
      </c>
    </row>
    <row r="19" spans="1:5" ht="15" x14ac:dyDescent="0.2">
      <c r="E19" s="9" t="s">
        <v>32</v>
      </c>
    </row>
    <row r="20" spans="1:5" ht="15" x14ac:dyDescent="0.2">
      <c r="E20" s="9" t="s">
        <v>33</v>
      </c>
    </row>
    <row r="21" spans="1:5" ht="15" x14ac:dyDescent="0.2">
      <c r="E21" s="9"/>
    </row>
    <row r="23" spans="1:5" ht="18" x14ac:dyDescent="0.25">
      <c r="A23" s="13" t="s">
        <v>34</v>
      </c>
      <c r="B23" s="13"/>
    </row>
    <row r="24" spans="1:5" ht="15" x14ac:dyDescent="0.2">
      <c r="A24" s="14" t="s">
        <v>35</v>
      </c>
      <c r="B24" s="14"/>
    </row>
    <row r="25" spans="1:5" ht="14.25" x14ac:dyDescent="0.2">
      <c r="A25" s="16"/>
      <c r="B25" s="17" t="s">
        <v>614</v>
      </c>
    </row>
    <row r="26" spans="1:5" ht="15" x14ac:dyDescent="0.2">
      <c r="A26" s="18" t="s">
        <v>37</v>
      </c>
      <c r="B26" s="18" t="s">
        <v>38</v>
      </c>
      <c r="C26" s="18" t="s">
        <v>39</v>
      </c>
      <c r="D26" s="18" t="s">
        <v>393</v>
      </c>
      <c r="E26" s="18" t="s">
        <v>41</v>
      </c>
    </row>
    <row r="27" spans="1:5" x14ac:dyDescent="0.2">
      <c r="A27" s="15" t="s">
        <v>789</v>
      </c>
      <c r="B27" s="4" t="s">
        <v>394</v>
      </c>
      <c r="C27" s="4" t="s">
        <v>43</v>
      </c>
      <c r="D27" s="4" t="s">
        <v>793</v>
      </c>
      <c r="E27" s="10" t="s">
        <v>794</v>
      </c>
    </row>
    <row r="29" spans="1:5" ht="14.25" x14ac:dyDescent="0.2">
      <c r="A29" s="16"/>
      <c r="B29" s="17" t="s">
        <v>36</v>
      </c>
    </row>
    <row r="30" spans="1:5" ht="15" x14ac:dyDescent="0.2">
      <c r="A30" s="18" t="s">
        <v>37</v>
      </c>
      <c r="B30" s="18" t="s">
        <v>38</v>
      </c>
      <c r="C30" s="18" t="s">
        <v>39</v>
      </c>
      <c r="D30" s="18" t="s">
        <v>393</v>
      </c>
      <c r="E30" s="18" t="s">
        <v>41</v>
      </c>
    </row>
    <row r="31" spans="1:5" x14ac:dyDescent="0.2">
      <c r="A31" s="15" t="s">
        <v>16</v>
      </c>
      <c r="B31" s="4" t="s">
        <v>42</v>
      </c>
      <c r="C31" s="4" t="s">
        <v>43</v>
      </c>
      <c r="D31" s="4" t="s">
        <v>26</v>
      </c>
      <c r="E31" s="10" t="s">
        <v>795</v>
      </c>
    </row>
    <row r="33" spans="1:5" ht="14.25" x14ac:dyDescent="0.2">
      <c r="A33" s="16"/>
      <c r="B33" s="17" t="s">
        <v>81</v>
      </c>
    </row>
    <row r="34" spans="1:5" ht="15" x14ac:dyDescent="0.2">
      <c r="A34" s="18" t="s">
        <v>37</v>
      </c>
      <c r="B34" s="18" t="s">
        <v>38</v>
      </c>
      <c r="C34" s="18" t="s">
        <v>39</v>
      </c>
      <c r="D34" s="18" t="s">
        <v>393</v>
      </c>
      <c r="E34" s="18" t="s">
        <v>41</v>
      </c>
    </row>
    <row r="35" spans="1:5" x14ac:dyDescent="0.2">
      <c r="A35" s="15" t="s">
        <v>780</v>
      </c>
      <c r="B35" s="4" t="s">
        <v>81</v>
      </c>
      <c r="C35" s="4" t="s">
        <v>268</v>
      </c>
      <c r="D35" s="4" t="s">
        <v>784</v>
      </c>
      <c r="E35" s="10" t="s">
        <v>796</v>
      </c>
    </row>
    <row r="37" spans="1:5" ht="14.25" x14ac:dyDescent="0.2">
      <c r="A37" s="16"/>
      <c r="B37" s="17" t="s">
        <v>61</v>
      </c>
    </row>
    <row r="38" spans="1:5" ht="15" x14ac:dyDescent="0.2">
      <c r="A38" s="18" t="s">
        <v>37</v>
      </c>
      <c r="B38" s="18" t="s">
        <v>38</v>
      </c>
      <c r="C38" s="18" t="s">
        <v>39</v>
      </c>
      <c r="D38" s="18" t="s">
        <v>393</v>
      </c>
      <c r="E38" s="18" t="s">
        <v>41</v>
      </c>
    </row>
    <row r="39" spans="1:5" x14ac:dyDescent="0.2">
      <c r="A39" s="15" t="s">
        <v>785</v>
      </c>
      <c r="B39" s="4" t="s">
        <v>281</v>
      </c>
      <c r="C39" s="4" t="s">
        <v>256</v>
      </c>
      <c r="D39" s="4" t="s">
        <v>131</v>
      </c>
      <c r="E39" s="10" t="s">
        <v>797</v>
      </c>
    </row>
  </sheetData>
  <mergeCells count="14">
    <mergeCell ref="A8:J8"/>
    <mergeCell ref="A11:J11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A3" sqref="A3:A4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1.85546875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35" t="s">
        <v>1344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 x14ac:dyDescent="0.2">
      <c r="A3" s="41" t="s">
        <v>0</v>
      </c>
      <c r="B3" s="43" t="s">
        <v>6</v>
      </c>
      <c r="C3" s="43" t="s">
        <v>10</v>
      </c>
      <c r="D3" s="45" t="s">
        <v>11</v>
      </c>
      <c r="E3" s="45" t="s">
        <v>4</v>
      </c>
      <c r="F3" s="45" t="s">
        <v>7</v>
      </c>
      <c r="G3" s="45" t="s">
        <v>14</v>
      </c>
      <c r="H3" s="45"/>
      <c r="I3" s="45"/>
      <c r="J3" s="45"/>
      <c r="K3" s="45" t="s">
        <v>408</v>
      </c>
      <c r="L3" s="45" t="s">
        <v>3</v>
      </c>
      <c r="M3" s="46" t="s">
        <v>2</v>
      </c>
    </row>
    <row r="4" spans="1:13" s="1" customFormat="1" ht="21" customHeight="1" thickBot="1" x14ac:dyDescent="0.25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44"/>
      <c r="L4" s="44"/>
      <c r="M4" s="47"/>
    </row>
    <row r="5" spans="1:13" ht="15" x14ac:dyDescent="0.2">
      <c r="A5" s="48" t="s">
        <v>66</v>
      </c>
      <c r="B5" s="49"/>
      <c r="C5" s="49"/>
      <c r="D5" s="49"/>
      <c r="E5" s="49"/>
      <c r="F5" s="49"/>
      <c r="G5" s="49"/>
      <c r="H5" s="49"/>
      <c r="I5" s="49"/>
      <c r="J5" s="49"/>
    </row>
    <row r="6" spans="1:13" x14ac:dyDescent="0.2">
      <c r="A6" s="6" t="s">
        <v>771</v>
      </c>
      <c r="B6" s="6" t="s">
        <v>772</v>
      </c>
      <c r="C6" s="6" t="s">
        <v>773</v>
      </c>
      <c r="D6" s="6" t="str">
        <f>"0,7337"</f>
        <v>0,7337</v>
      </c>
      <c r="E6" s="6" t="s">
        <v>71</v>
      </c>
      <c r="F6" s="6" t="s">
        <v>21</v>
      </c>
      <c r="G6" s="7" t="s">
        <v>24</v>
      </c>
      <c r="H6" s="7" t="s">
        <v>201</v>
      </c>
      <c r="I6" s="7" t="s">
        <v>25</v>
      </c>
      <c r="J6" s="8"/>
      <c r="K6" s="11" t="str">
        <f>"200,0"</f>
        <v>200,0</v>
      </c>
      <c r="L6" s="12" t="str">
        <f>"146,7400"</f>
        <v>146,7400</v>
      </c>
      <c r="M6" s="6" t="s">
        <v>28</v>
      </c>
    </row>
    <row r="8" spans="1:13" ht="15" x14ac:dyDescent="0.2">
      <c r="A8" s="56" t="s">
        <v>143</v>
      </c>
      <c r="B8" s="56"/>
      <c r="C8" s="56"/>
      <c r="D8" s="56"/>
      <c r="E8" s="56"/>
      <c r="F8" s="56"/>
      <c r="G8" s="56"/>
      <c r="H8" s="56"/>
      <c r="I8" s="56"/>
      <c r="J8" s="56"/>
    </row>
    <row r="9" spans="1:13" x14ac:dyDescent="0.2">
      <c r="A9" s="6" t="s">
        <v>775</v>
      </c>
      <c r="B9" s="6" t="s">
        <v>776</v>
      </c>
      <c r="C9" s="6" t="s">
        <v>777</v>
      </c>
      <c r="D9" s="6" t="str">
        <f>"0,5855"</f>
        <v>0,5855</v>
      </c>
      <c r="E9" s="6" t="s">
        <v>71</v>
      </c>
      <c r="F9" s="6" t="s">
        <v>21</v>
      </c>
      <c r="G9" s="7" t="s">
        <v>53</v>
      </c>
      <c r="H9" s="7" t="s">
        <v>59</v>
      </c>
      <c r="I9" s="8"/>
      <c r="J9" s="8"/>
      <c r="K9" s="11" t="str">
        <f>"240,0"</f>
        <v>240,0</v>
      </c>
      <c r="L9" s="12" t="str">
        <f>"287,7850"</f>
        <v>287,7850</v>
      </c>
      <c r="M9" s="6" t="s">
        <v>28</v>
      </c>
    </row>
    <row r="11" spans="1:13" ht="15" x14ac:dyDescent="0.2">
      <c r="E11" s="9" t="s">
        <v>29</v>
      </c>
    </row>
    <row r="12" spans="1:13" ht="15" x14ac:dyDescent="0.2">
      <c r="E12" s="9" t="s">
        <v>30</v>
      </c>
    </row>
    <row r="13" spans="1:13" ht="15" x14ac:dyDescent="0.2">
      <c r="E13" s="9" t="s">
        <v>31</v>
      </c>
    </row>
    <row r="14" spans="1:13" ht="15" x14ac:dyDescent="0.2">
      <c r="E14" s="9" t="s">
        <v>32</v>
      </c>
    </row>
    <row r="15" spans="1:13" ht="15" x14ac:dyDescent="0.2">
      <c r="E15" s="9" t="s">
        <v>32</v>
      </c>
    </row>
    <row r="16" spans="1:13" ht="15" x14ac:dyDescent="0.2">
      <c r="E16" s="9" t="s">
        <v>33</v>
      </c>
    </row>
    <row r="17" spans="1:5" ht="15" x14ac:dyDescent="0.2">
      <c r="E17" s="9"/>
    </row>
    <row r="19" spans="1:5" ht="18" x14ac:dyDescent="0.25">
      <c r="A19" s="13" t="s">
        <v>34</v>
      </c>
      <c r="B19" s="13"/>
    </row>
    <row r="20" spans="1:5" ht="15" x14ac:dyDescent="0.2">
      <c r="A20" s="14" t="s">
        <v>35</v>
      </c>
      <c r="B20" s="14"/>
    </row>
    <row r="21" spans="1:5" ht="14.25" x14ac:dyDescent="0.2">
      <c r="A21" s="16"/>
      <c r="B21" s="17" t="s">
        <v>36</v>
      </c>
    </row>
    <row r="22" spans="1:5" ht="15" x14ac:dyDescent="0.2">
      <c r="A22" s="18" t="s">
        <v>37</v>
      </c>
      <c r="B22" s="18" t="s">
        <v>38</v>
      </c>
      <c r="C22" s="18" t="s">
        <v>39</v>
      </c>
      <c r="D22" s="18" t="s">
        <v>393</v>
      </c>
      <c r="E22" s="18" t="s">
        <v>41</v>
      </c>
    </row>
    <row r="23" spans="1:5" x14ac:dyDescent="0.2">
      <c r="A23" s="15" t="s">
        <v>770</v>
      </c>
      <c r="B23" s="4" t="s">
        <v>42</v>
      </c>
      <c r="C23" s="4" t="s">
        <v>82</v>
      </c>
      <c r="D23" s="4" t="s">
        <v>25</v>
      </c>
      <c r="E23" s="10" t="s">
        <v>778</v>
      </c>
    </row>
    <row r="25" spans="1:5" ht="14.25" x14ac:dyDescent="0.2">
      <c r="A25" s="16"/>
      <c r="B25" s="17" t="s">
        <v>61</v>
      </c>
    </row>
    <row r="26" spans="1:5" ht="15" x14ac:dyDescent="0.2">
      <c r="A26" s="18" t="s">
        <v>37</v>
      </c>
      <c r="B26" s="18" t="s">
        <v>38</v>
      </c>
      <c r="C26" s="18" t="s">
        <v>39</v>
      </c>
      <c r="D26" s="18" t="s">
        <v>393</v>
      </c>
      <c r="E26" s="18" t="s">
        <v>41</v>
      </c>
    </row>
    <row r="27" spans="1:5" x14ac:dyDescent="0.2">
      <c r="A27" s="15" t="s">
        <v>774</v>
      </c>
      <c r="B27" s="4" t="s">
        <v>281</v>
      </c>
      <c r="C27" s="4" t="s">
        <v>256</v>
      </c>
      <c r="D27" s="4" t="s">
        <v>59</v>
      </c>
      <c r="E27" s="10" t="s">
        <v>779</v>
      </c>
    </row>
  </sheetData>
  <mergeCells count="13">
    <mergeCell ref="A8:J8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A3" sqref="A3:A4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0.28515625" style="4" bestFit="1" customWidth="1"/>
    <col min="7" max="7" width="6.5703125" style="3" customWidth="1"/>
    <col min="8" max="8" width="5.5703125" style="3" customWidth="1"/>
    <col min="9" max="9" width="6.57031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20.28515625" style="4" bestFit="1" customWidth="1"/>
    <col min="14" max="16384" width="9.140625" style="3"/>
  </cols>
  <sheetData>
    <row r="1" spans="1:13" s="2" customFormat="1" ht="29.1" customHeight="1" x14ac:dyDescent="0.2">
      <c r="A1" s="35" t="s">
        <v>1345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 x14ac:dyDescent="0.2">
      <c r="A3" s="41" t="s">
        <v>0</v>
      </c>
      <c r="B3" s="43" t="s">
        <v>6</v>
      </c>
      <c r="C3" s="43" t="s">
        <v>10</v>
      </c>
      <c r="D3" s="45" t="s">
        <v>11</v>
      </c>
      <c r="E3" s="45" t="s">
        <v>4</v>
      </c>
      <c r="F3" s="45" t="s">
        <v>7</v>
      </c>
      <c r="G3" s="45" t="s">
        <v>13</v>
      </c>
      <c r="H3" s="45"/>
      <c r="I3" s="45"/>
      <c r="J3" s="45"/>
      <c r="K3" s="45" t="s">
        <v>408</v>
      </c>
      <c r="L3" s="45" t="s">
        <v>3</v>
      </c>
      <c r="M3" s="46" t="s">
        <v>2</v>
      </c>
    </row>
    <row r="4" spans="1:13" s="1" customFormat="1" ht="21" customHeight="1" thickBot="1" x14ac:dyDescent="0.25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44"/>
      <c r="L4" s="44"/>
      <c r="M4" s="47"/>
    </row>
    <row r="5" spans="1:13" ht="15" x14ac:dyDescent="0.2">
      <c r="A5" s="48" t="s">
        <v>143</v>
      </c>
      <c r="B5" s="49"/>
      <c r="C5" s="49"/>
      <c r="D5" s="49"/>
      <c r="E5" s="49"/>
      <c r="F5" s="49"/>
      <c r="G5" s="49"/>
      <c r="H5" s="49"/>
      <c r="I5" s="49"/>
      <c r="J5" s="49"/>
    </row>
    <row r="6" spans="1:13" x14ac:dyDescent="0.2">
      <c r="A6" s="6" t="s">
        <v>739</v>
      </c>
      <c r="B6" s="6" t="s">
        <v>740</v>
      </c>
      <c r="C6" s="6" t="s">
        <v>741</v>
      </c>
      <c r="D6" s="6" t="str">
        <f>"0,5910"</f>
        <v>0,5910</v>
      </c>
      <c r="E6" s="6" t="s">
        <v>51</v>
      </c>
      <c r="F6" s="6" t="s">
        <v>137</v>
      </c>
      <c r="G6" s="7" t="s">
        <v>742</v>
      </c>
      <c r="H6" s="8" t="s">
        <v>257</v>
      </c>
      <c r="I6" s="7" t="s">
        <v>743</v>
      </c>
      <c r="J6" s="8"/>
      <c r="K6" s="11" t="str">
        <f>"310,0"</f>
        <v>310,0</v>
      </c>
      <c r="L6" s="12" t="str">
        <f>"183,2100"</f>
        <v>183,2100</v>
      </c>
      <c r="M6" s="6" t="s">
        <v>28</v>
      </c>
    </row>
    <row r="8" spans="1:13" ht="15" x14ac:dyDescent="0.2">
      <c r="A8" s="56" t="s">
        <v>15</v>
      </c>
      <c r="B8" s="56"/>
      <c r="C8" s="56"/>
      <c r="D8" s="56"/>
      <c r="E8" s="56"/>
      <c r="F8" s="56"/>
      <c r="G8" s="56"/>
      <c r="H8" s="56"/>
      <c r="I8" s="56"/>
      <c r="J8" s="56"/>
    </row>
    <row r="9" spans="1:13" x14ac:dyDescent="0.2">
      <c r="A9" s="19" t="s">
        <v>745</v>
      </c>
      <c r="B9" s="19" t="s">
        <v>746</v>
      </c>
      <c r="C9" s="19" t="s">
        <v>747</v>
      </c>
      <c r="D9" s="19" t="str">
        <f>"0,5461"</f>
        <v>0,5461</v>
      </c>
      <c r="E9" s="19" t="s">
        <v>71</v>
      </c>
      <c r="F9" s="19" t="s">
        <v>21</v>
      </c>
      <c r="G9" s="20" t="s">
        <v>26</v>
      </c>
      <c r="H9" s="21" t="s">
        <v>224</v>
      </c>
      <c r="I9" s="20" t="s">
        <v>224</v>
      </c>
      <c r="J9" s="21"/>
      <c r="K9" s="28" t="str">
        <f>"265,0"</f>
        <v>265,0</v>
      </c>
      <c r="L9" s="29" t="str">
        <f>"144,7165"</f>
        <v>144,7165</v>
      </c>
      <c r="M9" s="19" t="s">
        <v>748</v>
      </c>
    </row>
    <row r="10" spans="1:13" x14ac:dyDescent="0.2">
      <c r="A10" s="25" t="s">
        <v>750</v>
      </c>
      <c r="B10" s="25" t="s">
        <v>751</v>
      </c>
      <c r="C10" s="25" t="s">
        <v>752</v>
      </c>
      <c r="D10" s="25" t="str">
        <f>"0,5422"</f>
        <v>0,5422</v>
      </c>
      <c r="E10" s="25" t="s">
        <v>118</v>
      </c>
      <c r="F10" s="25" t="s">
        <v>211</v>
      </c>
      <c r="G10" s="26" t="s">
        <v>26</v>
      </c>
      <c r="H10" s="27" t="s">
        <v>321</v>
      </c>
      <c r="I10" s="27" t="s">
        <v>313</v>
      </c>
      <c r="J10" s="27"/>
      <c r="K10" s="32" t="str">
        <f>"250,0"</f>
        <v>250,0</v>
      </c>
      <c r="L10" s="33" t="str">
        <f>"180,2815"</f>
        <v>180,2815</v>
      </c>
      <c r="M10" s="25" t="s">
        <v>753</v>
      </c>
    </row>
    <row r="11" spans="1:13" x14ac:dyDescent="0.2">
      <c r="A11" s="22" t="s">
        <v>755</v>
      </c>
      <c r="B11" s="22" t="s">
        <v>756</v>
      </c>
      <c r="C11" s="22" t="s">
        <v>592</v>
      </c>
      <c r="D11" s="22" t="str">
        <f>"0,5388"</f>
        <v>0,5388</v>
      </c>
      <c r="E11" s="22" t="s">
        <v>118</v>
      </c>
      <c r="F11" s="22" t="s">
        <v>211</v>
      </c>
      <c r="G11" s="24" t="s">
        <v>25</v>
      </c>
      <c r="H11" s="23" t="s">
        <v>25</v>
      </c>
      <c r="I11" s="23" t="s">
        <v>326</v>
      </c>
      <c r="J11" s="24"/>
      <c r="K11" s="30" t="str">
        <f>"215,0"</f>
        <v>215,0</v>
      </c>
      <c r="L11" s="31" t="str">
        <f>"190,5601"</f>
        <v>190,5601</v>
      </c>
      <c r="M11" s="22" t="s">
        <v>28</v>
      </c>
    </row>
    <row r="13" spans="1:13" ht="15" x14ac:dyDescent="0.2">
      <c r="A13" s="56" t="s">
        <v>757</v>
      </c>
      <c r="B13" s="56"/>
      <c r="C13" s="56"/>
      <c r="D13" s="56"/>
      <c r="E13" s="56"/>
      <c r="F13" s="56"/>
      <c r="G13" s="56"/>
      <c r="H13" s="56"/>
      <c r="I13" s="56"/>
      <c r="J13" s="56"/>
    </row>
    <row r="14" spans="1:13" x14ac:dyDescent="0.2">
      <c r="A14" s="6" t="s">
        <v>759</v>
      </c>
      <c r="B14" s="6" t="s">
        <v>760</v>
      </c>
      <c r="C14" s="6" t="s">
        <v>761</v>
      </c>
      <c r="D14" s="6" t="str">
        <f>"0,5151"</f>
        <v>0,5151</v>
      </c>
      <c r="E14" s="6" t="s">
        <v>71</v>
      </c>
      <c r="F14" s="6" t="s">
        <v>21</v>
      </c>
      <c r="G14" s="7" t="s">
        <v>762</v>
      </c>
      <c r="H14" s="8" t="s">
        <v>763</v>
      </c>
      <c r="I14" s="8" t="s">
        <v>763</v>
      </c>
      <c r="J14" s="8"/>
      <c r="K14" s="11" t="str">
        <f>"320,0"</f>
        <v>320,0</v>
      </c>
      <c r="L14" s="12" t="str">
        <f>"164,8384"</f>
        <v>164,8384</v>
      </c>
      <c r="M14" s="6" t="s">
        <v>28</v>
      </c>
    </row>
    <row r="16" spans="1:13" ht="15" x14ac:dyDescent="0.2">
      <c r="E16" s="9" t="s">
        <v>29</v>
      </c>
    </row>
    <row r="17" spans="1:5" ht="15" x14ac:dyDescent="0.2">
      <c r="E17" s="9" t="s">
        <v>30</v>
      </c>
    </row>
    <row r="18" spans="1:5" ht="15" x14ac:dyDescent="0.2">
      <c r="E18" s="9" t="s">
        <v>31</v>
      </c>
    </row>
    <row r="19" spans="1:5" ht="15" x14ac:dyDescent="0.2">
      <c r="E19" s="9" t="s">
        <v>32</v>
      </c>
    </row>
    <row r="20" spans="1:5" ht="15" x14ac:dyDescent="0.2">
      <c r="E20" s="9" t="s">
        <v>32</v>
      </c>
    </row>
    <row r="21" spans="1:5" ht="15" x14ac:dyDescent="0.2">
      <c r="E21" s="9" t="s">
        <v>33</v>
      </c>
    </row>
    <row r="22" spans="1:5" ht="15" x14ac:dyDescent="0.2">
      <c r="E22" s="9"/>
    </row>
    <row r="24" spans="1:5" ht="18" x14ac:dyDescent="0.25">
      <c r="A24" s="13" t="s">
        <v>34</v>
      </c>
      <c r="B24" s="13"/>
    </row>
    <row r="25" spans="1:5" ht="15" x14ac:dyDescent="0.2">
      <c r="A25" s="14" t="s">
        <v>35</v>
      </c>
      <c r="B25" s="14"/>
    </row>
    <row r="26" spans="1:5" ht="14.25" x14ac:dyDescent="0.2">
      <c r="A26" s="16"/>
      <c r="B26" s="17" t="s">
        <v>81</v>
      </c>
    </row>
    <row r="27" spans="1:5" ht="15" x14ac:dyDescent="0.2">
      <c r="A27" s="18" t="s">
        <v>37</v>
      </c>
      <c r="B27" s="18" t="s">
        <v>38</v>
      </c>
      <c r="C27" s="18" t="s">
        <v>39</v>
      </c>
      <c r="D27" s="18" t="s">
        <v>393</v>
      </c>
      <c r="E27" s="18" t="s">
        <v>41</v>
      </c>
    </row>
    <row r="28" spans="1:5" x14ac:dyDescent="0.2">
      <c r="A28" s="15" t="s">
        <v>738</v>
      </c>
      <c r="B28" s="4" t="s">
        <v>81</v>
      </c>
      <c r="C28" s="4" t="s">
        <v>256</v>
      </c>
      <c r="D28" s="4" t="s">
        <v>257</v>
      </c>
      <c r="E28" s="10" t="s">
        <v>764</v>
      </c>
    </row>
    <row r="29" spans="1:5" x14ac:dyDescent="0.2">
      <c r="A29" s="15" t="s">
        <v>758</v>
      </c>
      <c r="B29" s="4" t="s">
        <v>81</v>
      </c>
      <c r="C29" s="4" t="s">
        <v>765</v>
      </c>
      <c r="D29" s="4" t="s">
        <v>762</v>
      </c>
      <c r="E29" s="10" t="s">
        <v>766</v>
      </c>
    </row>
    <row r="30" spans="1:5" x14ac:dyDescent="0.2">
      <c r="A30" s="15" t="s">
        <v>744</v>
      </c>
      <c r="B30" s="4" t="s">
        <v>81</v>
      </c>
      <c r="C30" s="4" t="s">
        <v>43</v>
      </c>
      <c r="D30" s="4" t="s">
        <v>224</v>
      </c>
      <c r="E30" s="10" t="s">
        <v>767</v>
      </c>
    </row>
    <row r="32" spans="1:5" ht="14.25" x14ac:dyDescent="0.2">
      <c r="A32" s="16"/>
      <c r="B32" s="17" t="s">
        <v>61</v>
      </c>
    </row>
    <row r="33" spans="1:5" ht="15" x14ac:dyDescent="0.2">
      <c r="A33" s="18" t="s">
        <v>37</v>
      </c>
      <c r="B33" s="18" t="s">
        <v>38</v>
      </c>
      <c r="C33" s="18" t="s">
        <v>39</v>
      </c>
      <c r="D33" s="18" t="s">
        <v>393</v>
      </c>
      <c r="E33" s="18" t="s">
        <v>41</v>
      </c>
    </row>
    <row r="34" spans="1:5" x14ac:dyDescent="0.2">
      <c r="A34" s="15" t="s">
        <v>754</v>
      </c>
      <c r="B34" s="4" t="s">
        <v>403</v>
      </c>
      <c r="C34" s="4" t="s">
        <v>43</v>
      </c>
      <c r="D34" s="4" t="s">
        <v>326</v>
      </c>
      <c r="E34" s="10" t="s">
        <v>768</v>
      </c>
    </row>
    <row r="35" spans="1:5" x14ac:dyDescent="0.2">
      <c r="A35" s="15" t="s">
        <v>749</v>
      </c>
      <c r="B35" s="4" t="s">
        <v>343</v>
      </c>
      <c r="C35" s="4" t="s">
        <v>43</v>
      </c>
      <c r="D35" s="4" t="s">
        <v>26</v>
      </c>
      <c r="E35" s="10" t="s">
        <v>769</v>
      </c>
    </row>
  </sheetData>
  <mergeCells count="14">
    <mergeCell ref="A8:J8"/>
    <mergeCell ref="A13:J13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F15" sqref="F15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9" style="4" bestFit="1" customWidth="1"/>
    <col min="7" max="9" width="6.57031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12.42578125" style="4" bestFit="1" customWidth="1"/>
    <col min="14" max="16384" width="9.140625" style="3"/>
  </cols>
  <sheetData>
    <row r="1" spans="1:13" s="2" customFormat="1" ht="29.1" customHeight="1" x14ac:dyDescent="0.2">
      <c r="A1" s="35" t="s">
        <v>1346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 x14ac:dyDescent="0.2">
      <c r="A3" s="41" t="s">
        <v>0</v>
      </c>
      <c r="B3" s="43" t="s">
        <v>6</v>
      </c>
      <c r="C3" s="43" t="s">
        <v>10</v>
      </c>
      <c r="D3" s="45" t="s">
        <v>11</v>
      </c>
      <c r="E3" s="45" t="s">
        <v>4</v>
      </c>
      <c r="F3" s="45" t="s">
        <v>7</v>
      </c>
      <c r="G3" s="45" t="s">
        <v>13</v>
      </c>
      <c r="H3" s="45"/>
      <c r="I3" s="45"/>
      <c r="J3" s="45"/>
      <c r="K3" s="45" t="s">
        <v>408</v>
      </c>
      <c r="L3" s="45" t="s">
        <v>3</v>
      </c>
      <c r="M3" s="46" t="s">
        <v>2</v>
      </c>
    </row>
    <row r="4" spans="1:13" s="1" customFormat="1" ht="21" customHeight="1" thickBot="1" x14ac:dyDescent="0.25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44"/>
      <c r="L4" s="44"/>
      <c r="M4" s="47"/>
    </row>
    <row r="5" spans="1:13" ht="15" x14ac:dyDescent="0.2">
      <c r="A5" s="48" t="s">
        <v>66</v>
      </c>
      <c r="B5" s="49"/>
      <c r="C5" s="49"/>
      <c r="D5" s="49"/>
      <c r="E5" s="49"/>
      <c r="F5" s="49"/>
      <c r="G5" s="49"/>
      <c r="H5" s="49"/>
      <c r="I5" s="49"/>
      <c r="J5" s="49"/>
    </row>
    <row r="6" spans="1:13" x14ac:dyDescent="0.2">
      <c r="A6" s="19" t="s">
        <v>725</v>
      </c>
      <c r="B6" s="19" t="s">
        <v>726</v>
      </c>
      <c r="C6" s="19" t="s">
        <v>727</v>
      </c>
      <c r="D6" s="19" t="str">
        <f>"0,7933"</f>
        <v>0,7933</v>
      </c>
      <c r="E6" s="19" t="s">
        <v>51</v>
      </c>
      <c r="F6" s="19" t="s">
        <v>112</v>
      </c>
      <c r="G6" s="20" t="s">
        <v>728</v>
      </c>
      <c r="H6" s="20" t="s">
        <v>175</v>
      </c>
      <c r="I6" s="20" t="s">
        <v>729</v>
      </c>
      <c r="J6" s="21"/>
      <c r="K6" s="28" t="str">
        <f>"175,0"</f>
        <v>175,0</v>
      </c>
      <c r="L6" s="29" t="str">
        <f>"138,8275"</f>
        <v>138,8275</v>
      </c>
      <c r="M6" s="19" t="s">
        <v>28</v>
      </c>
    </row>
    <row r="7" spans="1:13" x14ac:dyDescent="0.2">
      <c r="A7" s="22" t="s">
        <v>731</v>
      </c>
      <c r="B7" s="22" t="s">
        <v>732</v>
      </c>
      <c r="C7" s="22" t="s">
        <v>733</v>
      </c>
      <c r="D7" s="22" t="str">
        <f>"0,7788"</f>
        <v>0,7788</v>
      </c>
      <c r="E7" s="22" t="s">
        <v>51</v>
      </c>
      <c r="F7" s="22" t="s">
        <v>155</v>
      </c>
      <c r="G7" s="24" t="s">
        <v>73</v>
      </c>
      <c r="H7" s="24" t="s">
        <v>73</v>
      </c>
      <c r="I7" s="23" t="s">
        <v>734</v>
      </c>
      <c r="J7" s="24"/>
      <c r="K7" s="30" t="str">
        <f>"152,5"</f>
        <v>152,5</v>
      </c>
      <c r="L7" s="31" t="str">
        <f>"182,2956"</f>
        <v>182,2956</v>
      </c>
      <c r="M7" s="22" t="s">
        <v>735</v>
      </c>
    </row>
    <row r="9" spans="1:13" ht="15" x14ac:dyDescent="0.2">
      <c r="E9" s="9" t="s">
        <v>29</v>
      </c>
    </row>
    <row r="10" spans="1:13" ht="15" x14ac:dyDescent="0.2">
      <c r="E10" s="9" t="s">
        <v>30</v>
      </c>
    </row>
    <row r="11" spans="1:13" ht="15" x14ac:dyDescent="0.2">
      <c r="E11" s="9" t="s">
        <v>31</v>
      </c>
    </row>
    <row r="12" spans="1:13" ht="15" x14ac:dyDescent="0.2">
      <c r="E12" s="9" t="s">
        <v>32</v>
      </c>
    </row>
    <row r="13" spans="1:13" ht="15" x14ac:dyDescent="0.2">
      <c r="E13" s="9" t="s">
        <v>32</v>
      </c>
    </row>
    <row r="14" spans="1:13" ht="15" x14ac:dyDescent="0.2">
      <c r="E14" s="9" t="s">
        <v>33</v>
      </c>
    </row>
    <row r="15" spans="1:13" ht="15" x14ac:dyDescent="0.2">
      <c r="E15" s="9"/>
    </row>
    <row r="17" spans="1:5" ht="18" x14ac:dyDescent="0.25">
      <c r="A17" s="13" t="s">
        <v>34</v>
      </c>
      <c r="B17" s="13"/>
    </row>
    <row r="18" spans="1:5" ht="15" x14ac:dyDescent="0.2">
      <c r="A18" s="14" t="s">
        <v>80</v>
      </c>
      <c r="B18" s="14"/>
    </row>
    <row r="19" spans="1:5" ht="14.25" x14ac:dyDescent="0.2">
      <c r="A19" s="16"/>
      <c r="B19" s="17" t="s">
        <v>81</v>
      </c>
    </row>
    <row r="20" spans="1:5" ht="15" x14ac:dyDescent="0.2">
      <c r="A20" s="18" t="s">
        <v>37</v>
      </c>
      <c r="B20" s="18" t="s">
        <v>38</v>
      </c>
      <c r="C20" s="18" t="s">
        <v>39</v>
      </c>
      <c r="D20" s="18" t="s">
        <v>393</v>
      </c>
      <c r="E20" s="18" t="s">
        <v>41</v>
      </c>
    </row>
    <row r="21" spans="1:5" x14ac:dyDescent="0.2">
      <c r="A21" s="15" t="s">
        <v>724</v>
      </c>
      <c r="B21" s="4" t="s">
        <v>81</v>
      </c>
      <c r="C21" s="4" t="s">
        <v>82</v>
      </c>
      <c r="D21" s="4" t="s">
        <v>212</v>
      </c>
      <c r="E21" s="10" t="s">
        <v>736</v>
      </c>
    </row>
    <row r="23" spans="1:5" ht="14.25" x14ac:dyDescent="0.2">
      <c r="A23" s="16"/>
      <c r="B23" s="17" t="s">
        <v>61</v>
      </c>
    </row>
    <row r="24" spans="1:5" ht="15" x14ac:dyDescent="0.2">
      <c r="A24" s="18" t="s">
        <v>37</v>
      </c>
      <c r="B24" s="18" t="s">
        <v>38</v>
      </c>
      <c r="C24" s="18" t="s">
        <v>39</v>
      </c>
      <c r="D24" s="18" t="s">
        <v>393</v>
      </c>
      <c r="E24" s="18" t="s">
        <v>41</v>
      </c>
    </row>
    <row r="25" spans="1:5" x14ac:dyDescent="0.2">
      <c r="A25" s="15" t="s">
        <v>730</v>
      </c>
      <c r="B25" s="4" t="s">
        <v>336</v>
      </c>
      <c r="C25" s="4" t="s">
        <v>82</v>
      </c>
      <c r="D25" s="4" t="s">
        <v>500</v>
      </c>
      <c r="E25" s="10" t="s">
        <v>737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opLeftCell="A3" workbookViewId="0">
      <selection activeCell="C13" sqref="C13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0.28515625" style="4" bestFit="1" customWidth="1"/>
    <col min="7" max="9" width="6.57031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35" t="s">
        <v>1347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 x14ac:dyDescent="0.2">
      <c r="A3" s="41" t="s">
        <v>0</v>
      </c>
      <c r="B3" s="43" t="s">
        <v>6</v>
      </c>
      <c r="C3" s="43" t="s">
        <v>10</v>
      </c>
      <c r="D3" s="45" t="s">
        <v>11</v>
      </c>
      <c r="E3" s="45" t="s">
        <v>4</v>
      </c>
      <c r="F3" s="45" t="s">
        <v>7</v>
      </c>
      <c r="G3" s="45" t="s">
        <v>13</v>
      </c>
      <c r="H3" s="45"/>
      <c r="I3" s="45"/>
      <c r="J3" s="45"/>
      <c r="K3" s="45" t="s">
        <v>408</v>
      </c>
      <c r="L3" s="45" t="s">
        <v>3</v>
      </c>
      <c r="M3" s="46" t="s">
        <v>2</v>
      </c>
    </row>
    <row r="4" spans="1:13" s="1" customFormat="1" ht="21" customHeight="1" thickBot="1" x14ac:dyDescent="0.25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44"/>
      <c r="L4" s="44"/>
      <c r="M4" s="47"/>
    </row>
    <row r="5" spans="1:13" ht="15" x14ac:dyDescent="0.2">
      <c r="A5" s="48" t="s">
        <v>150</v>
      </c>
      <c r="B5" s="49"/>
      <c r="C5" s="49"/>
      <c r="D5" s="49"/>
      <c r="E5" s="49"/>
      <c r="F5" s="49"/>
      <c r="G5" s="49"/>
      <c r="H5" s="49"/>
      <c r="I5" s="49"/>
      <c r="J5" s="49"/>
    </row>
    <row r="6" spans="1:13" x14ac:dyDescent="0.2">
      <c r="A6" s="6" t="s">
        <v>705</v>
      </c>
      <c r="B6" s="6" t="s">
        <v>706</v>
      </c>
      <c r="C6" s="6" t="s">
        <v>707</v>
      </c>
      <c r="D6" s="6" t="str">
        <f>"0,9817"</f>
        <v>0,9817</v>
      </c>
      <c r="E6" s="6" t="s">
        <v>118</v>
      </c>
      <c r="F6" s="6" t="s">
        <v>211</v>
      </c>
      <c r="G6" s="7" t="s">
        <v>103</v>
      </c>
      <c r="H6" s="7" t="s">
        <v>104</v>
      </c>
      <c r="I6" s="8" t="s">
        <v>149</v>
      </c>
      <c r="J6" s="8"/>
      <c r="K6" s="11" t="str">
        <f>"65,0"</f>
        <v>65,0</v>
      </c>
      <c r="L6" s="12" t="str">
        <f>"63,8105"</f>
        <v>63,8105</v>
      </c>
      <c r="M6" s="6" t="s">
        <v>28</v>
      </c>
    </row>
    <row r="8" spans="1:13" ht="15" x14ac:dyDescent="0.2">
      <c r="A8" s="56" t="s">
        <v>15</v>
      </c>
      <c r="B8" s="56"/>
      <c r="C8" s="56"/>
      <c r="D8" s="56"/>
      <c r="E8" s="56"/>
      <c r="F8" s="56"/>
      <c r="G8" s="56"/>
      <c r="H8" s="56"/>
      <c r="I8" s="56"/>
      <c r="J8" s="56"/>
    </row>
    <row r="9" spans="1:13" x14ac:dyDescent="0.2">
      <c r="A9" s="6" t="s">
        <v>709</v>
      </c>
      <c r="B9" s="6" t="s">
        <v>710</v>
      </c>
      <c r="C9" s="6" t="s">
        <v>711</v>
      </c>
      <c r="D9" s="6" t="str">
        <f>"0,5416"</f>
        <v>0,5416</v>
      </c>
      <c r="E9" s="6" t="s">
        <v>51</v>
      </c>
      <c r="F9" s="6" t="s">
        <v>372</v>
      </c>
      <c r="G9" s="7" t="s">
        <v>712</v>
      </c>
      <c r="H9" s="7" t="s">
        <v>58</v>
      </c>
      <c r="I9" s="7" t="s">
        <v>713</v>
      </c>
      <c r="J9" s="8"/>
      <c r="K9" s="11" t="str">
        <f>"235,0"</f>
        <v>235,0</v>
      </c>
      <c r="L9" s="12" t="str">
        <f>"149,2947"</f>
        <v>149,2947</v>
      </c>
      <c r="M9" s="6" t="s">
        <v>28</v>
      </c>
    </row>
    <row r="11" spans="1:13" ht="15" x14ac:dyDescent="0.2">
      <c r="A11" s="56" t="s">
        <v>345</v>
      </c>
      <c r="B11" s="56"/>
      <c r="C11" s="56"/>
      <c r="D11" s="56"/>
      <c r="E11" s="56"/>
      <c r="F11" s="56"/>
      <c r="G11" s="56"/>
      <c r="H11" s="56"/>
      <c r="I11" s="56"/>
      <c r="J11" s="56"/>
    </row>
    <row r="12" spans="1:13" x14ac:dyDescent="0.2">
      <c r="A12" s="6" t="s">
        <v>715</v>
      </c>
      <c r="B12" s="6" t="s">
        <v>716</v>
      </c>
      <c r="C12" s="6" t="s">
        <v>717</v>
      </c>
      <c r="D12" s="6" t="str">
        <f>"0,5292"</f>
        <v>0,5292</v>
      </c>
      <c r="E12" s="6" t="s">
        <v>51</v>
      </c>
      <c r="F12" s="6" t="s">
        <v>718</v>
      </c>
      <c r="G12" s="7" t="s">
        <v>712</v>
      </c>
      <c r="H12" s="7" t="s">
        <v>719</v>
      </c>
      <c r="I12" s="7" t="s">
        <v>58</v>
      </c>
      <c r="J12" s="8"/>
      <c r="K12" s="11" t="str">
        <f>"230,0"</f>
        <v>230,0</v>
      </c>
      <c r="L12" s="12" t="str">
        <f>"139,2431"</f>
        <v>139,2431</v>
      </c>
      <c r="M12" s="6" t="s">
        <v>28</v>
      </c>
    </row>
    <row r="14" spans="1:13" ht="15" x14ac:dyDescent="0.2">
      <c r="E14" s="9" t="s">
        <v>29</v>
      </c>
    </row>
    <row r="15" spans="1:13" ht="15" x14ac:dyDescent="0.2">
      <c r="E15" s="9" t="s">
        <v>30</v>
      </c>
    </row>
    <row r="16" spans="1:13" ht="15" x14ac:dyDescent="0.2">
      <c r="E16" s="9" t="s">
        <v>31</v>
      </c>
    </row>
    <row r="17" spans="1:5" ht="15" x14ac:dyDescent="0.2">
      <c r="E17" s="9" t="s">
        <v>32</v>
      </c>
    </row>
    <row r="18" spans="1:5" ht="15" x14ac:dyDescent="0.2">
      <c r="E18" s="9" t="s">
        <v>32</v>
      </c>
    </row>
    <row r="19" spans="1:5" ht="15" x14ac:dyDescent="0.2">
      <c r="E19" s="9" t="s">
        <v>33</v>
      </c>
    </row>
    <row r="20" spans="1:5" ht="15" x14ac:dyDescent="0.2">
      <c r="E20" s="9"/>
    </row>
    <row r="22" spans="1:5" ht="18" x14ac:dyDescent="0.25">
      <c r="A22" s="13" t="s">
        <v>34</v>
      </c>
      <c r="B22" s="13"/>
    </row>
    <row r="23" spans="1:5" ht="15" x14ac:dyDescent="0.2">
      <c r="A23" s="14" t="s">
        <v>80</v>
      </c>
      <c r="B23" s="14"/>
    </row>
    <row r="24" spans="1:5" ht="14.25" x14ac:dyDescent="0.2">
      <c r="A24" s="16"/>
      <c r="B24" s="17" t="s">
        <v>81</v>
      </c>
    </row>
    <row r="25" spans="1:5" ht="15" x14ac:dyDescent="0.2">
      <c r="A25" s="18" t="s">
        <v>37</v>
      </c>
      <c r="B25" s="18" t="s">
        <v>38</v>
      </c>
      <c r="C25" s="18" t="s">
        <v>39</v>
      </c>
      <c r="D25" s="18" t="s">
        <v>393</v>
      </c>
      <c r="E25" s="18" t="s">
        <v>41</v>
      </c>
    </row>
    <row r="26" spans="1:5" x14ac:dyDescent="0.2">
      <c r="A26" s="15" t="s">
        <v>704</v>
      </c>
      <c r="B26" s="4" t="s">
        <v>81</v>
      </c>
      <c r="C26" s="4" t="s">
        <v>282</v>
      </c>
      <c r="D26" s="4" t="s">
        <v>104</v>
      </c>
      <c r="E26" s="10" t="s">
        <v>720</v>
      </c>
    </row>
    <row r="29" spans="1:5" ht="15" x14ac:dyDescent="0.2">
      <c r="A29" s="14" t="s">
        <v>35</v>
      </c>
      <c r="B29" s="14"/>
    </row>
    <row r="30" spans="1:5" ht="14.25" x14ac:dyDescent="0.2">
      <c r="A30" s="16"/>
      <c r="B30" s="17" t="s">
        <v>61</v>
      </c>
    </row>
    <row r="31" spans="1:5" ht="15" x14ac:dyDescent="0.2">
      <c r="A31" s="18" t="s">
        <v>37</v>
      </c>
      <c r="B31" s="18" t="s">
        <v>38</v>
      </c>
      <c r="C31" s="18" t="s">
        <v>39</v>
      </c>
      <c r="D31" s="18" t="s">
        <v>393</v>
      </c>
      <c r="E31" s="18" t="s">
        <v>41</v>
      </c>
    </row>
    <row r="32" spans="1:5" x14ac:dyDescent="0.2">
      <c r="A32" s="15" t="s">
        <v>708</v>
      </c>
      <c r="B32" s="4" t="s">
        <v>343</v>
      </c>
      <c r="C32" s="4" t="s">
        <v>43</v>
      </c>
      <c r="D32" s="4" t="s">
        <v>721</v>
      </c>
      <c r="E32" s="10" t="s">
        <v>722</v>
      </c>
    </row>
    <row r="33" spans="1:5" x14ac:dyDescent="0.2">
      <c r="A33" s="15" t="s">
        <v>714</v>
      </c>
      <c r="B33" s="4" t="s">
        <v>285</v>
      </c>
      <c r="C33" s="4" t="s">
        <v>642</v>
      </c>
      <c r="D33" s="4" t="s">
        <v>194</v>
      </c>
      <c r="E33" s="10" t="s">
        <v>723</v>
      </c>
    </row>
  </sheetData>
  <mergeCells count="14">
    <mergeCell ref="A8:J8"/>
    <mergeCell ref="A11:J11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topLeftCell="A10" workbookViewId="0">
      <selection activeCell="A3" sqref="A3:A4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40.140625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35" t="s">
        <v>1348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 x14ac:dyDescent="0.2">
      <c r="A3" s="41" t="s">
        <v>0</v>
      </c>
      <c r="B3" s="43" t="s">
        <v>6</v>
      </c>
      <c r="C3" s="43" t="s">
        <v>10</v>
      </c>
      <c r="D3" s="45" t="s">
        <v>11</v>
      </c>
      <c r="E3" s="45" t="s">
        <v>4</v>
      </c>
      <c r="F3" s="45" t="s">
        <v>7</v>
      </c>
      <c r="G3" s="45" t="s">
        <v>13</v>
      </c>
      <c r="H3" s="45"/>
      <c r="I3" s="45"/>
      <c r="J3" s="45"/>
      <c r="K3" s="45" t="s">
        <v>408</v>
      </c>
      <c r="L3" s="45" t="s">
        <v>3</v>
      </c>
      <c r="M3" s="46" t="s">
        <v>2</v>
      </c>
    </row>
    <row r="4" spans="1:13" s="1" customFormat="1" ht="21" customHeight="1" thickBot="1" x14ac:dyDescent="0.25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44"/>
      <c r="L4" s="44"/>
      <c r="M4" s="47"/>
    </row>
    <row r="5" spans="1:13" ht="15" x14ac:dyDescent="0.2">
      <c r="A5" s="48" t="s">
        <v>150</v>
      </c>
      <c r="B5" s="49"/>
      <c r="C5" s="49"/>
      <c r="D5" s="49"/>
      <c r="E5" s="49"/>
      <c r="F5" s="49"/>
      <c r="G5" s="49"/>
      <c r="H5" s="49"/>
      <c r="I5" s="49"/>
      <c r="J5" s="49"/>
    </row>
    <row r="6" spans="1:13" x14ac:dyDescent="0.2">
      <c r="A6" s="6" t="s">
        <v>654</v>
      </c>
      <c r="B6" s="6" t="s">
        <v>655</v>
      </c>
      <c r="C6" s="6" t="s">
        <v>656</v>
      </c>
      <c r="D6" s="6" t="str">
        <f>"1,1001"</f>
        <v>1,1001</v>
      </c>
      <c r="E6" s="6" t="s">
        <v>148</v>
      </c>
      <c r="F6" s="6" t="s">
        <v>119</v>
      </c>
      <c r="G6" s="7" t="s">
        <v>657</v>
      </c>
      <c r="H6" s="7" t="s">
        <v>474</v>
      </c>
      <c r="I6" s="8" t="s">
        <v>530</v>
      </c>
      <c r="J6" s="8"/>
      <c r="K6" s="11" t="str">
        <f>"35,0"</f>
        <v>35,0</v>
      </c>
      <c r="L6" s="12" t="str">
        <f>"47,3593"</f>
        <v>47,3593</v>
      </c>
      <c r="M6" s="6" t="s">
        <v>28</v>
      </c>
    </row>
    <row r="8" spans="1:13" ht="15" x14ac:dyDescent="0.2">
      <c r="A8" s="56" t="s">
        <v>107</v>
      </c>
      <c r="B8" s="56"/>
      <c r="C8" s="56"/>
      <c r="D8" s="56"/>
      <c r="E8" s="56"/>
      <c r="F8" s="56"/>
      <c r="G8" s="56"/>
      <c r="H8" s="56"/>
      <c r="I8" s="56"/>
      <c r="J8" s="56"/>
    </row>
    <row r="9" spans="1:13" x14ac:dyDescent="0.2">
      <c r="A9" s="6" t="s">
        <v>659</v>
      </c>
      <c r="B9" s="6" t="s">
        <v>660</v>
      </c>
      <c r="C9" s="6" t="s">
        <v>661</v>
      </c>
      <c r="D9" s="6" t="str">
        <f>"0,8516"</f>
        <v>0,8516</v>
      </c>
      <c r="E9" s="6" t="s">
        <v>318</v>
      </c>
      <c r="F9" s="6" t="s">
        <v>319</v>
      </c>
      <c r="G9" s="7" t="s">
        <v>131</v>
      </c>
      <c r="H9" s="7" t="s">
        <v>222</v>
      </c>
      <c r="I9" s="7" t="s">
        <v>132</v>
      </c>
      <c r="J9" s="8"/>
      <c r="K9" s="11" t="str">
        <f>"160,0"</f>
        <v>160,0</v>
      </c>
      <c r="L9" s="12" t="str">
        <f>"136,2560"</f>
        <v>136,2560</v>
      </c>
      <c r="M9" s="6" t="s">
        <v>28</v>
      </c>
    </row>
    <row r="11" spans="1:13" ht="15" x14ac:dyDescent="0.2">
      <c r="A11" s="56" t="s">
        <v>66</v>
      </c>
      <c r="B11" s="56"/>
      <c r="C11" s="56"/>
      <c r="D11" s="56"/>
      <c r="E11" s="56"/>
      <c r="F11" s="56"/>
      <c r="G11" s="56"/>
      <c r="H11" s="56"/>
      <c r="I11" s="56"/>
      <c r="J11" s="56"/>
    </row>
    <row r="12" spans="1:13" x14ac:dyDescent="0.2">
      <c r="A12" s="6" t="s">
        <v>663</v>
      </c>
      <c r="B12" s="6" t="s">
        <v>664</v>
      </c>
      <c r="C12" s="6" t="s">
        <v>665</v>
      </c>
      <c r="D12" s="6" t="str">
        <f>"0,7327"</f>
        <v>0,7327</v>
      </c>
      <c r="E12" s="6" t="s">
        <v>51</v>
      </c>
      <c r="F12" s="6" t="s">
        <v>666</v>
      </c>
      <c r="G12" s="7" t="s">
        <v>131</v>
      </c>
      <c r="H12" s="7" t="s">
        <v>132</v>
      </c>
      <c r="I12" s="8" t="s">
        <v>200</v>
      </c>
      <c r="J12" s="8"/>
      <c r="K12" s="11" t="str">
        <f>"160,0"</f>
        <v>160,0</v>
      </c>
      <c r="L12" s="12" t="str">
        <f>"117,2320"</f>
        <v>117,2320</v>
      </c>
      <c r="M12" s="6" t="s">
        <v>28</v>
      </c>
    </row>
    <row r="14" spans="1:13" ht="15" x14ac:dyDescent="0.2">
      <c r="A14" s="56" t="s">
        <v>170</v>
      </c>
      <c r="B14" s="56"/>
      <c r="C14" s="56"/>
      <c r="D14" s="56"/>
      <c r="E14" s="56"/>
      <c r="F14" s="56"/>
      <c r="G14" s="56"/>
      <c r="H14" s="56"/>
      <c r="I14" s="56"/>
      <c r="J14" s="56"/>
    </row>
    <row r="15" spans="1:13" x14ac:dyDescent="0.2">
      <c r="A15" s="6" t="s">
        <v>296</v>
      </c>
      <c r="B15" s="6" t="s">
        <v>297</v>
      </c>
      <c r="C15" s="6" t="s">
        <v>298</v>
      </c>
      <c r="D15" s="6" t="str">
        <f>"0,6939"</f>
        <v>0,6939</v>
      </c>
      <c r="E15" s="6" t="s">
        <v>51</v>
      </c>
      <c r="F15" s="6" t="s">
        <v>169</v>
      </c>
      <c r="G15" s="7" t="s">
        <v>128</v>
      </c>
      <c r="H15" s="7" t="s">
        <v>129</v>
      </c>
      <c r="I15" s="7" t="s">
        <v>91</v>
      </c>
      <c r="J15" s="8"/>
      <c r="K15" s="11" t="str">
        <f>"90,0"</f>
        <v>90,0</v>
      </c>
      <c r="L15" s="12" t="str">
        <f>"130,0769"</f>
        <v>130,0769</v>
      </c>
      <c r="M15" s="6" t="s">
        <v>28</v>
      </c>
    </row>
    <row r="17" spans="1:13" ht="15" x14ac:dyDescent="0.2">
      <c r="A17" s="56" t="s">
        <v>143</v>
      </c>
      <c r="B17" s="56"/>
      <c r="C17" s="56"/>
      <c r="D17" s="56"/>
      <c r="E17" s="56"/>
      <c r="F17" s="56"/>
      <c r="G17" s="56"/>
      <c r="H17" s="56"/>
      <c r="I17" s="56"/>
      <c r="J17" s="56"/>
    </row>
    <row r="18" spans="1:13" x14ac:dyDescent="0.2">
      <c r="A18" s="19" t="s">
        <v>668</v>
      </c>
      <c r="B18" s="19" t="s">
        <v>669</v>
      </c>
      <c r="C18" s="19" t="s">
        <v>670</v>
      </c>
      <c r="D18" s="19" t="str">
        <f>"0,5861"</f>
        <v>0,5861</v>
      </c>
      <c r="E18" s="19" t="s">
        <v>148</v>
      </c>
      <c r="F18" s="19" t="s">
        <v>211</v>
      </c>
      <c r="G18" s="20" t="s">
        <v>130</v>
      </c>
      <c r="H18" s="20" t="s">
        <v>132</v>
      </c>
      <c r="I18" s="21" t="s">
        <v>419</v>
      </c>
      <c r="J18" s="21"/>
      <c r="K18" s="28" t="str">
        <f>"160,0"</f>
        <v>160,0</v>
      </c>
      <c r="L18" s="29" t="str">
        <f>"93,7760"</f>
        <v>93,7760</v>
      </c>
      <c r="M18" s="19" t="s">
        <v>28</v>
      </c>
    </row>
    <row r="19" spans="1:13" x14ac:dyDescent="0.2">
      <c r="A19" s="25" t="s">
        <v>672</v>
      </c>
      <c r="B19" s="25" t="s">
        <v>673</v>
      </c>
      <c r="C19" s="25" t="s">
        <v>674</v>
      </c>
      <c r="D19" s="25" t="str">
        <f>"0,5885"</f>
        <v>0,5885</v>
      </c>
      <c r="E19" s="25" t="s">
        <v>148</v>
      </c>
      <c r="F19" s="25" t="s">
        <v>211</v>
      </c>
      <c r="G19" s="26" t="s">
        <v>131</v>
      </c>
      <c r="H19" s="27" t="s">
        <v>493</v>
      </c>
      <c r="I19" s="27" t="s">
        <v>493</v>
      </c>
      <c r="J19" s="27"/>
      <c r="K19" s="32" t="str">
        <f>"150,0"</f>
        <v>150,0</v>
      </c>
      <c r="L19" s="33" t="str">
        <f>"88,2750"</f>
        <v>88,2750</v>
      </c>
      <c r="M19" s="25" t="s">
        <v>28</v>
      </c>
    </row>
    <row r="20" spans="1:13" x14ac:dyDescent="0.2">
      <c r="A20" s="22" t="s">
        <v>676</v>
      </c>
      <c r="B20" s="22" t="s">
        <v>677</v>
      </c>
      <c r="C20" s="22" t="s">
        <v>678</v>
      </c>
      <c r="D20" s="22" t="str">
        <f>"0,5926"</f>
        <v>0,5926</v>
      </c>
      <c r="E20" s="22" t="s">
        <v>424</v>
      </c>
      <c r="F20" s="22" t="s">
        <v>425</v>
      </c>
      <c r="G20" s="23" t="s">
        <v>102</v>
      </c>
      <c r="H20" s="24" t="s">
        <v>57</v>
      </c>
      <c r="I20" s="24" t="s">
        <v>105</v>
      </c>
      <c r="J20" s="24"/>
      <c r="K20" s="30" t="str">
        <f>"95,0"</f>
        <v>95,0</v>
      </c>
      <c r="L20" s="31" t="str">
        <f>"72,1165"</f>
        <v>72,1165</v>
      </c>
      <c r="M20" s="22" t="s">
        <v>28</v>
      </c>
    </row>
    <row r="22" spans="1:13" ht="15" x14ac:dyDescent="0.2">
      <c r="A22" s="56" t="s">
        <v>46</v>
      </c>
      <c r="B22" s="56"/>
      <c r="C22" s="56"/>
      <c r="D22" s="56"/>
      <c r="E22" s="56"/>
      <c r="F22" s="56"/>
      <c r="G22" s="56"/>
      <c r="H22" s="56"/>
      <c r="I22" s="56"/>
      <c r="J22" s="56"/>
    </row>
    <row r="23" spans="1:13" x14ac:dyDescent="0.2">
      <c r="A23" s="19" t="s">
        <v>680</v>
      </c>
      <c r="B23" s="19" t="s">
        <v>681</v>
      </c>
      <c r="C23" s="19" t="s">
        <v>682</v>
      </c>
      <c r="D23" s="19" t="str">
        <f>"0,5730"</f>
        <v>0,5730</v>
      </c>
      <c r="E23" s="19" t="s">
        <v>566</v>
      </c>
      <c r="F23" s="19" t="s">
        <v>567</v>
      </c>
      <c r="G23" s="20" t="s">
        <v>222</v>
      </c>
      <c r="H23" s="20" t="s">
        <v>240</v>
      </c>
      <c r="I23" s="21" t="s">
        <v>200</v>
      </c>
      <c r="J23" s="21"/>
      <c r="K23" s="28" t="str">
        <f>"165,0"</f>
        <v>165,0</v>
      </c>
      <c r="L23" s="29" t="str">
        <f>"94,5450"</f>
        <v>94,5450</v>
      </c>
      <c r="M23" s="19" t="s">
        <v>28</v>
      </c>
    </row>
    <row r="24" spans="1:13" x14ac:dyDescent="0.2">
      <c r="A24" s="22" t="s">
        <v>454</v>
      </c>
      <c r="B24" s="22" t="s">
        <v>455</v>
      </c>
      <c r="C24" s="22" t="s">
        <v>456</v>
      </c>
      <c r="D24" s="22" t="str">
        <f>"0,5583"</f>
        <v>0,5583</v>
      </c>
      <c r="E24" s="22" t="s">
        <v>51</v>
      </c>
      <c r="F24" s="22" t="s">
        <v>52</v>
      </c>
      <c r="G24" s="24" t="s">
        <v>73</v>
      </c>
      <c r="H24" s="23" t="s">
        <v>131</v>
      </c>
      <c r="I24" s="24" t="s">
        <v>132</v>
      </c>
      <c r="J24" s="24"/>
      <c r="K24" s="30" t="str">
        <f>"150,0"</f>
        <v>150,0</v>
      </c>
      <c r="L24" s="31" t="str">
        <f>"83,7450"</f>
        <v>83,7450</v>
      </c>
      <c r="M24" s="22" t="s">
        <v>28</v>
      </c>
    </row>
    <row r="26" spans="1:13" ht="15" x14ac:dyDescent="0.2">
      <c r="A26" s="56" t="s">
        <v>345</v>
      </c>
      <c r="B26" s="56"/>
      <c r="C26" s="56"/>
      <c r="D26" s="56"/>
      <c r="E26" s="56"/>
      <c r="F26" s="56"/>
      <c r="G26" s="56"/>
      <c r="H26" s="56"/>
      <c r="I26" s="56"/>
      <c r="J26" s="56"/>
    </row>
    <row r="27" spans="1:13" x14ac:dyDescent="0.2">
      <c r="A27" s="6" t="s">
        <v>684</v>
      </c>
      <c r="B27" s="6" t="s">
        <v>685</v>
      </c>
      <c r="C27" s="6" t="s">
        <v>686</v>
      </c>
      <c r="D27" s="6" t="str">
        <f>"0,5276"</f>
        <v>0,5276</v>
      </c>
      <c r="E27" s="6" t="s">
        <v>51</v>
      </c>
      <c r="F27" s="6" t="s">
        <v>112</v>
      </c>
      <c r="G27" s="7" t="s">
        <v>240</v>
      </c>
      <c r="H27" s="7" t="s">
        <v>200</v>
      </c>
      <c r="I27" s="7" t="s">
        <v>212</v>
      </c>
      <c r="J27" s="8"/>
      <c r="K27" s="11" t="str">
        <f>"175,0"</f>
        <v>175,0</v>
      </c>
      <c r="L27" s="12" t="str">
        <f>"92,3300"</f>
        <v>92,3300</v>
      </c>
      <c r="M27" s="6" t="s">
        <v>28</v>
      </c>
    </row>
    <row r="29" spans="1:13" ht="15" x14ac:dyDescent="0.2">
      <c r="A29" s="56" t="s">
        <v>687</v>
      </c>
      <c r="B29" s="56"/>
      <c r="C29" s="56"/>
      <c r="D29" s="56"/>
      <c r="E29" s="56"/>
      <c r="F29" s="56"/>
      <c r="G29" s="56"/>
      <c r="H29" s="56"/>
      <c r="I29" s="56"/>
      <c r="J29" s="56"/>
    </row>
    <row r="30" spans="1:13" x14ac:dyDescent="0.2">
      <c r="A30" s="6" t="s">
        <v>689</v>
      </c>
      <c r="B30" s="6" t="s">
        <v>690</v>
      </c>
      <c r="C30" s="6" t="s">
        <v>691</v>
      </c>
      <c r="D30" s="6" t="str">
        <f>"0,4998"</f>
        <v>0,4998</v>
      </c>
      <c r="E30" s="6" t="s">
        <v>71</v>
      </c>
      <c r="F30" s="6" t="s">
        <v>112</v>
      </c>
      <c r="G30" s="7" t="s">
        <v>59</v>
      </c>
      <c r="H30" s="7" t="s">
        <v>26</v>
      </c>
      <c r="I30" s="8" t="s">
        <v>307</v>
      </c>
      <c r="J30" s="8"/>
      <c r="K30" s="11" t="str">
        <f>"250,0"</f>
        <v>250,0</v>
      </c>
      <c r="L30" s="12" t="str">
        <f>"124,9400"</f>
        <v>124,9400</v>
      </c>
      <c r="M30" s="6" t="s">
        <v>28</v>
      </c>
    </row>
    <row r="32" spans="1:13" ht="15" x14ac:dyDescent="0.2">
      <c r="E32" s="9" t="s">
        <v>29</v>
      </c>
    </row>
    <row r="33" spans="1:5" ht="15" x14ac:dyDescent="0.2">
      <c r="E33" s="9" t="s">
        <v>30</v>
      </c>
    </row>
    <row r="34" spans="1:5" ht="15" x14ac:dyDescent="0.2">
      <c r="E34" s="9" t="s">
        <v>31</v>
      </c>
    </row>
    <row r="35" spans="1:5" ht="15" x14ac:dyDescent="0.2">
      <c r="E35" s="9" t="s">
        <v>32</v>
      </c>
    </row>
    <row r="36" spans="1:5" ht="15" x14ac:dyDescent="0.2">
      <c r="E36" s="9" t="s">
        <v>32</v>
      </c>
    </row>
    <row r="37" spans="1:5" ht="15" x14ac:dyDescent="0.2">
      <c r="E37" s="9" t="s">
        <v>33</v>
      </c>
    </row>
    <row r="38" spans="1:5" ht="15" x14ac:dyDescent="0.2">
      <c r="E38" s="9"/>
    </row>
    <row r="40" spans="1:5" ht="18" x14ac:dyDescent="0.25">
      <c r="A40" s="13" t="s">
        <v>34</v>
      </c>
      <c r="B40" s="13"/>
    </row>
    <row r="41" spans="1:5" ht="15" x14ac:dyDescent="0.2">
      <c r="A41" s="14" t="s">
        <v>35</v>
      </c>
      <c r="B41" s="14"/>
    </row>
    <row r="42" spans="1:5" ht="14.25" x14ac:dyDescent="0.2">
      <c r="A42" s="16"/>
      <c r="B42" s="17" t="s">
        <v>614</v>
      </c>
    </row>
    <row r="43" spans="1:5" ht="15" x14ac:dyDescent="0.2">
      <c r="A43" s="18" t="s">
        <v>37</v>
      </c>
      <c r="B43" s="18" t="s">
        <v>38</v>
      </c>
      <c r="C43" s="18" t="s">
        <v>39</v>
      </c>
      <c r="D43" s="18" t="s">
        <v>393</v>
      </c>
      <c r="E43" s="18" t="s">
        <v>41</v>
      </c>
    </row>
    <row r="44" spans="1:5" x14ac:dyDescent="0.2">
      <c r="A44" s="15" t="s">
        <v>653</v>
      </c>
      <c r="B44" s="4" t="s">
        <v>617</v>
      </c>
      <c r="C44" s="4" t="s">
        <v>282</v>
      </c>
      <c r="D44" s="4" t="s">
        <v>474</v>
      </c>
      <c r="E44" s="10" t="s">
        <v>692</v>
      </c>
    </row>
    <row r="46" spans="1:5" ht="14.25" x14ac:dyDescent="0.2">
      <c r="A46" s="16"/>
      <c r="B46" s="17" t="s">
        <v>81</v>
      </c>
    </row>
    <row r="47" spans="1:5" ht="15" x14ac:dyDescent="0.2">
      <c r="A47" s="18" t="s">
        <v>37</v>
      </c>
      <c r="B47" s="18" t="s">
        <v>38</v>
      </c>
      <c r="C47" s="18" t="s">
        <v>39</v>
      </c>
      <c r="D47" s="18" t="s">
        <v>393</v>
      </c>
      <c r="E47" s="18" t="s">
        <v>41</v>
      </c>
    </row>
    <row r="48" spans="1:5" x14ac:dyDescent="0.2">
      <c r="A48" s="15" t="s">
        <v>658</v>
      </c>
      <c r="B48" s="4" t="s">
        <v>81</v>
      </c>
      <c r="C48" s="4" t="s">
        <v>244</v>
      </c>
      <c r="D48" s="4" t="s">
        <v>132</v>
      </c>
      <c r="E48" s="10" t="s">
        <v>693</v>
      </c>
    </row>
    <row r="49" spans="1:5" x14ac:dyDescent="0.2">
      <c r="A49" s="15" t="s">
        <v>688</v>
      </c>
      <c r="B49" s="4" t="s">
        <v>81</v>
      </c>
      <c r="C49" s="4" t="s">
        <v>694</v>
      </c>
      <c r="D49" s="4" t="s">
        <v>26</v>
      </c>
      <c r="E49" s="10" t="s">
        <v>695</v>
      </c>
    </row>
    <row r="50" spans="1:5" x14ac:dyDescent="0.2">
      <c r="A50" s="15" t="s">
        <v>662</v>
      </c>
      <c r="B50" s="4" t="s">
        <v>81</v>
      </c>
      <c r="C50" s="4" t="s">
        <v>82</v>
      </c>
      <c r="D50" s="4" t="s">
        <v>132</v>
      </c>
      <c r="E50" s="10" t="s">
        <v>696</v>
      </c>
    </row>
    <row r="51" spans="1:5" x14ac:dyDescent="0.2">
      <c r="A51" s="15" t="s">
        <v>679</v>
      </c>
      <c r="B51" s="4" t="s">
        <v>81</v>
      </c>
      <c r="C51" s="4" t="s">
        <v>63</v>
      </c>
      <c r="D51" s="4" t="s">
        <v>240</v>
      </c>
      <c r="E51" s="10" t="s">
        <v>697</v>
      </c>
    </row>
    <row r="52" spans="1:5" x14ac:dyDescent="0.2">
      <c r="A52" s="15" t="s">
        <v>667</v>
      </c>
      <c r="B52" s="4" t="s">
        <v>81</v>
      </c>
      <c r="C52" s="4" t="s">
        <v>256</v>
      </c>
      <c r="D52" s="4" t="s">
        <v>132</v>
      </c>
      <c r="E52" s="10" t="s">
        <v>698</v>
      </c>
    </row>
    <row r="53" spans="1:5" x14ac:dyDescent="0.2">
      <c r="A53" s="15" t="s">
        <v>683</v>
      </c>
      <c r="B53" s="4" t="s">
        <v>81</v>
      </c>
      <c r="C53" s="4" t="s">
        <v>642</v>
      </c>
      <c r="D53" s="4" t="s">
        <v>212</v>
      </c>
      <c r="E53" s="10" t="s">
        <v>699</v>
      </c>
    </row>
    <row r="54" spans="1:5" x14ac:dyDescent="0.2">
      <c r="A54" s="15" t="s">
        <v>671</v>
      </c>
      <c r="B54" s="4" t="s">
        <v>81</v>
      </c>
      <c r="C54" s="4" t="s">
        <v>256</v>
      </c>
      <c r="D54" s="4" t="s">
        <v>131</v>
      </c>
      <c r="E54" s="10" t="s">
        <v>700</v>
      </c>
    </row>
    <row r="56" spans="1:5" ht="14.25" x14ac:dyDescent="0.2">
      <c r="A56" s="16"/>
      <c r="B56" s="17" t="s">
        <v>61</v>
      </c>
    </row>
    <row r="57" spans="1:5" ht="15" x14ac:dyDescent="0.2">
      <c r="A57" s="18" t="s">
        <v>37</v>
      </c>
      <c r="B57" s="18" t="s">
        <v>38</v>
      </c>
      <c r="C57" s="18" t="s">
        <v>39</v>
      </c>
      <c r="D57" s="18" t="s">
        <v>393</v>
      </c>
      <c r="E57" s="18" t="s">
        <v>41</v>
      </c>
    </row>
    <row r="58" spans="1:5" x14ac:dyDescent="0.2">
      <c r="A58" s="15" t="s">
        <v>295</v>
      </c>
      <c r="B58" s="4" t="s">
        <v>339</v>
      </c>
      <c r="C58" s="4" t="s">
        <v>263</v>
      </c>
      <c r="D58" s="4" t="s">
        <v>91</v>
      </c>
      <c r="E58" s="10" t="s">
        <v>701</v>
      </c>
    </row>
    <row r="59" spans="1:5" x14ac:dyDescent="0.2">
      <c r="A59" s="15" t="s">
        <v>453</v>
      </c>
      <c r="B59" s="4" t="s">
        <v>406</v>
      </c>
      <c r="C59" s="4" t="s">
        <v>63</v>
      </c>
      <c r="D59" s="4" t="s">
        <v>131</v>
      </c>
      <c r="E59" s="10" t="s">
        <v>702</v>
      </c>
    </row>
    <row r="60" spans="1:5" x14ac:dyDescent="0.2">
      <c r="A60" s="15" t="s">
        <v>675</v>
      </c>
      <c r="B60" s="4" t="s">
        <v>343</v>
      </c>
      <c r="C60" s="4" t="s">
        <v>256</v>
      </c>
      <c r="D60" s="4" t="s">
        <v>102</v>
      </c>
      <c r="E60" s="10" t="s">
        <v>703</v>
      </c>
    </row>
  </sheetData>
  <mergeCells count="19">
    <mergeCell ref="A29:J29"/>
    <mergeCell ref="A8:J8"/>
    <mergeCell ref="A11:J11"/>
    <mergeCell ref="A14:J14"/>
    <mergeCell ref="A17:J17"/>
    <mergeCell ref="A22:J22"/>
    <mergeCell ref="A26:J26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1"/>
  <sheetViews>
    <sheetView topLeftCell="A60" workbookViewId="0">
      <selection activeCell="C79" sqref="C79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4.42578125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27.85546875" style="4" bestFit="1" customWidth="1"/>
    <col min="14" max="16384" width="9.140625" style="3"/>
  </cols>
  <sheetData>
    <row r="1" spans="1:13" s="2" customFormat="1" ht="29.1" customHeight="1" x14ac:dyDescent="0.2">
      <c r="A1" s="35" t="s">
        <v>1349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 x14ac:dyDescent="0.2">
      <c r="A3" s="41" t="s">
        <v>0</v>
      </c>
      <c r="B3" s="43" t="s">
        <v>6</v>
      </c>
      <c r="C3" s="43" t="s">
        <v>10</v>
      </c>
      <c r="D3" s="45" t="s">
        <v>11</v>
      </c>
      <c r="E3" s="45" t="s">
        <v>4</v>
      </c>
      <c r="F3" s="45" t="s">
        <v>7</v>
      </c>
      <c r="G3" s="45" t="s">
        <v>13</v>
      </c>
      <c r="H3" s="45"/>
      <c r="I3" s="45"/>
      <c r="J3" s="45"/>
      <c r="K3" s="45" t="s">
        <v>408</v>
      </c>
      <c r="L3" s="45" t="s">
        <v>3</v>
      </c>
      <c r="M3" s="46" t="s">
        <v>2</v>
      </c>
    </row>
    <row r="4" spans="1:13" s="1" customFormat="1" ht="21" customHeight="1" thickBot="1" x14ac:dyDescent="0.25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44"/>
      <c r="L4" s="44"/>
      <c r="M4" s="47"/>
    </row>
    <row r="5" spans="1:13" ht="15" x14ac:dyDescent="0.2">
      <c r="A5" s="48" t="s">
        <v>150</v>
      </c>
      <c r="B5" s="49"/>
      <c r="C5" s="49"/>
      <c r="D5" s="49"/>
      <c r="E5" s="49"/>
      <c r="F5" s="49"/>
      <c r="G5" s="49"/>
      <c r="H5" s="49"/>
      <c r="I5" s="49"/>
      <c r="J5" s="49"/>
    </row>
    <row r="6" spans="1:13" x14ac:dyDescent="0.2">
      <c r="A6" s="6" t="s">
        <v>460</v>
      </c>
      <c r="B6" s="6" t="s">
        <v>461</v>
      </c>
      <c r="C6" s="6" t="s">
        <v>462</v>
      </c>
      <c r="D6" s="6" t="str">
        <f>"0,9912"</f>
        <v>0,9912</v>
      </c>
      <c r="E6" s="6" t="s">
        <v>51</v>
      </c>
      <c r="F6" s="6" t="s">
        <v>137</v>
      </c>
      <c r="G6" s="7" t="s">
        <v>354</v>
      </c>
      <c r="H6" s="7" t="s">
        <v>120</v>
      </c>
      <c r="I6" s="8" t="s">
        <v>93</v>
      </c>
      <c r="J6" s="8"/>
      <c r="K6" s="11" t="str">
        <f>"55,0"</f>
        <v>55,0</v>
      </c>
      <c r="L6" s="12" t="str">
        <f>"54,5133"</f>
        <v>54,5133</v>
      </c>
      <c r="M6" s="6" t="s">
        <v>28</v>
      </c>
    </row>
    <row r="8" spans="1:13" ht="15" x14ac:dyDescent="0.2">
      <c r="A8" s="56" t="s">
        <v>95</v>
      </c>
      <c r="B8" s="56"/>
      <c r="C8" s="56"/>
      <c r="D8" s="56"/>
      <c r="E8" s="56"/>
      <c r="F8" s="56"/>
      <c r="G8" s="56"/>
      <c r="H8" s="56"/>
      <c r="I8" s="56"/>
      <c r="J8" s="56"/>
    </row>
    <row r="9" spans="1:13" x14ac:dyDescent="0.2">
      <c r="A9" s="19" t="s">
        <v>97</v>
      </c>
      <c r="B9" s="19" t="s">
        <v>98</v>
      </c>
      <c r="C9" s="19" t="s">
        <v>99</v>
      </c>
      <c r="D9" s="19" t="str">
        <f>"0,9160"</f>
        <v>0,9160</v>
      </c>
      <c r="E9" s="19" t="s">
        <v>100</v>
      </c>
      <c r="F9" s="19" t="s">
        <v>101</v>
      </c>
      <c r="G9" s="20" t="s">
        <v>103</v>
      </c>
      <c r="H9" s="20" t="s">
        <v>104</v>
      </c>
      <c r="I9" s="21" t="s">
        <v>74</v>
      </c>
      <c r="J9" s="21"/>
      <c r="K9" s="28" t="str">
        <f>"65,0"</f>
        <v>65,0</v>
      </c>
      <c r="L9" s="29" t="str">
        <f>"59,5400"</f>
        <v>59,5400</v>
      </c>
      <c r="M9" s="19" t="s">
        <v>28</v>
      </c>
    </row>
    <row r="10" spans="1:13" x14ac:dyDescent="0.2">
      <c r="A10" s="22" t="s">
        <v>464</v>
      </c>
      <c r="B10" s="22" t="s">
        <v>465</v>
      </c>
      <c r="C10" s="22" t="s">
        <v>466</v>
      </c>
      <c r="D10" s="22" t="str">
        <f>"0,9426"</f>
        <v>0,9426</v>
      </c>
      <c r="E10" s="22" t="s">
        <v>20</v>
      </c>
      <c r="F10" s="22" t="s">
        <v>21</v>
      </c>
      <c r="G10" s="23" t="s">
        <v>120</v>
      </c>
      <c r="H10" s="23" t="s">
        <v>103</v>
      </c>
      <c r="I10" s="23" t="s">
        <v>104</v>
      </c>
      <c r="J10" s="24"/>
      <c r="K10" s="30" t="str">
        <f>"65,0"</f>
        <v>65,0</v>
      </c>
      <c r="L10" s="31" t="str">
        <f>"117,6365"</f>
        <v>117,6365</v>
      </c>
      <c r="M10" s="22" t="s">
        <v>28</v>
      </c>
    </row>
    <row r="12" spans="1:13" ht="15" x14ac:dyDescent="0.2">
      <c r="A12" s="56" t="s">
        <v>66</v>
      </c>
      <c r="B12" s="56"/>
      <c r="C12" s="56"/>
      <c r="D12" s="56"/>
      <c r="E12" s="56"/>
      <c r="F12" s="56"/>
      <c r="G12" s="56"/>
      <c r="H12" s="56"/>
      <c r="I12" s="56"/>
      <c r="J12" s="56"/>
    </row>
    <row r="13" spans="1:13" x14ac:dyDescent="0.2">
      <c r="A13" s="19" t="s">
        <v>124</v>
      </c>
      <c r="B13" s="19" t="s">
        <v>125</v>
      </c>
      <c r="C13" s="19" t="s">
        <v>126</v>
      </c>
      <c r="D13" s="19" t="str">
        <f>"0,7822"</f>
        <v>0,7822</v>
      </c>
      <c r="E13" s="19" t="s">
        <v>71</v>
      </c>
      <c r="F13" s="19" t="s">
        <v>112</v>
      </c>
      <c r="G13" s="20" t="s">
        <v>75</v>
      </c>
      <c r="H13" s="20" t="s">
        <v>128</v>
      </c>
      <c r="I13" s="20" t="s">
        <v>129</v>
      </c>
      <c r="J13" s="21"/>
      <c r="K13" s="28" t="str">
        <f>"87,5"</f>
        <v>87,5</v>
      </c>
      <c r="L13" s="29" t="str">
        <f>"68,4425"</f>
        <v>68,4425</v>
      </c>
      <c r="M13" s="19" t="s">
        <v>28</v>
      </c>
    </row>
    <row r="14" spans="1:13" x14ac:dyDescent="0.2">
      <c r="A14" s="22" t="s">
        <v>468</v>
      </c>
      <c r="B14" s="22" t="s">
        <v>469</v>
      </c>
      <c r="C14" s="22" t="s">
        <v>70</v>
      </c>
      <c r="D14" s="22" t="str">
        <f>"0,8058"</f>
        <v>0,8058</v>
      </c>
      <c r="E14" s="22" t="s">
        <v>71</v>
      </c>
      <c r="F14" s="22" t="s">
        <v>112</v>
      </c>
      <c r="G14" s="23" t="s">
        <v>103</v>
      </c>
      <c r="H14" s="24" t="s">
        <v>104</v>
      </c>
      <c r="I14" s="24" t="s">
        <v>104</v>
      </c>
      <c r="J14" s="24"/>
      <c r="K14" s="30" t="str">
        <f>"60,0"</f>
        <v>60,0</v>
      </c>
      <c r="L14" s="31" t="str">
        <f>"48,3450"</f>
        <v>48,3450</v>
      </c>
      <c r="M14" s="22" t="s">
        <v>28</v>
      </c>
    </row>
    <row r="16" spans="1:13" ht="15" x14ac:dyDescent="0.2">
      <c r="A16" s="56" t="s">
        <v>95</v>
      </c>
      <c r="B16" s="56"/>
      <c r="C16" s="56"/>
      <c r="D16" s="56"/>
      <c r="E16" s="56"/>
      <c r="F16" s="56"/>
      <c r="G16" s="56"/>
      <c r="H16" s="56"/>
      <c r="I16" s="56"/>
      <c r="J16" s="56"/>
    </row>
    <row r="17" spans="1:13" x14ac:dyDescent="0.2">
      <c r="A17" s="6" t="s">
        <v>471</v>
      </c>
      <c r="B17" s="6" t="s">
        <v>472</v>
      </c>
      <c r="C17" s="6" t="s">
        <v>473</v>
      </c>
      <c r="D17" s="6" t="str">
        <f>"0,8835"</f>
        <v>0,8835</v>
      </c>
      <c r="E17" s="6" t="s">
        <v>318</v>
      </c>
      <c r="F17" s="6" t="s">
        <v>319</v>
      </c>
      <c r="G17" s="7" t="s">
        <v>474</v>
      </c>
      <c r="H17" s="7" t="s">
        <v>475</v>
      </c>
      <c r="I17" s="7" t="s">
        <v>353</v>
      </c>
      <c r="J17" s="8"/>
      <c r="K17" s="11" t="str">
        <f>"45,0"</f>
        <v>45,0</v>
      </c>
      <c r="L17" s="12" t="str">
        <f>"48,9017"</f>
        <v>48,9017</v>
      </c>
      <c r="M17" s="6" t="s">
        <v>28</v>
      </c>
    </row>
    <row r="19" spans="1:13" ht="15" x14ac:dyDescent="0.2">
      <c r="A19" s="56" t="s">
        <v>66</v>
      </c>
      <c r="B19" s="56"/>
      <c r="C19" s="56"/>
      <c r="D19" s="56"/>
      <c r="E19" s="56"/>
      <c r="F19" s="56"/>
      <c r="G19" s="56"/>
      <c r="H19" s="56"/>
      <c r="I19" s="56"/>
      <c r="J19" s="56"/>
    </row>
    <row r="20" spans="1:13" x14ac:dyDescent="0.2">
      <c r="A20" s="6" t="s">
        <v>476</v>
      </c>
      <c r="B20" s="6" t="s">
        <v>477</v>
      </c>
      <c r="C20" s="6" t="s">
        <v>478</v>
      </c>
      <c r="D20" s="6" t="str">
        <f>"0,7814"</f>
        <v>0,7814</v>
      </c>
      <c r="E20" s="6" t="s">
        <v>479</v>
      </c>
      <c r="F20" s="6" t="s">
        <v>312</v>
      </c>
      <c r="G20" s="8" t="s">
        <v>94</v>
      </c>
      <c r="H20" s="8" t="s">
        <v>94</v>
      </c>
      <c r="I20" s="8" t="s">
        <v>94</v>
      </c>
      <c r="J20" s="8"/>
      <c r="K20" s="11" t="str">
        <f>"0.00"</f>
        <v>0.00</v>
      </c>
      <c r="L20" s="12" t="str">
        <f>"0,0000"</f>
        <v>0,0000</v>
      </c>
      <c r="M20" s="6" t="s">
        <v>480</v>
      </c>
    </row>
    <row r="22" spans="1:13" ht="15" x14ac:dyDescent="0.2">
      <c r="A22" s="56" t="s">
        <v>170</v>
      </c>
      <c r="B22" s="56"/>
      <c r="C22" s="56"/>
      <c r="D22" s="56"/>
      <c r="E22" s="56"/>
      <c r="F22" s="56"/>
      <c r="G22" s="56"/>
      <c r="H22" s="56"/>
      <c r="I22" s="56"/>
      <c r="J22" s="56"/>
    </row>
    <row r="23" spans="1:13" x14ac:dyDescent="0.2">
      <c r="A23" s="19" t="s">
        <v>482</v>
      </c>
      <c r="B23" s="19" t="s">
        <v>483</v>
      </c>
      <c r="C23" s="19" t="s">
        <v>484</v>
      </c>
      <c r="D23" s="19" t="str">
        <f>"0,7211"</f>
        <v>0,7211</v>
      </c>
      <c r="E23" s="19" t="s">
        <v>479</v>
      </c>
      <c r="F23" s="19" t="s">
        <v>312</v>
      </c>
      <c r="G23" s="21" t="s">
        <v>94</v>
      </c>
      <c r="H23" s="20" t="s">
        <v>94</v>
      </c>
      <c r="I23" s="21" t="s">
        <v>55</v>
      </c>
      <c r="J23" s="21"/>
      <c r="K23" s="28" t="str">
        <f>"100,0"</f>
        <v>100,0</v>
      </c>
      <c r="L23" s="29" t="str">
        <f>"77,8788"</f>
        <v>77,8788</v>
      </c>
      <c r="M23" s="19" t="s">
        <v>480</v>
      </c>
    </row>
    <row r="24" spans="1:13" x14ac:dyDescent="0.2">
      <c r="A24" s="25" t="s">
        <v>486</v>
      </c>
      <c r="B24" s="25" t="s">
        <v>487</v>
      </c>
      <c r="C24" s="25" t="s">
        <v>488</v>
      </c>
      <c r="D24" s="25" t="str">
        <f>"0,6745"</f>
        <v>0,6745</v>
      </c>
      <c r="E24" s="25" t="s">
        <v>51</v>
      </c>
      <c r="F24" s="25" t="s">
        <v>211</v>
      </c>
      <c r="G24" s="26" t="s">
        <v>57</v>
      </c>
      <c r="H24" s="26" t="s">
        <v>105</v>
      </c>
      <c r="I24" s="27" t="s">
        <v>106</v>
      </c>
      <c r="J24" s="27"/>
      <c r="K24" s="32" t="str">
        <f>"115,0"</f>
        <v>115,0</v>
      </c>
      <c r="L24" s="33" t="str">
        <f>"77,5675"</f>
        <v>77,5675</v>
      </c>
      <c r="M24" s="25" t="s">
        <v>28</v>
      </c>
    </row>
    <row r="25" spans="1:13" x14ac:dyDescent="0.2">
      <c r="A25" s="25" t="s">
        <v>490</v>
      </c>
      <c r="B25" s="25" t="s">
        <v>491</v>
      </c>
      <c r="C25" s="25" t="s">
        <v>492</v>
      </c>
      <c r="D25" s="25" t="str">
        <f>"0,6851"</f>
        <v>0,6851</v>
      </c>
      <c r="E25" s="25" t="s">
        <v>71</v>
      </c>
      <c r="F25" s="25" t="s">
        <v>155</v>
      </c>
      <c r="G25" s="26" t="s">
        <v>131</v>
      </c>
      <c r="H25" s="26" t="s">
        <v>222</v>
      </c>
      <c r="I25" s="26" t="s">
        <v>493</v>
      </c>
      <c r="J25" s="27"/>
      <c r="K25" s="32" t="str">
        <f>"157,5"</f>
        <v>157,5</v>
      </c>
      <c r="L25" s="33" t="str">
        <f>"107,9033"</f>
        <v>107,9033</v>
      </c>
      <c r="M25" s="25" t="s">
        <v>28</v>
      </c>
    </row>
    <row r="26" spans="1:13" x14ac:dyDescent="0.2">
      <c r="A26" s="25" t="s">
        <v>495</v>
      </c>
      <c r="B26" s="25" t="s">
        <v>496</v>
      </c>
      <c r="C26" s="25" t="s">
        <v>497</v>
      </c>
      <c r="D26" s="25" t="str">
        <f>"0,6701"</f>
        <v>0,6701</v>
      </c>
      <c r="E26" s="25" t="s">
        <v>498</v>
      </c>
      <c r="F26" s="25" t="s">
        <v>499</v>
      </c>
      <c r="G26" s="26" t="s">
        <v>130</v>
      </c>
      <c r="H26" s="26" t="s">
        <v>500</v>
      </c>
      <c r="I26" s="27" t="s">
        <v>493</v>
      </c>
      <c r="J26" s="27"/>
      <c r="K26" s="32" t="str">
        <f>"152,5"</f>
        <v>152,5</v>
      </c>
      <c r="L26" s="33" t="str">
        <f>"102,1902"</f>
        <v>102,1902</v>
      </c>
      <c r="M26" s="25" t="s">
        <v>28</v>
      </c>
    </row>
    <row r="27" spans="1:13" x14ac:dyDescent="0.2">
      <c r="A27" s="25" t="s">
        <v>501</v>
      </c>
      <c r="B27" s="25" t="s">
        <v>358</v>
      </c>
      <c r="C27" s="25" t="s">
        <v>359</v>
      </c>
      <c r="D27" s="25" t="str">
        <f>"0,6687"</f>
        <v>0,6687</v>
      </c>
      <c r="E27" s="25" t="s">
        <v>118</v>
      </c>
      <c r="F27" s="25" t="s">
        <v>211</v>
      </c>
      <c r="G27" s="26" t="s">
        <v>130</v>
      </c>
      <c r="H27" s="26" t="s">
        <v>500</v>
      </c>
      <c r="I27" s="27" t="s">
        <v>493</v>
      </c>
      <c r="J27" s="27"/>
      <c r="K27" s="32" t="str">
        <f>"152,5"</f>
        <v>152,5</v>
      </c>
      <c r="L27" s="33" t="str">
        <f>"101,9767"</f>
        <v>101,9767</v>
      </c>
      <c r="M27" s="25" t="s">
        <v>28</v>
      </c>
    </row>
    <row r="28" spans="1:13" x14ac:dyDescent="0.2">
      <c r="A28" s="25" t="s">
        <v>503</v>
      </c>
      <c r="B28" s="25" t="s">
        <v>504</v>
      </c>
      <c r="C28" s="25" t="s">
        <v>505</v>
      </c>
      <c r="D28" s="25" t="str">
        <f>"0,7057"</f>
        <v>0,7057</v>
      </c>
      <c r="E28" s="25" t="s">
        <v>51</v>
      </c>
      <c r="F28" s="25" t="s">
        <v>137</v>
      </c>
      <c r="G28" s="26" t="s">
        <v>105</v>
      </c>
      <c r="H28" s="26" t="s">
        <v>106</v>
      </c>
      <c r="I28" s="27" t="s">
        <v>77</v>
      </c>
      <c r="J28" s="27"/>
      <c r="K28" s="32" t="str">
        <f>"120,0"</f>
        <v>120,0</v>
      </c>
      <c r="L28" s="33" t="str">
        <f>"84,6840"</f>
        <v>84,6840</v>
      </c>
      <c r="M28" s="25" t="s">
        <v>28</v>
      </c>
    </row>
    <row r="29" spans="1:13" x14ac:dyDescent="0.2">
      <c r="A29" s="25" t="s">
        <v>507</v>
      </c>
      <c r="B29" s="25" t="s">
        <v>508</v>
      </c>
      <c r="C29" s="25" t="s">
        <v>509</v>
      </c>
      <c r="D29" s="25" t="str">
        <f>"0,6774"</f>
        <v>0,6774</v>
      </c>
      <c r="E29" s="25" t="s">
        <v>148</v>
      </c>
      <c r="F29" s="25" t="s">
        <v>119</v>
      </c>
      <c r="G29" s="26" t="s">
        <v>102</v>
      </c>
      <c r="H29" s="26" t="s">
        <v>510</v>
      </c>
      <c r="I29" s="26" t="s">
        <v>55</v>
      </c>
      <c r="J29" s="27"/>
      <c r="K29" s="32" t="str">
        <f>"105,0"</f>
        <v>105,0</v>
      </c>
      <c r="L29" s="33" t="str">
        <f>"71,1270"</f>
        <v>71,1270</v>
      </c>
      <c r="M29" s="25" t="s">
        <v>28</v>
      </c>
    </row>
    <row r="30" spans="1:13" x14ac:dyDescent="0.2">
      <c r="A30" s="22" t="s">
        <v>512</v>
      </c>
      <c r="B30" s="22" t="s">
        <v>513</v>
      </c>
      <c r="C30" s="22" t="s">
        <v>290</v>
      </c>
      <c r="D30" s="22" t="str">
        <f>"0,6730"</f>
        <v>0,6730</v>
      </c>
      <c r="E30" s="22" t="s">
        <v>71</v>
      </c>
      <c r="F30" s="22" t="s">
        <v>112</v>
      </c>
      <c r="G30" s="23" t="s">
        <v>94</v>
      </c>
      <c r="H30" s="24" t="s">
        <v>55</v>
      </c>
      <c r="I30" s="23" t="s">
        <v>55</v>
      </c>
      <c r="J30" s="24"/>
      <c r="K30" s="30" t="str">
        <f>"105,0"</f>
        <v>105,0</v>
      </c>
      <c r="L30" s="31" t="str">
        <f>"116,2439"</f>
        <v>116,2439</v>
      </c>
      <c r="M30" s="22" t="s">
        <v>28</v>
      </c>
    </row>
    <row r="32" spans="1:13" ht="15" x14ac:dyDescent="0.2">
      <c r="A32" s="56" t="s">
        <v>187</v>
      </c>
      <c r="B32" s="56"/>
      <c r="C32" s="56"/>
      <c r="D32" s="56"/>
      <c r="E32" s="56"/>
      <c r="F32" s="56"/>
      <c r="G32" s="56"/>
      <c r="H32" s="56"/>
      <c r="I32" s="56"/>
      <c r="J32" s="56"/>
    </row>
    <row r="33" spans="1:13" x14ac:dyDescent="0.2">
      <c r="A33" s="19" t="s">
        <v>515</v>
      </c>
      <c r="B33" s="19" t="s">
        <v>516</v>
      </c>
      <c r="C33" s="19" t="s">
        <v>517</v>
      </c>
      <c r="D33" s="19" t="str">
        <f>"0,6295"</f>
        <v>0,6295</v>
      </c>
      <c r="E33" s="19" t="s">
        <v>199</v>
      </c>
      <c r="F33" s="19" t="s">
        <v>21</v>
      </c>
      <c r="G33" s="20" t="s">
        <v>77</v>
      </c>
      <c r="H33" s="20" t="s">
        <v>121</v>
      </c>
      <c r="I33" s="20" t="s">
        <v>127</v>
      </c>
      <c r="J33" s="21"/>
      <c r="K33" s="28" t="str">
        <f>"135,0"</f>
        <v>135,0</v>
      </c>
      <c r="L33" s="29" t="str">
        <f>"84,9825"</f>
        <v>84,9825</v>
      </c>
      <c r="M33" s="19" t="s">
        <v>28</v>
      </c>
    </row>
    <row r="34" spans="1:13" x14ac:dyDescent="0.2">
      <c r="A34" s="25" t="s">
        <v>519</v>
      </c>
      <c r="B34" s="25" t="s">
        <v>520</v>
      </c>
      <c r="C34" s="25" t="s">
        <v>191</v>
      </c>
      <c r="D34" s="25" t="str">
        <f>"0,6246"</f>
        <v>0,6246</v>
      </c>
      <c r="E34" s="25" t="s">
        <v>148</v>
      </c>
      <c r="F34" s="25" t="s">
        <v>211</v>
      </c>
      <c r="G34" s="26" t="s">
        <v>121</v>
      </c>
      <c r="H34" s="27" t="s">
        <v>127</v>
      </c>
      <c r="I34" s="26" t="s">
        <v>127</v>
      </c>
      <c r="J34" s="27"/>
      <c r="K34" s="32" t="str">
        <f>"135,0"</f>
        <v>135,0</v>
      </c>
      <c r="L34" s="33" t="str">
        <f>"84,3210"</f>
        <v>84,3210</v>
      </c>
      <c r="M34" s="25" t="s">
        <v>28</v>
      </c>
    </row>
    <row r="35" spans="1:13" x14ac:dyDescent="0.2">
      <c r="A35" s="22" t="s">
        <v>522</v>
      </c>
      <c r="B35" s="22" t="s">
        <v>523</v>
      </c>
      <c r="C35" s="22" t="s">
        <v>524</v>
      </c>
      <c r="D35" s="22" t="str">
        <f>"0,6257"</f>
        <v>0,6257</v>
      </c>
      <c r="E35" s="22" t="s">
        <v>51</v>
      </c>
      <c r="F35" s="22" t="s">
        <v>319</v>
      </c>
      <c r="G35" s="23" t="s">
        <v>105</v>
      </c>
      <c r="H35" s="23" t="s">
        <v>106</v>
      </c>
      <c r="I35" s="24" t="s">
        <v>525</v>
      </c>
      <c r="J35" s="24"/>
      <c r="K35" s="30" t="str">
        <f>"120,0"</f>
        <v>120,0</v>
      </c>
      <c r="L35" s="31" t="str">
        <f>"88,0735"</f>
        <v>88,0735</v>
      </c>
      <c r="M35" s="22" t="s">
        <v>28</v>
      </c>
    </row>
    <row r="37" spans="1:13" ht="15" x14ac:dyDescent="0.2">
      <c r="A37" s="56" t="s">
        <v>143</v>
      </c>
      <c r="B37" s="56"/>
      <c r="C37" s="56"/>
      <c r="D37" s="56"/>
      <c r="E37" s="56"/>
      <c r="F37" s="56"/>
      <c r="G37" s="56"/>
      <c r="H37" s="56"/>
      <c r="I37" s="56"/>
      <c r="J37" s="56"/>
    </row>
    <row r="38" spans="1:13" x14ac:dyDescent="0.2">
      <c r="A38" s="19" t="s">
        <v>527</v>
      </c>
      <c r="B38" s="19" t="s">
        <v>528</v>
      </c>
      <c r="C38" s="19" t="s">
        <v>529</v>
      </c>
      <c r="D38" s="19" t="str">
        <f>"0,5947"</f>
        <v>0,5947</v>
      </c>
      <c r="E38" s="19" t="s">
        <v>318</v>
      </c>
      <c r="F38" s="19" t="s">
        <v>319</v>
      </c>
      <c r="G38" s="20" t="s">
        <v>530</v>
      </c>
      <c r="H38" s="20" t="s">
        <v>353</v>
      </c>
      <c r="I38" s="20" t="s">
        <v>92</v>
      </c>
      <c r="J38" s="21"/>
      <c r="K38" s="28" t="str">
        <f>"52,5"</f>
        <v>52,5</v>
      </c>
      <c r="L38" s="29" t="str">
        <f>"38,4028"</f>
        <v>38,4028</v>
      </c>
      <c r="M38" s="19" t="s">
        <v>28</v>
      </c>
    </row>
    <row r="39" spans="1:13" x14ac:dyDescent="0.2">
      <c r="A39" s="25" t="s">
        <v>532</v>
      </c>
      <c r="B39" s="25" t="s">
        <v>533</v>
      </c>
      <c r="C39" s="25" t="s">
        <v>534</v>
      </c>
      <c r="D39" s="25" t="str">
        <f>"0,5984"</f>
        <v>0,5984</v>
      </c>
      <c r="E39" s="25" t="s">
        <v>479</v>
      </c>
      <c r="F39" s="25" t="s">
        <v>312</v>
      </c>
      <c r="G39" s="26" t="s">
        <v>130</v>
      </c>
      <c r="H39" s="26" t="s">
        <v>222</v>
      </c>
      <c r="I39" s="26" t="s">
        <v>132</v>
      </c>
      <c r="J39" s="27"/>
      <c r="K39" s="32" t="str">
        <f>"160,0"</f>
        <v>160,0</v>
      </c>
      <c r="L39" s="33" t="str">
        <f>"96,7014"</f>
        <v>96,7014</v>
      </c>
      <c r="M39" s="25" t="s">
        <v>480</v>
      </c>
    </row>
    <row r="40" spans="1:13" x14ac:dyDescent="0.2">
      <c r="A40" s="25" t="s">
        <v>536</v>
      </c>
      <c r="B40" s="25" t="s">
        <v>537</v>
      </c>
      <c r="C40" s="25" t="s">
        <v>538</v>
      </c>
      <c r="D40" s="25" t="str">
        <f>"0,5897"</f>
        <v>0,5897</v>
      </c>
      <c r="E40" s="25" t="s">
        <v>539</v>
      </c>
      <c r="F40" s="25" t="s">
        <v>312</v>
      </c>
      <c r="G40" s="27" t="s">
        <v>222</v>
      </c>
      <c r="H40" s="26" t="s">
        <v>222</v>
      </c>
      <c r="I40" s="26" t="s">
        <v>132</v>
      </c>
      <c r="J40" s="27"/>
      <c r="K40" s="32" t="str">
        <f>"160,0"</f>
        <v>160,0</v>
      </c>
      <c r="L40" s="33" t="str">
        <f>"94,3520"</f>
        <v>94,3520</v>
      </c>
      <c r="M40" s="25" t="s">
        <v>28</v>
      </c>
    </row>
    <row r="41" spans="1:13" x14ac:dyDescent="0.2">
      <c r="A41" s="25" t="s">
        <v>541</v>
      </c>
      <c r="B41" s="25" t="s">
        <v>542</v>
      </c>
      <c r="C41" s="25" t="s">
        <v>543</v>
      </c>
      <c r="D41" s="25" t="str">
        <f>"0,5930"</f>
        <v>0,5930</v>
      </c>
      <c r="E41" s="25" t="s">
        <v>389</v>
      </c>
      <c r="F41" s="25" t="s">
        <v>137</v>
      </c>
      <c r="G41" s="26" t="s">
        <v>131</v>
      </c>
      <c r="H41" s="26" t="s">
        <v>222</v>
      </c>
      <c r="I41" s="27" t="s">
        <v>132</v>
      </c>
      <c r="J41" s="27"/>
      <c r="K41" s="32" t="str">
        <f>"155,0"</f>
        <v>155,0</v>
      </c>
      <c r="L41" s="33" t="str">
        <f>"91,9150"</f>
        <v>91,9150</v>
      </c>
      <c r="M41" s="25" t="s">
        <v>28</v>
      </c>
    </row>
    <row r="42" spans="1:13" x14ac:dyDescent="0.2">
      <c r="A42" s="25" t="s">
        <v>544</v>
      </c>
      <c r="B42" s="25" t="s">
        <v>366</v>
      </c>
      <c r="C42" s="25" t="s">
        <v>367</v>
      </c>
      <c r="D42" s="25" t="str">
        <f>"0,6007"</f>
        <v>0,6007</v>
      </c>
      <c r="E42" s="25" t="s">
        <v>51</v>
      </c>
      <c r="F42" s="25" t="s">
        <v>21</v>
      </c>
      <c r="G42" s="26" t="s">
        <v>131</v>
      </c>
      <c r="H42" s="27" t="s">
        <v>493</v>
      </c>
      <c r="I42" s="27"/>
      <c r="J42" s="27"/>
      <c r="K42" s="32" t="str">
        <f>"150,0"</f>
        <v>150,0</v>
      </c>
      <c r="L42" s="33" t="str">
        <f>"90,0975"</f>
        <v>90,0975</v>
      </c>
      <c r="M42" s="25" t="s">
        <v>28</v>
      </c>
    </row>
    <row r="43" spans="1:13" x14ac:dyDescent="0.2">
      <c r="A43" s="25" t="s">
        <v>545</v>
      </c>
      <c r="B43" s="25" t="s">
        <v>370</v>
      </c>
      <c r="C43" s="25" t="s">
        <v>371</v>
      </c>
      <c r="D43" s="25" t="str">
        <f>"0,6078"</f>
        <v>0,6078</v>
      </c>
      <c r="E43" s="25" t="s">
        <v>71</v>
      </c>
      <c r="F43" s="25" t="s">
        <v>372</v>
      </c>
      <c r="G43" s="26" t="s">
        <v>57</v>
      </c>
      <c r="H43" s="26" t="s">
        <v>105</v>
      </c>
      <c r="I43" s="27" t="s">
        <v>373</v>
      </c>
      <c r="J43" s="27"/>
      <c r="K43" s="32" t="str">
        <f>"115,0"</f>
        <v>115,0</v>
      </c>
      <c r="L43" s="33" t="str">
        <f>"69,8970"</f>
        <v>69,8970</v>
      </c>
      <c r="M43" s="25" t="s">
        <v>28</v>
      </c>
    </row>
    <row r="44" spans="1:13" x14ac:dyDescent="0.2">
      <c r="A44" s="25" t="s">
        <v>546</v>
      </c>
      <c r="B44" s="25" t="s">
        <v>547</v>
      </c>
      <c r="C44" s="25" t="s">
        <v>543</v>
      </c>
      <c r="D44" s="25" t="str">
        <f>"0,5930"</f>
        <v>0,5930</v>
      </c>
      <c r="E44" s="25" t="s">
        <v>389</v>
      </c>
      <c r="F44" s="25" t="s">
        <v>137</v>
      </c>
      <c r="G44" s="26" t="s">
        <v>131</v>
      </c>
      <c r="H44" s="26" t="s">
        <v>222</v>
      </c>
      <c r="I44" s="27" t="s">
        <v>132</v>
      </c>
      <c r="J44" s="27"/>
      <c r="K44" s="32" t="str">
        <f>"155,0"</f>
        <v>155,0</v>
      </c>
      <c r="L44" s="33" t="str">
        <f>"98,2571"</f>
        <v>98,2571</v>
      </c>
      <c r="M44" s="25" t="s">
        <v>28</v>
      </c>
    </row>
    <row r="45" spans="1:13" x14ac:dyDescent="0.2">
      <c r="A45" s="22" t="s">
        <v>379</v>
      </c>
      <c r="B45" s="22" t="s">
        <v>380</v>
      </c>
      <c r="C45" s="22" t="s">
        <v>371</v>
      </c>
      <c r="D45" s="22" t="str">
        <f>"0,6078"</f>
        <v>0,6078</v>
      </c>
      <c r="E45" s="22" t="s">
        <v>71</v>
      </c>
      <c r="F45" s="22" t="s">
        <v>372</v>
      </c>
      <c r="G45" s="23" t="s">
        <v>57</v>
      </c>
      <c r="H45" s="23" t="s">
        <v>105</v>
      </c>
      <c r="I45" s="24" t="s">
        <v>373</v>
      </c>
      <c r="J45" s="24"/>
      <c r="K45" s="30" t="str">
        <f>"115,0"</f>
        <v>115,0</v>
      </c>
      <c r="L45" s="31" t="str">
        <f>"137,6971"</f>
        <v>137,6971</v>
      </c>
      <c r="M45" s="22" t="s">
        <v>28</v>
      </c>
    </row>
    <row r="47" spans="1:13" ht="15" x14ac:dyDescent="0.2">
      <c r="A47" s="56" t="s">
        <v>46</v>
      </c>
      <c r="B47" s="56"/>
      <c r="C47" s="56"/>
      <c r="D47" s="56"/>
      <c r="E47" s="56"/>
      <c r="F47" s="56"/>
      <c r="G47" s="56"/>
      <c r="H47" s="56"/>
      <c r="I47" s="56"/>
      <c r="J47" s="56"/>
    </row>
    <row r="48" spans="1:13" x14ac:dyDescent="0.2">
      <c r="A48" s="19" t="s">
        <v>382</v>
      </c>
      <c r="B48" s="19" t="s">
        <v>383</v>
      </c>
      <c r="C48" s="19" t="s">
        <v>384</v>
      </c>
      <c r="D48" s="19" t="str">
        <f>"0,5555"</f>
        <v>0,5555</v>
      </c>
      <c r="E48" s="19" t="s">
        <v>378</v>
      </c>
      <c r="F48" s="19" t="s">
        <v>211</v>
      </c>
      <c r="G48" s="20" t="s">
        <v>200</v>
      </c>
      <c r="H48" s="20" t="s">
        <v>24</v>
      </c>
      <c r="I48" s="21" t="s">
        <v>320</v>
      </c>
      <c r="J48" s="21"/>
      <c r="K48" s="28" t="str">
        <f>"180,0"</f>
        <v>180,0</v>
      </c>
      <c r="L48" s="29" t="str">
        <f>"99,9900"</f>
        <v>99,9900</v>
      </c>
      <c r="M48" s="19" t="s">
        <v>28</v>
      </c>
    </row>
    <row r="49" spans="1:13" x14ac:dyDescent="0.2">
      <c r="A49" s="25" t="s">
        <v>549</v>
      </c>
      <c r="B49" s="25" t="s">
        <v>550</v>
      </c>
      <c r="C49" s="25" t="s">
        <v>551</v>
      </c>
      <c r="D49" s="25" t="str">
        <f>"0,5638"</f>
        <v>0,5638</v>
      </c>
      <c r="E49" s="25" t="s">
        <v>71</v>
      </c>
      <c r="F49" s="25" t="s">
        <v>21</v>
      </c>
      <c r="G49" s="26" t="s">
        <v>131</v>
      </c>
      <c r="H49" s="26" t="s">
        <v>132</v>
      </c>
      <c r="I49" s="26" t="s">
        <v>200</v>
      </c>
      <c r="J49" s="27"/>
      <c r="K49" s="32" t="str">
        <f>"170,0"</f>
        <v>170,0</v>
      </c>
      <c r="L49" s="33" t="str">
        <f>"95,8375"</f>
        <v>95,8375</v>
      </c>
      <c r="M49" s="25" t="s">
        <v>28</v>
      </c>
    </row>
    <row r="50" spans="1:13" x14ac:dyDescent="0.2">
      <c r="A50" s="25" t="s">
        <v>553</v>
      </c>
      <c r="B50" s="25" t="s">
        <v>554</v>
      </c>
      <c r="C50" s="25" t="s">
        <v>555</v>
      </c>
      <c r="D50" s="25" t="str">
        <f>"0,5610"</f>
        <v>0,5610</v>
      </c>
      <c r="E50" s="25" t="s">
        <v>318</v>
      </c>
      <c r="F50" s="25" t="s">
        <v>319</v>
      </c>
      <c r="G50" s="26" t="s">
        <v>222</v>
      </c>
      <c r="H50" s="26" t="s">
        <v>419</v>
      </c>
      <c r="I50" s="26" t="s">
        <v>556</v>
      </c>
      <c r="J50" s="27"/>
      <c r="K50" s="32" t="str">
        <f>"167,5"</f>
        <v>167,5</v>
      </c>
      <c r="L50" s="33" t="str">
        <f>"93,9675"</f>
        <v>93,9675</v>
      </c>
      <c r="M50" s="25" t="s">
        <v>28</v>
      </c>
    </row>
    <row r="51" spans="1:13" x14ac:dyDescent="0.2">
      <c r="A51" s="25" t="s">
        <v>558</v>
      </c>
      <c r="B51" s="25" t="s">
        <v>559</v>
      </c>
      <c r="C51" s="25" t="s">
        <v>560</v>
      </c>
      <c r="D51" s="25" t="str">
        <f>"0,5627"</f>
        <v>0,5627</v>
      </c>
      <c r="E51" s="25" t="s">
        <v>561</v>
      </c>
      <c r="F51" s="25" t="s">
        <v>119</v>
      </c>
      <c r="G51" s="26" t="s">
        <v>222</v>
      </c>
      <c r="H51" s="26" t="s">
        <v>132</v>
      </c>
      <c r="I51" s="27" t="s">
        <v>419</v>
      </c>
      <c r="J51" s="27"/>
      <c r="K51" s="32" t="str">
        <f>"160,0"</f>
        <v>160,0</v>
      </c>
      <c r="L51" s="33" t="str">
        <f>"90,0320"</f>
        <v>90,0320</v>
      </c>
      <c r="M51" s="25" t="s">
        <v>28</v>
      </c>
    </row>
    <row r="52" spans="1:13" x14ac:dyDescent="0.2">
      <c r="A52" s="25" t="s">
        <v>563</v>
      </c>
      <c r="B52" s="25" t="s">
        <v>564</v>
      </c>
      <c r="C52" s="25" t="s">
        <v>565</v>
      </c>
      <c r="D52" s="25" t="str">
        <f>"0,5573"</f>
        <v>0,5573</v>
      </c>
      <c r="E52" s="25" t="s">
        <v>566</v>
      </c>
      <c r="F52" s="25" t="s">
        <v>567</v>
      </c>
      <c r="G52" s="26" t="s">
        <v>131</v>
      </c>
      <c r="H52" s="27" t="s">
        <v>419</v>
      </c>
      <c r="I52" s="27" t="s">
        <v>419</v>
      </c>
      <c r="J52" s="27"/>
      <c r="K52" s="32" t="str">
        <f>"150,0"</f>
        <v>150,0</v>
      </c>
      <c r="L52" s="33" t="str">
        <f>"83,5950"</f>
        <v>83,5950</v>
      </c>
      <c r="M52" s="25" t="s">
        <v>28</v>
      </c>
    </row>
    <row r="53" spans="1:13" x14ac:dyDescent="0.2">
      <c r="A53" s="25" t="s">
        <v>569</v>
      </c>
      <c r="B53" s="25" t="s">
        <v>570</v>
      </c>
      <c r="C53" s="25" t="s">
        <v>571</v>
      </c>
      <c r="D53" s="25" t="str">
        <f>"0,5548"</f>
        <v>0,5548</v>
      </c>
      <c r="E53" s="25" t="s">
        <v>51</v>
      </c>
      <c r="F53" s="25" t="s">
        <v>21</v>
      </c>
      <c r="G53" s="26" t="s">
        <v>130</v>
      </c>
      <c r="H53" s="27" t="s">
        <v>131</v>
      </c>
      <c r="I53" s="27" t="s">
        <v>131</v>
      </c>
      <c r="J53" s="27"/>
      <c r="K53" s="32" t="str">
        <f>"145,0"</f>
        <v>145,0</v>
      </c>
      <c r="L53" s="33" t="str">
        <f>"80,4460"</f>
        <v>80,4460</v>
      </c>
      <c r="M53" s="25" t="s">
        <v>28</v>
      </c>
    </row>
    <row r="54" spans="1:13" x14ac:dyDescent="0.2">
      <c r="A54" s="25" t="s">
        <v>572</v>
      </c>
      <c r="B54" s="25" t="s">
        <v>573</v>
      </c>
      <c r="C54" s="25" t="s">
        <v>574</v>
      </c>
      <c r="D54" s="25" t="str">
        <f>"0,5568"</f>
        <v>0,5568</v>
      </c>
      <c r="E54" s="25" t="s">
        <v>51</v>
      </c>
      <c r="F54" s="25" t="s">
        <v>211</v>
      </c>
      <c r="G54" s="27" t="s">
        <v>500</v>
      </c>
      <c r="H54" s="27" t="s">
        <v>419</v>
      </c>
      <c r="I54" s="27" t="s">
        <v>419</v>
      </c>
      <c r="J54" s="27"/>
      <c r="K54" s="32" t="str">
        <f>"0.00"</f>
        <v>0.00</v>
      </c>
      <c r="L54" s="33" t="str">
        <f>"0,0000"</f>
        <v>0,0000</v>
      </c>
      <c r="M54" s="25" t="s">
        <v>28</v>
      </c>
    </row>
    <row r="55" spans="1:13" x14ac:dyDescent="0.2">
      <c r="A55" s="25" t="s">
        <v>230</v>
      </c>
      <c r="B55" s="25" t="s">
        <v>231</v>
      </c>
      <c r="C55" s="25" t="s">
        <v>232</v>
      </c>
      <c r="D55" s="25" t="str">
        <f>"0,5541"</f>
        <v>0,5541</v>
      </c>
      <c r="E55" s="25" t="s">
        <v>51</v>
      </c>
      <c r="F55" s="25" t="s">
        <v>233</v>
      </c>
      <c r="G55" s="26" t="s">
        <v>132</v>
      </c>
      <c r="H55" s="27" t="s">
        <v>200</v>
      </c>
      <c r="I55" s="26" t="s">
        <v>200</v>
      </c>
      <c r="J55" s="27"/>
      <c r="K55" s="32" t="str">
        <f>"170,0"</f>
        <v>170,0</v>
      </c>
      <c r="L55" s="33" t="str">
        <f>"105,2275"</f>
        <v>105,2275</v>
      </c>
      <c r="M55" s="25" t="s">
        <v>28</v>
      </c>
    </row>
    <row r="56" spans="1:13" x14ac:dyDescent="0.2">
      <c r="A56" s="25" t="s">
        <v>576</v>
      </c>
      <c r="B56" s="25" t="s">
        <v>577</v>
      </c>
      <c r="C56" s="25" t="s">
        <v>578</v>
      </c>
      <c r="D56" s="25" t="str">
        <f>"0,5663"</f>
        <v>0,5663</v>
      </c>
      <c r="E56" s="25" t="s">
        <v>148</v>
      </c>
      <c r="F56" s="25" t="s">
        <v>211</v>
      </c>
      <c r="G56" s="26" t="s">
        <v>130</v>
      </c>
      <c r="H56" s="26" t="s">
        <v>222</v>
      </c>
      <c r="I56" s="27" t="s">
        <v>493</v>
      </c>
      <c r="J56" s="27"/>
      <c r="K56" s="32" t="str">
        <f>"155,0"</f>
        <v>155,0</v>
      </c>
      <c r="L56" s="33" t="str">
        <f>"134,7369"</f>
        <v>134,7369</v>
      </c>
      <c r="M56" s="25" t="s">
        <v>28</v>
      </c>
    </row>
    <row r="57" spans="1:13" x14ac:dyDescent="0.2">
      <c r="A57" s="22" t="s">
        <v>580</v>
      </c>
      <c r="B57" s="22" t="s">
        <v>581</v>
      </c>
      <c r="C57" s="22" t="s">
        <v>582</v>
      </c>
      <c r="D57" s="22" t="str">
        <f>"0,5737"</f>
        <v>0,5737</v>
      </c>
      <c r="E57" s="22" t="s">
        <v>71</v>
      </c>
      <c r="F57" s="22" t="s">
        <v>112</v>
      </c>
      <c r="G57" s="23" t="s">
        <v>127</v>
      </c>
      <c r="H57" s="24" t="s">
        <v>130</v>
      </c>
      <c r="I57" s="23" t="s">
        <v>130</v>
      </c>
      <c r="J57" s="24"/>
      <c r="K57" s="30" t="str">
        <f>"145,0"</f>
        <v>145,0</v>
      </c>
      <c r="L57" s="31" t="str">
        <f>"127,6913"</f>
        <v>127,6913</v>
      </c>
      <c r="M57" s="22" t="s">
        <v>28</v>
      </c>
    </row>
    <row r="59" spans="1:13" ht="15" x14ac:dyDescent="0.2">
      <c r="A59" s="56" t="s">
        <v>15</v>
      </c>
      <c r="B59" s="56"/>
      <c r="C59" s="56"/>
      <c r="D59" s="56"/>
      <c r="E59" s="56"/>
      <c r="F59" s="56"/>
      <c r="G59" s="56"/>
      <c r="H59" s="56"/>
      <c r="I59" s="56"/>
      <c r="J59" s="56"/>
    </row>
    <row r="60" spans="1:13" x14ac:dyDescent="0.2">
      <c r="A60" s="19" t="s">
        <v>584</v>
      </c>
      <c r="B60" s="19" t="s">
        <v>585</v>
      </c>
      <c r="C60" s="19" t="s">
        <v>586</v>
      </c>
      <c r="D60" s="19" t="str">
        <f>"0,5459"</f>
        <v>0,5459</v>
      </c>
      <c r="E60" s="19" t="s">
        <v>587</v>
      </c>
      <c r="F60" s="19" t="s">
        <v>137</v>
      </c>
      <c r="G60" s="20" t="s">
        <v>24</v>
      </c>
      <c r="H60" s="20" t="s">
        <v>201</v>
      </c>
      <c r="I60" s="20" t="s">
        <v>25</v>
      </c>
      <c r="J60" s="21"/>
      <c r="K60" s="28" t="str">
        <f>"200,0"</f>
        <v>200,0</v>
      </c>
      <c r="L60" s="29" t="str">
        <f>"109,1800"</f>
        <v>109,1800</v>
      </c>
      <c r="M60" s="19" t="s">
        <v>588</v>
      </c>
    </row>
    <row r="61" spans="1:13" x14ac:dyDescent="0.2">
      <c r="A61" s="25" t="s">
        <v>590</v>
      </c>
      <c r="B61" s="25" t="s">
        <v>591</v>
      </c>
      <c r="C61" s="25" t="s">
        <v>592</v>
      </c>
      <c r="D61" s="25" t="str">
        <f>"0,5388"</f>
        <v>0,5388</v>
      </c>
      <c r="E61" s="25" t="s">
        <v>100</v>
      </c>
      <c r="F61" s="25" t="s">
        <v>21</v>
      </c>
      <c r="G61" s="26" t="s">
        <v>212</v>
      </c>
      <c r="H61" s="26" t="s">
        <v>217</v>
      </c>
      <c r="I61" s="26" t="s">
        <v>201</v>
      </c>
      <c r="J61" s="27"/>
      <c r="K61" s="32" t="str">
        <f>"190,0"</f>
        <v>190,0</v>
      </c>
      <c r="L61" s="33" t="str">
        <f>"102,3720"</f>
        <v>102,3720</v>
      </c>
      <c r="M61" s="25" t="s">
        <v>28</v>
      </c>
    </row>
    <row r="62" spans="1:13" x14ac:dyDescent="0.2">
      <c r="A62" s="25" t="s">
        <v>594</v>
      </c>
      <c r="B62" s="25" t="s">
        <v>595</v>
      </c>
      <c r="C62" s="25" t="s">
        <v>596</v>
      </c>
      <c r="D62" s="25" t="str">
        <f>"0,5381"</f>
        <v>0,5381</v>
      </c>
      <c r="E62" s="25" t="s">
        <v>597</v>
      </c>
      <c r="F62" s="25" t="s">
        <v>319</v>
      </c>
      <c r="G62" s="26" t="s">
        <v>217</v>
      </c>
      <c r="H62" s="26" t="s">
        <v>201</v>
      </c>
      <c r="I62" s="27" t="s">
        <v>185</v>
      </c>
      <c r="J62" s="27"/>
      <c r="K62" s="32" t="str">
        <f>"190,0"</f>
        <v>190,0</v>
      </c>
      <c r="L62" s="33" t="str">
        <f>"102,2390"</f>
        <v>102,2390</v>
      </c>
      <c r="M62" s="25" t="s">
        <v>28</v>
      </c>
    </row>
    <row r="63" spans="1:13" x14ac:dyDescent="0.2">
      <c r="A63" s="25" t="s">
        <v>599</v>
      </c>
      <c r="B63" s="25" t="s">
        <v>600</v>
      </c>
      <c r="C63" s="25" t="s">
        <v>601</v>
      </c>
      <c r="D63" s="25" t="str">
        <f>"0,5450"</f>
        <v>0,5450</v>
      </c>
      <c r="E63" s="25" t="s">
        <v>479</v>
      </c>
      <c r="F63" s="25" t="s">
        <v>312</v>
      </c>
      <c r="G63" s="26" t="s">
        <v>131</v>
      </c>
      <c r="H63" s="27" t="s">
        <v>132</v>
      </c>
      <c r="I63" s="27" t="s">
        <v>132</v>
      </c>
      <c r="J63" s="27"/>
      <c r="K63" s="32" t="str">
        <f>"150,0"</f>
        <v>150,0</v>
      </c>
      <c r="L63" s="33" t="str">
        <f>"81,7500"</f>
        <v>81,7500</v>
      </c>
      <c r="M63" s="25" t="s">
        <v>28</v>
      </c>
    </row>
    <row r="64" spans="1:13" x14ac:dyDescent="0.2">
      <c r="A64" s="25" t="s">
        <v>584</v>
      </c>
      <c r="B64" s="25" t="s">
        <v>602</v>
      </c>
      <c r="C64" s="25" t="s">
        <v>586</v>
      </c>
      <c r="D64" s="25" t="str">
        <f>"0,5459"</f>
        <v>0,5459</v>
      </c>
      <c r="E64" s="25" t="s">
        <v>587</v>
      </c>
      <c r="F64" s="25" t="s">
        <v>137</v>
      </c>
      <c r="G64" s="26" t="s">
        <v>24</v>
      </c>
      <c r="H64" s="26" t="s">
        <v>201</v>
      </c>
      <c r="I64" s="26" t="s">
        <v>25</v>
      </c>
      <c r="J64" s="27"/>
      <c r="K64" s="32" t="str">
        <f>"200,0"</f>
        <v>200,0</v>
      </c>
      <c r="L64" s="33" t="str">
        <f>"112,5646"</f>
        <v>112,5646</v>
      </c>
      <c r="M64" s="25" t="s">
        <v>588</v>
      </c>
    </row>
    <row r="65" spans="1:13" x14ac:dyDescent="0.2">
      <c r="A65" s="25" t="s">
        <v>590</v>
      </c>
      <c r="B65" s="25" t="s">
        <v>603</v>
      </c>
      <c r="C65" s="25" t="s">
        <v>592</v>
      </c>
      <c r="D65" s="25" t="str">
        <f>"0,5388"</f>
        <v>0,5388</v>
      </c>
      <c r="E65" s="25" t="s">
        <v>100</v>
      </c>
      <c r="F65" s="25" t="s">
        <v>21</v>
      </c>
      <c r="G65" s="26" t="s">
        <v>212</v>
      </c>
      <c r="H65" s="26" t="s">
        <v>217</v>
      </c>
      <c r="I65" s="26" t="s">
        <v>201</v>
      </c>
      <c r="J65" s="27"/>
      <c r="K65" s="32" t="str">
        <f>"190,0"</f>
        <v>190,0</v>
      </c>
      <c r="L65" s="33" t="str">
        <f>"104,2147"</f>
        <v>104,2147</v>
      </c>
      <c r="M65" s="25" t="s">
        <v>28</v>
      </c>
    </row>
    <row r="66" spans="1:13" x14ac:dyDescent="0.2">
      <c r="A66" s="22" t="s">
        <v>594</v>
      </c>
      <c r="B66" s="22" t="s">
        <v>604</v>
      </c>
      <c r="C66" s="22" t="s">
        <v>596</v>
      </c>
      <c r="D66" s="22" t="str">
        <f>"0,5381"</f>
        <v>0,5381</v>
      </c>
      <c r="E66" s="22" t="s">
        <v>597</v>
      </c>
      <c r="F66" s="22" t="s">
        <v>319</v>
      </c>
      <c r="G66" s="23" t="s">
        <v>217</v>
      </c>
      <c r="H66" s="23" t="s">
        <v>201</v>
      </c>
      <c r="I66" s="24" t="s">
        <v>185</v>
      </c>
      <c r="J66" s="24"/>
      <c r="K66" s="30" t="str">
        <f>"190,0"</f>
        <v>190,0</v>
      </c>
      <c r="L66" s="31" t="str">
        <f>"102,2390"</f>
        <v>102,2390</v>
      </c>
      <c r="M66" s="22" t="s">
        <v>28</v>
      </c>
    </row>
    <row r="68" spans="1:13" ht="15" x14ac:dyDescent="0.2">
      <c r="A68" s="56" t="s">
        <v>345</v>
      </c>
      <c r="B68" s="56"/>
      <c r="C68" s="56"/>
      <c r="D68" s="56"/>
      <c r="E68" s="56"/>
      <c r="F68" s="56"/>
      <c r="G68" s="56"/>
      <c r="H68" s="56"/>
      <c r="I68" s="56"/>
      <c r="J68" s="56"/>
    </row>
    <row r="69" spans="1:13" x14ac:dyDescent="0.2">
      <c r="A69" s="6" t="s">
        <v>606</v>
      </c>
      <c r="B69" s="6" t="s">
        <v>607</v>
      </c>
      <c r="C69" s="6" t="s">
        <v>608</v>
      </c>
      <c r="D69" s="6" t="str">
        <f>"0,5256"</f>
        <v>0,5256</v>
      </c>
      <c r="E69" s="6" t="s">
        <v>51</v>
      </c>
      <c r="F69" s="6" t="s">
        <v>211</v>
      </c>
      <c r="G69" s="7" t="s">
        <v>130</v>
      </c>
      <c r="H69" s="8" t="s">
        <v>222</v>
      </c>
      <c r="I69" s="8" t="s">
        <v>222</v>
      </c>
      <c r="J69" s="8"/>
      <c r="K69" s="11" t="str">
        <f>"145,0"</f>
        <v>145,0</v>
      </c>
      <c r="L69" s="12" t="str">
        <f>"76,2120"</f>
        <v>76,2120</v>
      </c>
      <c r="M69" s="6" t="s">
        <v>28</v>
      </c>
    </row>
    <row r="71" spans="1:13" ht="15" x14ac:dyDescent="0.2">
      <c r="E71" s="9" t="s">
        <v>29</v>
      </c>
    </row>
    <row r="72" spans="1:13" ht="15" x14ac:dyDescent="0.2">
      <c r="E72" s="9" t="s">
        <v>30</v>
      </c>
    </row>
    <row r="73" spans="1:13" ht="15" x14ac:dyDescent="0.2">
      <c r="E73" s="9" t="s">
        <v>31</v>
      </c>
    </row>
    <row r="74" spans="1:13" ht="15" x14ac:dyDescent="0.2">
      <c r="E74" s="9" t="s">
        <v>32</v>
      </c>
    </row>
    <row r="75" spans="1:13" ht="15" x14ac:dyDescent="0.2">
      <c r="E75" s="9" t="s">
        <v>32</v>
      </c>
    </row>
    <row r="76" spans="1:13" ht="15" x14ac:dyDescent="0.2">
      <c r="E76" s="9" t="s">
        <v>33</v>
      </c>
    </row>
    <row r="77" spans="1:13" ht="15" x14ac:dyDescent="0.2">
      <c r="E77" s="9"/>
    </row>
    <row r="79" spans="1:13" ht="18" x14ac:dyDescent="0.25">
      <c r="A79" s="13" t="s">
        <v>34</v>
      </c>
      <c r="B79" s="13"/>
    </row>
    <row r="80" spans="1:13" ht="15" x14ac:dyDescent="0.2">
      <c r="A80" s="14" t="s">
        <v>80</v>
      </c>
      <c r="B80" s="14"/>
    </row>
    <row r="81" spans="1:5" ht="14.25" x14ac:dyDescent="0.2">
      <c r="A81" s="16"/>
      <c r="B81" s="17" t="s">
        <v>81</v>
      </c>
    </row>
    <row r="82" spans="1:5" ht="15" x14ac:dyDescent="0.2">
      <c r="A82" s="18" t="s">
        <v>37</v>
      </c>
      <c r="B82" s="18" t="s">
        <v>38</v>
      </c>
      <c r="C82" s="18" t="s">
        <v>39</v>
      </c>
      <c r="D82" s="18" t="s">
        <v>393</v>
      </c>
      <c r="E82" s="18" t="s">
        <v>41</v>
      </c>
    </row>
    <row r="83" spans="1:5" x14ac:dyDescent="0.2">
      <c r="A83" s="15" t="s">
        <v>123</v>
      </c>
      <c r="B83" s="4" t="s">
        <v>81</v>
      </c>
      <c r="C83" s="4" t="s">
        <v>82</v>
      </c>
      <c r="D83" s="4" t="s">
        <v>129</v>
      </c>
      <c r="E83" s="10" t="s">
        <v>609</v>
      </c>
    </row>
    <row r="84" spans="1:5" x14ac:dyDescent="0.2">
      <c r="A84" s="15" t="s">
        <v>96</v>
      </c>
      <c r="B84" s="4" t="s">
        <v>81</v>
      </c>
      <c r="C84" s="4" t="s">
        <v>252</v>
      </c>
      <c r="D84" s="4" t="s">
        <v>104</v>
      </c>
      <c r="E84" s="10" t="s">
        <v>610</v>
      </c>
    </row>
    <row r="85" spans="1:5" x14ac:dyDescent="0.2">
      <c r="A85" s="15" t="s">
        <v>459</v>
      </c>
      <c r="B85" s="4" t="s">
        <v>81</v>
      </c>
      <c r="C85" s="4" t="s">
        <v>282</v>
      </c>
      <c r="D85" s="4" t="s">
        <v>120</v>
      </c>
      <c r="E85" s="10" t="s">
        <v>611</v>
      </c>
    </row>
    <row r="86" spans="1:5" x14ac:dyDescent="0.2">
      <c r="A86" s="15" t="s">
        <v>467</v>
      </c>
      <c r="B86" s="4" t="s">
        <v>81</v>
      </c>
      <c r="C86" s="4" t="s">
        <v>82</v>
      </c>
      <c r="D86" s="4" t="s">
        <v>103</v>
      </c>
      <c r="E86" s="10" t="s">
        <v>612</v>
      </c>
    </row>
    <row r="88" spans="1:5" ht="14.25" x14ac:dyDescent="0.2">
      <c r="A88" s="16"/>
      <c r="B88" s="17" t="s">
        <v>61</v>
      </c>
    </row>
    <row r="89" spans="1:5" ht="15" x14ac:dyDescent="0.2">
      <c r="A89" s="18" t="s">
        <v>37</v>
      </c>
      <c r="B89" s="18" t="s">
        <v>38</v>
      </c>
      <c r="C89" s="18" t="s">
        <v>39</v>
      </c>
      <c r="D89" s="18" t="s">
        <v>393</v>
      </c>
      <c r="E89" s="18" t="s">
        <v>41</v>
      </c>
    </row>
    <row r="90" spans="1:5" x14ac:dyDescent="0.2">
      <c r="A90" s="15" t="s">
        <v>463</v>
      </c>
      <c r="B90" s="4" t="s">
        <v>281</v>
      </c>
      <c r="C90" s="4" t="s">
        <v>252</v>
      </c>
      <c r="D90" s="4" t="s">
        <v>104</v>
      </c>
      <c r="E90" s="10" t="s">
        <v>613</v>
      </c>
    </row>
    <row r="93" spans="1:5" ht="15" x14ac:dyDescent="0.2">
      <c r="A93" s="14" t="s">
        <v>35</v>
      </c>
      <c r="B93" s="14"/>
    </row>
    <row r="94" spans="1:5" ht="14.25" x14ac:dyDescent="0.2">
      <c r="A94" s="16"/>
      <c r="B94" s="17" t="s">
        <v>614</v>
      </c>
    </row>
    <row r="95" spans="1:5" ht="15" x14ac:dyDescent="0.2">
      <c r="A95" s="18" t="s">
        <v>37</v>
      </c>
      <c r="B95" s="18" t="s">
        <v>38</v>
      </c>
      <c r="C95" s="18" t="s">
        <v>39</v>
      </c>
      <c r="D95" s="18" t="s">
        <v>393</v>
      </c>
      <c r="E95" s="18" t="s">
        <v>41</v>
      </c>
    </row>
    <row r="96" spans="1:5" x14ac:dyDescent="0.2">
      <c r="A96" s="15" t="s">
        <v>481</v>
      </c>
      <c r="B96" s="4" t="s">
        <v>615</v>
      </c>
      <c r="C96" s="4" t="s">
        <v>263</v>
      </c>
      <c r="D96" s="4" t="s">
        <v>94</v>
      </c>
      <c r="E96" s="10" t="s">
        <v>616</v>
      </c>
    </row>
    <row r="97" spans="1:5" x14ac:dyDescent="0.2">
      <c r="A97" s="15" t="s">
        <v>470</v>
      </c>
      <c r="B97" s="4" t="s">
        <v>617</v>
      </c>
      <c r="C97" s="4" t="s">
        <v>252</v>
      </c>
      <c r="D97" s="4" t="s">
        <v>353</v>
      </c>
      <c r="E97" s="10" t="s">
        <v>618</v>
      </c>
    </row>
    <row r="98" spans="1:5" x14ac:dyDescent="0.2">
      <c r="A98" s="15" t="s">
        <v>526</v>
      </c>
      <c r="B98" s="4" t="s">
        <v>619</v>
      </c>
      <c r="C98" s="4" t="s">
        <v>256</v>
      </c>
      <c r="D98" s="4" t="s">
        <v>92</v>
      </c>
      <c r="E98" s="10" t="s">
        <v>620</v>
      </c>
    </row>
    <row r="100" spans="1:5" ht="14.25" x14ac:dyDescent="0.2">
      <c r="A100" s="16"/>
      <c r="B100" s="17" t="s">
        <v>36</v>
      </c>
    </row>
    <row r="101" spans="1:5" ht="15" x14ac:dyDescent="0.2">
      <c r="A101" s="18" t="s">
        <v>37</v>
      </c>
      <c r="B101" s="18" t="s">
        <v>38</v>
      </c>
      <c r="C101" s="18" t="s">
        <v>39</v>
      </c>
      <c r="D101" s="18" t="s">
        <v>393</v>
      </c>
      <c r="E101" s="18" t="s">
        <v>41</v>
      </c>
    </row>
    <row r="102" spans="1:5" x14ac:dyDescent="0.2">
      <c r="A102" s="15" t="s">
        <v>531</v>
      </c>
      <c r="B102" s="4" t="s">
        <v>42</v>
      </c>
      <c r="C102" s="4" t="s">
        <v>256</v>
      </c>
      <c r="D102" s="4" t="s">
        <v>132</v>
      </c>
      <c r="E102" s="10" t="s">
        <v>621</v>
      </c>
    </row>
    <row r="103" spans="1:5" x14ac:dyDescent="0.2">
      <c r="A103" s="15" t="s">
        <v>485</v>
      </c>
      <c r="B103" s="4" t="s">
        <v>42</v>
      </c>
      <c r="C103" s="4" t="s">
        <v>263</v>
      </c>
      <c r="D103" s="4" t="s">
        <v>105</v>
      </c>
      <c r="E103" s="10" t="s">
        <v>622</v>
      </c>
    </row>
    <row r="105" spans="1:5" ht="14.25" x14ac:dyDescent="0.2">
      <c r="A105" s="16"/>
      <c r="B105" s="17" t="s">
        <v>81</v>
      </c>
    </row>
    <row r="106" spans="1:5" ht="15" x14ac:dyDescent="0.2">
      <c r="A106" s="18" t="s">
        <v>37</v>
      </c>
      <c r="B106" s="18" t="s">
        <v>38</v>
      </c>
      <c r="C106" s="18" t="s">
        <v>39</v>
      </c>
      <c r="D106" s="18" t="s">
        <v>393</v>
      </c>
      <c r="E106" s="18" t="s">
        <v>41</v>
      </c>
    </row>
    <row r="107" spans="1:5" x14ac:dyDescent="0.2">
      <c r="A107" s="15" t="s">
        <v>583</v>
      </c>
      <c r="B107" s="4" t="s">
        <v>81</v>
      </c>
      <c r="C107" s="4" t="s">
        <v>43</v>
      </c>
      <c r="D107" s="4" t="s">
        <v>25</v>
      </c>
      <c r="E107" s="10" t="s">
        <v>623</v>
      </c>
    </row>
    <row r="108" spans="1:5" x14ac:dyDescent="0.2">
      <c r="A108" s="15" t="s">
        <v>489</v>
      </c>
      <c r="B108" s="4" t="s">
        <v>81</v>
      </c>
      <c r="C108" s="4" t="s">
        <v>263</v>
      </c>
      <c r="D108" s="4" t="s">
        <v>493</v>
      </c>
      <c r="E108" s="10" t="s">
        <v>624</v>
      </c>
    </row>
    <row r="109" spans="1:5" x14ac:dyDescent="0.2">
      <c r="A109" s="15" t="s">
        <v>589</v>
      </c>
      <c r="B109" s="4" t="s">
        <v>81</v>
      </c>
      <c r="C109" s="4" t="s">
        <v>43</v>
      </c>
      <c r="D109" s="4" t="s">
        <v>201</v>
      </c>
      <c r="E109" s="10" t="s">
        <v>625</v>
      </c>
    </row>
    <row r="110" spans="1:5" x14ac:dyDescent="0.2">
      <c r="A110" s="15" t="s">
        <v>593</v>
      </c>
      <c r="B110" s="4" t="s">
        <v>81</v>
      </c>
      <c r="C110" s="4" t="s">
        <v>43</v>
      </c>
      <c r="D110" s="4" t="s">
        <v>201</v>
      </c>
      <c r="E110" s="10" t="s">
        <v>626</v>
      </c>
    </row>
    <row r="111" spans="1:5" x14ac:dyDescent="0.2">
      <c r="A111" s="15" t="s">
        <v>494</v>
      </c>
      <c r="B111" s="4" t="s">
        <v>81</v>
      </c>
      <c r="C111" s="4" t="s">
        <v>263</v>
      </c>
      <c r="D111" s="4" t="s">
        <v>500</v>
      </c>
      <c r="E111" s="10" t="s">
        <v>627</v>
      </c>
    </row>
    <row r="112" spans="1:5" x14ac:dyDescent="0.2">
      <c r="A112" s="15" t="s">
        <v>356</v>
      </c>
      <c r="B112" s="4" t="s">
        <v>81</v>
      </c>
      <c r="C112" s="4" t="s">
        <v>263</v>
      </c>
      <c r="D112" s="4" t="s">
        <v>500</v>
      </c>
      <c r="E112" s="10" t="s">
        <v>628</v>
      </c>
    </row>
    <row r="113" spans="1:5" x14ac:dyDescent="0.2">
      <c r="A113" s="15" t="s">
        <v>381</v>
      </c>
      <c r="B113" s="4" t="s">
        <v>81</v>
      </c>
      <c r="C113" s="4" t="s">
        <v>63</v>
      </c>
      <c r="D113" s="4" t="s">
        <v>24</v>
      </c>
      <c r="E113" s="10" t="s">
        <v>629</v>
      </c>
    </row>
    <row r="114" spans="1:5" x14ac:dyDescent="0.2">
      <c r="A114" s="15" t="s">
        <v>548</v>
      </c>
      <c r="B114" s="4" t="s">
        <v>81</v>
      </c>
      <c r="C114" s="4" t="s">
        <v>63</v>
      </c>
      <c r="D114" s="4" t="s">
        <v>200</v>
      </c>
      <c r="E114" s="10" t="s">
        <v>630</v>
      </c>
    </row>
    <row r="115" spans="1:5" x14ac:dyDescent="0.2">
      <c r="A115" s="15" t="s">
        <v>535</v>
      </c>
      <c r="B115" s="4" t="s">
        <v>81</v>
      </c>
      <c r="C115" s="4" t="s">
        <v>256</v>
      </c>
      <c r="D115" s="4" t="s">
        <v>132</v>
      </c>
      <c r="E115" s="10" t="s">
        <v>631</v>
      </c>
    </row>
    <row r="116" spans="1:5" x14ac:dyDescent="0.2">
      <c r="A116" s="15" t="s">
        <v>552</v>
      </c>
      <c r="B116" s="4" t="s">
        <v>81</v>
      </c>
      <c r="C116" s="4" t="s">
        <v>63</v>
      </c>
      <c r="D116" s="4" t="s">
        <v>556</v>
      </c>
      <c r="E116" s="10" t="s">
        <v>632</v>
      </c>
    </row>
    <row r="117" spans="1:5" x14ac:dyDescent="0.2">
      <c r="A117" s="15" t="s">
        <v>540</v>
      </c>
      <c r="B117" s="4" t="s">
        <v>81</v>
      </c>
      <c r="C117" s="4" t="s">
        <v>256</v>
      </c>
      <c r="D117" s="4" t="s">
        <v>222</v>
      </c>
      <c r="E117" s="10" t="s">
        <v>633</v>
      </c>
    </row>
    <row r="118" spans="1:5" x14ac:dyDescent="0.2">
      <c r="A118" s="15" t="s">
        <v>364</v>
      </c>
      <c r="B118" s="4" t="s">
        <v>81</v>
      </c>
      <c r="C118" s="4" t="s">
        <v>256</v>
      </c>
      <c r="D118" s="4" t="s">
        <v>131</v>
      </c>
      <c r="E118" s="10" t="s">
        <v>634</v>
      </c>
    </row>
    <row r="119" spans="1:5" x14ac:dyDescent="0.2">
      <c r="A119" s="15" t="s">
        <v>557</v>
      </c>
      <c r="B119" s="4" t="s">
        <v>81</v>
      </c>
      <c r="C119" s="4" t="s">
        <v>63</v>
      </c>
      <c r="D119" s="4" t="s">
        <v>132</v>
      </c>
      <c r="E119" s="10" t="s">
        <v>635</v>
      </c>
    </row>
    <row r="120" spans="1:5" x14ac:dyDescent="0.2">
      <c r="A120" s="15" t="s">
        <v>514</v>
      </c>
      <c r="B120" s="4" t="s">
        <v>81</v>
      </c>
      <c r="C120" s="4" t="s">
        <v>268</v>
      </c>
      <c r="D120" s="4" t="s">
        <v>127</v>
      </c>
      <c r="E120" s="10" t="s">
        <v>636</v>
      </c>
    </row>
    <row r="121" spans="1:5" x14ac:dyDescent="0.2">
      <c r="A121" s="15" t="s">
        <v>502</v>
      </c>
      <c r="B121" s="4" t="s">
        <v>81</v>
      </c>
      <c r="C121" s="4" t="s">
        <v>263</v>
      </c>
      <c r="D121" s="4" t="s">
        <v>106</v>
      </c>
      <c r="E121" s="10" t="s">
        <v>637</v>
      </c>
    </row>
    <row r="122" spans="1:5" x14ac:dyDescent="0.2">
      <c r="A122" s="15" t="s">
        <v>518</v>
      </c>
      <c r="B122" s="4" t="s">
        <v>81</v>
      </c>
      <c r="C122" s="4" t="s">
        <v>268</v>
      </c>
      <c r="D122" s="4" t="s">
        <v>127</v>
      </c>
      <c r="E122" s="10" t="s">
        <v>638</v>
      </c>
    </row>
    <row r="123" spans="1:5" x14ac:dyDescent="0.2">
      <c r="A123" s="15" t="s">
        <v>562</v>
      </c>
      <c r="B123" s="4" t="s">
        <v>81</v>
      </c>
      <c r="C123" s="4" t="s">
        <v>63</v>
      </c>
      <c r="D123" s="4" t="s">
        <v>131</v>
      </c>
      <c r="E123" s="10" t="s">
        <v>639</v>
      </c>
    </row>
    <row r="124" spans="1:5" x14ac:dyDescent="0.2">
      <c r="A124" s="15" t="s">
        <v>598</v>
      </c>
      <c r="B124" s="4" t="s">
        <v>81</v>
      </c>
      <c r="C124" s="4" t="s">
        <v>43</v>
      </c>
      <c r="D124" s="4" t="s">
        <v>131</v>
      </c>
      <c r="E124" s="10" t="s">
        <v>640</v>
      </c>
    </row>
    <row r="125" spans="1:5" x14ac:dyDescent="0.2">
      <c r="A125" s="15" t="s">
        <v>568</v>
      </c>
      <c r="B125" s="4" t="s">
        <v>81</v>
      </c>
      <c r="C125" s="4" t="s">
        <v>63</v>
      </c>
      <c r="D125" s="4" t="s">
        <v>130</v>
      </c>
      <c r="E125" s="10" t="s">
        <v>641</v>
      </c>
    </row>
    <row r="126" spans="1:5" x14ac:dyDescent="0.2">
      <c r="A126" s="15" t="s">
        <v>605</v>
      </c>
      <c r="B126" s="4" t="s">
        <v>81</v>
      </c>
      <c r="C126" s="4" t="s">
        <v>642</v>
      </c>
      <c r="D126" s="4" t="s">
        <v>130</v>
      </c>
      <c r="E126" s="10" t="s">
        <v>643</v>
      </c>
    </row>
    <row r="127" spans="1:5" x14ac:dyDescent="0.2">
      <c r="A127" s="15" t="s">
        <v>506</v>
      </c>
      <c r="B127" s="4" t="s">
        <v>81</v>
      </c>
      <c r="C127" s="4" t="s">
        <v>263</v>
      </c>
      <c r="D127" s="4" t="s">
        <v>55</v>
      </c>
      <c r="E127" s="10" t="s">
        <v>644</v>
      </c>
    </row>
    <row r="128" spans="1:5" x14ac:dyDescent="0.2">
      <c r="A128" s="15" t="s">
        <v>368</v>
      </c>
      <c r="B128" s="4" t="s">
        <v>81</v>
      </c>
      <c r="C128" s="4" t="s">
        <v>256</v>
      </c>
      <c r="D128" s="4" t="s">
        <v>105</v>
      </c>
      <c r="E128" s="10" t="s">
        <v>401</v>
      </c>
    </row>
    <row r="130" spans="1:5" ht="14.25" x14ac:dyDescent="0.2">
      <c r="A130" s="16"/>
      <c r="B130" s="17" t="s">
        <v>61</v>
      </c>
    </row>
    <row r="131" spans="1:5" ht="15" x14ac:dyDescent="0.2">
      <c r="A131" s="18" t="s">
        <v>37</v>
      </c>
      <c r="B131" s="18" t="s">
        <v>38</v>
      </c>
      <c r="C131" s="18" t="s">
        <v>39</v>
      </c>
      <c r="D131" s="18" t="s">
        <v>393</v>
      </c>
      <c r="E131" s="18" t="s">
        <v>41</v>
      </c>
    </row>
    <row r="132" spans="1:5" x14ac:dyDescent="0.2">
      <c r="A132" s="15" t="s">
        <v>368</v>
      </c>
      <c r="B132" s="4" t="s">
        <v>281</v>
      </c>
      <c r="C132" s="4" t="s">
        <v>256</v>
      </c>
      <c r="D132" s="4" t="s">
        <v>105</v>
      </c>
      <c r="E132" s="10" t="s">
        <v>402</v>
      </c>
    </row>
    <row r="133" spans="1:5" x14ac:dyDescent="0.2">
      <c r="A133" s="15" t="s">
        <v>575</v>
      </c>
      <c r="B133" s="4" t="s">
        <v>336</v>
      </c>
      <c r="C133" s="4" t="s">
        <v>63</v>
      </c>
      <c r="D133" s="4" t="s">
        <v>222</v>
      </c>
      <c r="E133" s="10" t="s">
        <v>645</v>
      </c>
    </row>
    <row r="134" spans="1:5" x14ac:dyDescent="0.2">
      <c r="A134" s="15" t="s">
        <v>579</v>
      </c>
      <c r="B134" s="4" t="s">
        <v>336</v>
      </c>
      <c r="C134" s="4" t="s">
        <v>63</v>
      </c>
      <c r="D134" s="4" t="s">
        <v>130</v>
      </c>
      <c r="E134" s="10" t="s">
        <v>646</v>
      </c>
    </row>
    <row r="135" spans="1:5" x14ac:dyDescent="0.2">
      <c r="A135" s="15" t="s">
        <v>511</v>
      </c>
      <c r="B135" s="4" t="s">
        <v>403</v>
      </c>
      <c r="C135" s="4" t="s">
        <v>263</v>
      </c>
      <c r="D135" s="4" t="s">
        <v>55</v>
      </c>
      <c r="E135" s="10" t="s">
        <v>647</v>
      </c>
    </row>
    <row r="136" spans="1:5" x14ac:dyDescent="0.2">
      <c r="A136" s="15" t="s">
        <v>583</v>
      </c>
      <c r="B136" s="4" t="s">
        <v>406</v>
      </c>
      <c r="C136" s="4" t="s">
        <v>43</v>
      </c>
      <c r="D136" s="4" t="s">
        <v>25</v>
      </c>
      <c r="E136" s="10" t="s">
        <v>648</v>
      </c>
    </row>
    <row r="137" spans="1:5" x14ac:dyDescent="0.2">
      <c r="A137" s="15" t="s">
        <v>229</v>
      </c>
      <c r="B137" s="4" t="s">
        <v>285</v>
      </c>
      <c r="C137" s="4" t="s">
        <v>63</v>
      </c>
      <c r="D137" s="4" t="s">
        <v>200</v>
      </c>
      <c r="E137" s="10" t="s">
        <v>649</v>
      </c>
    </row>
    <row r="138" spans="1:5" x14ac:dyDescent="0.2">
      <c r="A138" s="15" t="s">
        <v>589</v>
      </c>
      <c r="B138" s="4" t="s">
        <v>406</v>
      </c>
      <c r="C138" s="4" t="s">
        <v>43</v>
      </c>
      <c r="D138" s="4" t="s">
        <v>201</v>
      </c>
      <c r="E138" s="10" t="s">
        <v>650</v>
      </c>
    </row>
    <row r="139" spans="1:5" x14ac:dyDescent="0.2">
      <c r="A139" s="15" t="s">
        <v>593</v>
      </c>
      <c r="B139" s="4" t="s">
        <v>406</v>
      </c>
      <c r="C139" s="4" t="s">
        <v>43</v>
      </c>
      <c r="D139" s="4" t="s">
        <v>201</v>
      </c>
      <c r="E139" s="10" t="s">
        <v>626</v>
      </c>
    </row>
    <row r="140" spans="1:5" x14ac:dyDescent="0.2">
      <c r="A140" s="15" t="s">
        <v>540</v>
      </c>
      <c r="B140" s="4" t="s">
        <v>285</v>
      </c>
      <c r="C140" s="4" t="s">
        <v>256</v>
      </c>
      <c r="D140" s="4" t="s">
        <v>222</v>
      </c>
      <c r="E140" s="10" t="s">
        <v>651</v>
      </c>
    </row>
    <row r="141" spans="1:5" x14ac:dyDescent="0.2">
      <c r="A141" s="15" t="s">
        <v>521</v>
      </c>
      <c r="B141" s="4" t="s">
        <v>343</v>
      </c>
      <c r="C141" s="4" t="s">
        <v>268</v>
      </c>
      <c r="D141" s="4" t="s">
        <v>106</v>
      </c>
      <c r="E141" s="10" t="s">
        <v>652</v>
      </c>
    </row>
  </sheetData>
  <mergeCells count="22">
    <mergeCell ref="A37:J37"/>
    <mergeCell ref="A47:J47"/>
    <mergeCell ref="A59:J59"/>
    <mergeCell ref="A68:J68"/>
    <mergeCell ref="A8:J8"/>
    <mergeCell ref="A12:J12"/>
    <mergeCell ref="A16:J16"/>
    <mergeCell ref="A19:J19"/>
    <mergeCell ref="A22:J22"/>
    <mergeCell ref="A32:J32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A3" sqref="A3:A4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7.85546875" style="4" bestFit="1" customWidth="1"/>
    <col min="7" max="7" width="6.5703125" style="3" customWidth="1"/>
    <col min="8" max="8" width="5.5703125" style="3" customWidth="1"/>
    <col min="9" max="9" width="6.57031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29.42578125" style="4" bestFit="1" customWidth="1"/>
    <col min="14" max="16384" width="9.140625" style="3"/>
  </cols>
  <sheetData>
    <row r="1" spans="1:13" s="2" customFormat="1" ht="29.1" customHeight="1" x14ac:dyDescent="0.2">
      <c r="A1" s="35" t="s">
        <v>1350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 x14ac:dyDescent="0.2">
      <c r="A3" s="41" t="s">
        <v>0</v>
      </c>
      <c r="B3" s="43" t="s">
        <v>6</v>
      </c>
      <c r="C3" s="43" t="s">
        <v>10</v>
      </c>
      <c r="D3" s="45" t="s">
        <v>11</v>
      </c>
      <c r="E3" s="45" t="s">
        <v>4</v>
      </c>
      <c r="F3" s="45" t="s">
        <v>7</v>
      </c>
      <c r="G3" s="45" t="s">
        <v>13</v>
      </c>
      <c r="H3" s="45"/>
      <c r="I3" s="45"/>
      <c r="J3" s="45"/>
      <c r="K3" s="45" t="s">
        <v>408</v>
      </c>
      <c r="L3" s="45" t="s">
        <v>3</v>
      </c>
      <c r="M3" s="46" t="s">
        <v>2</v>
      </c>
    </row>
    <row r="4" spans="1:13" s="1" customFormat="1" ht="21" customHeight="1" thickBot="1" x14ac:dyDescent="0.25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44"/>
      <c r="L4" s="44"/>
      <c r="M4" s="47"/>
    </row>
    <row r="5" spans="1:13" ht="15" x14ac:dyDescent="0.2">
      <c r="A5" s="48" t="s">
        <v>46</v>
      </c>
      <c r="B5" s="49"/>
      <c r="C5" s="49"/>
      <c r="D5" s="49"/>
      <c r="E5" s="49"/>
      <c r="F5" s="49"/>
      <c r="G5" s="49"/>
      <c r="H5" s="49"/>
      <c r="I5" s="49"/>
      <c r="J5" s="49"/>
    </row>
    <row r="6" spans="1:13" x14ac:dyDescent="0.2">
      <c r="A6" s="19" t="s">
        <v>454</v>
      </c>
      <c r="B6" s="19" t="s">
        <v>455</v>
      </c>
      <c r="C6" s="19" t="s">
        <v>456</v>
      </c>
      <c r="D6" s="19" t="str">
        <f>"0,5583"</f>
        <v>0,5583</v>
      </c>
      <c r="E6" s="19" t="s">
        <v>51</v>
      </c>
      <c r="F6" s="19" t="s">
        <v>52</v>
      </c>
      <c r="G6" s="20" t="s">
        <v>293</v>
      </c>
      <c r="H6" s="21" t="s">
        <v>132</v>
      </c>
      <c r="I6" s="20" t="s">
        <v>234</v>
      </c>
      <c r="J6" s="21"/>
      <c r="K6" s="28" t="str">
        <f>"160,0"</f>
        <v>160,0</v>
      </c>
      <c r="L6" s="29" t="str">
        <f>"89,3280"</f>
        <v>89,3280</v>
      </c>
      <c r="M6" s="19" t="s">
        <v>28</v>
      </c>
    </row>
    <row r="7" spans="1:13" x14ac:dyDescent="0.2">
      <c r="A7" s="22" t="s">
        <v>48</v>
      </c>
      <c r="B7" s="22" t="s">
        <v>49</v>
      </c>
      <c r="C7" s="22" t="s">
        <v>50</v>
      </c>
      <c r="D7" s="22" t="str">
        <f>"0,5830"</f>
        <v>0,5830</v>
      </c>
      <c r="E7" s="22" t="s">
        <v>51</v>
      </c>
      <c r="F7" s="22" t="s">
        <v>52</v>
      </c>
      <c r="G7" s="24" t="s">
        <v>55</v>
      </c>
      <c r="H7" s="23" t="s">
        <v>55</v>
      </c>
      <c r="I7" s="24" t="s">
        <v>57</v>
      </c>
      <c r="J7" s="24"/>
      <c r="K7" s="30" t="str">
        <f>"105,0"</f>
        <v>105,0</v>
      </c>
      <c r="L7" s="31" t="str">
        <f>"127,0823"</f>
        <v>127,0823</v>
      </c>
      <c r="M7" s="22" t="s">
        <v>60</v>
      </c>
    </row>
    <row r="9" spans="1:13" ht="15" x14ac:dyDescent="0.2">
      <c r="E9" s="9" t="s">
        <v>29</v>
      </c>
    </row>
    <row r="10" spans="1:13" ht="15" x14ac:dyDescent="0.2">
      <c r="E10" s="9" t="s">
        <v>30</v>
      </c>
    </row>
    <row r="11" spans="1:13" ht="15" x14ac:dyDescent="0.2">
      <c r="E11" s="9" t="s">
        <v>31</v>
      </c>
    </row>
    <row r="12" spans="1:13" ht="15" x14ac:dyDescent="0.2">
      <c r="E12" s="9" t="s">
        <v>32</v>
      </c>
    </row>
    <row r="13" spans="1:13" ht="15" x14ac:dyDescent="0.2">
      <c r="E13" s="9" t="s">
        <v>32</v>
      </c>
    </row>
    <row r="14" spans="1:13" ht="15" x14ac:dyDescent="0.2">
      <c r="E14" s="9" t="s">
        <v>33</v>
      </c>
    </row>
    <row r="15" spans="1:13" ht="15" x14ac:dyDescent="0.2">
      <c r="E15" s="9"/>
    </row>
    <row r="17" spans="1:5" ht="18" x14ac:dyDescent="0.25">
      <c r="A17" s="13" t="s">
        <v>34</v>
      </c>
      <c r="B17" s="13"/>
    </row>
    <row r="18" spans="1:5" ht="15" x14ac:dyDescent="0.2">
      <c r="A18" s="14" t="s">
        <v>35</v>
      </c>
      <c r="B18" s="14"/>
    </row>
    <row r="19" spans="1:5" ht="14.25" x14ac:dyDescent="0.2">
      <c r="A19" s="16"/>
      <c r="B19" s="17" t="s">
        <v>61</v>
      </c>
    </row>
    <row r="20" spans="1:5" ht="15" x14ac:dyDescent="0.2">
      <c r="A20" s="18" t="s">
        <v>37</v>
      </c>
      <c r="B20" s="18" t="s">
        <v>38</v>
      </c>
      <c r="C20" s="18" t="s">
        <v>39</v>
      </c>
      <c r="D20" s="18" t="s">
        <v>393</v>
      </c>
      <c r="E20" s="18" t="s">
        <v>41</v>
      </c>
    </row>
    <row r="21" spans="1:5" x14ac:dyDescent="0.2">
      <c r="A21" s="15" t="s">
        <v>47</v>
      </c>
      <c r="B21" s="4" t="s">
        <v>62</v>
      </c>
      <c r="C21" s="4" t="s">
        <v>63</v>
      </c>
      <c r="D21" s="4" t="s">
        <v>55</v>
      </c>
      <c r="E21" s="10" t="s">
        <v>457</v>
      </c>
    </row>
    <row r="22" spans="1:5" x14ac:dyDescent="0.2">
      <c r="A22" s="15" t="s">
        <v>453</v>
      </c>
      <c r="B22" s="4" t="s">
        <v>406</v>
      </c>
      <c r="C22" s="4" t="s">
        <v>63</v>
      </c>
      <c r="D22" s="4" t="s">
        <v>132</v>
      </c>
      <c r="E22" s="10" t="s">
        <v>458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activeCell="A3" sqref="A3:A4"/>
    </sheetView>
  </sheetViews>
  <sheetFormatPr defaultRowHeight="12.75" x14ac:dyDescent="0.2"/>
  <cols>
    <col min="1" max="1" width="26" style="4" bestFit="1" customWidth="1"/>
    <col min="2" max="2" width="28.42578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1.85546875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7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35" t="s">
        <v>1351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 x14ac:dyDescent="0.2">
      <c r="A3" s="41" t="s">
        <v>0</v>
      </c>
      <c r="B3" s="43" t="s">
        <v>6</v>
      </c>
      <c r="C3" s="43" t="s">
        <v>10</v>
      </c>
      <c r="D3" s="45" t="s">
        <v>11</v>
      </c>
      <c r="E3" s="45" t="s">
        <v>4</v>
      </c>
      <c r="F3" s="45" t="s">
        <v>7</v>
      </c>
      <c r="G3" s="45" t="s">
        <v>13</v>
      </c>
      <c r="H3" s="45"/>
      <c r="I3" s="45"/>
      <c r="J3" s="45"/>
      <c r="K3" s="45" t="s">
        <v>408</v>
      </c>
      <c r="L3" s="45" t="s">
        <v>3</v>
      </c>
      <c r="M3" s="46" t="s">
        <v>2</v>
      </c>
    </row>
    <row r="4" spans="1:13" s="1" customFormat="1" ht="21" customHeight="1" thickBot="1" x14ac:dyDescent="0.25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44"/>
      <c r="L4" s="44"/>
      <c r="M4" s="47"/>
    </row>
    <row r="5" spans="1:13" ht="15" x14ac:dyDescent="0.2">
      <c r="A5" s="48" t="s">
        <v>85</v>
      </c>
      <c r="B5" s="49"/>
      <c r="C5" s="49"/>
      <c r="D5" s="49"/>
      <c r="E5" s="49"/>
      <c r="F5" s="49"/>
      <c r="G5" s="49"/>
      <c r="H5" s="49"/>
      <c r="I5" s="49"/>
      <c r="J5" s="49"/>
    </row>
    <row r="6" spans="1:13" x14ac:dyDescent="0.2">
      <c r="A6" s="6" t="s">
        <v>448</v>
      </c>
      <c r="B6" s="6" t="s">
        <v>449</v>
      </c>
      <c r="C6" s="6" t="s">
        <v>450</v>
      </c>
      <c r="D6" s="6" t="str">
        <f>"1,0396"</f>
        <v>1,0396</v>
      </c>
      <c r="E6" s="6" t="s">
        <v>20</v>
      </c>
      <c r="F6" s="6" t="s">
        <v>21</v>
      </c>
      <c r="G6" s="8" t="s">
        <v>104</v>
      </c>
      <c r="H6" s="7" t="s">
        <v>104</v>
      </c>
      <c r="I6" s="8" t="s">
        <v>74</v>
      </c>
      <c r="J6" s="8"/>
      <c r="K6" s="11" t="str">
        <f>"65,0"</f>
        <v>65,0</v>
      </c>
      <c r="L6" s="12" t="str">
        <f>"67,5772"</f>
        <v>67,5772</v>
      </c>
      <c r="M6" s="6" t="s">
        <v>28</v>
      </c>
    </row>
    <row r="8" spans="1:13" ht="15" x14ac:dyDescent="0.2">
      <c r="A8" s="56" t="s">
        <v>15</v>
      </c>
      <c r="B8" s="56"/>
      <c r="C8" s="56"/>
      <c r="D8" s="56"/>
      <c r="E8" s="56"/>
      <c r="F8" s="56"/>
      <c r="G8" s="56"/>
      <c r="H8" s="56"/>
      <c r="I8" s="56"/>
      <c r="J8" s="56"/>
    </row>
    <row r="9" spans="1:13" x14ac:dyDescent="0.2">
      <c r="A9" s="6" t="s">
        <v>17</v>
      </c>
      <c r="B9" s="6" t="s">
        <v>18</v>
      </c>
      <c r="C9" s="6" t="s">
        <v>19</v>
      </c>
      <c r="D9" s="6" t="str">
        <f>"0,5395"</f>
        <v>0,5395</v>
      </c>
      <c r="E9" s="6" t="s">
        <v>20</v>
      </c>
      <c r="F9" s="6" t="s">
        <v>21</v>
      </c>
      <c r="G9" s="8" t="s">
        <v>24</v>
      </c>
      <c r="H9" s="7" t="s">
        <v>24</v>
      </c>
      <c r="I9" s="8" t="s">
        <v>25</v>
      </c>
      <c r="J9" s="8"/>
      <c r="K9" s="11" t="str">
        <f>"180,0"</f>
        <v>180,0</v>
      </c>
      <c r="L9" s="12" t="str">
        <f>"97,1100"</f>
        <v>97,1100</v>
      </c>
      <c r="M9" s="6" t="s">
        <v>28</v>
      </c>
    </row>
    <row r="11" spans="1:13" ht="15" x14ac:dyDescent="0.2">
      <c r="E11" s="9" t="s">
        <v>29</v>
      </c>
    </row>
    <row r="12" spans="1:13" ht="15" x14ac:dyDescent="0.2">
      <c r="E12" s="9" t="s">
        <v>30</v>
      </c>
    </row>
    <row r="13" spans="1:13" ht="15" x14ac:dyDescent="0.2">
      <c r="E13" s="9" t="s">
        <v>31</v>
      </c>
    </row>
    <row r="14" spans="1:13" ht="15" x14ac:dyDescent="0.2">
      <c r="E14" s="9" t="s">
        <v>32</v>
      </c>
    </row>
    <row r="15" spans="1:13" ht="15" x14ac:dyDescent="0.2">
      <c r="E15" s="9" t="s">
        <v>32</v>
      </c>
    </row>
    <row r="16" spans="1:13" ht="15" x14ac:dyDescent="0.2">
      <c r="E16" s="9" t="s">
        <v>33</v>
      </c>
    </row>
    <row r="17" spans="1:5" ht="15" x14ac:dyDescent="0.2">
      <c r="E17" s="9"/>
    </row>
    <row r="19" spans="1:5" ht="18" x14ac:dyDescent="0.25">
      <c r="A19" s="13" t="s">
        <v>34</v>
      </c>
      <c r="B19" s="13"/>
    </row>
    <row r="20" spans="1:5" ht="15" x14ac:dyDescent="0.2">
      <c r="A20" s="14" t="s">
        <v>80</v>
      </c>
      <c r="B20" s="14"/>
    </row>
    <row r="21" spans="1:5" ht="14.25" x14ac:dyDescent="0.2">
      <c r="A21" s="16"/>
      <c r="B21" s="17" t="s">
        <v>81</v>
      </c>
    </row>
    <row r="22" spans="1:5" ht="15" x14ac:dyDescent="0.2">
      <c r="A22" s="18" t="s">
        <v>37</v>
      </c>
      <c r="B22" s="18" t="s">
        <v>38</v>
      </c>
      <c r="C22" s="18" t="s">
        <v>39</v>
      </c>
      <c r="D22" s="18" t="s">
        <v>393</v>
      </c>
      <c r="E22" s="18" t="s">
        <v>41</v>
      </c>
    </row>
    <row r="23" spans="1:5" x14ac:dyDescent="0.2">
      <c r="A23" s="15" t="s">
        <v>447</v>
      </c>
      <c r="B23" s="4" t="s">
        <v>81</v>
      </c>
      <c r="C23" s="4" t="s">
        <v>249</v>
      </c>
      <c r="D23" s="4" t="s">
        <v>104</v>
      </c>
      <c r="E23" s="10" t="s">
        <v>451</v>
      </c>
    </row>
    <row r="26" spans="1:5" ht="15" x14ac:dyDescent="0.2">
      <c r="A26" s="14" t="s">
        <v>35</v>
      </c>
      <c r="B26" s="14"/>
    </row>
    <row r="27" spans="1:5" ht="14.25" x14ac:dyDescent="0.2">
      <c r="A27" s="16"/>
      <c r="B27" s="17" t="s">
        <v>36</v>
      </c>
    </row>
    <row r="28" spans="1:5" ht="15" x14ac:dyDescent="0.2">
      <c r="A28" s="18" t="s">
        <v>37</v>
      </c>
      <c r="B28" s="18" t="s">
        <v>38</v>
      </c>
      <c r="C28" s="18" t="s">
        <v>39</v>
      </c>
      <c r="D28" s="18" t="s">
        <v>393</v>
      </c>
      <c r="E28" s="18" t="s">
        <v>41</v>
      </c>
    </row>
    <row r="29" spans="1:5" x14ac:dyDescent="0.2">
      <c r="A29" s="15" t="s">
        <v>16</v>
      </c>
      <c r="B29" s="4" t="s">
        <v>42</v>
      </c>
      <c r="C29" s="4" t="s">
        <v>43</v>
      </c>
      <c r="D29" s="4" t="s">
        <v>24</v>
      </c>
      <c r="E29" s="10" t="s">
        <v>452</v>
      </c>
    </row>
  </sheetData>
  <mergeCells count="13">
    <mergeCell ref="A8:J8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A3" sqref="A3:A4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0.28515625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35" t="s">
        <v>1352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 x14ac:dyDescent="0.2">
      <c r="A3" s="41" t="s">
        <v>0</v>
      </c>
      <c r="B3" s="43" t="s">
        <v>6</v>
      </c>
      <c r="C3" s="43" t="s">
        <v>10</v>
      </c>
      <c r="D3" s="45" t="s">
        <v>11</v>
      </c>
      <c r="E3" s="45" t="s">
        <v>4</v>
      </c>
      <c r="F3" s="45" t="s">
        <v>7</v>
      </c>
      <c r="G3" s="45" t="s">
        <v>13</v>
      </c>
      <c r="H3" s="45"/>
      <c r="I3" s="45"/>
      <c r="J3" s="45"/>
      <c r="K3" s="45" t="s">
        <v>408</v>
      </c>
      <c r="L3" s="45" t="s">
        <v>3</v>
      </c>
      <c r="M3" s="46" t="s">
        <v>2</v>
      </c>
    </row>
    <row r="4" spans="1:13" s="1" customFormat="1" ht="21" customHeight="1" thickBot="1" x14ac:dyDescent="0.25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44"/>
      <c r="L4" s="44"/>
      <c r="M4" s="47"/>
    </row>
    <row r="5" spans="1:13" ht="15" x14ac:dyDescent="0.2">
      <c r="A5" s="48" t="s">
        <v>187</v>
      </c>
      <c r="B5" s="49"/>
      <c r="C5" s="49"/>
      <c r="D5" s="49"/>
      <c r="E5" s="49"/>
      <c r="F5" s="49"/>
      <c r="G5" s="49"/>
      <c r="H5" s="49"/>
      <c r="I5" s="49"/>
      <c r="J5" s="49"/>
    </row>
    <row r="6" spans="1:13" x14ac:dyDescent="0.2">
      <c r="A6" s="6" t="s">
        <v>431</v>
      </c>
      <c r="B6" s="6" t="s">
        <v>432</v>
      </c>
      <c r="C6" s="6" t="s">
        <v>433</v>
      </c>
      <c r="D6" s="6" t="str">
        <f>"0,6198"</f>
        <v>0,6198</v>
      </c>
      <c r="E6" s="6" t="s">
        <v>71</v>
      </c>
      <c r="F6" s="6" t="s">
        <v>21</v>
      </c>
      <c r="G6" s="7" t="s">
        <v>94</v>
      </c>
      <c r="H6" s="7" t="s">
        <v>434</v>
      </c>
      <c r="I6" s="7" t="s">
        <v>57</v>
      </c>
      <c r="J6" s="8"/>
      <c r="K6" s="11" t="str">
        <f>"110,0"</f>
        <v>110,0</v>
      </c>
      <c r="L6" s="12" t="str">
        <f>"112,1528"</f>
        <v>112,1528</v>
      </c>
      <c r="M6" s="6" t="s">
        <v>28</v>
      </c>
    </row>
    <row r="8" spans="1:13" ht="15" x14ac:dyDescent="0.2">
      <c r="A8" s="56" t="s">
        <v>46</v>
      </c>
      <c r="B8" s="56"/>
      <c r="C8" s="56"/>
      <c r="D8" s="56"/>
      <c r="E8" s="56"/>
      <c r="F8" s="56"/>
      <c r="G8" s="56"/>
      <c r="H8" s="56"/>
      <c r="I8" s="56"/>
      <c r="J8" s="56"/>
    </row>
    <row r="9" spans="1:13" x14ac:dyDescent="0.2">
      <c r="A9" s="6" t="s">
        <v>436</v>
      </c>
      <c r="B9" s="6" t="s">
        <v>437</v>
      </c>
      <c r="C9" s="6" t="s">
        <v>438</v>
      </c>
      <c r="D9" s="6" t="str">
        <f>"0,5543"</f>
        <v>0,5543</v>
      </c>
      <c r="E9" s="6" t="s">
        <v>148</v>
      </c>
      <c r="F9" s="6" t="s">
        <v>211</v>
      </c>
      <c r="G9" s="7" t="s">
        <v>105</v>
      </c>
      <c r="H9" s="7" t="s">
        <v>299</v>
      </c>
      <c r="I9" s="7" t="s">
        <v>77</v>
      </c>
      <c r="J9" s="8"/>
      <c r="K9" s="11" t="str">
        <f>"125,0"</f>
        <v>125,0</v>
      </c>
      <c r="L9" s="12" t="str">
        <f>"102,5455"</f>
        <v>102,5455</v>
      </c>
      <c r="M9" s="6" t="s">
        <v>28</v>
      </c>
    </row>
    <row r="11" spans="1:13" ht="15" x14ac:dyDescent="0.2">
      <c r="A11" s="56" t="s">
        <v>15</v>
      </c>
      <c r="B11" s="56"/>
      <c r="C11" s="56"/>
      <c r="D11" s="56"/>
      <c r="E11" s="56"/>
      <c r="F11" s="56"/>
      <c r="G11" s="56"/>
      <c r="H11" s="56"/>
      <c r="I11" s="56"/>
      <c r="J11" s="56"/>
    </row>
    <row r="12" spans="1:13" x14ac:dyDescent="0.2">
      <c r="A12" s="6" t="s">
        <v>440</v>
      </c>
      <c r="B12" s="6" t="s">
        <v>441</v>
      </c>
      <c r="C12" s="6" t="s">
        <v>442</v>
      </c>
      <c r="D12" s="6" t="str">
        <f>"0,5444"</f>
        <v>0,5444</v>
      </c>
      <c r="E12" s="6" t="s">
        <v>71</v>
      </c>
      <c r="F12" s="6" t="s">
        <v>21</v>
      </c>
      <c r="G12" s="7" t="s">
        <v>128</v>
      </c>
      <c r="H12" s="7" t="s">
        <v>443</v>
      </c>
      <c r="I12" s="7" t="s">
        <v>102</v>
      </c>
      <c r="J12" s="8"/>
      <c r="K12" s="11" t="str">
        <f>"95,0"</f>
        <v>95,0</v>
      </c>
      <c r="L12" s="12" t="str">
        <f>"73,9567"</f>
        <v>73,9567</v>
      </c>
      <c r="M12" s="6" t="s">
        <v>28</v>
      </c>
    </row>
    <row r="14" spans="1:13" ht="15" x14ac:dyDescent="0.2">
      <c r="E14" s="9" t="s">
        <v>29</v>
      </c>
    </row>
    <row r="15" spans="1:13" ht="15" x14ac:dyDescent="0.2">
      <c r="E15" s="9" t="s">
        <v>30</v>
      </c>
    </row>
    <row r="16" spans="1:13" ht="15" x14ac:dyDescent="0.2">
      <c r="E16" s="9" t="s">
        <v>31</v>
      </c>
    </row>
    <row r="17" spans="1:5" ht="15" x14ac:dyDescent="0.2">
      <c r="E17" s="9" t="s">
        <v>32</v>
      </c>
    </row>
    <row r="18" spans="1:5" ht="15" x14ac:dyDescent="0.2">
      <c r="E18" s="9" t="s">
        <v>32</v>
      </c>
    </row>
    <row r="19" spans="1:5" ht="15" x14ac:dyDescent="0.2">
      <c r="E19" s="9" t="s">
        <v>33</v>
      </c>
    </row>
    <row r="20" spans="1:5" ht="15" x14ac:dyDescent="0.2">
      <c r="E20" s="9"/>
    </row>
    <row r="22" spans="1:5" ht="18" x14ac:dyDescent="0.25">
      <c r="A22" s="13" t="s">
        <v>34</v>
      </c>
      <c r="B22" s="13"/>
    </row>
    <row r="23" spans="1:5" ht="15" x14ac:dyDescent="0.2">
      <c r="A23" s="14" t="s">
        <v>35</v>
      </c>
      <c r="B23" s="14"/>
    </row>
    <row r="24" spans="1:5" ht="14.25" x14ac:dyDescent="0.2">
      <c r="A24" s="16"/>
      <c r="B24" s="17" t="s">
        <v>61</v>
      </c>
    </row>
    <row r="25" spans="1:5" ht="15" x14ac:dyDescent="0.2">
      <c r="A25" s="18" t="s">
        <v>37</v>
      </c>
      <c r="B25" s="18" t="s">
        <v>38</v>
      </c>
      <c r="C25" s="18" t="s">
        <v>39</v>
      </c>
      <c r="D25" s="18" t="s">
        <v>393</v>
      </c>
      <c r="E25" s="18" t="s">
        <v>41</v>
      </c>
    </row>
    <row r="26" spans="1:5" x14ac:dyDescent="0.2">
      <c r="A26" s="15" t="s">
        <v>430</v>
      </c>
      <c r="B26" s="4" t="s">
        <v>403</v>
      </c>
      <c r="C26" s="4" t="s">
        <v>268</v>
      </c>
      <c r="D26" s="4" t="s">
        <v>57</v>
      </c>
      <c r="E26" s="10" t="s">
        <v>444</v>
      </c>
    </row>
    <row r="27" spans="1:5" x14ac:dyDescent="0.2">
      <c r="A27" s="15" t="s">
        <v>435</v>
      </c>
      <c r="B27" s="4" t="s">
        <v>336</v>
      </c>
      <c r="C27" s="4" t="s">
        <v>63</v>
      </c>
      <c r="D27" s="4" t="s">
        <v>77</v>
      </c>
      <c r="E27" s="10" t="s">
        <v>445</v>
      </c>
    </row>
    <row r="28" spans="1:5" x14ac:dyDescent="0.2">
      <c r="A28" s="15" t="s">
        <v>439</v>
      </c>
      <c r="B28" s="4" t="s">
        <v>336</v>
      </c>
      <c r="C28" s="4" t="s">
        <v>43</v>
      </c>
      <c r="D28" s="4" t="s">
        <v>102</v>
      </c>
      <c r="E28" s="10" t="s">
        <v>446</v>
      </c>
    </row>
  </sheetData>
  <mergeCells count="14">
    <mergeCell ref="A8:J8"/>
    <mergeCell ref="A11:J11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A28" sqref="A28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40.140625" style="4" bestFit="1" customWidth="1"/>
    <col min="7" max="7" width="5" style="3" customWidth="1"/>
    <col min="8" max="8" width="10.42578125" style="3" customWidth="1"/>
    <col min="9" max="9" width="7.85546875" style="10" bestFit="1" customWidth="1"/>
    <col min="10" max="10" width="7.5703125" style="2" bestFit="1" customWidth="1"/>
    <col min="11" max="11" width="20.28515625" style="4" bestFit="1" customWidth="1"/>
    <col min="12" max="16384" width="9.140625" style="3"/>
  </cols>
  <sheetData>
    <row r="1" spans="1:11" s="2" customFormat="1" ht="29.1" customHeight="1" x14ac:dyDescent="0.2">
      <c r="A1" s="35" t="s">
        <v>1329</v>
      </c>
      <c r="B1" s="36"/>
      <c r="C1" s="36"/>
      <c r="D1" s="36"/>
      <c r="E1" s="36"/>
      <c r="F1" s="36"/>
      <c r="G1" s="36"/>
      <c r="H1" s="36"/>
      <c r="I1" s="36"/>
      <c r="J1" s="36"/>
      <c r="K1" s="37"/>
    </row>
    <row r="2" spans="1:11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40"/>
    </row>
    <row r="3" spans="1:11" s="1" customFormat="1" ht="12.75" customHeight="1" x14ac:dyDescent="0.2">
      <c r="A3" s="41" t="s">
        <v>0</v>
      </c>
      <c r="B3" s="43" t="s">
        <v>6</v>
      </c>
      <c r="C3" s="43" t="s">
        <v>10</v>
      </c>
      <c r="D3" s="45" t="s">
        <v>1226</v>
      </c>
      <c r="E3" s="45" t="s">
        <v>4</v>
      </c>
      <c r="F3" s="45" t="s">
        <v>7</v>
      </c>
      <c r="G3" s="45" t="s">
        <v>1227</v>
      </c>
      <c r="H3" s="45"/>
      <c r="I3" s="45" t="s">
        <v>1035</v>
      </c>
      <c r="J3" s="45" t="s">
        <v>3</v>
      </c>
      <c r="K3" s="46" t="s">
        <v>2</v>
      </c>
    </row>
    <row r="4" spans="1:11" s="1" customFormat="1" ht="21" customHeight="1" thickBot="1" x14ac:dyDescent="0.25">
      <c r="A4" s="42"/>
      <c r="B4" s="44"/>
      <c r="C4" s="44"/>
      <c r="D4" s="44"/>
      <c r="E4" s="44"/>
      <c r="F4" s="44"/>
      <c r="G4" s="5" t="s">
        <v>8</v>
      </c>
      <c r="H4" s="5" t="s">
        <v>9</v>
      </c>
      <c r="I4" s="44"/>
      <c r="J4" s="44"/>
      <c r="K4" s="47"/>
    </row>
    <row r="5" spans="1:11" ht="15" x14ac:dyDescent="0.2">
      <c r="A5" s="48" t="s">
        <v>1228</v>
      </c>
      <c r="B5" s="49"/>
      <c r="C5" s="49"/>
      <c r="D5" s="49"/>
      <c r="E5" s="49"/>
      <c r="F5" s="49"/>
      <c r="G5" s="49"/>
      <c r="H5" s="49"/>
    </row>
    <row r="6" spans="1:11" x14ac:dyDescent="0.2">
      <c r="A6" s="19" t="s">
        <v>1152</v>
      </c>
      <c r="B6" s="19" t="s">
        <v>1153</v>
      </c>
      <c r="C6" s="19" t="s">
        <v>1154</v>
      </c>
      <c r="D6" s="19" t="str">
        <f t="shared" ref="D6:D11" si="0">"1,0000"</f>
        <v>1,0000</v>
      </c>
      <c r="E6" s="19" t="s">
        <v>378</v>
      </c>
      <c r="F6" s="19" t="s">
        <v>211</v>
      </c>
      <c r="G6" s="20" t="s">
        <v>120</v>
      </c>
      <c r="H6" s="20" t="s">
        <v>76</v>
      </c>
      <c r="I6" s="28" t="str">
        <f>"4400,0"</f>
        <v>4400,0</v>
      </c>
      <c r="J6" s="29" t="str">
        <f>"49,5495"</f>
        <v>49,5495</v>
      </c>
      <c r="K6" s="19" t="s">
        <v>28</v>
      </c>
    </row>
    <row r="7" spans="1:11" x14ac:dyDescent="0.2">
      <c r="A7" s="25" t="s">
        <v>549</v>
      </c>
      <c r="B7" s="25" t="s">
        <v>550</v>
      </c>
      <c r="C7" s="25" t="s">
        <v>551</v>
      </c>
      <c r="D7" s="25" t="str">
        <f t="shared" si="0"/>
        <v>1,0000</v>
      </c>
      <c r="E7" s="25" t="s">
        <v>71</v>
      </c>
      <c r="F7" s="25" t="s">
        <v>21</v>
      </c>
      <c r="G7" s="26" t="s">
        <v>120</v>
      </c>
      <c r="H7" s="26" t="s">
        <v>1239</v>
      </c>
      <c r="I7" s="32" t="str">
        <f>"4015,0"</f>
        <v>4015,0</v>
      </c>
      <c r="J7" s="33" t="str">
        <f>"41,6709"</f>
        <v>41,6709</v>
      </c>
      <c r="K7" s="25" t="s">
        <v>28</v>
      </c>
    </row>
    <row r="8" spans="1:11" x14ac:dyDescent="0.2">
      <c r="A8" s="25" t="s">
        <v>1241</v>
      </c>
      <c r="B8" s="25" t="s">
        <v>1242</v>
      </c>
      <c r="C8" s="25" t="s">
        <v>1243</v>
      </c>
      <c r="D8" s="25" t="str">
        <f t="shared" si="0"/>
        <v>1,0000</v>
      </c>
      <c r="E8" s="25" t="s">
        <v>71</v>
      </c>
      <c r="F8" s="25" t="s">
        <v>21</v>
      </c>
      <c r="G8" s="26" t="s">
        <v>120</v>
      </c>
      <c r="H8" s="26" t="s">
        <v>1244</v>
      </c>
      <c r="I8" s="32" t="str">
        <f>"2915,0"</f>
        <v>2915,0</v>
      </c>
      <c r="J8" s="33" t="str">
        <f>"36,0544"</f>
        <v>36,0544</v>
      </c>
      <c r="K8" s="25" t="s">
        <v>748</v>
      </c>
    </row>
    <row r="9" spans="1:11" x14ac:dyDescent="0.2">
      <c r="A9" s="25" t="s">
        <v>1245</v>
      </c>
      <c r="B9" s="25" t="s">
        <v>1157</v>
      </c>
      <c r="C9" s="25" t="s">
        <v>1158</v>
      </c>
      <c r="D9" s="25" t="str">
        <f t="shared" si="0"/>
        <v>1,0000</v>
      </c>
      <c r="E9" s="25" t="s">
        <v>378</v>
      </c>
      <c r="F9" s="25" t="s">
        <v>211</v>
      </c>
      <c r="G9" s="26" t="s">
        <v>120</v>
      </c>
      <c r="H9" s="26" t="s">
        <v>530</v>
      </c>
      <c r="I9" s="32" t="str">
        <f>"2200,0"</f>
        <v>2200,0</v>
      </c>
      <c r="J9" s="33" t="str">
        <f>"24,4716"</f>
        <v>24,4716</v>
      </c>
      <c r="K9" s="25" t="s">
        <v>28</v>
      </c>
    </row>
    <row r="10" spans="1:11" x14ac:dyDescent="0.2">
      <c r="A10" s="25" t="s">
        <v>1246</v>
      </c>
      <c r="B10" s="25" t="s">
        <v>1100</v>
      </c>
      <c r="C10" s="25" t="s">
        <v>819</v>
      </c>
      <c r="D10" s="25" t="str">
        <f t="shared" si="0"/>
        <v>1,0000</v>
      </c>
      <c r="E10" s="25" t="s">
        <v>71</v>
      </c>
      <c r="F10" s="25" t="s">
        <v>21</v>
      </c>
      <c r="G10" s="26" t="s">
        <v>120</v>
      </c>
      <c r="H10" s="26" t="s">
        <v>1247</v>
      </c>
      <c r="I10" s="32" t="str">
        <f>"1485,0"</f>
        <v>1485,0</v>
      </c>
      <c r="J10" s="33" t="str">
        <f>"25,0844"</f>
        <v>25,0844</v>
      </c>
      <c r="K10" s="25" t="s">
        <v>28</v>
      </c>
    </row>
    <row r="11" spans="1:11" x14ac:dyDescent="0.2">
      <c r="A11" s="22" t="s">
        <v>1249</v>
      </c>
      <c r="B11" s="22" t="s">
        <v>1250</v>
      </c>
      <c r="C11" s="22" t="s">
        <v>538</v>
      </c>
      <c r="D11" s="22" t="str">
        <f t="shared" si="0"/>
        <v>1,0000</v>
      </c>
      <c r="E11" s="22" t="s">
        <v>424</v>
      </c>
      <c r="F11" s="22" t="s">
        <v>425</v>
      </c>
      <c r="G11" s="23" t="s">
        <v>120</v>
      </c>
      <c r="H11" s="23" t="s">
        <v>1251</v>
      </c>
      <c r="I11" s="30" t="str">
        <f>"3190,0"</f>
        <v>3190,0</v>
      </c>
      <c r="J11" s="31" t="str">
        <f>"35,8830"</f>
        <v>35,8830</v>
      </c>
      <c r="K11" s="22" t="s">
        <v>28</v>
      </c>
    </row>
    <row r="13" spans="1:11" ht="15" x14ac:dyDescent="0.2">
      <c r="E13" s="9" t="s">
        <v>29</v>
      </c>
    </row>
    <row r="14" spans="1:11" ht="15" x14ac:dyDescent="0.2">
      <c r="E14" s="9" t="s">
        <v>30</v>
      </c>
    </row>
    <row r="15" spans="1:11" ht="15" x14ac:dyDescent="0.2">
      <c r="E15" s="9" t="s">
        <v>31</v>
      </c>
    </row>
    <row r="16" spans="1:11" ht="15" x14ac:dyDescent="0.2">
      <c r="E16" s="9" t="s">
        <v>32</v>
      </c>
    </row>
    <row r="17" spans="1:5" ht="15" x14ac:dyDescent="0.2">
      <c r="E17" s="9" t="s">
        <v>32</v>
      </c>
    </row>
    <row r="18" spans="1:5" ht="15" x14ac:dyDescent="0.2">
      <c r="E18" s="9" t="s">
        <v>33</v>
      </c>
    </row>
    <row r="19" spans="1:5" ht="15" x14ac:dyDescent="0.2">
      <c r="E19" s="9"/>
    </row>
    <row r="21" spans="1:5" ht="18" x14ac:dyDescent="0.25">
      <c r="A21" s="13" t="s">
        <v>34</v>
      </c>
      <c r="B21" s="13"/>
    </row>
    <row r="22" spans="1:5" ht="15" x14ac:dyDescent="0.2">
      <c r="A22" s="14" t="s">
        <v>35</v>
      </c>
      <c r="B22" s="14"/>
    </row>
    <row r="23" spans="1:5" ht="14.25" x14ac:dyDescent="0.2">
      <c r="A23" s="16"/>
      <c r="B23" s="17" t="s">
        <v>81</v>
      </c>
    </row>
    <row r="24" spans="1:5" ht="15" x14ac:dyDescent="0.2">
      <c r="A24" s="18" t="s">
        <v>37</v>
      </c>
      <c r="B24" s="18" t="s">
        <v>38</v>
      </c>
      <c r="C24" s="18" t="s">
        <v>39</v>
      </c>
      <c r="D24" s="18" t="s">
        <v>393</v>
      </c>
      <c r="E24" s="18" t="s">
        <v>1229</v>
      </c>
    </row>
    <row r="25" spans="1:5" x14ac:dyDescent="0.2">
      <c r="A25" s="15" t="s">
        <v>1151</v>
      </c>
      <c r="B25" s="4" t="s">
        <v>81</v>
      </c>
      <c r="C25" s="4" t="s">
        <v>1230</v>
      </c>
      <c r="D25" s="4" t="s">
        <v>1252</v>
      </c>
      <c r="E25" s="10" t="s">
        <v>1253</v>
      </c>
    </row>
    <row r="26" spans="1:5" x14ac:dyDescent="0.2">
      <c r="A26" s="15" t="s">
        <v>548</v>
      </c>
      <c r="B26" s="4" t="s">
        <v>81</v>
      </c>
      <c r="C26" s="4" t="s">
        <v>1230</v>
      </c>
      <c r="D26" s="4" t="s">
        <v>1254</v>
      </c>
      <c r="E26" s="10" t="s">
        <v>1255</v>
      </c>
    </row>
    <row r="27" spans="1:5" x14ac:dyDescent="0.2">
      <c r="A27" s="15" t="s">
        <v>1240</v>
      </c>
      <c r="B27" s="4" t="s">
        <v>81</v>
      </c>
      <c r="C27" s="4" t="s">
        <v>1230</v>
      </c>
      <c r="D27" s="4" t="s">
        <v>1256</v>
      </c>
      <c r="E27" s="10" t="s">
        <v>1257</v>
      </c>
    </row>
    <row r="28" spans="1:5" x14ac:dyDescent="0.2">
      <c r="A28" s="15" t="s">
        <v>1098</v>
      </c>
      <c r="B28" s="4" t="s">
        <v>81</v>
      </c>
      <c r="C28" s="4" t="s">
        <v>1230</v>
      </c>
      <c r="D28" s="4" t="s">
        <v>1258</v>
      </c>
      <c r="E28" s="10" t="s">
        <v>1259</v>
      </c>
    </row>
    <row r="29" spans="1:5" x14ac:dyDescent="0.2">
      <c r="A29" s="15" t="s">
        <v>1155</v>
      </c>
      <c r="B29" s="4" t="s">
        <v>81</v>
      </c>
      <c r="C29" s="4" t="s">
        <v>1230</v>
      </c>
      <c r="D29" s="4" t="s">
        <v>1260</v>
      </c>
      <c r="E29" s="10" t="s">
        <v>1261</v>
      </c>
    </row>
    <row r="31" spans="1:5" ht="14.25" x14ac:dyDescent="0.2">
      <c r="A31" s="16"/>
      <c r="B31" s="17" t="s">
        <v>61</v>
      </c>
    </row>
    <row r="32" spans="1:5" ht="15" x14ac:dyDescent="0.2">
      <c r="A32" s="18" t="s">
        <v>37</v>
      </c>
      <c r="B32" s="18" t="s">
        <v>38</v>
      </c>
      <c r="C32" s="18" t="s">
        <v>39</v>
      </c>
      <c r="D32" s="18" t="s">
        <v>393</v>
      </c>
      <c r="E32" s="18" t="s">
        <v>1229</v>
      </c>
    </row>
    <row r="33" spans="1:5" x14ac:dyDescent="0.2">
      <c r="A33" s="15" t="s">
        <v>1248</v>
      </c>
      <c r="B33" s="4" t="s">
        <v>406</v>
      </c>
      <c r="C33" s="4" t="s">
        <v>1230</v>
      </c>
      <c r="D33" s="4" t="s">
        <v>1262</v>
      </c>
      <c r="E33" s="10" t="s">
        <v>1263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activeCell="A3" sqref="A3:A4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40.140625" style="4" bestFit="1" customWidth="1"/>
    <col min="7" max="7" width="6.5703125" style="3" customWidth="1"/>
    <col min="8" max="9" width="5.57031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35" t="s">
        <v>1353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 x14ac:dyDescent="0.2">
      <c r="A3" s="41" t="s">
        <v>0</v>
      </c>
      <c r="B3" s="43" t="s">
        <v>6</v>
      </c>
      <c r="C3" s="43" t="s">
        <v>10</v>
      </c>
      <c r="D3" s="45" t="s">
        <v>11</v>
      </c>
      <c r="E3" s="45" t="s">
        <v>4</v>
      </c>
      <c r="F3" s="45" t="s">
        <v>7</v>
      </c>
      <c r="G3" s="45" t="s">
        <v>13</v>
      </c>
      <c r="H3" s="45"/>
      <c r="I3" s="45"/>
      <c r="J3" s="45"/>
      <c r="K3" s="45" t="s">
        <v>408</v>
      </c>
      <c r="L3" s="45" t="s">
        <v>3</v>
      </c>
      <c r="M3" s="46" t="s">
        <v>2</v>
      </c>
    </row>
    <row r="4" spans="1:13" s="1" customFormat="1" ht="21" customHeight="1" thickBot="1" x14ac:dyDescent="0.25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44"/>
      <c r="L4" s="44"/>
      <c r="M4" s="47"/>
    </row>
    <row r="5" spans="1:13" ht="15" x14ac:dyDescent="0.2">
      <c r="A5" s="48" t="s">
        <v>46</v>
      </c>
      <c r="B5" s="49"/>
      <c r="C5" s="49"/>
      <c r="D5" s="49"/>
      <c r="E5" s="49"/>
      <c r="F5" s="49"/>
      <c r="G5" s="49"/>
      <c r="H5" s="49"/>
      <c r="I5" s="49"/>
      <c r="J5" s="49"/>
    </row>
    <row r="6" spans="1:13" x14ac:dyDescent="0.2">
      <c r="A6" s="19" t="s">
        <v>410</v>
      </c>
      <c r="B6" s="19" t="s">
        <v>411</v>
      </c>
      <c r="C6" s="19" t="s">
        <v>412</v>
      </c>
      <c r="D6" s="19" t="str">
        <f>"0,5597"</f>
        <v>0,5597</v>
      </c>
      <c r="E6" s="19" t="s">
        <v>51</v>
      </c>
      <c r="F6" s="19" t="s">
        <v>413</v>
      </c>
      <c r="G6" s="20" t="s">
        <v>414</v>
      </c>
      <c r="H6" s="21" t="s">
        <v>320</v>
      </c>
      <c r="I6" s="21" t="s">
        <v>320</v>
      </c>
      <c r="J6" s="21"/>
      <c r="K6" s="28" t="str">
        <f>"182,5"</f>
        <v>182,5</v>
      </c>
      <c r="L6" s="29" t="str">
        <f>"102,1453"</f>
        <v>102,1453</v>
      </c>
      <c r="M6" s="19" t="s">
        <v>28</v>
      </c>
    </row>
    <row r="7" spans="1:13" x14ac:dyDescent="0.2">
      <c r="A7" s="22" t="s">
        <v>416</v>
      </c>
      <c r="B7" s="22" t="s">
        <v>417</v>
      </c>
      <c r="C7" s="22" t="s">
        <v>418</v>
      </c>
      <c r="D7" s="22" t="str">
        <f>"0,5599"</f>
        <v>0,5599</v>
      </c>
      <c r="E7" s="22" t="s">
        <v>389</v>
      </c>
      <c r="F7" s="22" t="s">
        <v>137</v>
      </c>
      <c r="G7" s="23" t="s">
        <v>222</v>
      </c>
      <c r="H7" s="24" t="s">
        <v>419</v>
      </c>
      <c r="I7" s="24" t="s">
        <v>419</v>
      </c>
      <c r="J7" s="24"/>
      <c r="K7" s="30" t="str">
        <f>"155,0"</f>
        <v>155,0</v>
      </c>
      <c r="L7" s="31" t="str">
        <f>"86,7845"</f>
        <v>86,7845</v>
      </c>
      <c r="M7" s="22" t="s">
        <v>28</v>
      </c>
    </row>
    <row r="9" spans="1:13" ht="15" x14ac:dyDescent="0.2">
      <c r="A9" s="56" t="s">
        <v>15</v>
      </c>
      <c r="B9" s="56"/>
      <c r="C9" s="56"/>
      <c r="D9" s="56"/>
      <c r="E9" s="56"/>
      <c r="F9" s="56"/>
      <c r="G9" s="56"/>
      <c r="H9" s="56"/>
      <c r="I9" s="56"/>
      <c r="J9" s="56"/>
    </row>
    <row r="10" spans="1:13" x14ac:dyDescent="0.2">
      <c r="A10" s="6" t="s">
        <v>421</v>
      </c>
      <c r="B10" s="6" t="s">
        <v>422</v>
      </c>
      <c r="C10" s="6" t="s">
        <v>423</v>
      </c>
      <c r="D10" s="6" t="str">
        <f>"0,5398"</f>
        <v>0,5398</v>
      </c>
      <c r="E10" s="6" t="s">
        <v>424</v>
      </c>
      <c r="F10" s="6" t="s">
        <v>425</v>
      </c>
      <c r="G10" s="7" t="s">
        <v>73</v>
      </c>
      <c r="H10" s="7" t="s">
        <v>131</v>
      </c>
      <c r="I10" s="7" t="s">
        <v>132</v>
      </c>
      <c r="J10" s="8"/>
      <c r="K10" s="11" t="str">
        <f>"160,0"</f>
        <v>160,0</v>
      </c>
      <c r="L10" s="12" t="str">
        <f>"101,3097"</f>
        <v>101,3097</v>
      </c>
      <c r="M10" s="6" t="s">
        <v>28</v>
      </c>
    </row>
    <row r="12" spans="1:13" ht="15" x14ac:dyDescent="0.2">
      <c r="E12" s="9" t="s">
        <v>29</v>
      </c>
    </row>
    <row r="13" spans="1:13" ht="15" x14ac:dyDescent="0.2">
      <c r="E13" s="9" t="s">
        <v>30</v>
      </c>
    </row>
    <row r="14" spans="1:13" ht="15" x14ac:dyDescent="0.2">
      <c r="E14" s="9" t="s">
        <v>31</v>
      </c>
    </row>
    <row r="15" spans="1:13" ht="15" x14ac:dyDescent="0.2">
      <c r="E15" s="9" t="s">
        <v>32</v>
      </c>
    </row>
    <row r="16" spans="1:13" ht="15" x14ac:dyDescent="0.2">
      <c r="E16" s="9" t="s">
        <v>32</v>
      </c>
    </row>
    <row r="17" spans="1:5" ht="15" x14ac:dyDescent="0.2">
      <c r="E17" s="9" t="s">
        <v>33</v>
      </c>
    </row>
    <row r="18" spans="1:5" ht="15" x14ac:dyDescent="0.2">
      <c r="E18" s="9"/>
    </row>
    <row r="20" spans="1:5" ht="18" x14ac:dyDescent="0.25">
      <c r="A20" s="13" t="s">
        <v>34</v>
      </c>
      <c r="B20" s="13"/>
    </row>
    <row r="21" spans="1:5" ht="15" x14ac:dyDescent="0.2">
      <c r="A21" s="14" t="s">
        <v>35</v>
      </c>
      <c r="B21" s="14"/>
    </row>
    <row r="22" spans="1:5" ht="14.25" x14ac:dyDescent="0.2">
      <c r="A22" s="16"/>
      <c r="B22" s="17" t="s">
        <v>81</v>
      </c>
    </row>
    <row r="23" spans="1:5" ht="15" x14ac:dyDescent="0.2">
      <c r="A23" s="18" t="s">
        <v>37</v>
      </c>
      <c r="B23" s="18" t="s">
        <v>38</v>
      </c>
      <c r="C23" s="18" t="s">
        <v>39</v>
      </c>
      <c r="D23" s="18" t="s">
        <v>393</v>
      </c>
      <c r="E23" s="18" t="s">
        <v>41</v>
      </c>
    </row>
    <row r="24" spans="1:5" x14ac:dyDescent="0.2">
      <c r="A24" s="15" t="s">
        <v>409</v>
      </c>
      <c r="B24" s="4" t="s">
        <v>81</v>
      </c>
      <c r="C24" s="4" t="s">
        <v>63</v>
      </c>
      <c r="D24" s="4" t="s">
        <v>426</v>
      </c>
      <c r="E24" s="10" t="s">
        <v>427</v>
      </c>
    </row>
    <row r="25" spans="1:5" x14ac:dyDescent="0.2">
      <c r="A25" s="15" t="s">
        <v>415</v>
      </c>
      <c r="B25" s="4" t="s">
        <v>81</v>
      </c>
      <c r="C25" s="4" t="s">
        <v>63</v>
      </c>
      <c r="D25" s="4" t="s">
        <v>222</v>
      </c>
      <c r="E25" s="10" t="s">
        <v>428</v>
      </c>
    </row>
    <row r="27" spans="1:5" ht="14.25" x14ac:dyDescent="0.2">
      <c r="A27" s="16"/>
      <c r="B27" s="17" t="s">
        <v>61</v>
      </c>
    </row>
    <row r="28" spans="1:5" ht="15" x14ac:dyDescent="0.2">
      <c r="A28" s="18" t="s">
        <v>37</v>
      </c>
      <c r="B28" s="18" t="s">
        <v>38</v>
      </c>
      <c r="C28" s="18" t="s">
        <v>39</v>
      </c>
      <c r="D28" s="18" t="s">
        <v>393</v>
      </c>
      <c r="E28" s="18" t="s">
        <v>41</v>
      </c>
    </row>
    <row r="29" spans="1:5" x14ac:dyDescent="0.2">
      <c r="A29" s="15" t="s">
        <v>420</v>
      </c>
      <c r="B29" s="4" t="s">
        <v>343</v>
      </c>
      <c r="C29" s="4" t="s">
        <v>43</v>
      </c>
      <c r="D29" s="4" t="s">
        <v>132</v>
      </c>
      <c r="E29" s="10" t="s">
        <v>429</v>
      </c>
    </row>
  </sheetData>
  <mergeCells count="13">
    <mergeCell ref="A9:J9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topLeftCell="A7" workbookViewId="0">
      <selection activeCell="D12" sqref="D12"/>
    </sheetView>
  </sheetViews>
  <sheetFormatPr defaultRowHeight="12.75" x14ac:dyDescent="0.2"/>
  <cols>
    <col min="1" max="1" width="26" style="4" bestFit="1" customWidth="1"/>
    <col min="2" max="2" width="29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0.28515625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19.85546875" style="4" bestFit="1" customWidth="1"/>
    <col min="14" max="16384" width="9.140625" style="3"/>
  </cols>
  <sheetData>
    <row r="1" spans="1:13" s="2" customFormat="1" ht="29.1" customHeight="1" x14ac:dyDescent="0.2">
      <c r="A1" s="35" t="s">
        <v>1354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 x14ac:dyDescent="0.2">
      <c r="A3" s="41" t="s">
        <v>0</v>
      </c>
      <c r="B3" s="43" t="s">
        <v>6</v>
      </c>
      <c r="C3" s="43" t="s">
        <v>10</v>
      </c>
      <c r="D3" s="45" t="s">
        <v>11</v>
      </c>
      <c r="E3" s="45" t="s">
        <v>4</v>
      </c>
      <c r="F3" s="45" t="s">
        <v>7</v>
      </c>
      <c r="G3" s="45" t="s">
        <v>13</v>
      </c>
      <c r="H3" s="45"/>
      <c r="I3" s="45"/>
      <c r="J3" s="45"/>
      <c r="K3" s="45" t="s">
        <v>408</v>
      </c>
      <c r="L3" s="45" t="s">
        <v>3</v>
      </c>
      <c r="M3" s="46" t="s">
        <v>2</v>
      </c>
    </row>
    <row r="4" spans="1:13" s="1" customFormat="1" ht="21" customHeight="1" thickBot="1" x14ac:dyDescent="0.25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44"/>
      <c r="L4" s="44"/>
      <c r="M4" s="47"/>
    </row>
    <row r="5" spans="1:13" ht="15" x14ac:dyDescent="0.2">
      <c r="A5" s="48" t="s">
        <v>85</v>
      </c>
      <c r="B5" s="49"/>
      <c r="C5" s="49"/>
      <c r="D5" s="49"/>
      <c r="E5" s="49"/>
      <c r="F5" s="49"/>
      <c r="G5" s="49"/>
      <c r="H5" s="49"/>
      <c r="I5" s="49"/>
      <c r="J5" s="49"/>
    </row>
    <row r="6" spans="1:13" x14ac:dyDescent="0.2">
      <c r="A6" s="6" t="s">
        <v>350</v>
      </c>
      <c r="B6" s="6" t="s">
        <v>351</v>
      </c>
      <c r="C6" s="6" t="s">
        <v>352</v>
      </c>
      <c r="D6" s="6" t="str">
        <f>"1,0467"</f>
        <v>1,0467</v>
      </c>
      <c r="E6" s="6" t="s">
        <v>20</v>
      </c>
      <c r="F6" s="6" t="s">
        <v>21</v>
      </c>
      <c r="G6" s="7" t="s">
        <v>353</v>
      </c>
      <c r="H6" s="7" t="s">
        <v>354</v>
      </c>
      <c r="I6" s="8" t="s">
        <v>92</v>
      </c>
      <c r="J6" s="8"/>
      <c r="K6" s="11" t="str">
        <f>"50,0"</f>
        <v>50,0</v>
      </c>
      <c r="L6" s="12" t="str">
        <f>"54,4284"</f>
        <v>54,4284</v>
      </c>
      <c r="M6" s="6" t="s">
        <v>355</v>
      </c>
    </row>
    <row r="8" spans="1:13" ht="15" x14ac:dyDescent="0.2">
      <c r="A8" s="56" t="s">
        <v>170</v>
      </c>
      <c r="B8" s="56"/>
      <c r="C8" s="56"/>
      <c r="D8" s="56"/>
      <c r="E8" s="56"/>
      <c r="F8" s="56"/>
      <c r="G8" s="56"/>
      <c r="H8" s="56"/>
      <c r="I8" s="56"/>
      <c r="J8" s="56"/>
    </row>
    <row r="9" spans="1:13" x14ac:dyDescent="0.2">
      <c r="A9" s="6" t="s">
        <v>357</v>
      </c>
      <c r="B9" s="6" t="s">
        <v>358</v>
      </c>
      <c r="C9" s="6" t="s">
        <v>359</v>
      </c>
      <c r="D9" s="6" t="str">
        <f>"0,6687"</f>
        <v>0,6687</v>
      </c>
      <c r="E9" s="6" t="s">
        <v>118</v>
      </c>
      <c r="F9" s="6" t="s">
        <v>211</v>
      </c>
      <c r="G9" s="7" t="s">
        <v>127</v>
      </c>
      <c r="H9" s="8" t="s">
        <v>73</v>
      </c>
      <c r="I9" s="8" t="s">
        <v>73</v>
      </c>
      <c r="J9" s="8"/>
      <c r="K9" s="11" t="str">
        <f>"135,0"</f>
        <v>135,0</v>
      </c>
      <c r="L9" s="12" t="str">
        <f>"90,2745"</f>
        <v>90,2745</v>
      </c>
      <c r="M9" s="6" t="s">
        <v>28</v>
      </c>
    </row>
    <row r="11" spans="1:13" ht="15" x14ac:dyDescent="0.2">
      <c r="A11" s="56" t="s">
        <v>187</v>
      </c>
      <c r="B11" s="56"/>
      <c r="C11" s="56"/>
      <c r="D11" s="56"/>
      <c r="E11" s="56"/>
      <c r="F11" s="56"/>
      <c r="G11" s="56"/>
      <c r="H11" s="56"/>
      <c r="I11" s="56"/>
      <c r="J11" s="56"/>
    </row>
    <row r="12" spans="1:13" x14ac:dyDescent="0.2">
      <c r="A12" s="6" t="s">
        <v>361</v>
      </c>
      <c r="B12" s="6" t="s">
        <v>362</v>
      </c>
      <c r="C12" s="6" t="s">
        <v>363</v>
      </c>
      <c r="D12" s="6" t="str">
        <f>"0,6214"</f>
        <v>0,6214</v>
      </c>
      <c r="E12" s="6" t="s">
        <v>118</v>
      </c>
      <c r="F12" s="6" t="s">
        <v>119</v>
      </c>
      <c r="G12" s="8" t="s">
        <v>121</v>
      </c>
      <c r="H12" s="7" t="s">
        <v>121</v>
      </c>
      <c r="I12" s="8" t="s">
        <v>127</v>
      </c>
      <c r="J12" s="8"/>
      <c r="K12" s="11" t="str">
        <f>"130,0"</f>
        <v>130,0</v>
      </c>
      <c r="L12" s="12" t="str">
        <f>"86,3560"</f>
        <v>86,3560</v>
      </c>
      <c r="M12" s="6" t="s">
        <v>28</v>
      </c>
    </row>
    <row r="14" spans="1:13" ht="15" x14ac:dyDescent="0.2">
      <c r="A14" s="56" t="s">
        <v>143</v>
      </c>
      <c r="B14" s="56"/>
      <c r="C14" s="56"/>
      <c r="D14" s="56"/>
      <c r="E14" s="56"/>
      <c r="F14" s="56"/>
      <c r="G14" s="56"/>
      <c r="H14" s="56"/>
      <c r="I14" s="56"/>
      <c r="J14" s="56"/>
    </row>
    <row r="15" spans="1:13" x14ac:dyDescent="0.2">
      <c r="A15" s="19" t="s">
        <v>365</v>
      </c>
      <c r="B15" s="19" t="s">
        <v>366</v>
      </c>
      <c r="C15" s="19" t="s">
        <v>367</v>
      </c>
      <c r="D15" s="19" t="str">
        <f>"0,6007"</f>
        <v>0,6007</v>
      </c>
      <c r="E15" s="19" t="s">
        <v>51</v>
      </c>
      <c r="F15" s="19" t="s">
        <v>21</v>
      </c>
      <c r="G15" s="20" t="s">
        <v>121</v>
      </c>
      <c r="H15" s="20" t="s">
        <v>79</v>
      </c>
      <c r="I15" s="20" t="s">
        <v>122</v>
      </c>
      <c r="J15" s="21"/>
      <c r="K15" s="28" t="str">
        <f>"142,5"</f>
        <v>142,5</v>
      </c>
      <c r="L15" s="29" t="str">
        <f>"85,5926"</f>
        <v>85,5926</v>
      </c>
      <c r="M15" s="19" t="s">
        <v>28</v>
      </c>
    </row>
    <row r="16" spans="1:13" x14ac:dyDescent="0.2">
      <c r="A16" s="25" t="s">
        <v>369</v>
      </c>
      <c r="B16" s="25" t="s">
        <v>370</v>
      </c>
      <c r="C16" s="25" t="s">
        <v>371</v>
      </c>
      <c r="D16" s="25" t="str">
        <f>"0,6078"</f>
        <v>0,6078</v>
      </c>
      <c r="E16" s="25" t="s">
        <v>71</v>
      </c>
      <c r="F16" s="25" t="s">
        <v>372</v>
      </c>
      <c r="G16" s="26" t="s">
        <v>57</v>
      </c>
      <c r="H16" s="26" t="s">
        <v>105</v>
      </c>
      <c r="I16" s="27" t="s">
        <v>373</v>
      </c>
      <c r="J16" s="27"/>
      <c r="K16" s="32" t="str">
        <f>"115,0"</f>
        <v>115,0</v>
      </c>
      <c r="L16" s="33" t="str">
        <f>"69,8970"</f>
        <v>69,8970</v>
      </c>
      <c r="M16" s="25" t="s">
        <v>28</v>
      </c>
    </row>
    <row r="17" spans="1:13" x14ac:dyDescent="0.2">
      <c r="A17" s="25" t="s">
        <v>375</v>
      </c>
      <c r="B17" s="25" t="s">
        <v>376</v>
      </c>
      <c r="C17" s="25" t="s">
        <v>377</v>
      </c>
      <c r="D17" s="25" t="str">
        <f>"0,6050"</f>
        <v>0,6050</v>
      </c>
      <c r="E17" s="25" t="s">
        <v>378</v>
      </c>
      <c r="F17" s="25" t="s">
        <v>211</v>
      </c>
      <c r="G17" s="26" t="s">
        <v>105</v>
      </c>
      <c r="H17" s="27" t="s">
        <v>106</v>
      </c>
      <c r="I17" s="27" t="s">
        <v>106</v>
      </c>
      <c r="J17" s="27"/>
      <c r="K17" s="32" t="str">
        <f>"115,0"</f>
        <v>115,0</v>
      </c>
      <c r="L17" s="33" t="str">
        <f>"114,4509"</f>
        <v>114,4509</v>
      </c>
      <c r="M17" s="25" t="s">
        <v>28</v>
      </c>
    </row>
    <row r="18" spans="1:13" x14ac:dyDescent="0.2">
      <c r="A18" s="22" t="s">
        <v>379</v>
      </c>
      <c r="B18" s="22" t="s">
        <v>380</v>
      </c>
      <c r="C18" s="22" t="s">
        <v>371</v>
      </c>
      <c r="D18" s="22" t="str">
        <f>"0,6078"</f>
        <v>0,6078</v>
      </c>
      <c r="E18" s="22" t="s">
        <v>71</v>
      </c>
      <c r="F18" s="22" t="s">
        <v>372</v>
      </c>
      <c r="G18" s="23" t="s">
        <v>57</v>
      </c>
      <c r="H18" s="23" t="s">
        <v>105</v>
      </c>
      <c r="I18" s="24" t="s">
        <v>373</v>
      </c>
      <c r="J18" s="24"/>
      <c r="K18" s="30" t="str">
        <f>"115,0"</f>
        <v>115,0</v>
      </c>
      <c r="L18" s="31" t="str">
        <f>"137,6971"</f>
        <v>137,6971</v>
      </c>
      <c r="M18" s="22" t="s">
        <v>28</v>
      </c>
    </row>
    <row r="20" spans="1:13" ht="15" x14ac:dyDescent="0.2">
      <c r="A20" s="56" t="s">
        <v>46</v>
      </c>
      <c r="B20" s="56"/>
      <c r="C20" s="56"/>
      <c r="D20" s="56"/>
      <c r="E20" s="56"/>
      <c r="F20" s="56"/>
      <c r="G20" s="56"/>
      <c r="H20" s="56"/>
      <c r="I20" s="56"/>
      <c r="J20" s="56"/>
    </row>
    <row r="21" spans="1:13" x14ac:dyDescent="0.2">
      <c r="A21" s="19" t="s">
        <v>382</v>
      </c>
      <c r="B21" s="19" t="s">
        <v>383</v>
      </c>
      <c r="C21" s="19" t="s">
        <v>384</v>
      </c>
      <c r="D21" s="19" t="str">
        <f>"0,5555"</f>
        <v>0,5555</v>
      </c>
      <c r="E21" s="19" t="s">
        <v>378</v>
      </c>
      <c r="F21" s="19" t="s">
        <v>211</v>
      </c>
      <c r="G21" s="20" t="s">
        <v>240</v>
      </c>
      <c r="H21" s="20" t="s">
        <v>200</v>
      </c>
      <c r="I21" s="21" t="s">
        <v>192</v>
      </c>
      <c r="J21" s="21"/>
      <c r="K21" s="28" t="str">
        <f>"170,0"</f>
        <v>170,0</v>
      </c>
      <c r="L21" s="29" t="str">
        <f>"94,4350"</f>
        <v>94,4350</v>
      </c>
      <c r="M21" s="19" t="s">
        <v>28</v>
      </c>
    </row>
    <row r="22" spans="1:13" x14ac:dyDescent="0.2">
      <c r="A22" s="25" t="s">
        <v>386</v>
      </c>
      <c r="B22" s="25" t="s">
        <v>387</v>
      </c>
      <c r="C22" s="25" t="s">
        <v>388</v>
      </c>
      <c r="D22" s="25" t="str">
        <f>"0,5701"</f>
        <v>0,5701</v>
      </c>
      <c r="E22" s="25" t="s">
        <v>389</v>
      </c>
      <c r="F22" s="25" t="s">
        <v>137</v>
      </c>
      <c r="G22" s="26" t="s">
        <v>131</v>
      </c>
      <c r="H22" s="27" t="s">
        <v>132</v>
      </c>
      <c r="I22" s="27" t="s">
        <v>132</v>
      </c>
      <c r="J22" s="27"/>
      <c r="K22" s="32" t="str">
        <f>"150,0"</f>
        <v>150,0</v>
      </c>
      <c r="L22" s="33" t="str">
        <f>"85,5150"</f>
        <v>85,5150</v>
      </c>
      <c r="M22" s="25" t="s">
        <v>28</v>
      </c>
    </row>
    <row r="23" spans="1:13" x14ac:dyDescent="0.2">
      <c r="A23" s="22" t="s">
        <v>390</v>
      </c>
      <c r="B23" s="22" t="s">
        <v>391</v>
      </c>
      <c r="C23" s="22" t="s">
        <v>388</v>
      </c>
      <c r="D23" s="22" t="str">
        <f>"0,5701"</f>
        <v>0,5701</v>
      </c>
      <c r="E23" s="22" t="s">
        <v>389</v>
      </c>
      <c r="F23" s="22" t="s">
        <v>137</v>
      </c>
      <c r="G23" s="23" t="s">
        <v>131</v>
      </c>
      <c r="H23" s="24" t="s">
        <v>132</v>
      </c>
      <c r="I23" s="24" t="s">
        <v>132</v>
      </c>
      <c r="J23" s="24"/>
      <c r="K23" s="30" t="str">
        <f>"150,0"</f>
        <v>150,0</v>
      </c>
      <c r="L23" s="31" t="str">
        <f>"85,7715"</f>
        <v>85,7715</v>
      </c>
      <c r="M23" s="22" t="s">
        <v>28</v>
      </c>
    </row>
    <row r="25" spans="1:13" ht="15" x14ac:dyDescent="0.2">
      <c r="A25" s="56" t="s">
        <v>15</v>
      </c>
      <c r="B25" s="56"/>
      <c r="C25" s="56"/>
      <c r="D25" s="56"/>
      <c r="E25" s="56"/>
      <c r="F25" s="56"/>
      <c r="G25" s="56"/>
      <c r="H25" s="56"/>
      <c r="I25" s="56"/>
      <c r="J25" s="56"/>
    </row>
    <row r="26" spans="1:13" x14ac:dyDescent="0.2">
      <c r="A26" s="6" t="s">
        <v>17</v>
      </c>
      <c r="B26" s="6" t="s">
        <v>18</v>
      </c>
      <c r="C26" s="6" t="s">
        <v>19</v>
      </c>
      <c r="D26" s="6" t="str">
        <f>"0,5395"</f>
        <v>0,5395</v>
      </c>
      <c r="E26" s="6" t="s">
        <v>20</v>
      </c>
      <c r="F26" s="6" t="s">
        <v>21</v>
      </c>
      <c r="G26" s="7" t="s">
        <v>73</v>
      </c>
      <c r="H26" s="8" t="s">
        <v>222</v>
      </c>
      <c r="I26" s="8"/>
      <c r="J26" s="8"/>
      <c r="K26" s="11" t="str">
        <f>"140,0"</f>
        <v>140,0</v>
      </c>
      <c r="L26" s="12" t="str">
        <f>"75,5300"</f>
        <v>75,5300</v>
      </c>
      <c r="M26" s="6" t="s">
        <v>28</v>
      </c>
    </row>
    <row r="28" spans="1:13" ht="15" x14ac:dyDescent="0.2">
      <c r="E28" s="9" t="s">
        <v>29</v>
      </c>
    </row>
    <row r="29" spans="1:13" ht="15" x14ac:dyDescent="0.2">
      <c r="E29" s="9" t="s">
        <v>30</v>
      </c>
    </row>
    <row r="30" spans="1:13" ht="15" x14ac:dyDescent="0.2">
      <c r="E30" s="9" t="s">
        <v>31</v>
      </c>
    </row>
    <row r="31" spans="1:13" ht="15" x14ac:dyDescent="0.2">
      <c r="E31" s="9" t="s">
        <v>32</v>
      </c>
    </row>
    <row r="32" spans="1:13" ht="15" x14ac:dyDescent="0.2">
      <c r="E32" s="9" t="s">
        <v>32</v>
      </c>
    </row>
    <row r="33" spans="1:5" ht="15" x14ac:dyDescent="0.2">
      <c r="E33" s="9" t="s">
        <v>33</v>
      </c>
    </row>
    <row r="34" spans="1:5" ht="15" x14ac:dyDescent="0.2">
      <c r="E34" s="9"/>
    </row>
    <row r="36" spans="1:5" ht="18" x14ac:dyDescent="0.25">
      <c r="A36" s="13" t="s">
        <v>34</v>
      </c>
      <c r="B36" s="13"/>
    </row>
    <row r="37" spans="1:5" ht="15" x14ac:dyDescent="0.2">
      <c r="A37" s="14" t="s">
        <v>80</v>
      </c>
      <c r="B37" s="14"/>
    </row>
    <row r="38" spans="1:5" ht="14.25" x14ac:dyDescent="0.2">
      <c r="A38" s="16"/>
      <c r="B38" s="17" t="s">
        <v>392</v>
      </c>
    </row>
    <row r="39" spans="1:5" ht="15" x14ac:dyDescent="0.2">
      <c r="A39" s="18" t="s">
        <v>37</v>
      </c>
      <c r="B39" s="18" t="s">
        <v>38</v>
      </c>
      <c r="C39" s="18" t="s">
        <v>39</v>
      </c>
      <c r="D39" s="18" t="s">
        <v>393</v>
      </c>
      <c r="E39" s="18" t="s">
        <v>41</v>
      </c>
    </row>
    <row r="40" spans="1:5" x14ac:dyDescent="0.2">
      <c r="A40" s="15" t="s">
        <v>349</v>
      </c>
      <c r="B40" s="4" t="s">
        <v>394</v>
      </c>
      <c r="C40" s="4" t="s">
        <v>249</v>
      </c>
      <c r="D40" s="4" t="s">
        <v>354</v>
      </c>
      <c r="E40" s="10" t="s">
        <v>395</v>
      </c>
    </row>
    <row r="43" spans="1:5" ht="15" x14ac:dyDescent="0.2">
      <c r="A43" s="14" t="s">
        <v>35</v>
      </c>
      <c r="B43" s="14"/>
    </row>
    <row r="44" spans="1:5" ht="14.25" x14ac:dyDescent="0.2">
      <c r="A44" s="16"/>
      <c r="B44" s="17" t="s">
        <v>36</v>
      </c>
    </row>
    <row r="45" spans="1:5" ht="15" x14ac:dyDescent="0.2">
      <c r="A45" s="18" t="s">
        <v>37</v>
      </c>
      <c r="B45" s="18" t="s">
        <v>38</v>
      </c>
      <c r="C45" s="18" t="s">
        <v>39</v>
      </c>
      <c r="D45" s="18" t="s">
        <v>393</v>
      </c>
      <c r="E45" s="18" t="s">
        <v>41</v>
      </c>
    </row>
    <row r="46" spans="1:5" x14ac:dyDescent="0.2">
      <c r="A46" s="15" t="s">
        <v>16</v>
      </c>
      <c r="B46" s="4" t="s">
        <v>42</v>
      </c>
      <c r="C46" s="4" t="s">
        <v>43</v>
      </c>
      <c r="D46" s="4" t="s">
        <v>73</v>
      </c>
      <c r="E46" s="10" t="s">
        <v>396</v>
      </c>
    </row>
    <row r="48" spans="1:5" ht="14.25" x14ac:dyDescent="0.2">
      <c r="A48" s="16"/>
      <c r="B48" s="17" t="s">
        <v>81</v>
      </c>
    </row>
    <row r="49" spans="1:5" ht="15" x14ac:dyDescent="0.2">
      <c r="A49" s="18" t="s">
        <v>37</v>
      </c>
      <c r="B49" s="18" t="s">
        <v>38</v>
      </c>
      <c r="C49" s="18" t="s">
        <v>39</v>
      </c>
      <c r="D49" s="18" t="s">
        <v>393</v>
      </c>
      <c r="E49" s="18" t="s">
        <v>41</v>
      </c>
    </row>
    <row r="50" spans="1:5" x14ac:dyDescent="0.2">
      <c r="A50" s="15" t="s">
        <v>381</v>
      </c>
      <c r="B50" s="4" t="s">
        <v>81</v>
      </c>
      <c r="C50" s="4" t="s">
        <v>63</v>
      </c>
      <c r="D50" s="4" t="s">
        <v>200</v>
      </c>
      <c r="E50" s="10" t="s">
        <v>397</v>
      </c>
    </row>
    <row r="51" spans="1:5" x14ac:dyDescent="0.2">
      <c r="A51" s="15" t="s">
        <v>356</v>
      </c>
      <c r="B51" s="4" t="s">
        <v>81</v>
      </c>
      <c r="C51" s="4" t="s">
        <v>263</v>
      </c>
      <c r="D51" s="4" t="s">
        <v>127</v>
      </c>
      <c r="E51" s="10" t="s">
        <v>398</v>
      </c>
    </row>
    <row r="52" spans="1:5" x14ac:dyDescent="0.2">
      <c r="A52" s="15" t="s">
        <v>364</v>
      </c>
      <c r="B52" s="4" t="s">
        <v>81</v>
      </c>
      <c r="C52" s="4" t="s">
        <v>256</v>
      </c>
      <c r="D52" s="4" t="s">
        <v>122</v>
      </c>
      <c r="E52" s="10" t="s">
        <v>399</v>
      </c>
    </row>
    <row r="53" spans="1:5" x14ac:dyDescent="0.2">
      <c r="A53" s="15" t="s">
        <v>385</v>
      </c>
      <c r="B53" s="4" t="s">
        <v>81</v>
      </c>
      <c r="C53" s="4" t="s">
        <v>63</v>
      </c>
      <c r="D53" s="4" t="s">
        <v>131</v>
      </c>
      <c r="E53" s="10" t="s">
        <v>400</v>
      </c>
    </row>
    <row r="54" spans="1:5" x14ac:dyDescent="0.2">
      <c r="A54" s="15" t="s">
        <v>368</v>
      </c>
      <c r="B54" s="4" t="s">
        <v>81</v>
      </c>
      <c r="C54" s="4" t="s">
        <v>256</v>
      </c>
      <c r="D54" s="4" t="s">
        <v>105</v>
      </c>
      <c r="E54" s="10" t="s">
        <v>401</v>
      </c>
    </row>
    <row r="56" spans="1:5" ht="14.25" x14ac:dyDescent="0.2">
      <c r="A56" s="16"/>
      <c r="B56" s="17" t="s">
        <v>61</v>
      </c>
    </row>
    <row r="57" spans="1:5" ht="15" x14ac:dyDescent="0.2">
      <c r="A57" s="18" t="s">
        <v>37</v>
      </c>
      <c r="B57" s="18" t="s">
        <v>38</v>
      </c>
      <c r="C57" s="18" t="s">
        <v>39</v>
      </c>
      <c r="D57" s="18" t="s">
        <v>393</v>
      </c>
      <c r="E57" s="18" t="s">
        <v>41</v>
      </c>
    </row>
    <row r="58" spans="1:5" x14ac:dyDescent="0.2">
      <c r="A58" s="15" t="s">
        <v>368</v>
      </c>
      <c r="B58" s="4" t="s">
        <v>281</v>
      </c>
      <c r="C58" s="4" t="s">
        <v>256</v>
      </c>
      <c r="D58" s="4" t="s">
        <v>105</v>
      </c>
      <c r="E58" s="10" t="s">
        <v>402</v>
      </c>
    </row>
    <row r="59" spans="1:5" x14ac:dyDescent="0.2">
      <c r="A59" s="15" t="s">
        <v>374</v>
      </c>
      <c r="B59" s="4" t="s">
        <v>403</v>
      </c>
      <c r="C59" s="4" t="s">
        <v>256</v>
      </c>
      <c r="D59" s="4" t="s">
        <v>105</v>
      </c>
      <c r="E59" s="10" t="s">
        <v>404</v>
      </c>
    </row>
    <row r="60" spans="1:5" x14ac:dyDescent="0.2">
      <c r="A60" s="15" t="s">
        <v>360</v>
      </c>
      <c r="B60" s="4" t="s">
        <v>285</v>
      </c>
      <c r="C60" s="4" t="s">
        <v>268</v>
      </c>
      <c r="D60" s="4" t="s">
        <v>121</v>
      </c>
      <c r="E60" s="10" t="s">
        <v>405</v>
      </c>
    </row>
    <row r="61" spans="1:5" x14ac:dyDescent="0.2">
      <c r="A61" s="15" t="s">
        <v>385</v>
      </c>
      <c r="B61" s="4" t="s">
        <v>406</v>
      </c>
      <c r="C61" s="4" t="s">
        <v>63</v>
      </c>
      <c r="D61" s="4" t="s">
        <v>131</v>
      </c>
      <c r="E61" s="10" t="s">
        <v>407</v>
      </c>
    </row>
  </sheetData>
  <mergeCells count="17">
    <mergeCell ref="A8:J8"/>
    <mergeCell ref="A11:J11"/>
    <mergeCell ref="A14:J14"/>
    <mergeCell ref="A20:J20"/>
    <mergeCell ref="A25:J25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workbookViewId="0">
      <selection activeCell="F11" sqref="F11"/>
    </sheetView>
  </sheetViews>
  <sheetFormatPr defaultRowHeight="12.75" x14ac:dyDescent="0.2"/>
  <cols>
    <col min="1" max="1" width="26" style="4" bestFit="1" customWidth="1"/>
    <col min="2" max="2" width="28.425781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30.28515625" style="4" bestFit="1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5" width="5.5703125" style="3" customWidth="1"/>
    <col min="16" max="17" width="2.140625" style="3" customWidth="1"/>
    <col min="18" max="18" width="4.85546875" style="3" customWidth="1"/>
    <col min="19" max="19" width="7.85546875" style="10" bestFit="1" customWidth="1"/>
    <col min="20" max="20" width="6.5703125" style="2" bestFit="1" customWidth="1"/>
    <col min="21" max="21" width="8.85546875" style="4" bestFit="1" customWidth="1"/>
    <col min="22" max="16384" width="9.140625" style="3"/>
  </cols>
  <sheetData>
    <row r="1" spans="1:21" s="2" customFormat="1" ht="29.1" customHeight="1" x14ac:dyDescent="0.2">
      <c r="A1" s="35" t="s">
        <v>1355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7"/>
    </row>
    <row r="2" spans="1:21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 x14ac:dyDescent="0.2">
      <c r="A3" s="41" t="s">
        <v>0</v>
      </c>
      <c r="B3" s="43" t="s">
        <v>6</v>
      </c>
      <c r="C3" s="43" t="s">
        <v>10</v>
      </c>
      <c r="D3" s="45" t="s">
        <v>11</v>
      </c>
      <c r="E3" s="45" t="s">
        <v>4</v>
      </c>
      <c r="F3" s="45" t="s">
        <v>7</v>
      </c>
      <c r="G3" s="45" t="s">
        <v>12</v>
      </c>
      <c r="H3" s="45"/>
      <c r="I3" s="45"/>
      <c r="J3" s="45"/>
      <c r="K3" s="45" t="s">
        <v>13</v>
      </c>
      <c r="L3" s="45"/>
      <c r="M3" s="45"/>
      <c r="N3" s="45"/>
      <c r="O3" s="45" t="s">
        <v>14</v>
      </c>
      <c r="P3" s="45"/>
      <c r="Q3" s="45"/>
      <c r="R3" s="45"/>
      <c r="S3" s="45" t="s">
        <v>1</v>
      </c>
      <c r="T3" s="45" t="s">
        <v>3</v>
      </c>
      <c r="U3" s="46" t="s">
        <v>2</v>
      </c>
    </row>
    <row r="4" spans="1:21" s="1" customFormat="1" ht="21" customHeight="1" thickBot="1" x14ac:dyDescent="0.25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44"/>
      <c r="T4" s="44"/>
      <c r="U4" s="47"/>
    </row>
    <row r="5" spans="1:21" ht="15" x14ac:dyDescent="0.2">
      <c r="A5" s="48" t="s">
        <v>345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1:21" x14ac:dyDescent="0.2">
      <c r="A6" s="6" t="s">
        <v>346</v>
      </c>
      <c r="B6" s="6" t="s">
        <v>347</v>
      </c>
      <c r="C6" s="6" t="s">
        <v>348</v>
      </c>
      <c r="D6" s="6" t="str">
        <f>"0,5267"</f>
        <v>0,5267</v>
      </c>
      <c r="E6" s="6" t="s">
        <v>148</v>
      </c>
      <c r="F6" s="6" t="s">
        <v>211</v>
      </c>
      <c r="G6" s="7" t="s">
        <v>59</v>
      </c>
      <c r="H6" s="7" t="s">
        <v>26</v>
      </c>
      <c r="I6" s="8" t="s">
        <v>223</v>
      </c>
      <c r="J6" s="8"/>
      <c r="K6" s="8" t="s">
        <v>257</v>
      </c>
      <c r="L6" s="8" t="s">
        <v>257</v>
      </c>
      <c r="M6" s="8" t="s">
        <v>257</v>
      </c>
      <c r="N6" s="8"/>
      <c r="O6" s="8" t="s">
        <v>223</v>
      </c>
      <c r="P6" s="8"/>
      <c r="Q6" s="8"/>
      <c r="R6" s="8"/>
      <c r="S6" s="11" t="str">
        <f>"0.00"</f>
        <v>0.00</v>
      </c>
      <c r="T6" s="12" t="str">
        <f>"0,0000"</f>
        <v>0,0000</v>
      </c>
      <c r="U6" s="6" t="s">
        <v>28</v>
      </c>
    </row>
    <row r="8" spans="1:21" ht="15" x14ac:dyDescent="0.2">
      <c r="E8" s="9" t="s">
        <v>29</v>
      </c>
    </row>
    <row r="9" spans="1:21" ht="15" x14ac:dyDescent="0.2">
      <c r="E9" s="9" t="s">
        <v>30</v>
      </c>
    </row>
    <row r="10" spans="1:21" ht="15" x14ac:dyDescent="0.2">
      <c r="E10" s="9" t="s">
        <v>31</v>
      </c>
    </row>
    <row r="11" spans="1:21" ht="15" x14ac:dyDescent="0.2">
      <c r="E11" s="9" t="s">
        <v>32</v>
      </c>
    </row>
    <row r="12" spans="1:21" ht="15" x14ac:dyDescent="0.2">
      <c r="E12" s="9" t="s">
        <v>32</v>
      </c>
    </row>
    <row r="13" spans="1:21" ht="15" x14ac:dyDescent="0.2">
      <c r="E13" s="9" t="s">
        <v>33</v>
      </c>
    </row>
    <row r="14" spans="1:21" ht="15" x14ac:dyDescent="0.2">
      <c r="E14" s="9"/>
    </row>
    <row r="16" spans="1:21" ht="18" x14ac:dyDescent="0.25">
      <c r="A16" s="13" t="s">
        <v>34</v>
      </c>
      <c r="B16" s="13"/>
    </row>
  </sheetData>
  <mergeCells count="14">
    <mergeCell ref="S3:S4"/>
    <mergeCell ref="T3:T4"/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workbookViewId="0">
      <selection activeCell="A3" sqref="A3:A4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32.140625" style="4" bestFit="1" customWidth="1"/>
    <col min="7" max="9" width="6.5703125" style="3" customWidth="1"/>
    <col min="10" max="10" width="4.85546875" style="3" customWidth="1"/>
    <col min="11" max="11" width="6.5703125" style="3" customWidth="1"/>
    <col min="12" max="13" width="5.5703125" style="3" customWidth="1"/>
    <col min="14" max="14" width="4.85546875" style="3" customWidth="1"/>
    <col min="15" max="17" width="6.5703125" style="3" customWidth="1"/>
    <col min="18" max="18" width="4.85546875" style="3" customWidth="1"/>
    <col min="19" max="19" width="7.85546875" style="10" bestFit="1" customWidth="1"/>
    <col min="20" max="20" width="8.5703125" style="2" bestFit="1" customWidth="1"/>
    <col min="21" max="21" width="8.85546875" style="4" bestFit="1" customWidth="1"/>
    <col min="22" max="16384" width="9.140625" style="3"/>
  </cols>
  <sheetData>
    <row r="1" spans="1:21" s="2" customFormat="1" ht="29.1" customHeight="1" x14ac:dyDescent="0.2">
      <c r="A1" s="35" t="s">
        <v>1356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7"/>
    </row>
    <row r="2" spans="1:21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 x14ac:dyDescent="0.2">
      <c r="A3" s="41" t="s">
        <v>0</v>
      </c>
      <c r="B3" s="43" t="s">
        <v>6</v>
      </c>
      <c r="C3" s="43" t="s">
        <v>10</v>
      </c>
      <c r="D3" s="45" t="s">
        <v>11</v>
      </c>
      <c r="E3" s="45" t="s">
        <v>4</v>
      </c>
      <c r="F3" s="45" t="s">
        <v>7</v>
      </c>
      <c r="G3" s="45" t="s">
        <v>12</v>
      </c>
      <c r="H3" s="45"/>
      <c r="I3" s="45"/>
      <c r="J3" s="45"/>
      <c r="K3" s="45" t="s">
        <v>13</v>
      </c>
      <c r="L3" s="45"/>
      <c r="M3" s="45"/>
      <c r="N3" s="45"/>
      <c r="O3" s="45" t="s">
        <v>14</v>
      </c>
      <c r="P3" s="45"/>
      <c r="Q3" s="45"/>
      <c r="R3" s="45"/>
      <c r="S3" s="45" t="s">
        <v>1</v>
      </c>
      <c r="T3" s="45" t="s">
        <v>3</v>
      </c>
      <c r="U3" s="46" t="s">
        <v>2</v>
      </c>
    </row>
    <row r="4" spans="1:21" s="1" customFormat="1" ht="21" customHeight="1" thickBot="1" x14ac:dyDescent="0.25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44"/>
      <c r="T4" s="44"/>
      <c r="U4" s="47"/>
    </row>
    <row r="5" spans="1:21" ht="15" x14ac:dyDescent="0.2">
      <c r="A5" s="48" t="s">
        <v>170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1:21" x14ac:dyDescent="0.2">
      <c r="A6" s="19" t="s">
        <v>288</v>
      </c>
      <c r="B6" s="19" t="s">
        <v>289</v>
      </c>
      <c r="C6" s="19" t="s">
        <v>290</v>
      </c>
      <c r="D6" s="19" t="str">
        <f>"0,6730"</f>
        <v>0,6730</v>
      </c>
      <c r="E6" s="19" t="s">
        <v>51</v>
      </c>
      <c r="F6" s="19" t="s">
        <v>291</v>
      </c>
      <c r="G6" s="20" t="s">
        <v>72</v>
      </c>
      <c r="H6" s="20" t="s">
        <v>292</v>
      </c>
      <c r="I6" s="20" t="s">
        <v>293</v>
      </c>
      <c r="J6" s="21"/>
      <c r="K6" s="20" t="s">
        <v>179</v>
      </c>
      <c r="L6" s="21" t="s">
        <v>55</v>
      </c>
      <c r="M6" s="21" t="s">
        <v>55</v>
      </c>
      <c r="N6" s="21"/>
      <c r="O6" s="20" t="s">
        <v>175</v>
      </c>
      <c r="P6" s="20" t="s">
        <v>176</v>
      </c>
      <c r="Q6" s="20" t="s">
        <v>294</v>
      </c>
      <c r="R6" s="21"/>
      <c r="S6" s="28" t="str">
        <f>"435.00o"</f>
        <v>435.00o</v>
      </c>
      <c r="T6" s="29" t="str">
        <f>"449,3789"</f>
        <v>449,3789</v>
      </c>
      <c r="U6" s="19" t="s">
        <v>28</v>
      </c>
    </row>
    <row r="7" spans="1:21" x14ac:dyDescent="0.2">
      <c r="A7" s="22" t="s">
        <v>296</v>
      </c>
      <c r="B7" s="22" t="s">
        <v>297</v>
      </c>
      <c r="C7" s="22" t="s">
        <v>298</v>
      </c>
      <c r="D7" s="22" t="str">
        <f>"0,6939"</f>
        <v>0,6939</v>
      </c>
      <c r="E7" s="22" t="s">
        <v>51</v>
      </c>
      <c r="F7" s="22" t="s">
        <v>169</v>
      </c>
      <c r="G7" s="23" t="s">
        <v>164</v>
      </c>
      <c r="H7" s="24" t="s">
        <v>106</v>
      </c>
      <c r="I7" s="24" t="s">
        <v>299</v>
      </c>
      <c r="J7" s="24"/>
      <c r="K7" s="23" t="s">
        <v>300</v>
      </c>
      <c r="L7" s="23" t="s">
        <v>301</v>
      </c>
      <c r="M7" s="23" t="s">
        <v>302</v>
      </c>
      <c r="N7" s="24"/>
      <c r="O7" s="23" t="s">
        <v>131</v>
      </c>
      <c r="P7" s="24" t="s">
        <v>222</v>
      </c>
      <c r="Q7" s="24" t="s">
        <v>132</v>
      </c>
      <c r="R7" s="24"/>
      <c r="S7" s="30" t="str">
        <f>"350,0"</f>
        <v>350,0</v>
      </c>
      <c r="T7" s="31" t="str">
        <f>"505,8546"</f>
        <v>505,8546</v>
      </c>
      <c r="U7" s="22" t="s">
        <v>28</v>
      </c>
    </row>
    <row r="9" spans="1:21" ht="15" x14ac:dyDescent="0.2">
      <c r="A9" s="56" t="s">
        <v>187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</row>
    <row r="10" spans="1:21" x14ac:dyDescent="0.2">
      <c r="A10" s="6" t="s">
        <v>304</v>
      </c>
      <c r="B10" s="6" t="s">
        <v>305</v>
      </c>
      <c r="C10" s="6" t="s">
        <v>306</v>
      </c>
      <c r="D10" s="6" t="str">
        <f>"0,6279"</f>
        <v>0,6279</v>
      </c>
      <c r="E10" s="6" t="s">
        <v>71</v>
      </c>
      <c r="F10" s="6" t="s">
        <v>112</v>
      </c>
      <c r="G10" s="7" t="s">
        <v>201</v>
      </c>
      <c r="H10" s="7" t="s">
        <v>25</v>
      </c>
      <c r="I10" s="8"/>
      <c r="J10" s="8"/>
      <c r="K10" s="7" t="s">
        <v>77</v>
      </c>
      <c r="L10" s="7" t="s">
        <v>121</v>
      </c>
      <c r="M10" s="7" t="s">
        <v>127</v>
      </c>
      <c r="N10" s="8"/>
      <c r="O10" s="7" t="s">
        <v>59</v>
      </c>
      <c r="P10" s="7" t="s">
        <v>307</v>
      </c>
      <c r="Q10" s="8"/>
      <c r="R10" s="8"/>
      <c r="S10" s="11" t="str">
        <f>"590,0"</f>
        <v>590,0</v>
      </c>
      <c r="T10" s="12" t="str">
        <f>"511,2362"</f>
        <v>511,2362</v>
      </c>
      <c r="U10" s="6" t="s">
        <v>28</v>
      </c>
    </row>
    <row r="12" spans="1:21" ht="15" x14ac:dyDescent="0.2">
      <c r="A12" s="56" t="s">
        <v>15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</row>
    <row r="13" spans="1:21" x14ac:dyDescent="0.2">
      <c r="A13" s="19" t="s">
        <v>309</v>
      </c>
      <c r="B13" s="19" t="s">
        <v>310</v>
      </c>
      <c r="C13" s="19" t="s">
        <v>239</v>
      </c>
      <c r="D13" s="19" t="str">
        <f>"0,5391"</f>
        <v>0,5391</v>
      </c>
      <c r="E13" s="19" t="s">
        <v>311</v>
      </c>
      <c r="F13" s="19" t="s">
        <v>312</v>
      </c>
      <c r="G13" s="20" t="s">
        <v>59</v>
      </c>
      <c r="H13" s="20" t="s">
        <v>307</v>
      </c>
      <c r="I13" s="20" t="s">
        <v>224</v>
      </c>
      <c r="J13" s="21"/>
      <c r="K13" s="20" t="s">
        <v>24</v>
      </c>
      <c r="L13" s="20" t="s">
        <v>201</v>
      </c>
      <c r="M13" s="20" t="s">
        <v>185</v>
      </c>
      <c r="N13" s="21"/>
      <c r="O13" s="20" t="s">
        <v>22</v>
      </c>
      <c r="P13" s="21" t="s">
        <v>313</v>
      </c>
      <c r="Q13" s="21"/>
      <c r="R13" s="21"/>
      <c r="S13" s="28" t="str">
        <f>"740,0"</f>
        <v>740,0</v>
      </c>
      <c r="T13" s="29" t="str">
        <f>"398,9340"</f>
        <v>398,9340</v>
      </c>
      <c r="U13" s="19" t="s">
        <v>28</v>
      </c>
    </row>
    <row r="14" spans="1:21" x14ac:dyDescent="0.2">
      <c r="A14" s="25" t="s">
        <v>315</v>
      </c>
      <c r="B14" s="25" t="s">
        <v>316</v>
      </c>
      <c r="C14" s="25" t="s">
        <v>317</v>
      </c>
      <c r="D14" s="25" t="str">
        <f>"0,5497"</f>
        <v>0,5497</v>
      </c>
      <c r="E14" s="25" t="s">
        <v>318</v>
      </c>
      <c r="F14" s="25" t="s">
        <v>319</v>
      </c>
      <c r="G14" s="26" t="s">
        <v>53</v>
      </c>
      <c r="H14" s="26" t="s">
        <v>59</v>
      </c>
      <c r="I14" s="27" t="s">
        <v>307</v>
      </c>
      <c r="J14" s="27"/>
      <c r="K14" s="26" t="s">
        <v>200</v>
      </c>
      <c r="L14" s="26" t="s">
        <v>24</v>
      </c>
      <c r="M14" s="26" t="s">
        <v>320</v>
      </c>
      <c r="N14" s="27"/>
      <c r="O14" s="26" t="s">
        <v>26</v>
      </c>
      <c r="P14" s="26" t="s">
        <v>321</v>
      </c>
      <c r="Q14" s="26" t="s">
        <v>22</v>
      </c>
      <c r="R14" s="27"/>
      <c r="S14" s="32" t="str">
        <f>"707,5"</f>
        <v>707,5</v>
      </c>
      <c r="T14" s="33" t="str">
        <f>"388,9128"</f>
        <v>388,9128</v>
      </c>
      <c r="U14" s="25" t="s">
        <v>28</v>
      </c>
    </row>
    <row r="15" spans="1:21" x14ac:dyDescent="0.2">
      <c r="A15" s="25" t="s">
        <v>323</v>
      </c>
      <c r="B15" s="25" t="s">
        <v>324</v>
      </c>
      <c r="C15" s="25" t="s">
        <v>325</v>
      </c>
      <c r="D15" s="25" t="str">
        <f>"0,5405"</f>
        <v>0,5405</v>
      </c>
      <c r="E15" s="25" t="s">
        <v>118</v>
      </c>
      <c r="F15" s="25" t="s">
        <v>211</v>
      </c>
      <c r="G15" s="26" t="s">
        <v>25</v>
      </c>
      <c r="H15" s="26" t="s">
        <v>193</v>
      </c>
      <c r="I15" s="26" t="s">
        <v>326</v>
      </c>
      <c r="J15" s="27"/>
      <c r="K15" s="26" t="s">
        <v>130</v>
      </c>
      <c r="L15" s="26" t="s">
        <v>131</v>
      </c>
      <c r="M15" s="26" t="s">
        <v>222</v>
      </c>
      <c r="N15" s="27"/>
      <c r="O15" s="26" t="s">
        <v>26</v>
      </c>
      <c r="P15" s="26" t="s">
        <v>321</v>
      </c>
      <c r="Q15" s="26" t="s">
        <v>327</v>
      </c>
      <c r="R15" s="27"/>
      <c r="S15" s="32" t="str">
        <f>"655,0"</f>
        <v>655,0</v>
      </c>
      <c r="T15" s="33" t="str">
        <f>"354,0275"</f>
        <v>354,0275</v>
      </c>
      <c r="U15" s="25" t="s">
        <v>28</v>
      </c>
    </row>
    <row r="16" spans="1:21" x14ac:dyDescent="0.2">
      <c r="A16" s="22" t="s">
        <v>328</v>
      </c>
      <c r="B16" s="22" t="s">
        <v>329</v>
      </c>
      <c r="C16" s="22" t="s">
        <v>325</v>
      </c>
      <c r="D16" s="22" t="str">
        <f>"0,5405"</f>
        <v>0,5405</v>
      </c>
      <c r="E16" s="22" t="s">
        <v>118</v>
      </c>
      <c r="F16" s="22" t="s">
        <v>211</v>
      </c>
      <c r="G16" s="23" t="s">
        <v>25</v>
      </c>
      <c r="H16" s="23" t="s">
        <v>193</v>
      </c>
      <c r="I16" s="23" t="s">
        <v>326</v>
      </c>
      <c r="J16" s="24"/>
      <c r="K16" s="23" t="s">
        <v>130</v>
      </c>
      <c r="L16" s="23" t="s">
        <v>131</v>
      </c>
      <c r="M16" s="23" t="s">
        <v>222</v>
      </c>
      <c r="N16" s="24"/>
      <c r="O16" s="23" t="s">
        <v>26</v>
      </c>
      <c r="P16" s="23" t="s">
        <v>321</v>
      </c>
      <c r="Q16" s="23" t="s">
        <v>327</v>
      </c>
      <c r="R16" s="24"/>
      <c r="S16" s="30" t="str">
        <f>"655,0"</f>
        <v>655,0</v>
      </c>
      <c r="T16" s="31" t="str">
        <f>"415,2742"</f>
        <v>415,2742</v>
      </c>
      <c r="U16" s="22" t="s">
        <v>28</v>
      </c>
    </row>
    <row r="18" spans="1:5" ht="15" x14ac:dyDescent="0.2">
      <c r="E18" s="9" t="s">
        <v>29</v>
      </c>
    </row>
    <row r="19" spans="1:5" ht="15" x14ac:dyDescent="0.2">
      <c r="E19" s="9" t="s">
        <v>30</v>
      </c>
    </row>
    <row r="20" spans="1:5" ht="15" x14ac:dyDescent="0.2">
      <c r="E20" s="9" t="s">
        <v>31</v>
      </c>
    </row>
    <row r="21" spans="1:5" ht="15" x14ac:dyDescent="0.2">
      <c r="E21" s="9" t="s">
        <v>32</v>
      </c>
    </row>
    <row r="22" spans="1:5" ht="15" x14ac:dyDescent="0.2">
      <c r="E22" s="9" t="s">
        <v>32</v>
      </c>
    </row>
    <row r="23" spans="1:5" ht="15" x14ac:dyDescent="0.2">
      <c r="E23" s="9" t="s">
        <v>33</v>
      </c>
    </row>
    <row r="24" spans="1:5" ht="15" x14ac:dyDescent="0.2">
      <c r="E24" s="9"/>
    </row>
    <row r="26" spans="1:5" ht="18" x14ac:dyDescent="0.25">
      <c r="A26" s="13" t="s">
        <v>34</v>
      </c>
      <c r="B26" s="13"/>
    </row>
    <row r="27" spans="1:5" ht="15" x14ac:dyDescent="0.2">
      <c r="A27" s="14" t="s">
        <v>35</v>
      </c>
      <c r="B27" s="14"/>
    </row>
    <row r="28" spans="1:5" ht="14.25" x14ac:dyDescent="0.2">
      <c r="A28" s="16"/>
      <c r="B28" s="17" t="s">
        <v>81</v>
      </c>
    </row>
    <row r="29" spans="1:5" ht="15" x14ac:dyDescent="0.2">
      <c r="A29" s="18" t="s">
        <v>37</v>
      </c>
      <c r="B29" s="18" t="s">
        <v>38</v>
      </c>
      <c r="C29" s="18" t="s">
        <v>39</v>
      </c>
      <c r="D29" s="18" t="s">
        <v>40</v>
      </c>
      <c r="E29" s="18" t="s">
        <v>41</v>
      </c>
    </row>
    <row r="30" spans="1:5" x14ac:dyDescent="0.2">
      <c r="A30" s="15" t="s">
        <v>308</v>
      </c>
      <c r="B30" s="4" t="s">
        <v>81</v>
      </c>
      <c r="C30" s="4" t="s">
        <v>43</v>
      </c>
      <c r="D30" s="4" t="s">
        <v>330</v>
      </c>
      <c r="E30" s="10" t="s">
        <v>331</v>
      </c>
    </row>
    <row r="31" spans="1:5" x14ac:dyDescent="0.2">
      <c r="A31" s="15" t="s">
        <v>314</v>
      </c>
      <c r="B31" s="4" t="s">
        <v>81</v>
      </c>
      <c r="C31" s="4" t="s">
        <v>43</v>
      </c>
      <c r="D31" s="4" t="s">
        <v>332</v>
      </c>
      <c r="E31" s="10" t="s">
        <v>333</v>
      </c>
    </row>
    <row r="32" spans="1:5" x14ac:dyDescent="0.2">
      <c r="A32" s="15" t="s">
        <v>322</v>
      </c>
      <c r="B32" s="4" t="s">
        <v>81</v>
      </c>
      <c r="C32" s="4" t="s">
        <v>43</v>
      </c>
      <c r="D32" s="4" t="s">
        <v>334</v>
      </c>
      <c r="E32" s="10" t="s">
        <v>335</v>
      </c>
    </row>
    <row r="34" spans="1:5" ht="14.25" x14ac:dyDescent="0.2">
      <c r="A34" s="16"/>
      <c r="B34" s="17" t="s">
        <v>61</v>
      </c>
    </row>
    <row r="35" spans="1:5" ht="15" x14ac:dyDescent="0.2">
      <c r="A35" s="18" t="s">
        <v>37</v>
      </c>
      <c r="B35" s="18" t="s">
        <v>38</v>
      </c>
      <c r="C35" s="18" t="s">
        <v>39</v>
      </c>
      <c r="D35" s="18" t="s">
        <v>40</v>
      </c>
      <c r="E35" s="18" t="s">
        <v>41</v>
      </c>
    </row>
    <row r="36" spans="1:5" x14ac:dyDescent="0.2">
      <c r="A36" s="15" t="s">
        <v>303</v>
      </c>
      <c r="B36" s="4" t="s">
        <v>336</v>
      </c>
      <c r="C36" s="4" t="s">
        <v>268</v>
      </c>
      <c r="D36" s="4" t="s">
        <v>337</v>
      </c>
      <c r="E36" s="10" t="s">
        <v>338</v>
      </c>
    </row>
    <row r="37" spans="1:5" x14ac:dyDescent="0.2">
      <c r="A37" s="15" t="s">
        <v>295</v>
      </c>
      <c r="B37" s="4" t="s">
        <v>339</v>
      </c>
      <c r="C37" s="4" t="s">
        <v>263</v>
      </c>
      <c r="D37" s="4" t="s">
        <v>340</v>
      </c>
      <c r="E37" s="10" t="s">
        <v>341</v>
      </c>
    </row>
    <row r="38" spans="1:5" x14ac:dyDescent="0.2">
      <c r="A38" s="15" t="s">
        <v>287</v>
      </c>
      <c r="B38" s="4" t="s">
        <v>336</v>
      </c>
      <c r="C38" s="4" t="s">
        <v>263</v>
      </c>
      <c r="D38" s="4" t="s">
        <v>279</v>
      </c>
      <c r="E38" s="10" t="s">
        <v>342</v>
      </c>
    </row>
    <row r="39" spans="1:5" x14ac:dyDescent="0.2">
      <c r="A39" s="15" t="s">
        <v>322</v>
      </c>
      <c r="B39" s="4" t="s">
        <v>343</v>
      </c>
      <c r="C39" s="4" t="s">
        <v>43</v>
      </c>
      <c r="D39" s="4" t="s">
        <v>334</v>
      </c>
      <c r="E39" s="10" t="s">
        <v>344</v>
      </c>
    </row>
  </sheetData>
  <mergeCells count="16">
    <mergeCell ref="A9:R9"/>
    <mergeCell ref="A12:R12"/>
    <mergeCell ref="S3:S4"/>
    <mergeCell ref="T3:T4"/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7"/>
  <sheetViews>
    <sheetView workbookViewId="0">
      <selection activeCell="C52" sqref="C5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30.28515625" style="4" bestFit="1" customWidth="1"/>
    <col min="7" max="9" width="6.5703125" style="3" customWidth="1"/>
    <col min="10" max="10" width="5.5703125" style="3" customWidth="1"/>
    <col min="11" max="11" width="6.5703125" style="3" customWidth="1"/>
    <col min="12" max="12" width="5.5703125" style="3" customWidth="1"/>
    <col min="13" max="13" width="6.5703125" style="3" customWidth="1"/>
    <col min="14" max="14" width="5.5703125" style="3" customWidth="1"/>
    <col min="15" max="17" width="6.5703125" style="3" customWidth="1"/>
    <col min="18" max="18" width="5.5703125" style="3" customWidth="1"/>
    <col min="19" max="19" width="7.85546875" style="10" bestFit="1" customWidth="1"/>
    <col min="20" max="20" width="8.5703125" style="2" bestFit="1" customWidth="1"/>
    <col min="21" max="21" width="8.85546875" style="4" bestFit="1" customWidth="1"/>
    <col min="22" max="16384" width="9.140625" style="3"/>
  </cols>
  <sheetData>
    <row r="1" spans="1:21" s="2" customFormat="1" ht="29.1" customHeight="1" x14ac:dyDescent="0.2">
      <c r="A1" s="35" t="s">
        <v>1357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7"/>
    </row>
    <row r="2" spans="1:21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 x14ac:dyDescent="0.2">
      <c r="A3" s="41" t="s">
        <v>0</v>
      </c>
      <c r="B3" s="43" t="s">
        <v>6</v>
      </c>
      <c r="C3" s="43" t="s">
        <v>10</v>
      </c>
      <c r="D3" s="45" t="s">
        <v>11</v>
      </c>
      <c r="E3" s="45" t="s">
        <v>4</v>
      </c>
      <c r="F3" s="45" t="s">
        <v>7</v>
      </c>
      <c r="G3" s="45" t="s">
        <v>12</v>
      </c>
      <c r="H3" s="45"/>
      <c r="I3" s="45"/>
      <c r="J3" s="45"/>
      <c r="K3" s="45" t="s">
        <v>13</v>
      </c>
      <c r="L3" s="45"/>
      <c r="M3" s="45"/>
      <c r="N3" s="45"/>
      <c r="O3" s="45" t="s">
        <v>14</v>
      </c>
      <c r="P3" s="45"/>
      <c r="Q3" s="45"/>
      <c r="R3" s="45"/>
      <c r="S3" s="45" t="s">
        <v>1</v>
      </c>
      <c r="T3" s="45" t="s">
        <v>3</v>
      </c>
      <c r="U3" s="46" t="s">
        <v>2</v>
      </c>
    </row>
    <row r="4" spans="1:21" s="1" customFormat="1" ht="21" customHeight="1" thickBot="1" x14ac:dyDescent="0.25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44"/>
      <c r="T4" s="44"/>
      <c r="U4" s="47"/>
    </row>
    <row r="5" spans="1:21" ht="15" x14ac:dyDescent="0.2">
      <c r="A5" s="48" t="s">
        <v>85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1:21" x14ac:dyDescent="0.2">
      <c r="A6" s="6" t="s">
        <v>87</v>
      </c>
      <c r="B6" s="6" t="s">
        <v>88</v>
      </c>
      <c r="C6" s="6" t="s">
        <v>89</v>
      </c>
      <c r="D6" s="6" t="str">
        <f>"1,0630"</f>
        <v>1,0630</v>
      </c>
      <c r="E6" s="6" t="s">
        <v>71</v>
      </c>
      <c r="F6" s="6" t="s">
        <v>21</v>
      </c>
      <c r="G6" s="7" t="s">
        <v>75</v>
      </c>
      <c r="H6" s="7" t="s">
        <v>90</v>
      </c>
      <c r="I6" s="7" t="s">
        <v>91</v>
      </c>
      <c r="J6" s="8"/>
      <c r="K6" s="7" t="s">
        <v>92</v>
      </c>
      <c r="L6" s="8" t="s">
        <v>93</v>
      </c>
      <c r="M6" s="8" t="s">
        <v>93</v>
      </c>
      <c r="N6" s="8"/>
      <c r="O6" s="7" t="s">
        <v>94</v>
      </c>
      <c r="P6" s="8" t="s">
        <v>55</v>
      </c>
      <c r="Q6" s="8"/>
      <c r="R6" s="8"/>
      <c r="S6" s="11" t="str">
        <f>"242,5"</f>
        <v>242,5</v>
      </c>
      <c r="T6" s="12" t="str">
        <f>"257,7775"</f>
        <v>257,7775</v>
      </c>
      <c r="U6" s="6" t="s">
        <v>28</v>
      </c>
    </row>
    <row r="8" spans="1:21" ht="15" x14ac:dyDescent="0.2">
      <c r="A8" s="56" t="s">
        <v>95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</row>
    <row r="9" spans="1:21" x14ac:dyDescent="0.2">
      <c r="A9" s="6" t="s">
        <v>97</v>
      </c>
      <c r="B9" s="6" t="s">
        <v>98</v>
      </c>
      <c r="C9" s="6" t="s">
        <v>99</v>
      </c>
      <c r="D9" s="6" t="str">
        <f>"0,9160"</f>
        <v>0,9160</v>
      </c>
      <c r="E9" s="6" t="s">
        <v>100</v>
      </c>
      <c r="F9" s="6" t="s">
        <v>101</v>
      </c>
      <c r="G9" s="7" t="s">
        <v>91</v>
      </c>
      <c r="H9" s="7" t="s">
        <v>102</v>
      </c>
      <c r="I9" s="8" t="s">
        <v>94</v>
      </c>
      <c r="J9" s="8"/>
      <c r="K9" s="7" t="s">
        <v>103</v>
      </c>
      <c r="L9" s="7" t="s">
        <v>104</v>
      </c>
      <c r="M9" s="8" t="s">
        <v>74</v>
      </c>
      <c r="N9" s="8"/>
      <c r="O9" s="7" t="s">
        <v>57</v>
      </c>
      <c r="P9" s="7" t="s">
        <v>105</v>
      </c>
      <c r="Q9" s="7" t="s">
        <v>106</v>
      </c>
      <c r="R9" s="8"/>
      <c r="S9" s="11" t="str">
        <f>"280,0"</f>
        <v>280,0</v>
      </c>
      <c r="T9" s="12" t="str">
        <f>"256,4800"</f>
        <v>256,4800</v>
      </c>
      <c r="U9" s="6" t="s">
        <v>28</v>
      </c>
    </row>
    <row r="11" spans="1:21" ht="15" x14ac:dyDescent="0.2">
      <c r="A11" s="56" t="s">
        <v>107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</row>
    <row r="12" spans="1:21" x14ac:dyDescent="0.2">
      <c r="A12" s="19" t="s">
        <v>109</v>
      </c>
      <c r="B12" s="19" t="s">
        <v>110</v>
      </c>
      <c r="C12" s="19" t="s">
        <v>111</v>
      </c>
      <c r="D12" s="19" t="str">
        <f>"0,8857"</f>
        <v>0,8857</v>
      </c>
      <c r="E12" s="19" t="s">
        <v>71</v>
      </c>
      <c r="F12" s="19" t="s">
        <v>112</v>
      </c>
      <c r="G12" s="20" t="s">
        <v>57</v>
      </c>
      <c r="H12" s="20" t="s">
        <v>105</v>
      </c>
      <c r="I12" s="21"/>
      <c r="J12" s="21"/>
      <c r="K12" s="21" t="s">
        <v>103</v>
      </c>
      <c r="L12" s="20" t="s">
        <v>103</v>
      </c>
      <c r="M12" s="21" t="s">
        <v>113</v>
      </c>
      <c r="N12" s="21"/>
      <c r="O12" s="20" t="s">
        <v>77</v>
      </c>
      <c r="P12" s="20" t="s">
        <v>78</v>
      </c>
      <c r="Q12" s="21"/>
      <c r="R12" s="21"/>
      <c r="S12" s="28" t="str">
        <f>"307,5"</f>
        <v>307,5</v>
      </c>
      <c r="T12" s="29" t="str">
        <f>"272,3527"</f>
        <v>272,3527</v>
      </c>
      <c r="U12" s="19" t="s">
        <v>28</v>
      </c>
    </row>
    <row r="13" spans="1:21" x14ac:dyDescent="0.2">
      <c r="A13" s="22" t="s">
        <v>115</v>
      </c>
      <c r="B13" s="22" t="s">
        <v>116</v>
      </c>
      <c r="C13" s="22" t="s">
        <v>117</v>
      </c>
      <c r="D13" s="22" t="str">
        <f>"0,8756"</f>
        <v>0,8756</v>
      </c>
      <c r="E13" s="22" t="s">
        <v>118</v>
      </c>
      <c r="F13" s="22" t="s">
        <v>119</v>
      </c>
      <c r="G13" s="23" t="s">
        <v>102</v>
      </c>
      <c r="H13" s="23" t="s">
        <v>94</v>
      </c>
      <c r="I13" s="23" t="s">
        <v>55</v>
      </c>
      <c r="J13" s="24"/>
      <c r="K13" s="23" t="s">
        <v>120</v>
      </c>
      <c r="L13" s="24" t="s">
        <v>103</v>
      </c>
      <c r="M13" s="24" t="s">
        <v>103</v>
      </c>
      <c r="N13" s="24"/>
      <c r="O13" s="23" t="s">
        <v>121</v>
      </c>
      <c r="P13" s="23" t="s">
        <v>79</v>
      </c>
      <c r="Q13" s="23" t="s">
        <v>122</v>
      </c>
      <c r="R13" s="24"/>
      <c r="S13" s="30" t="str">
        <f>"302,5"</f>
        <v>302,5</v>
      </c>
      <c r="T13" s="31" t="str">
        <f>"264,8841"</f>
        <v>264,8841</v>
      </c>
      <c r="U13" s="22" t="s">
        <v>28</v>
      </c>
    </row>
    <row r="15" spans="1:21" ht="15" x14ac:dyDescent="0.2">
      <c r="A15" s="56" t="s">
        <v>66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</row>
    <row r="16" spans="1:21" x14ac:dyDescent="0.2">
      <c r="A16" s="19" t="s">
        <v>124</v>
      </c>
      <c r="B16" s="19" t="s">
        <v>125</v>
      </c>
      <c r="C16" s="19" t="s">
        <v>126</v>
      </c>
      <c r="D16" s="19" t="str">
        <f>"0,7822"</f>
        <v>0,7822</v>
      </c>
      <c r="E16" s="19" t="s">
        <v>71</v>
      </c>
      <c r="F16" s="19" t="s">
        <v>112</v>
      </c>
      <c r="G16" s="20" t="s">
        <v>77</v>
      </c>
      <c r="H16" s="20" t="s">
        <v>127</v>
      </c>
      <c r="I16" s="21" t="s">
        <v>73</v>
      </c>
      <c r="J16" s="21"/>
      <c r="K16" s="20" t="s">
        <v>76</v>
      </c>
      <c r="L16" s="20" t="s">
        <v>128</v>
      </c>
      <c r="M16" s="20" t="s">
        <v>129</v>
      </c>
      <c r="N16" s="21"/>
      <c r="O16" s="20" t="s">
        <v>130</v>
      </c>
      <c r="P16" s="20" t="s">
        <v>131</v>
      </c>
      <c r="Q16" s="21" t="s">
        <v>132</v>
      </c>
      <c r="R16" s="21"/>
      <c r="S16" s="28" t="str">
        <f>"372,5"</f>
        <v>372,5</v>
      </c>
      <c r="T16" s="29" t="str">
        <f>"291,3695"</f>
        <v>291,3695</v>
      </c>
      <c r="U16" s="19" t="s">
        <v>28</v>
      </c>
    </row>
    <row r="17" spans="1:21" x14ac:dyDescent="0.2">
      <c r="A17" s="22" t="s">
        <v>134</v>
      </c>
      <c r="B17" s="22" t="s">
        <v>135</v>
      </c>
      <c r="C17" s="22" t="s">
        <v>136</v>
      </c>
      <c r="D17" s="22" t="str">
        <f>"0,8241"</f>
        <v>0,8241</v>
      </c>
      <c r="E17" s="22" t="s">
        <v>51</v>
      </c>
      <c r="F17" s="22" t="s">
        <v>137</v>
      </c>
      <c r="G17" s="23" t="s">
        <v>56</v>
      </c>
      <c r="H17" s="23" t="s">
        <v>138</v>
      </c>
      <c r="I17" s="24" t="s">
        <v>106</v>
      </c>
      <c r="J17" s="24"/>
      <c r="K17" s="23" t="s">
        <v>120</v>
      </c>
      <c r="L17" s="23" t="s">
        <v>139</v>
      </c>
      <c r="M17" s="24" t="s">
        <v>113</v>
      </c>
      <c r="N17" s="24"/>
      <c r="O17" s="23" t="s">
        <v>140</v>
      </c>
      <c r="P17" s="23" t="s">
        <v>141</v>
      </c>
      <c r="Q17" s="23" t="s">
        <v>142</v>
      </c>
      <c r="R17" s="24"/>
      <c r="S17" s="30" t="str">
        <f>"305.00o"</f>
        <v>305.00o</v>
      </c>
      <c r="T17" s="31" t="str">
        <f>"251,3353"</f>
        <v>251,3353</v>
      </c>
      <c r="U17" s="22" t="s">
        <v>28</v>
      </c>
    </row>
    <row r="19" spans="1:21" ht="15" x14ac:dyDescent="0.2">
      <c r="A19" s="56" t="s">
        <v>143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</row>
    <row r="20" spans="1:21" x14ac:dyDescent="0.2">
      <c r="A20" s="6" t="s">
        <v>145</v>
      </c>
      <c r="B20" s="6" t="s">
        <v>146</v>
      </c>
      <c r="C20" s="6" t="s">
        <v>147</v>
      </c>
      <c r="D20" s="6" t="str">
        <f>"0,6645"</f>
        <v>0,6645</v>
      </c>
      <c r="E20" s="6" t="s">
        <v>148</v>
      </c>
      <c r="F20" s="6" t="s">
        <v>119</v>
      </c>
      <c r="G20" s="7" t="s">
        <v>91</v>
      </c>
      <c r="H20" s="7" t="s">
        <v>55</v>
      </c>
      <c r="I20" s="7" t="s">
        <v>106</v>
      </c>
      <c r="J20" s="8"/>
      <c r="K20" s="7" t="s">
        <v>120</v>
      </c>
      <c r="L20" s="7" t="s">
        <v>104</v>
      </c>
      <c r="M20" s="8" t="s">
        <v>149</v>
      </c>
      <c r="N20" s="8"/>
      <c r="O20" s="7" t="s">
        <v>105</v>
      </c>
      <c r="P20" s="7" t="s">
        <v>77</v>
      </c>
      <c r="Q20" s="8" t="s">
        <v>127</v>
      </c>
      <c r="R20" s="8"/>
      <c r="S20" s="11" t="str">
        <f>"310,0"</f>
        <v>310,0</v>
      </c>
      <c r="T20" s="12" t="str">
        <f>"205,9950"</f>
        <v>205,9950</v>
      </c>
      <c r="U20" s="6" t="s">
        <v>28</v>
      </c>
    </row>
    <row r="22" spans="1:21" ht="15" x14ac:dyDescent="0.2">
      <c r="A22" s="56" t="s">
        <v>150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</row>
    <row r="23" spans="1:21" x14ac:dyDescent="0.2">
      <c r="A23" s="6" t="s">
        <v>152</v>
      </c>
      <c r="B23" s="6" t="s">
        <v>153</v>
      </c>
      <c r="C23" s="6" t="s">
        <v>154</v>
      </c>
      <c r="D23" s="6" t="str">
        <f>"0,9849"</f>
        <v>0,9849</v>
      </c>
      <c r="E23" s="6" t="s">
        <v>51</v>
      </c>
      <c r="F23" s="6" t="s">
        <v>155</v>
      </c>
      <c r="G23" s="7" t="s">
        <v>156</v>
      </c>
      <c r="H23" s="7" t="s">
        <v>157</v>
      </c>
      <c r="I23" s="7" t="s">
        <v>158</v>
      </c>
      <c r="J23" s="7" t="s">
        <v>159</v>
      </c>
      <c r="K23" s="7" t="s">
        <v>160</v>
      </c>
      <c r="L23" s="7" t="s">
        <v>161</v>
      </c>
      <c r="M23" s="7" t="s">
        <v>162</v>
      </c>
      <c r="N23" s="7" t="s">
        <v>163</v>
      </c>
      <c r="O23" s="7" t="s">
        <v>164</v>
      </c>
      <c r="P23" s="7" t="s">
        <v>106</v>
      </c>
      <c r="Q23" s="7" t="s">
        <v>141</v>
      </c>
      <c r="R23" s="7" t="s">
        <v>165</v>
      </c>
      <c r="S23" s="11" t="str">
        <f>"275.00o"</f>
        <v>275.00o</v>
      </c>
      <c r="T23" s="12" t="str">
        <f>"520,0272"</f>
        <v>520,0272</v>
      </c>
      <c r="U23" s="6" t="s">
        <v>28</v>
      </c>
    </row>
    <row r="25" spans="1:21" ht="15" x14ac:dyDescent="0.2">
      <c r="A25" s="56" t="s">
        <v>66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</row>
    <row r="26" spans="1:21" x14ac:dyDescent="0.2">
      <c r="A26" s="6" t="s">
        <v>166</v>
      </c>
      <c r="B26" s="6" t="s">
        <v>167</v>
      </c>
      <c r="C26" s="6" t="s">
        <v>168</v>
      </c>
      <c r="D26" s="6" t="str">
        <f>"0,7514"</f>
        <v>0,7514</v>
      </c>
      <c r="E26" s="6" t="s">
        <v>51</v>
      </c>
      <c r="F26" s="6" t="s">
        <v>169</v>
      </c>
      <c r="G26" s="7" t="s">
        <v>73</v>
      </c>
      <c r="H26" s="8" t="s">
        <v>130</v>
      </c>
      <c r="I26" s="8" t="s">
        <v>130</v>
      </c>
      <c r="J26" s="8"/>
      <c r="K26" s="8" t="s">
        <v>94</v>
      </c>
      <c r="L26" s="8" t="s">
        <v>94</v>
      </c>
      <c r="M26" s="8" t="s">
        <v>94</v>
      </c>
      <c r="N26" s="8"/>
      <c r="O26" s="8" t="s">
        <v>132</v>
      </c>
      <c r="P26" s="8"/>
      <c r="Q26" s="8"/>
      <c r="R26" s="8"/>
      <c r="S26" s="11" t="str">
        <f>"0.00"</f>
        <v>0.00</v>
      </c>
      <c r="T26" s="12" t="str">
        <f>"0,0000"</f>
        <v>0,0000</v>
      </c>
      <c r="U26" s="6" t="s">
        <v>28</v>
      </c>
    </row>
    <row r="28" spans="1:21" ht="15" x14ac:dyDescent="0.2">
      <c r="A28" s="56" t="s">
        <v>170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</row>
    <row r="29" spans="1:21" x14ac:dyDescent="0.2">
      <c r="A29" s="19" t="s">
        <v>172</v>
      </c>
      <c r="B29" s="19" t="s">
        <v>173</v>
      </c>
      <c r="C29" s="19" t="s">
        <v>174</v>
      </c>
      <c r="D29" s="19" t="str">
        <f>"0,6989"</f>
        <v>0,6989</v>
      </c>
      <c r="E29" s="19" t="s">
        <v>51</v>
      </c>
      <c r="F29" s="19" t="s">
        <v>137</v>
      </c>
      <c r="G29" s="20" t="s">
        <v>175</v>
      </c>
      <c r="H29" s="21" t="s">
        <v>24</v>
      </c>
      <c r="I29" s="20" t="s">
        <v>176</v>
      </c>
      <c r="J29" s="21"/>
      <c r="K29" s="20" t="s">
        <v>177</v>
      </c>
      <c r="L29" s="20" t="s">
        <v>178</v>
      </c>
      <c r="M29" s="20" t="s">
        <v>179</v>
      </c>
      <c r="N29" s="21"/>
      <c r="O29" s="20" t="s">
        <v>180</v>
      </c>
      <c r="P29" s="20" t="s">
        <v>54</v>
      </c>
      <c r="Q29" s="20" t="s">
        <v>58</v>
      </c>
      <c r="R29" s="21"/>
      <c r="S29" s="28" t="str">
        <f>"510.00o"</f>
        <v>510.00o</v>
      </c>
      <c r="T29" s="29" t="str">
        <f>"356,4390"</f>
        <v>356,4390</v>
      </c>
      <c r="U29" s="19" t="s">
        <v>28</v>
      </c>
    </row>
    <row r="30" spans="1:21" x14ac:dyDescent="0.2">
      <c r="A30" s="22" t="s">
        <v>182</v>
      </c>
      <c r="B30" s="22" t="s">
        <v>183</v>
      </c>
      <c r="C30" s="22" t="s">
        <v>184</v>
      </c>
      <c r="D30" s="22" t="str">
        <f>"0,6867"</f>
        <v>0,6867</v>
      </c>
      <c r="E30" s="22" t="s">
        <v>148</v>
      </c>
      <c r="F30" s="22" t="s">
        <v>119</v>
      </c>
      <c r="G30" s="23" t="s">
        <v>106</v>
      </c>
      <c r="H30" s="24" t="s">
        <v>77</v>
      </c>
      <c r="I30" s="23" t="s">
        <v>77</v>
      </c>
      <c r="J30" s="24"/>
      <c r="K30" s="23" t="s">
        <v>91</v>
      </c>
      <c r="L30" s="23" t="s">
        <v>102</v>
      </c>
      <c r="M30" s="24" t="s">
        <v>94</v>
      </c>
      <c r="N30" s="24"/>
      <c r="O30" s="23" t="s">
        <v>24</v>
      </c>
      <c r="P30" s="23" t="s">
        <v>185</v>
      </c>
      <c r="Q30" s="24" t="s">
        <v>186</v>
      </c>
      <c r="R30" s="24"/>
      <c r="S30" s="30" t="str">
        <f>"415,0"</f>
        <v>415,0</v>
      </c>
      <c r="T30" s="31" t="str">
        <f>"284,9805"</f>
        <v>284,9805</v>
      </c>
      <c r="U30" s="22" t="s">
        <v>28</v>
      </c>
    </row>
    <row r="32" spans="1:21" ht="15" x14ac:dyDescent="0.2">
      <c r="A32" s="56" t="s">
        <v>187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</row>
    <row r="33" spans="1:21" x14ac:dyDescent="0.2">
      <c r="A33" s="19" t="s">
        <v>189</v>
      </c>
      <c r="B33" s="19" t="s">
        <v>190</v>
      </c>
      <c r="C33" s="19" t="s">
        <v>191</v>
      </c>
      <c r="D33" s="19" t="str">
        <f>"0,6246"</f>
        <v>0,6246</v>
      </c>
      <c r="E33" s="19" t="s">
        <v>148</v>
      </c>
      <c r="F33" s="19" t="s">
        <v>119</v>
      </c>
      <c r="G33" s="20" t="s">
        <v>131</v>
      </c>
      <c r="H33" s="20" t="s">
        <v>132</v>
      </c>
      <c r="I33" s="20" t="s">
        <v>192</v>
      </c>
      <c r="J33" s="21"/>
      <c r="K33" s="20" t="s">
        <v>55</v>
      </c>
      <c r="L33" s="20" t="s">
        <v>57</v>
      </c>
      <c r="M33" s="20" t="s">
        <v>105</v>
      </c>
      <c r="N33" s="21"/>
      <c r="O33" s="20" t="s">
        <v>193</v>
      </c>
      <c r="P33" s="20" t="s">
        <v>53</v>
      </c>
      <c r="Q33" s="20" t="s">
        <v>194</v>
      </c>
      <c r="R33" s="21"/>
      <c r="S33" s="28" t="str">
        <f>"517,5"</f>
        <v>517,5</v>
      </c>
      <c r="T33" s="29" t="str">
        <f>"323,2305"</f>
        <v>323,2305</v>
      </c>
      <c r="U33" s="19" t="s">
        <v>28</v>
      </c>
    </row>
    <row r="34" spans="1:21" x14ac:dyDescent="0.2">
      <c r="A34" s="25" t="s">
        <v>196</v>
      </c>
      <c r="B34" s="25" t="s">
        <v>197</v>
      </c>
      <c r="C34" s="25" t="s">
        <v>198</v>
      </c>
      <c r="D34" s="25" t="str">
        <f>"0,6461"</f>
        <v>0,6461</v>
      </c>
      <c r="E34" s="25" t="s">
        <v>199</v>
      </c>
      <c r="F34" s="25" t="s">
        <v>21</v>
      </c>
      <c r="G34" s="26" t="s">
        <v>132</v>
      </c>
      <c r="H34" s="27" t="s">
        <v>200</v>
      </c>
      <c r="I34" s="27" t="s">
        <v>200</v>
      </c>
      <c r="J34" s="27"/>
      <c r="K34" s="26" t="s">
        <v>105</v>
      </c>
      <c r="L34" s="26" t="s">
        <v>106</v>
      </c>
      <c r="M34" s="26" t="s">
        <v>77</v>
      </c>
      <c r="N34" s="27"/>
      <c r="O34" s="26" t="s">
        <v>201</v>
      </c>
      <c r="P34" s="27" t="s">
        <v>25</v>
      </c>
      <c r="Q34" s="26" t="s">
        <v>202</v>
      </c>
      <c r="R34" s="27"/>
      <c r="S34" s="32" t="str">
        <f>"487,5"</f>
        <v>487,5</v>
      </c>
      <c r="T34" s="33" t="str">
        <f>"314,9737"</f>
        <v>314,9737</v>
      </c>
      <c r="U34" s="25" t="s">
        <v>28</v>
      </c>
    </row>
    <row r="35" spans="1:21" x14ac:dyDescent="0.2">
      <c r="A35" s="25" t="s">
        <v>204</v>
      </c>
      <c r="B35" s="25" t="s">
        <v>205</v>
      </c>
      <c r="C35" s="25" t="s">
        <v>206</v>
      </c>
      <c r="D35" s="25" t="str">
        <f>"0,6436"</f>
        <v>0,6436</v>
      </c>
      <c r="E35" s="25" t="s">
        <v>148</v>
      </c>
      <c r="F35" s="25" t="s">
        <v>119</v>
      </c>
      <c r="G35" s="26" t="s">
        <v>131</v>
      </c>
      <c r="H35" s="27" t="s">
        <v>132</v>
      </c>
      <c r="I35" s="27" t="s">
        <v>132</v>
      </c>
      <c r="J35" s="27"/>
      <c r="K35" s="26" t="s">
        <v>55</v>
      </c>
      <c r="L35" s="27" t="s">
        <v>57</v>
      </c>
      <c r="M35" s="26" t="s">
        <v>57</v>
      </c>
      <c r="N35" s="27"/>
      <c r="O35" s="26" t="s">
        <v>25</v>
      </c>
      <c r="P35" s="27" t="s">
        <v>193</v>
      </c>
      <c r="Q35" s="27" t="s">
        <v>193</v>
      </c>
      <c r="R35" s="27"/>
      <c r="S35" s="32" t="str">
        <f>"460,0"</f>
        <v>460,0</v>
      </c>
      <c r="T35" s="33" t="str">
        <f>"296,0560"</f>
        <v>296,0560</v>
      </c>
      <c r="U35" s="25" t="s">
        <v>28</v>
      </c>
    </row>
    <row r="36" spans="1:21" x14ac:dyDescent="0.2">
      <c r="A36" s="22" t="s">
        <v>208</v>
      </c>
      <c r="B36" s="22" t="s">
        <v>209</v>
      </c>
      <c r="C36" s="22" t="s">
        <v>210</v>
      </c>
      <c r="D36" s="22" t="str">
        <f>"0,6268"</f>
        <v>0,6268</v>
      </c>
      <c r="E36" s="22" t="s">
        <v>118</v>
      </c>
      <c r="F36" s="22" t="s">
        <v>211</v>
      </c>
      <c r="G36" s="23" t="s">
        <v>73</v>
      </c>
      <c r="H36" s="23" t="s">
        <v>131</v>
      </c>
      <c r="I36" s="23" t="s">
        <v>132</v>
      </c>
      <c r="J36" s="24"/>
      <c r="K36" s="23" t="s">
        <v>102</v>
      </c>
      <c r="L36" s="23" t="s">
        <v>94</v>
      </c>
      <c r="M36" s="24" t="s">
        <v>55</v>
      </c>
      <c r="N36" s="24"/>
      <c r="O36" s="23" t="s">
        <v>132</v>
      </c>
      <c r="P36" s="23" t="s">
        <v>200</v>
      </c>
      <c r="Q36" s="24" t="s">
        <v>212</v>
      </c>
      <c r="R36" s="24"/>
      <c r="S36" s="30" t="str">
        <f>"430,0"</f>
        <v>430,0</v>
      </c>
      <c r="T36" s="31" t="str">
        <f>"269,5240"</f>
        <v>269,5240</v>
      </c>
      <c r="U36" s="22" t="s">
        <v>28</v>
      </c>
    </row>
    <row r="38" spans="1:21" ht="15" x14ac:dyDescent="0.2">
      <c r="A38" s="56" t="s">
        <v>143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</row>
    <row r="39" spans="1:21" x14ac:dyDescent="0.2">
      <c r="A39" s="6" t="s">
        <v>214</v>
      </c>
      <c r="B39" s="6" t="s">
        <v>215</v>
      </c>
      <c r="C39" s="6" t="s">
        <v>216</v>
      </c>
      <c r="D39" s="6" t="str">
        <f>"0,5905"</f>
        <v>0,5905</v>
      </c>
      <c r="E39" s="6" t="s">
        <v>148</v>
      </c>
      <c r="F39" s="6" t="s">
        <v>119</v>
      </c>
      <c r="G39" s="7" t="s">
        <v>106</v>
      </c>
      <c r="H39" s="8" t="s">
        <v>121</v>
      </c>
      <c r="I39" s="7" t="s">
        <v>130</v>
      </c>
      <c r="J39" s="8"/>
      <c r="K39" s="7" t="s">
        <v>102</v>
      </c>
      <c r="L39" s="7" t="s">
        <v>55</v>
      </c>
      <c r="M39" s="8" t="s">
        <v>57</v>
      </c>
      <c r="N39" s="8"/>
      <c r="O39" s="7" t="s">
        <v>131</v>
      </c>
      <c r="P39" s="7" t="s">
        <v>192</v>
      </c>
      <c r="Q39" s="7" t="s">
        <v>217</v>
      </c>
      <c r="R39" s="8"/>
      <c r="S39" s="11" t="str">
        <f>"435,0"</f>
        <v>435,0</v>
      </c>
      <c r="T39" s="12" t="str">
        <f>"256,8675"</f>
        <v>256,8675</v>
      </c>
      <c r="U39" s="6" t="s">
        <v>28</v>
      </c>
    </row>
    <row r="41" spans="1:21" ht="15" x14ac:dyDescent="0.2">
      <c r="A41" s="56" t="s">
        <v>46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</row>
    <row r="42" spans="1:21" x14ac:dyDescent="0.2">
      <c r="A42" s="19" t="s">
        <v>219</v>
      </c>
      <c r="B42" s="19" t="s">
        <v>220</v>
      </c>
      <c r="C42" s="19" t="s">
        <v>221</v>
      </c>
      <c r="D42" s="19" t="str">
        <f>"0,5678"</f>
        <v>0,5678</v>
      </c>
      <c r="E42" s="19" t="s">
        <v>118</v>
      </c>
      <c r="F42" s="19" t="s">
        <v>211</v>
      </c>
      <c r="G42" s="20" t="s">
        <v>201</v>
      </c>
      <c r="H42" s="20" t="s">
        <v>25</v>
      </c>
      <c r="I42" s="20" t="s">
        <v>193</v>
      </c>
      <c r="J42" s="21"/>
      <c r="K42" s="20" t="s">
        <v>130</v>
      </c>
      <c r="L42" s="20" t="s">
        <v>222</v>
      </c>
      <c r="M42" s="20" t="s">
        <v>132</v>
      </c>
      <c r="N42" s="21"/>
      <c r="O42" s="20" t="s">
        <v>59</v>
      </c>
      <c r="P42" s="20" t="s">
        <v>223</v>
      </c>
      <c r="Q42" s="20" t="s">
        <v>224</v>
      </c>
      <c r="R42" s="21"/>
      <c r="S42" s="28" t="str">
        <f>"635,0"</f>
        <v>635,0</v>
      </c>
      <c r="T42" s="29" t="str">
        <f>"360,5530"</f>
        <v>360,5530</v>
      </c>
      <c r="U42" s="19" t="s">
        <v>28</v>
      </c>
    </row>
    <row r="43" spans="1:21" x14ac:dyDescent="0.2">
      <c r="A43" s="25" t="s">
        <v>226</v>
      </c>
      <c r="B43" s="25" t="s">
        <v>227</v>
      </c>
      <c r="C43" s="25" t="s">
        <v>228</v>
      </c>
      <c r="D43" s="25" t="str">
        <f>"0,5622"</f>
        <v>0,5622</v>
      </c>
      <c r="E43" s="25" t="s">
        <v>148</v>
      </c>
      <c r="F43" s="25" t="s">
        <v>119</v>
      </c>
      <c r="G43" s="26" t="s">
        <v>193</v>
      </c>
      <c r="H43" s="26" t="s">
        <v>53</v>
      </c>
      <c r="I43" s="27" t="s">
        <v>194</v>
      </c>
      <c r="J43" s="27"/>
      <c r="K43" s="26" t="s">
        <v>77</v>
      </c>
      <c r="L43" s="26" t="s">
        <v>121</v>
      </c>
      <c r="M43" s="26" t="s">
        <v>78</v>
      </c>
      <c r="N43" s="27"/>
      <c r="O43" s="26" t="s">
        <v>53</v>
      </c>
      <c r="P43" s="26" t="s">
        <v>194</v>
      </c>
      <c r="Q43" s="26" t="s">
        <v>59</v>
      </c>
      <c r="R43" s="27"/>
      <c r="S43" s="32" t="str">
        <f>"592,5"</f>
        <v>592,5</v>
      </c>
      <c r="T43" s="33" t="str">
        <f>"333,1035"</f>
        <v>333,1035</v>
      </c>
      <c r="U43" s="25" t="s">
        <v>28</v>
      </c>
    </row>
    <row r="44" spans="1:21" x14ac:dyDescent="0.2">
      <c r="A44" s="22" t="s">
        <v>230</v>
      </c>
      <c r="B44" s="22" t="s">
        <v>231</v>
      </c>
      <c r="C44" s="22" t="s">
        <v>232</v>
      </c>
      <c r="D44" s="22" t="str">
        <f>"0,5541"</f>
        <v>0,5541</v>
      </c>
      <c r="E44" s="22" t="s">
        <v>51</v>
      </c>
      <c r="F44" s="22" t="s">
        <v>233</v>
      </c>
      <c r="G44" s="23" t="s">
        <v>200</v>
      </c>
      <c r="H44" s="23" t="s">
        <v>24</v>
      </c>
      <c r="I44" s="24" t="s">
        <v>201</v>
      </c>
      <c r="J44" s="24"/>
      <c r="K44" s="23" t="s">
        <v>234</v>
      </c>
      <c r="L44" s="24" t="s">
        <v>200</v>
      </c>
      <c r="M44" s="23" t="s">
        <v>200</v>
      </c>
      <c r="N44" s="24"/>
      <c r="O44" s="23" t="s">
        <v>25</v>
      </c>
      <c r="P44" s="23" t="s">
        <v>235</v>
      </c>
      <c r="Q44" s="24"/>
      <c r="R44" s="24"/>
      <c r="S44" s="30" t="str">
        <f>"555,0"</f>
        <v>555,0</v>
      </c>
      <c r="T44" s="31" t="str">
        <f>"343,5370"</f>
        <v>343,5370</v>
      </c>
      <c r="U44" s="22" t="s">
        <v>28</v>
      </c>
    </row>
    <row r="46" spans="1:21" ht="15" x14ac:dyDescent="0.2">
      <c r="A46" s="56" t="s">
        <v>15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</row>
    <row r="47" spans="1:21" x14ac:dyDescent="0.2">
      <c r="A47" s="6" t="s">
        <v>237</v>
      </c>
      <c r="B47" s="6" t="s">
        <v>238</v>
      </c>
      <c r="C47" s="6" t="s">
        <v>239</v>
      </c>
      <c r="D47" s="6" t="str">
        <f>"0,5391"</f>
        <v>0,5391</v>
      </c>
      <c r="E47" s="6" t="s">
        <v>100</v>
      </c>
      <c r="F47" s="6" t="s">
        <v>101</v>
      </c>
      <c r="G47" s="7" t="s">
        <v>53</v>
      </c>
      <c r="H47" s="7" t="s">
        <v>194</v>
      </c>
      <c r="I47" s="8" t="s">
        <v>59</v>
      </c>
      <c r="J47" s="8"/>
      <c r="K47" s="7" t="s">
        <v>132</v>
      </c>
      <c r="L47" s="8" t="s">
        <v>240</v>
      </c>
      <c r="M47" s="8" t="s">
        <v>240</v>
      </c>
      <c r="N47" s="8"/>
      <c r="O47" s="7" t="s">
        <v>22</v>
      </c>
      <c r="P47" s="8" t="s">
        <v>241</v>
      </c>
      <c r="Q47" s="8"/>
      <c r="R47" s="8"/>
      <c r="S47" s="11" t="str">
        <f>"670,0"</f>
        <v>670,0</v>
      </c>
      <c r="T47" s="12" t="str">
        <f>"361,1970"</f>
        <v>361,1970</v>
      </c>
      <c r="U47" s="6" t="s">
        <v>28</v>
      </c>
    </row>
    <row r="49" spans="1:5" ht="15" x14ac:dyDescent="0.2">
      <c r="E49" s="9" t="s">
        <v>29</v>
      </c>
    </row>
    <row r="50" spans="1:5" ht="15" x14ac:dyDescent="0.2">
      <c r="E50" s="9" t="s">
        <v>30</v>
      </c>
    </row>
    <row r="51" spans="1:5" ht="15" x14ac:dyDescent="0.2">
      <c r="E51" s="9" t="s">
        <v>31</v>
      </c>
    </row>
    <row r="52" spans="1:5" ht="15" x14ac:dyDescent="0.2">
      <c r="E52" s="9" t="s">
        <v>32</v>
      </c>
    </row>
    <row r="53" spans="1:5" ht="15" x14ac:dyDescent="0.2">
      <c r="E53" s="9" t="s">
        <v>32</v>
      </c>
    </row>
    <row r="54" spans="1:5" ht="15" x14ac:dyDescent="0.2">
      <c r="E54" s="9" t="s">
        <v>33</v>
      </c>
    </row>
    <row r="55" spans="1:5" ht="15" x14ac:dyDescent="0.2">
      <c r="E55" s="9"/>
    </row>
    <row r="57" spans="1:5" ht="18" x14ac:dyDescent="0.25">
      <c r="A57" s="13" t="s">
        <v>34</v>
      </c>
      <c r="B57" s="13"/>
    </row>
    <row r="58" spans="1:5" ht="15" x14ac:dyDescent="0.2">
      <c r="A58" s="14" t="s">
        <v>80</v>
      </c>
      <c r="B58" s="14"/>
    </row>
    <row r="59" spans="1:5" ht="14.25" x14ac:dyDescent="0.2">
      <c r="A59" s="16"/>
      <c r="B59" s="17" t="s">
        <v>81</v>
      </c>
    </row>
    <row r="60" spans="1:5" ht="15" x14ac:dyDescent="0.2">
      <c r="A60" s="18" t="s">
        <v>37</v>
      </c>
      <c r="B60" s="18" t="s">
        <v>38</v>
      </c>
      <c r="C60" s="18" t="s">
        <v>39</v>
      </c>
      <c r="D60" s="18" t="s">
        <v>40</v>
      </c>
      <c r="E60" s="18" t="s">
        <v>41</v>
      </c>
    </row>
    <row r="61" spans="1:5" x14ac:dyDescent="0.2">
      <c r="A61" s="15" t="s">
        <v>123</v>
      </c>
      <c r="B61" s="4" t="s">
        <v>81</v>
      </c>
      <c r="C61" s="4" t="s">
        <v>82</v>
      </c>
      <c r="D61" s="4" t="s">
        <v>242</v>
      </c>
      <c r="E61" s="10" t="s">
        <v>243</v>
      </c>
    </row>
    <row r="62" spans="1:5" x14ac:dyDescent="0.2">
      <c r="A62" s="15" t="s">
        <v>108</v>
      </c>
      <c r="B62" s="4" t="s">
        <v>81</v>
      </c>
      <c r="C62" s="4" t="s">
        <v>244</v>
      </c>
      <c r="D62" s="4" t="s">
        <v>245</v>
      </c>
      <c r="E62" s="10" t="s">
        <v>246</v>
      </c>
    </row>
    <row r="63" spans="1:5" x14ac:dyDescent="0.2">
      <c r="A63" s="15" t="s">
        <v>114</v>
      </c>
      <c r="B63" s="4" t="s">
        <v>81</v>
      </c>
      <c r="C63" s="4" t="s">
        <v>244</v>
      </c>
      <c r="D63" s="4" t="s">
        <v>247</v>
      </c>
      <c r="E63" s="10" t="s">
        <v>248</v>
      </c>
    </row>
    <row r="64" spans="1:5" x14ac:dyDescent="0.2">
      <c r="A64" s="15" t="s">
        <v>86</v>
      </c>
      <c r="B64" s="4" t="s">
        <v>81</v>
      </c>
      <c r="C64" s="4" t="s">
        <v>249</v>
      </c>
      <c r="D64" s="4" t="s">
        <v>250</v>
      </c>
      <c r="E64" s="10" t="s">
        <v>251</v>
      </c>
    </row>
    <row r="65" spans="1:5" x14ac:dyDescent="0.2">
      <c r="A65" s="15" t="s">
        <v>96</v>
      </c>
      <c r="B65" s="4" t="s">
        <v>81</v>
      </c>
      <c r="C65" s="4" t="s">
        <v>252</v>
      </c>
      <c r="D65" s="4" t="s">
        <v>22</v>
      </c>
      <c r="E65" s="10" t="s">
        <v>253</v>
      </c>
    </row>
    <row r="66" spans="1:5" x14ac:dyDescent="0.2">
      <c r="A66" s="15" t="s">
        <v>133</v>
      </c>
      <c r="B66" s="4" t="s">
        <v>81</v>
      </c>
      <c r="C66" s="4" t="s">
        <v>82</v>
      </c>
      <c r="D66" s="4" t="s">
        <v>254</v>
      </c>
      <c r="E66" s="10" t="s">
        <v>255</v>
      </c>
    </row>
    <row r="67" spans="1:5" x14ac:dyDescent="0.2">
      <c r="A67" s="15" t="s">
        <v>144</v>
      </c>
      <c r="B67" s="4" t="s">
        <v>81</v>
      </c>
      <c r="C67" s="4" t="s">
        <v>256</v>
      </c>
      <c r="D67" s="4" t="s">
        <v>257</v>
      </c>
      <c r="E67" s="10" t="s">
        <v>258</v>
      </c>
    </row>
    <row r="70" spans="1:5" ht="15" x14ac:dyDescent="0.2">
      <c r="A70" s="14" t="s">
        <v>35</v>
      </c>
      <c r="B70" s="14"/>
    </row>
    <row r="71" spans="1:5" ht="14.25" x14ac:dyDescent="0.2">
      <c r="A71" s="16"/>
      <c r="B71" s="17" t="s">
        <v>81</v>
      </c>
    </row>
    <row r="72" spans="1:5" ht="15" x14ac:dyDescent="0.2">
      <c r="A72" s="18" t="s">
        <v>37</v>
      </c>
      <c r="B72" s="18" t="s">
        <v>38</v>
      </c>
      <c r="C72" s="18" t="s">
        <v>39</v>
      </c>
      <c r="D72" s="18" t="s">
        <v>40</v>
      </c>
      <c r="E72" s="18" t="s">
        <v>41</v>
      </c>
    </row>
    <row r="73" spans="1:5" x14ac:dyDescent="0.2">
      <c r="A73" s="15" t="s">
        <v>236</v>
      </c>
      <c r="B73" s="4" t="s">
        <v>81</v>
      </c>
      <c r="C73" s="4" t="s">
        <v>43</v>
      </c>
      <c r="D73" s="4" t="s">
        <v>259</v>
      </c>
      <c r="E73" s="10" t="s">
        <v>260</v>
      </c>
    </row>
    <row r="74" spans="1:5" x14ac:dyDescent="0.2">
      <c r="A74" s="15" t="s">
        <v>218</v>
      </c>
      <c r="B74" s="4" t="s">
        <v>81</v>
      </c>
      <c r="C74" s="4" t="s">
        <v>63</v>
      </c>
      <c r="D74" s="4" t="s">
        <v>261</v>
      </c>
      <c r="E74" s="10" t="s">
        <v>262</v>
      </c>
    </row>
    <row r="75" spans="1:5" x14ac:dyDescent="0.2">
      <c r="A75" s="15" t="s">
        <v>171</v>
      </c>
      <c r="B75" s="4" t="s">
        <v>81</v>
      </c>
      <c r="C75" s="4" t="s">
        <v>263</v>
      </c>
      <c r="D75" s="4" t="s">
        <v>264</v>
      </c>
      <c r="E75" s="10" t="s">
        <v>265</v>
      </c>
    </row>
    <row r="76" spans="1:5" x14ac:dyDescent="0.2">
      <c r="A76" s="15" t="s">
        <v>225</v>
      </c>
      <c r="B76" s="4" t="s">
        <v>81</v>
      </c>
      <c r="C76" s="4" t="s">
        <v>63</v>
      </c>
      <c r="D76" s="4" t="s">
        <v>266</v>
      </c>
      <c r="E76" s="10" t="s">
        <v>267</v>
      </c>
    </row>
    <row r="77" spans="1:5" x14ac:dyDescent="0.2">
      <c r="A77" s="15" t="s">
        <v>188</v>
      </c>
      <c r="B77" s="4" t="s">
        <v>81</v>
      </c>
      <c r="C77" s="4" t="s">
        <v>268</v>
      </c>
      <c r="D77" s="4" t="s">
        <v>269</v>
      </c>
      <c r="E77" s="10" t="s">
        <v>270</v>
      </c>
    </row>
    <row r="78" spans="1:5" x14ac:dyDescent="0.2">
      <c r="A78" s="15" t="s">
        <v>195</v>
      </c>
      <c r="B78" s="4" t="s">
        <v>81</v>
      </c>
      <c r="C78" s="4" t="s">
        <v>268</v>
      </c>
      <c r="D78" s="4" t="s">
        <v>271</v>
      </c>
      <c r="E78" s="10" t="s">
        <v>272</v>
      </c>
    </row>
    <row r="79" spans="1:5" x14ac:dyDescent="0.2">
      <c r="A79" s="15" t="s">
        <v>203</v>
      </c>
      <c r="B79" s="4" t="s">
        <v>81</v>
      </c>
      <c r="C79" s="4" t="s">
        <v>268</v>
      </c>
      <c r="D79" s="4" t="s">
        <v>273</v>
      </c>
      <c r="E79" s="10" t="s">
        <v>274</v>
      </c>
    </row>
    <row r="80" spans="1:5" x14ac:dyDescent="0.2">
      <c r="A80" s="15" t="s">
        <v>181</v>
      </c>
      <c r="B80" s="4" t="s">
        <v>81</v>
      </c>
      <c r="C80" s="4" t="s">
        <v>263</v>
      </c>
      <c r="D80" s="4" t="s">
        <v>275</v>
      </c>
      <c r="E80" s="10" t="s">
        <v>276</v>
      </c>
    </row>
    <row r="81" spans="1:5" x14ac:dyDescent="0.2">
      <c r="A81" s="15" t="s">
        <v>207</v>
      </c>
      <c r="B81" s="4" t="s">
        <v>81</v>
      </c>
      <c r="C81" s="4" t="s">
        <v>268</v>
      </c>
      <c r="D81" s="4" t="s">
        <v>277</v>
      </c>
      <c r="E81" s="10" t="s">
        <v>278</v>
      </c>
    </row>
    <row r="82" spans="1:5" x14ac:dyDescent="0.2">
      <c r="A82" s="15" t="s">
        <v>213</v>
      </c>
      <c r="B82" s="4" t="s">
        <v>81</v>
      </c>
      <c r="C82" s="4" t="s">
        <v>256</v>
      </c>
      <c r="D82" s="4" t="s">
        <v>279</v>
      </c>
      <c r="E82" s="10" t="s">
        <v>280</v>
      </c>
    </row>
    <row r="84" spans="1:5" ht="14.25" x14ac:dyDescent="0.2">
      <c r="A84" s="16"/>
      <c r="B84" s="17" t="s">
        <v>61</v>
      </c>
    </row>
    <row r="85" spans="1:5" ht="15" x14ac:dyDescent="0.2">
      <c r="A85" s="18" t="s">
        <v>37</v>
      </c>
      <c r="B85" s="18" t="s">
        <v>38</v>
      </c>
      <c r="C85" s="18" t="s">
        <v>39</v>
      </c>
      <c r="D85" s="18" t="s">
        <v>40</v>
      </c>
      <c r="E85" s="18" t="s">
        <v>41</v>
      </c>
    </row>
    <row r="86" spans="1:5" x14ac:dyDescent="0.2">
      <c r="A86" s="15" t="s">
        <v>151</v>
      </c>
      <c r="B86" s="4" t="s">
        <v>281</v>
      </c>
      <c r="C86" s="4" t="s">
        <v>282</v>
      </c>
      <c r="D86" s="4" t="s">
        <v>283</v>
      </c>
      <c r="E86" s="10" t="s">
        <v>284</v>
      </c>
    </row>
    <row r="87" spans="1:5" x14ac:dyDescent="0.2">
      <c r="A87" s="15" t="s">
        <v>229</v>
      </c>
      <c r="B87" s="4" t="s">
        <v>285</v>
      </c>
      <c r="C87" s="4" t="s">
        <v>63</v>
      </c>
      <c r="D87" s="4" t="s">
        <v>64</v>
      </c>
      <c r="E87" s="10" t="s">
        <v>286</v>
      </c>
    </row>
  </sheetData>
  <mergeCells count="25">
    <mergeCell ref="A28:R28"/>
    <mergeCell ref="A32:R32"/>
    <mergeCell ref="A38:R38"/>
    <mergeCell ref="A41:R41"/>
    <mergeCell ref="A46:R46"/>
    <mergeCell ref="A25:R25"/>
    <mergeCell ref="S3:S4"/>
    <mergeCell ref="T3:T4"/>
    <mergeCell ref="U3:U4"/>
    <mergeCell ref="A5:R5"/>
    <mergeCell ref="A8:R8"/>
    <mergeCell ref="A11:R11"/>
    <mergeCell ref="A15:R15"/>
    <mergeCell ref="A19:R19"/>
    <mergeCell ref="A22:R22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workbookViewId="0">
      <selection activeCell="A3" sqref="A3:A4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21.85546875" style="4" bestFit="1" customWidth="1"/>
    <col min="7" max="7" width="6.5703125" style="3" customWidth="1"/>
    <col min="8" max="9" width="5.5703125" style="3" customWidth="1"/>
    <col min="10" max="10" width="4.85546875" style="3" customWidth="1"/>
    <col min="11" max="13" width="4.5703125" style="3" customWidth="1"/>
    <col min="14" max="14" width="4.85546875" style="3" customWidth="1"/>
    <col min="15" max="17" width="5.5703125" style="3" customWidth="1"/>
    <col min="18" max="18" width="4.85546875" style="3" customWidth="1"/>
    <col min="19" max="19" width="7.85546875" style="10" bestFit="1" customWidth="1"/>
    <col min="20" max="20" width="8.5703125" style="2" bestFit="1" customWidth="1"/>
    <col min="21" max="21" width="8.85546875" style="4" bestFit="1" customWidth="1"/>
    <col min="22" max="16384" width="9.140625" style="3"/>
  </cols>
  <sheetData>
    <row r="1" spans="1:21" s="2" customFormat="1" ht="29.1" customHeight="1" x14ac:dyDescent="0.2">
      <c r="A1" s="35" t="s">
        <v>1358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7"/>
    </row>
    <row r="2" spans="1:21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 x14ac:dyDescent="0.2">
      <c r="A3" s="41" t="s">
        <v>0</v>
      </c>
      <c r="B3" s="43" t="s">
        <v>6</v>
      </c>
      <c r="C3" s="43" t="s">
        <v>10</v>
      </c>
      <c r="D3" s="45" t="s">
        <v>11</v>
      </c>
      <c r="E3" s="45" t="s">
        <v>4</v>
      </c>
      <c r="F3" s="45" t="s">
        <v>7</v>
      </c>
      <c r="G3" s="45" t="s">
        <v>12</v>
      </c>
      <c r="H3" s="45"/>
      <c r="I3" s="45"/>
      <c r="J3" s="45"/>
      <c r="K3" s="45" t="s">
        <v>13</v>
      </c>
      <c r="L3" s="45"/>
      <c r="M3" s="45"/>
      <c r="N3" s="45"/>
      <c r="O3" s="45" t="s">
        <v>14</v>
      </c>
      <c r="P3" s="45"/>
      <c r="Q3" s="45"/>
      <c r="R3" s="45"/>
      <c r="S3" s="45" t="s">
        <v>1</v>
      </c>
      <c r="T3" s="45" t="s">
        <v>3</v>
      </c>
      <c r="U3" s="46" t="s">
        <v>2</v>
      </c>
    </row>
    <row r="4" spans="1:21" s="1" customFormat="1" ht="21" customHeight="1" thickBot="1" x14ac:dyDescent="0.25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44"/>
      <c r="T4" s="44"/>
      <c r="U4" s="47"/>
    </row>
    <row r="5" spans="1:21" ht="15" x14ac:dyDescent="0.2">
      <c r="A5" s="48" t="s">
        <v>66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1:21" x14ac:dyDescent="0.2">
      <c r="A6" s="6" t="s">
        <v>68</v>
      </c>
      <c r="B6" s="6" t="s">
        <v>69</v>
      </c>
      <c r="C6" s="6" t="s">
        <v>70</v>
      </c>
      <c r="D6" s="6" t="str">
        <f>"0,8058"</f>
        <v>0,8058</v>
      </c>
      <c r="E6" s="6" t="s">
        <v>71</v>
      </c>
      <c r="F6" s="6" t="s">
        <v>21</v>
      </c>
      <c r="G6" s="7" t="s">
        <v>72</v>
      </c>
      <c r="H6" s="8" t="s">
        <v>73</v>
      </c>
      <c r="I6" s="8" t="s">
        <v>73</v>
      </c>
      <c r="J6" s="8"/>
      <c r="K6" s="7" t="s">
        <v>74</v>
      </c>
      <c r="L6" s="7" t="s">
        <v>75</v>
      </c>
      <c r="M6" s="8" t="s">
        <v>76</v>
      </c>
      <c r="N6" s="8"/>
      <c r="O6" s="7" t="s">
        <v>77</v>
      </c>
      <c r="P6" s="7" t="s">
        <v>78</v>
      </c>
      <c r="Q6" s="8" t="s">
        <v>79</v>
      </c>
      <c r="R6" s="8"/>
      <c r="S6" s="11" t="str">
        <f>"337,5"</f>
        <v>337,5</v>
      </c>
      <c r="T6" s="12" t="str">
        <f>"271,9406"</f>
        <v>271,9406</v>
      </c>
      <c r="U6" s="6" t="s">
        <v>28</v>
      </c>
    </row>
    <row r="8" spans="1:21" ht="15" x14ac:dyDescent="0.2">
      <c r="E8" s="9" t="s">
        <v>29</v>
      </c>
    </row>
    <row r="9" spans="1:21" ht="15" x14ac:dyDescent="0.2">
      <c r="E9" s="9" t="s">
        <v>30</v>
      </c>
    </row>
    <row r="10" spans="1:21" ht="15" x14ac:dyDescent="0.2">
      <c r="E10" s="9" t="s">
        <v>31</v>
      </c>
    </row>
    <row r="11" spans="1:21" ht="15" x14ac:dyDescent="0.2">
      <c r="E11" s="9" t="s">
        <v>32</v>
      </c>
    </row>
    <row r="12" spans="1:21" ht="15" x14ac:dyDescent="0.2">
      <c r="E12" s="9" t="s">
        <v>32</v>
      </c>
    </row>
    <row r="13" spans="1:21" ht="15" x14ac:dyDescent="0.2">
      <c r="E13" s="9" t="s">
        <v>33</v>
      </c>
    </row>
    <row r="14" spans="1:21" ht="15" x14ac:dyDescent="0.2">
      <c r="E14" s="9"/>
    </row>
    <row r="16" spans="1:21" ht="18" x14ac:dyDescent="0.25">
      <c r="A16" s="13" t="s">
        <v>34</v>
      </c>
      <c r="B16" s="13"/>
    </row>
    <row r="17" spans="1:5" ht="15" x14ac:dyDescent="0.2">
      <c r="A17" s="14" t="s">
        <v>80</v>
      </c>
      <c r="B17" s="14"/>
    </row>
    <row r="18" spans="1:5" ht="14.25" x14ac:dyDescent="0.2">
      <c r="A18" s="16"/>
      <c r="B18" s="17" t="s">
        <v>81</v>
      </c>
    </row>
    <row r="19" spans="1:5" ht="15" x14ac:dyDescent="0.2">
      <c r="A19" s="18" t="s">
        <v>37</v>
      </c>
      <c r="B19" s="18" t="s">
        <v>38</v>
      </c>
      <c r="C19" s="18" t="s">
        <v>39</v>
      </c>
      <c r="D19" s="18" t="s">
        <v>40</v>
      </c>
      <c r="E19" s="18" t="s">
        <v>41</v>
      </c>
    </row>
    <row r="20" spans="1:5" x14ac:dyDescent="0.2">
      <c r="A20" s="15" t="s">
        <v>67</v>
      </c>
      <c r="B20" s="4" t="s">
        <v>81</v>
      </c>
      <c r="C20" s="4" t="s">
        <v>82</v>
      </c>
      <c r="D20" s="4" t="s">
        <v>83</v>
      </c>
      <c r="E20" s="10" t="s">
        <v>84</v>
      </c>
    </row>
  </sheetData>
  <mergeCells count="14">
    <mergeCell ref="S3:S4"/>
    <mergeCell ref="T3:T4"/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workbookViewId="0">
      <selection activeCell="A3" sqref="A3:A4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27.85546875" style="4" bestFit="1" customWidth="1"/>
    <col min="7" max="8" width="5.5703125" style="3" customWidth="1"/>
    <col min="9" max="9" width="6.5703125" style="3" customWidth="1"/>
    <col min="10" max="10" width="4.85546875" style="3" customWidth="1"/>
    <col min="11" max="11" width="5.5703125" style="3" customWidth="1"/>
    <col min="12" max="12" width="6.5703125" style="3" customWidth="1"/>
    <col min="13" max="13" width="5.5703125" style="3" customWidth="1"/>
    <col min="14" max="14" width="4.85546875" style="3" customWidth="1"/>
    <col min="15" max="15" width="6.5703125" style="3" customWidth="1"/>
    <col min="16" max="17" width="5.5703125" style="3" customWidth="1"/>
    <col min="18" max="18" width="4.85546875" style="3" customWidth="1"/>
    <col min="19" max="19" width="7.85546875" style="10" bestFit="1" customWidth="1"/>
    <col min="20" max="20" width="8.5703125" style="2" bestFit="1" customWidth="1"/>
    <col min="21" max="21" width="29.42578125" style="4" bestFit="1" customWidth="1"/>
    <col min="22" max="16384" width="9.140625" style="3"/>
  </cols>
  <sheetData>
    <row r="1" spans="1:21" s="2" customFormat="1" ht="29.1" customHeight="1" x14ac:dyDescent="0.2">
      <c r="A1" s="35" t="s">
        <v>1359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7"/>
    </row>
    <row r="2" spans="1:21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 x14ac:dyDescent="0.2">
      <c r="A3" s="41" t="s">
        <v>0</v>
      </c>
      <c r="B3" s="43" t="s">
        <v>6</v>
      </c>
      <c r="C3" s="43" t="s">
        <v>10</v>
      </c>
      <c r="D3" s="45" t="s">
        <v>11</v>
      </c>
      <c r="E3" s="45" t="s">
        <v>4</v>
      </c>
      <c r="F3" s="45" t="s">
        <v>7</v>
      </c>
      <c r="G3" s="45" t="s">
        <v>12</v>
      </c>
      <c r="H3" s="45"/>
      <c r="I3" s="45"/>
      <c r="J3" s="45"/>
      <c r="K3" s="45" t="s">
        <v>13</v>
      </c>
      <c r="L3" s="45"/>
      <c r="M3" s="45"/>
      <c r="N3" s="45"/>
      <c r="O3" s="45" t="s">
        <v>14</v>
      </c>
      <c r="P3" s="45"/>
      <c r="Q3" s="45"/>
      <c r="R3" s="45"/>
      <c r="S3" s="45" t="s">
        <v>1</v>
      </c>
      <c r="T3" s="45" t="s">
        <v>3</v>
      </c>
      <c r="U3" s="46" t="s">
        <v>2</v>
      </c>
    </row>
    <row r="4" spans="1:21" s="1" customFormat="1" ht="21" customHeight="1" thickBot="1" x14ac:dyDescent="0.25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44"/>
      <c r="T4" s="44"/>
      <c r="U4" s="47"/>
    </row>
    <row r="5" spans="1:21" ht="15" x14ac:dyDescent="0.2">
      <c r="A5" s="48" t="s">
        <v>46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1:21" x14ac:dyDescent="0.2">
      <c r="A6" s="6" t="s">
        <v>48</v>
      </c>
      <c r="B6" s="6" t="s">
        <v>49</v>
      </c>
      <c r="C6" s="6" t="s">
        <v>50</v>
      </c>
      <c r="D6" s="6" t="str">
        <f>"0,5830"</f>
        <v>0,5830</v>
      </c>
      <c r="E6" s="6" t="s">
        <v>51</v>
      </c>
      <c r="F6" s="6" t="s">
        <v>52</v>
      </c>
      <c r="G6" s="8" t="s">
        <v>53</v>
      </c>
      <c r="H6" s="8" t="s">
        <v>53</v>
      </c>
      <c r="I6" s="7" t="s">
        <v>54</v>
      </c>
      <c r="J6" s="8"/>
      <c r="K6" s="8" t="s">
        <v>55</v>
      </c>
      <c r="L6" s="7" t="s">
        <v>56</v>
      </c>
      <c r="M6" s="8" t="s">
        <v>57</v>
      </c>
      <c r="N6" s="8"/>
      <c r="O6" s="7" t="s">
        <v>58</v>
      </c>
      <c r="P6" s="8" t="s">
        <v>59</v>
      </c>
      <c r="Q6" s="8" t="s">
        <v>59</v>
      </c>
      <c r="R6" s="8"/>
      <c r="S6" s="11" t="str">
        <f>"555.00o"</f>
        <v>555.00o</v>
      </c>
      <c r="T6" s="12" t="str">
        <f>"671,7209"</f>
        <v>671,7209</v>
      </c>
      <c r="U6" s="6" t="s">
        <v>60</v>
      </c>
    </row>
    <row r="8" spans="1:21" ht="15" x14ac:dyDescent="0.2">
      <c r="E8" s="9" t="s">
        <v>29</v>
      </c>
    </row>
    <row r="9" spans="1:21" ht="15" x14ac:dyDescent="0.2">
      <c r="E9" s="9" t="s">
        <v>30</v>
      </c>
    </row>
    <row r="10" spans="1:21" ht="15" x14ac:dyDescent="0.2">
      <c r="E10" s="9" t="s">
        <v>31</v>
      </c>
    </row>
    <row r="11" spans="1:21" ht="15" x14ac:dyDescent="0.2">
      <c r="E11" s="9" t="s">
        <v>32</v>
      </c>
    </row>
    <row r="12" spans="1:21" ht="15" x14ac:dyDescent="0.2">
      <c r="E12" s="9" t="s">
        <v>32</v>
      </c>
    </row>
    <row r="13" spans="1:21" ht="15" x14ac:dyDescent="0.2">
      <c r="E13" s="9" t="s">
        <v>33</v>
      </c>
    </row>
    <row r="14" spans="1:21" ht="15" x14ac:dyDescent="0.2">
      <c r="E14" s="9"/>
    </row>
    <row r="16" spans="1:21" ht="18" x14ac:dyDescent="0.25">
      <c r="A16" s="13" t="s">
        <v>34</v>
      </c>
      <c r="B16" s="13"/>
    </row>
    <row r="17" spans="1:5" ht="15" x14ac:dyDescent="0.2">
      <c r="A17" s="14" t="s">
        <v>35</v>
      </c>
      <c r="B17" s="14"/>
    </row>
    <row r="18" spans="1:5" ht="14.25" x14ac:dyDescent="0.2">
      <c r="A18" s="16"/>
      <c r="B18" s="17" t="s">
        <v>61</v>
      </c>
    </row>
    <row r="19" spans="1:5" ht="15" x14ac:dyDescent="0.2">
      <c r="A19" s="18" t="s">
        <v>37</v>
      </c>
      <c r="B19" s="18" t="s">
        <v>38</v>
      </c>
      <c r="C19" s="18" t="s">
        <v>39</v>
      </c>
      <c r="D19" s="18" t="s">
        <v>40</v>
      </c>
      <c r="E19" s="18" t="s">
        <v>41</v>
      </c>
    </row>
    <row r="20" spans="1:5" x14ac:dyDescent="0.2">
      <c r="A20" s="15" t="s">
        <v>47</v>
      </c>
      <c r="B20" s="4" t="s">
        <v>62</v>
      </c>
      <c r="C20" s="4" t="s">
        <v>63</v>
      </c>
      <c r="D20" s="4" t="s">
        <v>64</v>
      </c>
      <c r="E20" s="10" t="s">
        <v>65</v>
      </c>
    </row>
  </sheetData>
  <mergeCells count="14">
    <mergeCell ref="S3:S4"/>
    <mergeCell ref="T3:T4"/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U20"/>
  <sheetViews>
    <sheetView workbookViewId="0">
      <selection activeCell="F22" sqref="F22"/>
    </sheetView>
  </sheetViews>
  <sheetFormatPr defaultRowHeight="12.75" x14ac:dyDescent="0.2"/>
  <cols>
    <col min="1" max="1" width="26" style="4" bestFit="1" customWidth="1"/>
    <col min="2" max="2" width="28.425781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21.85546875" style="4" bestFit="1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7" width="5.5703125" style="3" customWidth="1"/>
    <col min="18" max="18" width="4.85546875" style="3" customWidth="1"/>
    <col min="19" max="19" width="7.85546875" style="10" bestFit="1" customWidth="1"/>
    <col min="20" max="20" width="8.5703125" style="2" bestFit="1" customWidth="1"/>
    <col min="21" max="21" width="8.85546875" style="4" bestFit="1" customWidth="1"/>
    <col min="22" max="16384" width="9.140625" style="3"/>
  </cols>
  <sheetData>
    <row r="1" spans="1:21" s="2" customFormat="1" ht="29.1" customHeight="1" x14ac:dyDescent="0.2">
      <c r="A1" s="35" t="s">
        <v>1360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7"/>
    </row>
    <row r="2" spans="1:21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 x14ac:dyDescent="0.2">
      <c r="A3" s="41" t="s">
        <v>0</v>
      </c>
      <c r="B3" s="43" t="s">
        <v>6</v>
      </c>
      <c r="C3" s="43" t="s">
        <v>10</v>
      </c>
      <c r="D3" s="45" t="s">
        <v>11</v>
      </c>
      <c r="E3" s="45" t="s">
        <v>4</v>
      </c>
      <c r="F3" s="45" t="s">
        <v>7</v>
      </c>
      <c r="G3" s="45" t="s">
        <v>12</v>
      </c>
      <c r="H3" s="45"/>
      <c r="I3" s="45"/>
      <c r="J3" s="45"/>
      <c r="K3" s="45" t="s">
        <v>13</v>
      </c>
      <c r="L3" s="45"/>
      <c r="M3" s="45"/>
      <c r="N3" s="45"/>
      <c r="O3" s="45" t="s">
        <v>14</v>
      </c>
      <c r="P3" s="45"/>
      <c r="Q3" s="45"/>
      <c r="R3" s="45"/>
      <c r="S3" s="45" t="s">
        <v>1</v>
      </c>
      <c r="T3" s="45" t="s">
        <v>3</v>
      </c>
      <c r="U3" s="46" t="s">
        <v>2</v>
      </c>
    </row>
    <row r="4" spans="1:21" s="1" customFormat="1" ht="21" customHeight="1" thickBot="1" x14ac:dyDescent="0.25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44"/>
      <c r="T4" s="44"/>
      <c r="U4" s="47"/>
    </row>
    <row r="5" spans="1:21" ht="15" x14ac:dyDescent="0.2">
      <c r="A5" s="48" t="s">
        <v>15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1:21" x14ac:dyDescent="0.2">
      <c r="A6" s="6" t="s">
        <v>17</v>
      </c>
      <c r="B6" s="6" t="s">
        <v>18</v>
      </c>
      <c r="C6" s="6" t="s">
        <v>19</v>
      </c>
      <c r="D6" s="6" t="str">
        <f>"0,5395"</f>
        <v>0,5395</v>
      </c>
      <c r="E6" s="6" t="s">
        <v>20</v>
      </c>
      <c r="F6" s="6" t="s">
        <v>21</v>
      </c>
      <c r="G6" s="7" t="s">
        <v>22</v>
      </c>
      <c r="H6" s="8" t="s">
        <v>23</v>
      </c>
      <c r="I6" s="8" t="s">
        <v>23</v>
      </c>
      <c r="J6" s="8"/>
      <c r="K6" s="8" t="s">
        <v>24</v>
      </c>
      <c r="L6" s="7" t="s">
        <v>24</v>
      </c>
      <c r="M6" s="8" t="s">
        <v>25</v>
      </c>
      <c r="N6" s="8"/>
      <c r="O6" s="7" t="s">
        <v>26</v>
      </c>
      <c r="P6" s="8" t="s">
        <v>27</v>
      </c>
      <c r="Q6" s="8" t="s">
        <v>27</v>
      </c>
      <c r="R6" s="8"/>
      <c r="S6" s="11" t="str">
        <f>"710,0"</f>
        <v>710,0</v>
      </c>
      <c r="T6" s="12" t="str">
        <f>"383,0450"</f>
        <v>383,0450</v>
      </c>
      <c r="U6" s="6" t="s">
        <v>28</v>
      </c>
    </row>
    <row r="8" spans="1:21" ht="15" x14ac:dyDescent="0.2">
      <c r="E8" s="9" t="s">
        <v>29</v>
      </c>
    </row>
    <row r="9" spans="1:21" ht="15" x14ac:dyDescent="0.2">
      <c r="E9" s="9" t="s">
        <v>30</v>
      </c>
    </row>
    <row r="10" spans="1:21" ht="15" x14ac:dyDescent="0.2">
      <c r="E10" s="9" t="s">
        <v>31</v>
      </c>
    </row>
    <row r="11" spans="1:21" ht="15" x14ac:dyDescent="0.2">
      <c r="E11" s="9" t="s">
        <v>32</v>
      </c>
    </row>
    <row r="12" spans="1:21" ht="15" x14ac:dyDescent="0.2">
      <c r="E12" s="9" t="s">
        <v>32</v>
      </c>
    </row>
    <row r="13" spans="1:21" ht="15" x14ac:dyDescent="0.2">
      <c r="E13" s="9" t="s">
        <v>33</v>
      </c>
    </row>
    <row r="14" spans="1:21" ht="15" x14ac:dyDescent="0.2">
      <c r="E14" s="9"/>
    </row>
    <row r="16" spans="1:21" ht="18" x14ac:dyDescent="0.25">
      <c r="A16" s="13" t="s">
        <v>34</v>
      </c>
      <c r="B16" s="13"/>
    </row>
    <row r="17" spans="1:5" ht="15" x14ac:dyDescent="0.2">
      <c r="A17" s="14" t="s">
        <v>35</v>
      </c>
      <c r="B17" s="14"/>
    </row>
    <row r="18" spans="1:5" ht="14.25" x14ac:dyDescent="0.2">
      <c r="A18" s="16"/>
      <c r="B18" s="17" t="s">
        <v>36</v>
      </c>
    </row>
    <row r="19" spans="1:5" ht="15" x14ac:dyDescent="0.2">
      <c r="A19" s="18" t="s">
        <v>37</v>
      </c>
      <c r="B19" s="18" t="s">
        <v>38</v>
      </c>
      <c r="C19" s="18" t="s">
        <v>39</v>
      </c>
      <c r="D19" s="18" t="s">
        <v>40</v>
      </c>
      <c r="E19" s="18" t="s">
        <v>41</v>
      </c>
    </row>
    <row r="20" spans="1:5" x14ac:dyDescent="0.2">
      <c r="A20" s="15" t="s">
        <v>16</v>
      </c>
      <c r="B20" s="4" t="s">
        <v>42</v>
      </c>
      <c r="C20" s="4" t="s">
        <v>43</v>
      </c>
      <c r="D20" s="4" t="s">
        <v>44</v>
      </c>
      <c r="E20" s="10" t="s">
        <v>45</v>
      </c>
    </row>
  </sheetData>
  <mergeCells count="14">
    <mergeCell ref="A5:R5"/>
    <mergeCell ref="D3:D4"/>
    <mergeCell ref="S3:S4"/>
    <mergeCell ref="T3:T4"/>
    <mergeCell ref="A1:U2"/>
    <mergeCell ref="G3:J3"/>
    <mergeCell ref="K3:N3"/>
    <mergeCell ref="O3:R3"/>
    <mergeCell ref="A3:A4"/>
    <mergeCell ref="B3:B4"/>
    <mergeCell ref="C3:C4"/>
    <mergeCell ref="U3:U4"/>
    <mergeCell ref="F3:F4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D8" sqref="D8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9" style="4" bestFit="1" customWidth="1"/>
    <col min="7" max="7" width="5" style="3" customWidth="1"/>
    <col min="8" max="8" width="10.42578125" style="3" customWidth="1"/>
    <col min="9" max="9" width="7.85546875" style="10" bestFit="1" customWidth="1"/>
    <col min="10" max="10" width="7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 x14ac:dyDescent="0.2">
      <c r="A1" s="35" t="s">
        <v>1325</v>
      </c>
      <c r="B1" s="36"/>
      <c r="C1" s="36"/>
      <c r="D1" s="36"/>
      <c r="E1" s="36"/>
      <c r="F1" s="36"/>
      <c r="G1" s="36"/>
      <c r="H1" s="36"/>
      <c r="I1" s="36"/>
      <c r="J1" s="36"/>
      <c r="K1" s="37"/>
    </row>
    <row r="2" spans="1:11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40"/>
    </row>
    <row r="3" spans="1:11" s="1" customFormat="1" ht="12.75" customHeight="1" x14ac:dyDescent="0.2">
      <c r="A3" s="41" t="s">
        <v>0</v>
      </c>
      <c r="B3" s="43" t="s">
        <v>6</v>
      </c>
      <c r="C3" s="43" t="s">
        <v>10</v>
      </c>
      <c r="D3" s="45" t="s">
        <v>1226</v>
      </c>
      <c r="E3" s="45" t="s">
        <v>4</v>
      </c>
      <c r="F3" s="45" t="s">
        <v>7</v>
      </c>
      <c r="G3" s="45" t="s">
        <v>1227</v>
      </c>
      <c r="H3" s="45"/>
      <c r="I3" s="45" t="s">
        <v>1035</v>
      </c>
      <c r="J3" s="45" t="s">
        <v>3</v>
      </c>
      <c r="K3" s="46" t="s">
        <v>2</v>
      </c>
    </row>
    <row r="4" spans="1:11" s="1" customFormat="1" ht="21" customHeight="1" thickBot="1" x14ac:dyDescent="0.25">
      <c r="A4" s="42"/>
      <c r="B4" s="44"/>
      <c r="C4" s="44"/>
      <c r="D4" s="44"/>
      <c r="E4" s="44"/>
      <c r="F4" s="44"/>
      <c r="G4" s="5" t="s">
        <v>8</v>
      </c>
      <c r="H4" s="5" t="s">
        <v>9</v>
      </c>
      <c r="I4" s="44"/>
      <c r="J4" s="44"/>
      <c r="K4" s="47"/>
    </row>
    <row r="5" spans="1:11" ht="15" x14ac:dyDescent="0.2">
      <c r="A5" s="48" t="s">
        <v>1228</v>
      </c>
      <c r="B5" s="49"/>
      <c r="C5" s="49"/>
      <c r="D5" s="49"/>
      <c r="E5" s="49"/>
      <c r="F5" s="49"/>
      <c r="G5" s="49"/>
      <c r="H5" s="49"/>
    </row>
    <row r="6" spans="1:11" x14ac:dyDescent="0.2">
      <c r="A6" s="6" t="s">
        <v>1234</v>
      </c>
      <c r="B6" s="6" t="s">
        <v>1235</v>
      </c>
      <c r="C6" s="6" t="s">
        <v>1236</v>
      </c>
      <c r="D6" s="6" t="str">
        <f>"1,0000"</f>
        <v>1,0000</v>
      </c>
      <c r="E6" s="6" t="s">
        <v>71</v>
      </c>
      <c r="F6" s="6" t="s">
        <v>112</v>
      </c>
      <c r="G6" s="7" t="s">
        <v>75</v>
      </c>
      <c r="H6" s="7" t="s">
        <v>75</v>
      </c>
      <c r="I6" s="11" t="str">
        <f>"5625,0"</f>
        <v>5625,0</v>
      </c>
      <c r="J6" s="12" t="str">
        <f>"59,9041"</f>
        <v>59,9041</v>
      </c>
      <c r="K6" s="6" t="s">
        <v>28</v>
      </c>
    </row>
    <row r="8" spans="1:11" ht="15" x14ac:dyDescent="0.2">
      <c r="E8" s="9" t="s">
        <v>29</v>
      </c>
    </row>
    <row r="9" spans="1:11" ht="15" x14ac:dyDescent="0.2">
      <c r="E9" s="9" t="s">
        <v>30</v>
      </c>
    </row>
    <row r="10" spans="1:11" ht="15" x14ac:dyDescent="0.2">
      <c r="E10" s="9" t="s">
        <v>31</v>
      </c>
    </row>
    <row r="11" spans="1:11" ht="15" x14ac:dyDescent="0.2">
      <c r="E11" s="9" t="s">
        <v>32</v>
      </c>
    </row>
    <row r="12" spans="1:11" ht="15" x14ac:dyDescent="0.2">
      <c r="E12" s="9" t="s">
        <v>32</v>
      </c>
    </row>
    <row r="13" spans="1:11" ht="15" x14ac:dyDescent="0.2">
      <c r="E13" s="9" t="s">
        <v>33</v>
      </c>
    </row>
    <row r="14" spans="1:11" ht="15" x14ac:dyDescent="0.2">
      <c r="E14" s="9"/>
    </row>
    <row r="16" spans="1:11" ht="18" x14ac:dyDescent="0.25">
      <c r="A16" s="13" t="s">
        <v>34</v>
      </c>
      <c r="B16" s="13"/>
    </row>
    <row r="17" spans="1:5" ht="15" x14ac:dyDescent="0.2">
      <c r="A17" s="14" t="s">
        <v>35</v>
      </c>
      <c r="B17" s="14"/>
    </row>
    <row r="18" spans="1:5" ht="14.25" x14ac:dyDescent="0.2">
      <c r="A18" s="16"/>
      <c r="B18" s="17" t="s">
        <v>61</v>
      </c>
    </row>
    <row r="19" spans="1:5" ht="15" x14ac:dyDescent="0.2">
      <c r="A19" s="18" t="s">
        <v>37</v>
      </c>
      <c r="B19" s="18" t="s">
        <v>38</v>
      </c>
      <c r="C19" s="18" t="s">
        <v>39</v>
      </c>
      <c r="D19" s="18" t="s">
        <v>393</v>
      </c>
      <c r="E19" s="18" t="s">
        <v>1229</v>
      </c>
    </row>
    <row r="20" spans="1:5" x14ac:dyDescent="0.2">
      <c r="A20" s="15" t="s">
        <v>1233</v>
      </c>
      <c r="B20" s="4" t="s">
        <v>285</v>
      </c>
      <c r="C20" s="4" t="s">
        <v>1230</v>
      </c>
      <c r="D20" s="4" t="s">
        <v>1237</v>
      </c>
      <c r="E20" s="10" t="s">
        <v>1238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A3" sqref="A3:A4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1.85546875" style="4" bestFit="1" customWidth="1"/>
    <col min="7" max="7" width="5" style="3" customWidth="1"/>
    <col min="8" max="8" width="10.42578125" style="3" customWidth="1"/>
    <col min="9" max="9" width="7.85546875" style="10" bestFit="1" customWidth="1"/>
    <col min="10" max="10" width="7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 x14ac:dyDescent="0.2">
      <c r="A1" s="50" t="s">
        <v>1324</v>
      </c>
      <c r="B1" s="51"/>
      <c r="C1" s="51"/>
      <c r="D1" s="51"/>
      <c r="E1" s="51"/>
      <c r="F1" s="51"/>
      <c r="G1" s="51"/>
      <c r="H1" s="51"/>
      <c r="I1" s="51"/>
      <c r="J1" s="51"/>
      <c r="K1" s="52"/>
    </row>
    <row r="2" spans="1:11" s="2" customFormat="1" ht="62.1" customHeight="1" thickBot="1" x14ac:dyDescent="0.25">
      <c r="A2" s="53"/>
      <c r="B2" s="54"/>
      <c r="C2" s="54"/>
      <c r="D2" s="54"/>
      <c r="E2" s="54"/>
      <c r="F2" s="54"/>
      <c r="G2" s="54"/>
      <c r="H2" s="54"/>
      <c r="I2" s="54"/>
      <c r="J2" s="54"/>
      <c r="K2" s="55"/>
    </row>
    <row r="3" spans="1:11" s="1" customFormat="1" ht="12.75" customHeight="1" x14ac:dyDescent="0.2">
      <c r="A3" s="41" t="s">
        <v>0</v>
      </c>
      <c r="B3" s="43" t="s">
        <v>6</v>
      </c>
      <c r="C3" s="43" t="s">
        <v>10</v>
      </c>
      <c r="D3" s="45" t="s">
        <v>1226</v>
      </c>
      <c r="E3" s="45" t="s">
        <v>4</v>
      </c>
      <c r="F3" s="45" t="s">
        <v>7</v>
      </c>
      <c r="G3" s="45" t="s">
        <v>1227</v>
      </c>
      <c r="H3" s="45"/>
      <c r="I3" s="45" t="s">
        <v>1035</v>
      </c>
      <c r="J3" s="45" t="s">
        <v>3</v>
      </c>
      <c r="K3" s="46" t="s">
        <v>2</v>
      </c>
    </row>
    <row r="4" spans="1:11" s="1" customFormat="1" ht="21" customHeight="1" thickBot="1" x14ac:dyDescent="0.25">
      <c r="A4" s="42"/>
      <c r="B4" s="44"/>
      <c r="C4" s="44"/>
      <c r="D4" s="44"/>
      <c r="E4" s="44"/>
      <c r="F4" s="44"/>
      <c r="G4" s="5" t="s">
        <v>8</v>
      </c>
      <c r="H4" s="5" t="s">
        <v>9</v>
      </c>
      <c r="I4" s="44"/>
      <c r="J4" s="44"/>
      <c r="K4" s="47"/>
    </row>
    <row r="5" spans="1:11" ht="15" x14ac:dyDescent="0.2">
      <c r="A5" s="48" t="s">
        <v>1228</v>
      </c>
      <c r="B5" s="49"/>
      <c r="C5" s="49"/>
      <c r="D5" s="49"/>
      <c r="E5" s="49"/>
      <c r="F5" s="49"/>
      <c r="G5" s="49"/>
      <c r="H5" s="49"/>
    </row>
    <row r="6" spans="1:11" x14ac:dyDescent="0.2">
      <c r="A6" s="6" t="s">
        <v>1053</v>
      </c>
      <c r="B6" s="6" t="s">
        <v>1054</v>
      </c>
      <c r="C6" s="6" t="s">
        <v>1055</v>
      </c>
      <c r="D6" s="6" t="str">
        <f>"1,0000"</f>
        <v>1,0000</v>
      </c>
      <c r="E6" s="6" t="s">
        <v>71</v>
      </c>
      <c r="F6" s="6" t="s">
        <v>21</v>
      </c>
      <c r="G6" s="7" t="s">
        <v>474</v>
      </c>
      <c r="H6" s="7" t="s">
        <v>1001</v>
      </c>
      <c r="I6" s="11" t="str">
        <f>"3780,0"</f>
        <v>3780,0</v>
      </c>
      <c r="J6" s="12" t="str">
        <f>"70,0000"</f>
        <v>70,0000</v>
      </c>
      <c r="K6" s="6" t="s">
        <v>28</v>
      </c>
    </row>
    <row r="8" spans="1:11" ht="15" x14ac:dyDescent="0.2">
      <c r="E8" s="9" t="s">
        <v>29</v>
      </c>
    </row>
    <row r="9" spans="1:11" ht="15" x14ac:dyDescent="0.2">
      <c r="E9" s="9" t="s">
        <v>30</v>
      </c>
    </row>
    <row r="10" spans="1:11" ht="15" x14ac:dyDescent="0.2">
      <c r="E10" s="9" t="s">
        <v>31</v>
      </c>
    </row>
    <row r="11" spans="1:11" ht="15" x14ac:dyDescent="0.2">
      <c r="E11" s="9" t="s">
        <v>32</v>
      </c>
    </row>
    <row r="12" spans="1:11" ht="15" x14ac:dyDescent="0.2">
      <c r="E12" s="9" t="s">
        <v>32</v>
      </c>
    </row>
    <row r="13" spans="1:11" ht="15" x14ac:dyDescent="0.2">
      <c r="E13" s="9" t="s">
        <v>33</v>
      </c>
    </row>
    <row r="14" spans="1:11" ht="15" x14ac:dyDescent="0.2">
      <c r="E14" s="9"/>
    </row>
    <row r="16" spans="1:11" ht="18" x14ac:dyDescent="0.25">
      <c r="A16" s="13" t="s">
        <v>34</v>
      </c>
      <c r="B16" s="13"/>
    </row>
    <row r="17" spans="1:5" ht="15" x14ac:dyDescent="0.2">
      <c r="A17" s="14" t="s">
        <v>80</v>
      </c>
      <c r="B17" s="14"/>
    </row>
    <row r="18" spans="1:5" ht="14.25" x14ac:dyDescent="0.2">
      <c r="A18" s="16"/>
      <c r="B18" s="17" t="s">
        <v>81</v>
      </c>
    </row>
    <row r="19" spans="1:5" ht="15" x14ac:dyDescent="0.2">
      <c r="A19" s="18" t="s">
        <v>37</v>
      </c>
      <c r="B19" s="18" t="s">
        <v>38</v>
      </c>
      <c r="C19" s="18" t="s">
        <v>39</v>
      </c>
      <c r="D19" s="18" t="s">
        <v>393</v>
      </c>
      <c r="E19" s="18" t="s">
        <v>1229</v>
      </c>
    </row>
    <row r="20" spans="1:5" x14ac:dyDescent="0.2">
      <c r="A20" s="15" t="s">
        <v>1052</v>
      </c>
      <c r="B20" s="4" t="s">
        <v>81</v>
      </c>
      <c r="C20" s="4" t="s">
        <v>1230</v>
      </c>
      <c r="D20" s="4" t="s">
        <v>1231</v>
      </c>
      <c r="E20" s="10" t="s">
        <v>1232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workbookViewId="0">
      <selection activeCell="A3" sqref="A3:A4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24.140625" style="4" bestFit="1" customWidth="1"/>
    <col min="7" max="7" width="4.5703125" style="3" customWidth="1"/>
    <col min="8" max="9" width="5.5703125" style="3" customWidth="1"/>
    <col min="10" max="10" width="4.85546875" style="3" customWidth="1"/>
    <col min="11" max="13" width="4.5703125" style="3" customWidth="1"/>
    <col min="14" max="14" width="4.85546875" style="3" customWidth="1"/>
    <col min="15" max="15" width="7.85546875" style="10" bestFit="1" customWidth="1"/>
    <col min="16" max="16" width="7.5703125" style="2" bestFit="1" customWidth="1"/>
    <col min="17" max="17" width="8.85546875" style="4" bestFit="1" customWidth="1"/>
    <col min="18" max="16384" width="9.140625" style="3"/>
  </cols>
  <sheetData>
    <row r="1" spans="1:17" s="2" customFormat="1" ht="29.1" customHeight="1" x14ac:dyDescent="0.2">
      <c r="A1" s="35" t="s">
        <v>1323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7"/>
    </row>
    <row r="2" spans="1:17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40"/>
    </row>
    <row r="3" spans="1:17" s="1" customFormat="1" ht="12.75" customHeight="1" x14ac:dyDescent="0.2">
      <c r="A3" s="41" t="s">
        <v>0</v>
      </c>
      <c r="B3" s="43" t="s">
        <v>6</v>
      </c>
      <c r="C3" s="43" t="s">
        <v>10</v>
      </c>
      <c r="D3" s="45" t="s">
        <v>11</v>
      </c>
      <c r="E3" s="45" t="s">
        <v>4</v>
      </c>
      <c r="F3" s="45" t="s">
        <v>7</v>
      </c>
      <c r="G3" s="45" t="s">
        <v>1059</v>
      </c>
      <c r="H3" s="45"/>
      <c r="I3" s="45"/>
      <c r="J3" s="45"/>
      <c r="K3" s="45" t="s">
        <v>1072</v>
      </c>
      <c r="L3" s="45"/>
      <c r="M3" s="45"/>
      <c r="N3" s="45"/>
      <c r="O3" s="45" t="s">
        <v>1</v>
      </c>
      <c r="P3" s="45" t="s">
        <v>3</v>
      </c>
      <c r="Q3" s="46" t="s">
        <v>2</v>
      </c>
    </row>
    <row r="4" spans="1:17" s="1" customFormat="1" ht="21" customHeight="1" thickBot="1" x14ac:dyDescent="0.25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44"/>
      <c r="P4" s="44"/>
      <c r="Q4" s="47"/>
    </row>
    <row r="5" spans="1:17" ht="15" x14ac:dyDescent="0.2">
      <c r="A5" s="48" t="s">
        <v>46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7" x14ac:dyDescent="0.2">
      <c r="A6" s="6" t="s">
        <v>1224</v>
      </c>
      <c r="B6" s="6" t="s">
        <v>417</v>
      </c>
      <c r="C6" s="6" t="s">
        <v>418</v>
      </c>
      <c r="D6" s="6" t="str">
        <f>"0,5599"</f>
        <v>0,5599</v>
      </c>
      <c r="E6" s="6" t="s">
        <v>389</v>
      </c>
      <c r="F6" s="6" t="s">
        <v>137</v>
      </c>
      <c r="G6" s="7" t="s">
        <v>102</v>
      </c>
      <c r="H6" s="7" t="s">
        <v>94</v>
      </c>
      <c r="I6" s="7" t="s">
        <v>55</v>
      </c>
      <c r="J6" s="8"/>
      <c r="K6" s="7" t="s">
        <v>103</v>
      </c>
      <c r="L6" s="7" t="s">
        <v>149</v>
      </c>
      <c r="M6" s="7" t="s">
        <v>74</v>
      </c>
      <c r="N6" s="8"/>
      <c r="O6" s="11" t="str">
        <f>"175,0"</f>
        <v>175,0</v>
      </c>
      <c r="P6" s="12" t="str">
        <f>"97,9825"</f>
        <v>97,9825</v>
      </c>
      <c r="Q6" s="6" t="s">
        <v>28</v>
      </c>
    </row>
    <row r="8" spans="1:17" ht="15" x14ac:dyDescent="0.2">
      <c r="E8" s="9" t="s">
        <v>29</v>
      </c>
    </row>
    <row r="9" spans="1:17" ht="15" x14ac:dyDescent="0.2">
      <c r="E9" s="9" t="s">
        <v>30</v>
      </c>
    </row>
    <row r="10" spans="1:17" ht="15" x14ac:dyDescent="0.2">
      <c r="E10" s="9" t="s">
        <v>31</v>
      </c>
    </row>
    <row r="11" spans="1:17" ht="15" x14ac:dyDescent="0.2">
      <c r="E11" s="9" t="s">
        <v>32</v>
      </c>
    </row>
    <row r="12" spans="1:17" ht="15" x14ac:dyDescent="0.2">
      <c r="E12" s="9" t="s">
        <v>32</v>
      </c>
    </row>
    <row r="13" spans="1:17" ht="15" x14ac:dyDescent="0.2">
      <c r="E13" s="9" t="s">
        <v>33</v>
      </c>
    </row>
    <row r="14" spans="1:17" ht="15" x14ac:dyDescent="0.2">
      <c r="E14" s="9"/>
    </row>
    <row r="16" spans="1:17" ht="18" x14ac:dyDescent="0.25">
      <c r="A16" s="13" t="s">
        <v>34</v>
      </c>
      <c r="B16" s="13"/>
    </row>
    <row r="17" spans="1:5" ht="15" x14ac:dyDescent="0.2">
      <c r="A17" s="14" t="s">
        <v>35</v>
      </c>
      <c r="B17" s="14"/>
    </row>
    <row r="18" spans="1:5" ht="14.25" x14ac:dyDescent="0.2">
      <c r="A18" s="16"/>
      <c r="B18" s="17" t="s">
        <v>81</v>
      </c>
    </row>
    <row r="19" spans="1:5" ht="15" x14ac:dyDescent="0.2">
      <c r="A19" s="18" t="s">
        <v>37</v>
      </c>
      <c r="B19" s="18" t="s">
        <v>38</v>
      </c>
      <c r="C19" s="18" t="s">
        <v>39</v>
      </c>
      <c r="D19" s="18" t="s">
        <v>40</v>
      </c>
      <c r="E19" s="18" t="s">
        <v>41</v>
      </c>
    </row>
    <row r="20" spans="1:5" x14ac:dyDescent="0.2">
      <c r="A20" s="15" t="s">
        <v>415</v>
      </c>
      <c r="B20" s="4" t="s">
        <v>81</v>
      </c>
      <c r="C20" s="4" t="s">
        <v>63</v>
      </c>
      <c r="D20" s="4" t="s">
        <v>212</v>
      </c>
      <c r="E20" s="10" t="s">
        <v>1225</v>
      </c>
    </row>
  </sheetData>
  <mergeCells count="13">
    <mergeCell ref="O3:O4"/>
    <mergeCell ref="P3:P4"/>
    <mergeCell ref="Q3:Q4"/>
    <mergeCell ref="A5:N5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workbookViewId="0">
      <selection activeCell="A3" sqref="A3:A4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24.140625" style="4" bestFit="1" customWidth="1"/>
    <col min="7" max="9" width="4.5703125" style="3" customWidth="1"/>
    <col min="10" max="10" width="4.85546875" style="3" customWidth="1"/>
    <col min="11" max="12" width="4.5703125" style="3" customWidth="1"/>
    <col min="13" max="13" width="2.140625" style="3" customWidth="1"/>
    <col min="14" max="14" width="4.85546875" style="3" customWidth="1"/>
    <col min="15" max="15" width="7.85546875" style="10" bestFit="1" customWidth="1"/>
    <col min="16" max="16" width="7.5703125" style="2" bestFit="1" customWidth="1"/>
    <col min="17" max="17" width="8.85546875" style="4" bestFit="1" customWidth="1"/>
    <col min="18" max="16384" width="9.140625" style="3"/>
  </cols>
  <sheetData>
    <row r="1" spans="1:17" s="2" customFormat="1" ht="29.1" customHeight="1" x14ac:dyDescent="0.2">
      <c r="A1" s="35" t="s">
        <v>1322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7"/>
    </row>
    <row r="2" spans="1:17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40"/>
    </row>
    <row r="3" spans="1:17" s="1" customFormat="1" ht="12.75" customHeight="1" x14ac:dyDescent="0.2">
      <c r="A3" s="41" t="s">
        <v>0</v>
      </c>
      <c r="B3" s="43" t="s">
        <v>6</v>
      </c>
      <c r="C3" s="43" t="s">
        <v>10</v>
      </c>
      <c r="D3" s="45" t="s">
        <v>11</v>
      </c>
      <c r="E3" s="45" t="s">
        <v>4</v>
      </c>
      <c r="F3" s="45" t="s">
        <v>7</v>
      </c>
      <c r="G3" s="45" t="s">
        <v>1059</v>
      </c>
      <c r="H3" s="45"/>
      <c r="I3" s="45"/>
      <c r="J3" s="45"/>
      <c r="K3" s="45" t="s">
        <v>1072</v>
      </c>
      <c r="L3" s="45"/>
      <c r="M3" s="45"/>
      <c r="N3" s="45"/>
      <c r="O3" s="45" t="s">
        <v>1</v>
      </c>
      <c r="P3" s="45" t="s">
        <v>3</v>
      </c>
      <c r="Q3" s="46" t="s">
        <v>2</v>
      </c>
    </row>
    <row r="4" spans="1:17" s="1" customFormat="1" ht="21" customHeight="1" thickBot="1" x14ac:dyDescent="0.25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44"/>
      <c r="P4" s="44"/>
      <c r="Q4" s="47"/>
    </row>
    <row r="5" spans="1:17" ht="15" x14ac:dyDescent="0.2">
      <c r="A5" s="48" t="s">
        <v>66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7" x14ac:dyDescent="0.2">
      <c r="A6" s="6" t="s">
        <v>1219</v>
      </c>
      <c r="B6" s="6" t="s">
        <v>1220</v>
      </c>
      <c r="C6" s="6" t="s">
        <v>1221</v>
      </c>
      <c r="D6" s="6" t="str">
        <f>"0,7591"</f>
        <v>0,7591</v>
      </c>
      <c r="E6" s="6" t="s">
        <v>1222</v>
      </c>
      <c r="F6" s="6" t="s">
        <v>137</v>
      </c>
      <c r="G6" s="7" t="s">
        <v>103</v>
      </c>
      <c r="H6" s="7" t="s">
        <v>113</v>
      </c>
      <c r="I6" s="7" t="s">
        <v>74</v>
      </c>
      <c r="J6" s="8"/>
      <c r="K6" s="7" t="s">
        <v>530</v>
      </c>
      <c r="L6" s="8" t="s">
        <v>93</v>
      </c>
      <c r="M6" s="8"/>
      <c r="N6" s="8"/>
      <c r="O6" s="11" t="str">
        <f>"110,0"</f>
        <v>110,0</v>
      </c>
      <c r="P6" s="12" t="str">
        <f>"83,5010"</f>
        <v>83,5010</v>
      </c>
      <c r="Q6" s="6" t="s">
        <v>28</v>
      </c>
    </row>
    <row r="8" spans="1:17" ht="15" x14ac:dyDescent="0.2">
      <c r="E8" s="9" t="s">
        <v>29</v>
      </c>
    </row>
    <row r="9" spans="1:17" ht="15" x14ac:dyDescent="0.2">
      <c r="E9" s="9" t="s">
        <v>30</v>
      </c>
    </row>
    <row r="10" spans="1:17" ht="15" x14ac:dyDescent="0.2">
      <c r="E10" s="9" t="s">
        <v>31</v>
      </c>
    </row>
    <row r="11" spans="1:17" ht="15" x14ac:dyDescent="0.2">
      <c r="E11" s="9" t="s">
        <v>32</v>
      </c>
    </row>
    <row r="12" spans="1:17" ht="15" x14ac:dyDescent="0.2">
      <c r="E12" s="9" t="s">
        <v>32</v>
      </c>
    </row>
    <row r="13" spans="1:17" ht="15" x14ac:dyDescent="0.2">
      <c r="E13" s="9" t="s">
        <v>33</v>
      </c>
    </row>
    <row r="14" spans="1:17" ht="15" x14ac:dyDescent="0.2">
      <c r="E14" s="9"/>
    </row>
    <row r="16" spans="1:17" ht="18" x14ac:dyDescent="0.25">
      <c r="A16" s="13" t="s">
        <v>34</v>
      </c>
      <c r="B16" s="13"/>
    </row>
    <row r="17" spans="1:5" ht="15" x14ac:dyDescent="0.2">
      <c r="A17" s="14" t="s">
        <v>35</v>
      </c>
      <c r="B17" s="14"/>
    </row>
    <row r="18" spans="1:5" ht="14.25" x14ac:dyDescent="0.2">
      <c r="A18" s="16"/>
      <c r="B18" s="17" t="s">
        <v>81</v>
      </c>
    </row>
    <row r="19" spans="1:5" ht="15" x14ac:dyDescent="0.2">
      <c r="A19" s="18" t="s">
        <v>37</v>
      </c>
      <c r="B19" s="18" t="s">
        <v>38</v>
      </c>
      <c r="C19" s="18" t="s">
        <v>39</v>
      </c>
      <c r="D19" s="18" t="s">
        <v>40</v>
      </c>
      <c r="E19" s="18" t="s">
        <v>41</v>
      </c>
    </row>
    <row r="20" spans="1:5" x14ac:dyDescent="0.2">
      <c r="A20" s="15" t="s">
        <v>1218</v>
      </c>
      <c r="B20" s="4" t="s">
        <v>81</v>
      </c>
      <c r="C20" s="4" t="s">
        <v>82</v>
      </c>
      <c r="D20" s="4" t="s">
        <v>57</v>
      </c>
      <c r="E20" s="10" t="s">
        <v>1223</v>
      </c>
    </row>
  </sheetData>
  <mergeCells count="13">
    <mergeCell ref="O3:O4"/>
    <mergeCell ref="P3:P4"/>
    <mergeCell ref="Q3:Q4"/>
    <mergeCell ref="A5:N5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>
      <selection activeCell="A3" sqref="A3:A4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40.140625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7.5703125" style="2" bestFit="1" customWidth="1"/>
    <col min="13" max="13" width="16.42578125" style="4" bestFit="1" customWidth="1"/>
    <col min="14" max="16384" width="9.140625" style="3"/>
  </cols>
  <sheetData>
    <row r="1" spans="1:13" s="2" customFormat="1" ht="29.1" customHeight="1" x14ac:dyDescent="0.2">
      <c r="A1" s="35" t="s">
        <v>1321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 x14ac:dyDescent="0.2">
      <c r="A3" s="41" t="s">
        <v>0</v>
      </c>
      <c r="B3" s="43" t="s">
        <v>6</v>
      </c>
      <c r="C3" s="43" t="s">
        <v>10</v>
      </c>
      <c r="D3" s="45" t="s">
        <v>11</v>
      </c>
      <c r="E3" s="45" t="s">
        <v>4</v>
      </c>
      <c r="F3" s="45" t="s">
        <v>7</v>
      </c>
      <c r="G3" s="45" t="s">
        <v>1072</v>
      </c>
      <c r="H3" s="45"/>
      <c r="I3" s="45"/>
      <c r="J3" s="45"/>
      <c r="K3" s="45" t="s">
        <v>408</v>
      </c>
      <c r="L3" s="45" t="s">
        <v>3</v>
      </c>
      <c r="M3" s="46" t="s">
        <v>2</v>
      </c>
    </row>
    <row r="4" spans="1:13" s="1" customFormat="1" ht="21" customHeight="1" thickBot="1" x14ac:dyDescent="0.25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44"/>
      <c r="L4" s="44"/>
      <c r="M4" s="47"/>
    </row>
    <row r="5" spans="1:13" ht="15" x14ac:dyDescent="0.2">
      <c r="A5" s="48" t="s">
        <v>150</v>
      </c>
      <c r="B5" s="49"/>
      <c r="C5" s="49"/>
      <c r="D5" s="49"/>
      <c r="E5" s="49"/>
      <c r="F5" s="49"/>
      <c r="G5" s="49"/>
      <c r="H5" s="49"/>
      <c r="I5" s="49"/>
      <c r="J5" s="49"/>
    </row>
    <row r="6" spans="1:13" x14ac:dyDescent="0.2">
      <c r="A6" s="6" t="s">
        <v>1202</v>
      </c>
      <c r="B6" s="6" t="s">
        <v>1203</v>
      </c>
      <c r="C6" s="6" t="s">
        <v>1204</v>
      </c>
      <c r="D6" s="6" t="str">
        <f>"1,3133"</f>
        <v>1,3133</v>
      </c>
      <c r="E6" s="6" t="s">
        <v>118</v>
      </c>
      <c r="F6" s="6" t="s">
        <v>211</v>
      </c>
      <c r="G6" s="7" t="s">
        <v>1205</v>
      </c>
      <c r="H6" s="7" t="s">
        <v>1206</v>
      </c>
      <c r="I6" s="7" t="s">
        <v>995</v>
      </c>
      <c r="J6" s="8"/>
      <c r="K6" s="11" t="str">
        <f>"20,0"</f>
        <v>20,0</v>
      </c>
      <c r="L6" s="12" t="str">
        <f>"32,3072"</f>
        <v>32,3072</v>
      </c>
      <c r="M6" s="6" t="s">
        <v>28</v>
      </c>
    </row>
    <row r="8" spans="1:13" ht="15" x14ac:dyDescent="0.2">
      <c r="A8" s="56" t="s">
        <v>187</v>
      </c>
      <c r="B8" s="56"/>
      <c r="C8" s="56"/>
      <c r="D8" s="56"/>
      <c r="E8" s="56"/>
      <c r="F8" s="56"/>
      <c r="G8" s="56"/>
      <c r="H8" s="56"/>
      <c r="I8" s="56"/>
      <c r="J8" s="56"/>
    </row>
    <row r="9" spans="1:13" x14ac:dyDescent="0.2">
      <c r="A9" s="6" t="s">
        <v>936</v>
      </c>
      <c r="B9" s="6" t="s">
        <v>937</v>
      </c>
      <c r="C9" s="6" t="s">
        <v>938</v>
      </c>
      <c r="D9" s="6" t="str">
        <f>"0,6209"</f>
        <v>0,6209</v>
      </c>
      <c r="E9" s="6" t="s">
        <v>118</v>
      </c>
      <c r="F9" s="6" t="s">
        <v>211</v>
      </c>
      <c r="G9" s="7" t="s">
        <v>103</v>
      </c>
      <c r="H9" s="7" t="s">
        <v>113</v>
      </c>
      <c r="I9" s="7" t="s">
        <v>104</v>
      </c>
      <c r="J9" s="8"/>
      <c r="K9" s="11" t="str">
        <f>"65,0"</f>
        <v>65,0</v>
      </c>
      <c r="L9" s="12" t="str">
        <f>"40,3585"</f>
        <v>40,3585</v>
      </c>
      <c r="M9" s="6" t="s">
        <v>28</v>
      </c>
    </row>
    <row r="11" spans="1:13" ht="15" x14ac:dyDescent="0.2">
      <c r="A11" s="56" t="s">
        <v>46</v>
      </c>
      <c r="B11" s="56"/>
      <c r="C11" s="56"/>
      <c r="D11" s="56"/>
      <c r="E11" s="56"/>
      <c r="F11" s="56"/>
      <c r="G11" s="56"/>
      <c r="H11" s="56"/>
      <c r="I11" s="56"/>
      <c r="J11" s="56"/>
    </row>
    <row r="12" spans="1:13" x14ac:dyDescent="0.2">
      <c r="A12" s="19" t="s">
        <v>410</v>
      </c>
      <c r="B12" s="19" t="s">
        <v>411</v>
      </c>
      <c r="C12" s="19" t="s">
        <v>412</v>
      </c>
      <c r="D12" s="19" t="str">
        <f>"0,5597"</f>
        <v>0,5597</v>
      </c>
      <c r="E12" s="19" t="s">
        <v>51</v>
      </c>
      <c r="F12" s="19" t="s">
        <v>413</v>
      </c>
      <c r="G12" s="20" t="s">
        <v>301</v>
      </c>
      <c r="H12" s="20" t="s">
        <v>178</v>
      </c>
      <c r="I12" s="21" t="s">
        <v>55</v>
      </c>
      <c r="J12" s="21"/>
      <c r="K12" s="28" t="str">
        <f>"97,5"</f>
        <v>97,5</v>
      </c>
      <c r="L12" s="29" t="str">
        <f>"54,5708"</f>
        <v>54,5708</v>
      </c>
      <c r="M12" s="19" t="s">
        <v>28</v>
      </c>
    </row>
    <row r="13" spans="1:13" x14ac:dyDescent="0.2">
      <c r="A13" s="22" t="s">
        <v>947</v>
      </c>
      <c r="B13" s="22" t="s">
        <v>948</v>
      </c>
      <c r="C13" s="22" t="s">
        <v>438</v>
      </c>
      <c r="D13" s="22" t="str">
        <f>"0,5543"</f>
        <v>0,5543</v>
      </c>
      <c r="E13" s="22" t="s">
        <v>20</v>
      </c>
      <c r="F13" s="22" t="s">
        <v>21</v>
      </c>
      <c r="G13" s="23" t="s">
        <v>74</v>
      </c>
      <c r="H13" s="23" t="s">
        <v>75</v>
      </c>
      <c r="I13" s="23" t="s">
        <v>76</v>
      </c>
      <c r="J13" s="24"/>
      <c r="K13" s="30" t="str">
        <f>"80,0"</f>
        <v>80,0</v>
      </c>
      <c r="L13" s="31" t="str">
        <f>"44,3440"</f>
        <v>44,3440</v>
      </c>
      <c r="M13" s="22" t="s">
        <v>949</v>
      </c>
    </row>
    <row r="15" spans="1:13" ht="15" x14ac:dyDescent="0.2">
      <c r="A15" s="56" t="s">
        <v>15</v>
      </c>
      <c r="B15" s="56"/>
      <c r="C15" s="56"/>
      <c r="D15" s="56"/>
      <c r="E15" s="56"/>
      <c r="F15" s="56"/>
      <c r="G15" s="56"/>
      <c r="H15" s="56"/>
      <c r="I15" s="56"/>
      <c r="J15" s="56"/>
    </row>
    <row r="16" spans="1:13" x14ac:dyDescent="0.2">
      <c r="A16" s="6" t="s">
        <v>421</v>
      </c>
      <c r="B16" s="6" t="s">
        <v>422</v>
      </c>
      <c r="C16" s="6" t="s">
        <v>423</v>
      </c>
      <c r="D16" s="6" t="str">
        <f>"0,5398"</f>
        <v>0,5398</v>
      </c>
      <c r="E16" s="6" t="s">
        <v>424</v>
      </c>
      <c r="F16" s="6" t="s">
        <v>425</v>
      </c>
      <c r="G16" s="7" t="s">
        <v>103</v>
      </c>
      <c r="H16" s="8"/>
      <c r="I16" s="8"/>
      <c r="J16" s="8"/>
      <c r="K16" s="11" t="str">
        <f>"60,0"</f>
        <v>60,0</v>
      </c>
      <c r="L16" s="12" t="str">
        <f>"37,9911"</f>
        <v>37,9911</v>
      </c>
      <c r="M16" s="6" t="s">
        <v>28</v>
      </c>
    </row>
    <row r="18" spans="1:13" ht="15" x14ac:dyDescent="0.2">
      <c r="A18" s="56" t="s">
        <v>345</v>
      </c>
      <c r="B18" s="56"/>
      <c r="C18" s="56"/>
      <c r="D18" s="56"/>
      <c r="E18" s="56"/>
      <c r="F18" s="56"/>
      <c r="G18" s="56"/>
      <c r="H18" s="56"/>
      <c r="I18" s="56"/>
      <c r="J18" s="56"/>
    </row>
    <row r="19" spans="1:13" x14ac:dyDescent="0.2">
      <c r="A19" s="6" t="s">
        <v>1208</v>
      </c>
      <c r="B19" s="6" t="s">
        <v>1209</v>
      </c>
      <c r="C19" s="6" t="s">
        <v>1210</v>
      </c>
      <c r="D19" s="6" t="str">
        <f>"0,5271"</f>
        <v>0,5271</v>
      </c>
      <c r="E19" s="6" t="s">
        <v>118</v>
      </c>
      <c r="F19" s="6" t="s">
        <v>211</v>
      </c>
      <c r="G19" s="7" t="s">
        <v>1125</v>
      </c>
      <c r="H19" s="7" t="s">
        <v>128</v>
      </c>
      <c r="I19" s="7" t="s">
        <v>129</v>
      </c>
      <c r="J19" s="8"/>
      <c r="K19" s="11" t="str">
        <f>"87,5"</f>
        <v>87,5</v>
      </c>
      <c r="L19" s="12" t="str">
        <f>"46,1213"</f>
        <v>46,1213</v>
      </c>
      <c r="M19" s="6" t="s">
        <v>28</v>
      </c>
    </row>
    <row r="21" spans="1:13" ht="15" x14ac:dyDescent="0.2">
      <c r="E21" s="9" t="s">
        <v>29</v>
      </c>
    </row>
    <row r="22" spans="1:13" ht="15" x14ac:dyDescent="0.2">
      <c r="E22" s="9" t="s">
        <v>30</v>
      </c>
    </row>
    <row r="23" spans="1:13" ht="15" x14ac:dyDescent="0.2">
      <c r="E23" s="9" t="s">
        <v>31</v>
      </c>
    </row>
    <row r="24" spans="1:13" ht="15" x14ac:dyDescent="0.2">
      <c r="E24" s="9" t="s">
        <v>32</v>
      </c>
    </row>
    <row r="25" spans="1:13" ht="15" x14ac:dyDescent="0.2">
      <c r="E25" s="9" t="s">
        <v>32</v>
      </c>
    </row>
    <row r="26" spans="1:13" ht="15" x14ac:dyDescent="0.2">
      <c r="E26" s="9" t="s">
        <v>33</v>
      </c>
    </row>
    <row r="27" spans="1:13" ht="15" x14ac:dyDescent="0.2">
      <c r="E27" s="9"/>
    </row>
    <row r="29" spans="1:13" ht="18" x14ac:dyDescent="0.25">
      <c r="A29" s="13" t="s">
        <v>34</v>
      </c>
      <c r="B29" s="13"/>
    </row>
    <row r="30" spans="1:13" ht="15" x14ac:dyDescent="0.2">
      <c r="A30" s="14" t="s">
        <v>35</v>
      </c>
      <c r="B30" s="14"/>
    </row>
    <row r="31" spans="1:13" ht="14.25" x14ac:dyDescent="0.2">
      <c r="A31" s="16"/>
      <c r="B31" s="17" t="s">
        <v>614</v>
      </c>
    </row>
    <row r="32" spans="1:13" ht="15" x14ac:dyDescent="0.2">
      <c r="A32" s="18" t="s">
        <v>37</v>
      </c>
      <c r="B32" s="18" t="s">
        <v>38</v>
      </c>
      <c r="C32" s="18" t="s">
        <v>39</v>
      </c>
      <c r="D32" s="18" t="s">
        <v>393</v>
      </c>
      <c r="E32" s="18" t="s">
        <v>41</v>
      </c>
    </row>
    <row r="33" spans="1:5" x14ac:dyDescent="0.2">
      <c r="A33" s="15" t="s">
        <v>1201</v>
      </c>
      <c r="B33" s="4" t="s">
        <v>617</v>
      </c>
      <c r="C33" s="4" t="s">
        <v>282</v>
      </c>
      <c r="D33" s="4" t="s">
        <v>995</v>
      </c>
      <c r="E33" s="10" t="s">
        <v>1211</v>
      </c>
    </row>
    <row r="35" spans="1:5" ht="14.25" x14ac:dyDescent="0.2">
      <c r="A35" s="16"/>
      <c r="B35" s="17" t="s">
        <v>81</v>
      </c>
    </row>
    <row r="36" spans="1:5" ht="15" x14ac:dyDescent="0.2">
      <c r="A36" s="18" t="s">
        <v>37</v>
      </c>
      <c r="B36" s="18" t="s">
        <v>38</v>
      </c>
      <c r="C36" s="18" t="s">
        <v>39</v>
      </c>
      <c r="D36" s="18" t="s">
        <v>393</v>
      </c>
      <c r="E36" s="18" t="s">
        <v>41</v>
      </c>
    </row>
    <row r="37" spans="1:5" x14ac:dyDescent="0.2">
      <c r="A37" s="15" t="s">
        <v>409</v>
      </c>
      <c r="B37" s="4" t="s">
        <v>81</v>
      </c>
      <c r="C37" s="4" t="s">
        <v>63</v>
      </c>
      <c r="D37" s="4" t="s">
        <v>1212</v>
      </c>
      <c r="E37" s="10" t="s">
        <v>1213</v>
      </c>
    </row>
    <row r="38" spans="1:5" x14ac:dyDescent="0.2">
      <c r="A38" s="15" t="s">
        <v>1207</v>
      </c>
      <c r="B38" s="4" t="s">
        <v>81</v>
      </c>
      <c r="C38" s="4" t="s">
        <v>642</v>
      </c>
      <c r="D38" s="4" t="s">
        <v>129</v>
      </c>
      <c r="E38" s="10" t="s">
        <v>1214</v>
      </c>
    </row>
    <row r="39" spans="1:5" x14ac:dyDescent="0.2">
      <c r="A39" s="15" t="s">
        <v>946</v>
      </c>
      <c r="B39" s="4" t="s">
        <v>81</v>
      </c>
      <c r="C39" s="4" t="s">
        <v>63</v>
      </c>
      <c r="D39" s="4" t="s">
        <v>76</v>
      </c>
      <c r="E39" s="10" t="s">
        <v>1215</v>
      </c>
    </row>
    <row r="40" spans="1:5" x14ac:dyDescent="0.2">
      <c r="A40" s="15" t="s">
        <v>935</v>
      </c>
      <c r="B40" s="4" t="s">
        <v>81</v>
      </c>
      <c r="C40" s="4" t="s">
        <v>268</v>
      </c>
      <c r="D40" s="4" t="s">
        <v>104</v>
      </c>
      <c r="E40" s="10" t="s">
        <v>1216</v>
      </c>
    </row>
    <row r="42" spans="1:5" ht="14.25" x14ac:dyDescent="0.2">
      <c r="A42" s="16"/>
      <c r="B42" s="17" t="s">
        <v>61</v>
      </c>
    </row>
    <row r="43" spans="1:5" ht="15" x14ac:dyDescent="0.2">
      <c r="A43" s="18" t="s">
        <v>37</v>
      </c>
      <c r="B43" s="18" t="s">
        <v>38</v>
      </c>
      <c r="C43" s="18" t="s">
        <v>39</v>
      </c>
      <c r="D43" s="18" t="s">
        <v>393</v>
      </c>
      <c r="E43" s="18" t="s">
        <v>41</v>
      </c>
    </row>
    <row r="44" spans="1:5" x14ac:dyDescent="0.2">
      <c r="A44" s="15" t="s">
        <v>420</v>
      </c>
      <c r="B44" s="4" t="s">
        <v>343</v>
      </c>
      <c r="C44" s="4" t="s">
        <v>43</v>
      </c>
      <c r="D44" s="4" t="s">
        <v>103</v>
      </c>
      <c r="E44" s="10" t="s">
        <v>1217</v>
      </c>
    </row>
  </sheetData>
  <mergeCells count="16">
    <mergeCell ref="A8:J8"/>
    <mergeCell ref="A11:J11"/>
    <mergeCell ref="A15:J15"/>
    <mergeCell ref="A18:J18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47</vt:i4>
      </vt:variant>
    </vt:vector>
  </HeadingPairs>
  <TitlesOfParts>
    <vt:vector size="47" baseType="lpstr">
      <vt:lpstr>Русская тяга проф. 150 кг.</vt:lpstr>
      <vt:lpstr>Русская тяга люб. 150 кг.</vt:lpstr>
      <vt:lpstr>РБ Проф 50 кг.</vt:lpstr>
      <vt:lpstr>РЖ любители 55 кг.</vt:lpstr>
      <vt:lpstr>РЖ Проф 75 кг.</vt:lpstr>
      <vt:lpstr>РЖ Проф 35 кг.</vt:lpstr>
      <vt:lpstr>Пауэрспорт Профессионалы</vt:lpstr>
      <vt:lpstr>Пауэрспорт Любители</vt:lpstr>
      <vt:lpstr>Бицепс Профессионалы</vt:lpstr>
      <vt:lpstr>Бицепс Любители</vt:lpstr>
      <vt:lpstr>Жим стоя Любители</vt:lpstr>
      <vt:lpstr>Любители В.Ж. м.повт. 1_2</vt:lpstr>
      <vt:lpstr>ПРО В.Ж. м.повт. 1_2</vt:lpstr>
      <vt:lpstr>Проф. становая тяга</vt:lpstr>
      <vt:lpstr>Люб. становая тяга</vt:lpstr>
      <vt:lpstr>Проф. народный жим 1_2 вес</vt:lpstr>
      <vt:lpstr>Люб. народный жим 1_2 вес</vt:lpstr>
      <vt:lpstr>Люб. народный жим 1 вес</vt:lpstr>
      <vt:lpstr>ПРО. ЖД</vt:lpstr>
      <vt:lpstr>Двоеборье проф.</vt:lpstr>
      <vt:lpstr>Люб. ЖД</vt:lpstr>
      <vt:lpstr>Двоеборье люб</vt:lpstr>
      <vt:lpstr>ПРО присед б.э.</vt:lpstr>
      <vt:lpstr>Люб. присед б.э.</vt:lpstr>
      <vt:lpstr>ПРО присед 1.слой</vt:lpstr>
      <vt:lpstr>Люб. присед 1.слой</vt:lpstr>
      <vt:lpstr>ПРО тяга б.э.</vt:lpstr>
      <vt:lpstr>Люб. тяга б.э.</vt:lpstr>
      <vt:lpstr>ПРО тяга 1.слой</vt:lpstr>
      <vt:lpstr>Люб. тяга 1.слой</vt:lpstr>
      <vt:lpstr>СОВ тяга</vt:lpstr>
      <vt:lpstr>ПРО жим софт мн.петельная</vt:lpstr>
      <vt:lpstr>ПРО жим софт 1 петельная</vt:lpstr>
      <vt:lpstr>Люб. жим 1 петельная</vt:lpstr>
      <vt:lpstr>ПРО жим б.э.</vt:lpstr>
      <vt:lpstr>Люб. жим б.э.</vt:lpstr>
      <vt:lpstr>ПРО жим 1.слой</vt:lpstr>
      <vt:lpstr>Люб. жим 1.слой</vt:lpstr>
      <vt:lpstr>СОВ жим</vt:lpstr>
      <vt:lpstr>ПРО Военный жим класс.</vt:lpstr>
      <vt:lpstr>Люб. Военный жим класс.</vt:lpstr>
      <vt:lpstr>Люб. ПЛ. мн.петельная софт</vt:lpstr>
      <vt:lpstr>ПРО ПЛ. б.э.</vt:lpstr>
      <vt:lpstr>Люб. ПЛ. б.э.</vt:lpstr>
      <vt:lpstr>ПРО ПЛ. 1.петельная софт</vt:lpstr>
      <vt:lpstr>ПРО ПЛ. 1.слой</vt:lpstr>
      <vt:lpstr>Люб. ПЛ. 1.слой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NPA</cp:lastModifiedBy>
  <cp:lastPrinted>2015-07-16T19:10:53Z</cp:lastPrinted>
  <dcterms:created xsi:type="dcterms:W3CDTF">2002-06-16T13:36:44Z</dcterms:created>
  <dcterms:modified xsi:type="dcterms:W3CDTF">2021-04-29T14:48:53Z</dcterms:modified>
</cp:coreProperties>
</file>