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5" windowWidth="11340" windowHeight="9690" firstSheet="22" activeTab="25"/>
  </bookViews>
  <sheets>
    <sheet name="Любители В.Ж. многоповторный" sheetId="8" r:id="rId1"/>
    <sheet name="Люб. становая тяга" sheetId="7" r:id="rId2"/>
    <sheet name="Проф. народный жим 1 вес" sheetId="6" r:id="rId3"/>
    <sheet name="Люб. народный жим 1 вес" sheetId="5" r:id="rId4"/>
    <sheet name="ПРО присед софт экип." sheetId="10" r:id="rId5"/>
    <sheet name="Люб. присед софт экип." sheetId="11" r:id="rId6"/>
    <sheet name="Люб. присед б.э." sheetId="12" r:id="rId7"/>
    <sheet name="ПРО тяга б.э." sheetId="13" r:id="rId8"/>
    <sheet name="Люб. тяга б.э." sheetId="14" r:id="rId9"/>
    <sheet name="ПРО жим софт мн.петельная" sheetId="15" r:id="rId10"/>
    <sheet name="ПРО жим б.э." sheetId="16" r:id="rId11"/>
    <sheet name="Люб. жим б.э." sheetId="17" r:id="rId12"/>
    <sheet name="ПРО ПЛ. б.э." sheetId="18" r:id="rId13"/>
    <sheet name="Люб. ПЛ. б.э." sheetId="19" r:id="rId14"/>
    <sheet name="Люб. ПЛ. 1.петельная софт" sheetId="20" r:id="rId15"/>
    <sheet name="ПРО ПЛ. мн.слой" sheetId="21" r:id="rId16"/>
    <sheet name="Русская тяга проф. 150 кг." sheetId="22" r:id="rId17"/>
    <sheet name="Русская тяга люб. 150 кг." sheetId="23" r:id="rId18"/>
    <sheet name="Русская тяга люб. 100 кг." sheetId="24" r:id="rId19"/>
    <sheet name="РЖ любители 55 кг." sheetId="25" r:id="rId20"/>
    <sheet name="РЖ Проф 100 кг." sheetId="26" r:id="rId21"/>
    <sheet name="РЖ Проф 55 кг." sheetId="27" r:id="rId22"/>
    <sheet name="Пауэрспорт Любители" sheetId="28" r:id="rId23"/>
    <sheet name="Бицепс Профессионалы" sheetId="29" r:id="rId24"/>
    <sheet name="Бицепс Любители" sheetId="30" r:id="rId25"/>
    <sheet name="Жим стоя Любители" sheetId="31" r:id="rId26"/>
  </sheets>
  <definedNames>
    <definedName name="_FilterDatabase" localSheetId="25" hidden="1">'Жим стоя Любители'!$A$1:$K$3</definedName>
    <definedName name="_FilterDatabase" localSheetId="3" hidden="1">'Люб. народный жим 1 вес'!$A$1:$I$3</definedName>
    <definedName name="_FilterDatabase" localSheetId="15" hidden="1">'ПРО ПЛ. мн.слой'!$A$1:$S$3</definedName>
    <definedName name="_FilterDatabase" localSheetId="21" hidden="1">'РЖ Проф 55 кг.'!$A$1:$I$3</definedName>
  </definedNames>
  <calcPr calcId="145621" refMode="R1C1"/>
</workbook>
</file>

<file path=xl/calcChain.xml><?xml version="1.0" encoding="utf-8"?>
<calcChain xmlns="http://schemas.openxmlformats.org/spreadsheetml/2006/main">
  <c r="D6" i="31" l="1"/>
  <c r="K6" i="31"/>
  <c r="L6" i="31"/>
  <c r="D6" i="30"/>
  <c r="K6" i="30"/>
  <c r="L6" i="30"/>
  <c r="D9" i="30"/>
  <c r="K9" i="30"/>
  <c r="L9" i="30"/>
  <c r="D12" i="30"/>
  <c r="K12" i="30"/>
  <c r="L12" i="30"/>
  <c r="D15" i="30"/>
  <c r="K15" i="30"/>
  <c r="L15" i="30"/>
  <c r="D18" i="30"/>
  <c r="K18" i="30"/>
  <c r="L18" i="30"/>
  <c r="D19" i="30"/>
  <c r="K19" i="30"/>
  <c r="L19" i="30"/>
  <c r="D22" i="30"/>
  <c r="K22" i="30"/>
  <c r="L22" i="30"/>
  <c r="D25" i="30"/>
  <c r="K25" i="30"/>
  <c r="L25" i="30"/>
  <c r="D6" i="29"/>
  <c r="K6" i="29"/>
  <c r="L6" i="29"/>
  <c r="D6" i="28"/>
  <c r="O6" i="28"/>
  <c r="P6" i="28"/>
  <c r="D6" i="27" l="1"/>
  <c r="I6" i="27"/>
  <c r="J6" i="27"/>
  <c r="D6" i="26"/>
  <c r="I6" i="26"/>
  <c r="J6" i="26"/>
  <c r="D6" i="25"/>
  <c r="I6" i="25"/>
  <c r="J6" i="25"/>
  <c r="D6" i="24"/>
  <c r="I6" i="24"/>
  <c r="J6" i="24"/>
  <c r="D7" i="24"/>
  <c r="I7" i="24"/>
  <c r="J7" i="24"/>
  <c r="D6" i="23"/>
  <c r="I6" i="23"/>
  <c r="J6" i="23"/>
  <c r="D7" i="23"/>
  <c r="I7" i="23"/>
  <c r="J7" i="23"/>
  <c r="D8" i="23"/>
  <c r="I8" i="23"/>
  <c r="J8" i="23"/>
  <c r="D6" i="22"/>
  <c r="I6" i="22"/>
  <c r="J6" i="22"/>
  <c r="D6" i="21" l="1"/>
  <c r="S6" i="21"/>
  <c r="T6" i="21"/>
  <c r="D6" i="20"/>
  <c r="S6" i="20"/>
  <c r="T6" i="20"/>
  <c r="D9" i="20"/>
  <c r="S9" i="20"/>
  <c r="T9" i="20"/>
  <c r="D6" i="19"/>
  <c r="S6" i="19"/>
  <c r="T6" i="19"/>
  <c r="D9" i="19"/>
  <c r="S9" i="19"/>
  <c r="T9" i="19"/>
  <c r="D12" i="19"/>
  <c r="S12" i="19"/>
  <c r="T12" i="19"/>
  <c r="D15" i="19"/>
  <c r="S15" i="19"/>
  <c r="T15" i="19"/>
  <c r="D16" i="19"/>
  <c r="S16" i="19"/>
  <c r="T16" i="19"/>
  <c r="D19" i="19"/>
  <c r="S19" i="19"/>
  <c r="T19" i="19"/>
  <c r="D20" i="19"/>
  <c r="S20" i="19"/>
  <c r="T20" i="19"/>
  <c r="D21" i="19"/>
  <c r="S21" i="19"/>
  <c r="T21" i="19"/>
  <c r="D24" i="19"/>
  <c r="S24" i="19"/>
  <c r="T24" i="19"/>
  <c r="D27" i="19"/>
  <c r="S27" i="19"/>
  <c r="T27" i="19"/>
  <c r="D28" i="19"/>
  <c r="S28" i="19"/>
  <c r="T28" i="19"/>
  <c r="D31" i="19"/>
  <c r="S31" i="19"/>
  <c r="T31" i="19"/>
  <c r="D34" i="19"/>
  <c r="S34" i="19"/>
  <c r="T34" i="19"/>
  <c r="D37" i="19"/>
  <c r="S37" i="19"/>
  <c r="T37" i="19"/>
  <c r="D6" i="18"/>
  <c r="S6" i="18"/>
  <c r="T6" i="18"/>
  <c r="D9" i="18"/>
  <c r="S9" i="18"/>
  <c r="T9" i="18"/>
  <c r="D12" i="18"/>
  <c r="S12" i="18"/>
  <c r="T12" i="18"/>
  <c r="D15" i="18"/>
  <c r="S15" i="18"/>
  <c r="T15" i="18"/>
  <c r="D18" i="18"/>
  <c r="S18" i="18"/>
  <c r="T18" i="18"/>
  <c r="D6" i="17"/>
  <c r="K6" i="17"/>
  <c r="L6" i="17"/>
  <c r="D9" i="17"/>
  <c r="K9" i="17"/>
  <c r="L9" i="17"/>
  <c r="D12" i="17"/>
  <c r="K12" i="17"/>
  <c r="L12" i="17"/>
  <c r="D15" i="17"/>
  <c r="K15" i="17"/>
  <c r="L15" i="17"/>
  <c r="D18" i="17"/>
  <c r="K18" i="17"/>
  <c r="L18" i="17"/>
  <c r="D21" i="17"/>
  <c r="K21" i="17"/>
  <c r="L21" i="17"/>
  <c r="D22" i="17"/>
  <c r="K22" i="17"/>
  <c r="L22" i="17"/>
  <c r="D23" i="17"/>
  <c r="K23" i="17"/>
  <c r="L23" i="17"/>
  <c r="D24" i="17"/>
  <c r="K24" i="17"/>
  <c r="L24" i="17"/>
  <c r="D27" i="17"/>
  <c r="K27" i="17"/>
  <c r="L27" i="17"/>
  <c r="D28" i="17"/>
  <c r="K28" i="17"/>
  <c r="L28" i="17"/>
  <c r="D29" i="17"/>
  <c r="K29" i="17"/>
  <c r="L29" i="17"/>
  <c r="D30" i="17"/>
  <c r="K30" i="17"/>
  <c r="L30" i="17"/>
  <c r="D33" i="17"/>
  <c r="K33" i="17"/>
  <c r="L33" i="17"/>
  <c r="D34" i="17"/>
  <c r="K34" i="17"/>
  <c r="L34" i="17"/>
  <c r="D35" i="17"/>
  <c r="K35" i="17"/>
  <c r="L35" i="17"/>
  <c r="D38" i="17"/>
  <c r="K38" i="17"/>
  <c r="L38" i="17"/>
  <c r="D39" i="17"/>
  <c r="K39" i="17"/>
  <c r="L39" i="17"/>
  <c r="D40" i="17"/>
  <c r="K40" i="17"/>
  <c r="L40" i="17"/>
  <c r="D41" i="17"/>
  <c r="K41" i="17"/>
  <c r="L41" i="17"/>
  <c r="D42" i="17"/>
  <c r="K42" i="17"/>
  <c r="L42" i="17"/>
  <c r="D45" i="17"/>
  <c r="K45" i="17"/>
  <c r="L45" i="17"/>
  <c r="D46" i="17"/>
  <c r="K46" i="17"/>
  <c r="L46" i="17"/>
  <c r="D6" i="16"/>
  <c r="K6" i="16"/>
  <c r="L6" i="16"/>
  <c r="D9" i="16"/>
  <c r="K9" i="16"/>
  <c r="L9" i="16"/>
  <c r="D10" i="16"/>
  <c r="K10" i="16"/>
  <c r="L10" i="16"/>
  <c r="D11" i="16"/>
  <c r="K11" i="16"/>
  <c r="L11" i="16"/>
  <c r="D14" i="16"/>
  <c r="K14" i="16"/>
  <c r="L14" i="16"/>
  <c r="D15" i="16"/>
  <c r="K15" i="16"/>
  <c r="L15" i="16"/>
  <c r="D6" i="15"/>
  <c r="K6" i="15"/>
  <c r="L6" i="15"/>
  <c r="D6" i="14"/>
  <c r="K6" i="14"/>
  <c r="L6" i="14"/>
  <c r="D9" i="14"/>
  <c r="K9" i="14"/>
  <c r="L9" i="14"/>
  <c r="D12" i="14"/>
  <c r="K12" i="14"/>
  <c r="L12" i="14"/>
  <c r="D15" i="14"/>
  <c r="K15" i="14"/>
  <c r="L15" i="14"/>
  <c r="D16" i="14"/>
  <c r="K16" i="14"/>
  <c r="L16" i="14"/>
  <c r="D19" i="14"/>
  <c r="K19" i="14"/>
  <c r="L19" i="14"/>
  <c r="D22" i="14"/>
  <c r="K22" i="14"/>
  <c r="L22" i="14"/>
  <c r="D23" i="14"/>
  <c r="K23" i="14"/>
  <c r="L23" i="14"/>
  <c r="D26" i="14"/>
  <c r="K26" i="14"/>
  <c r="L26" i="14"/>
  <c r="D27" i="14"/>
  <c r="K27" i="14"/>
  <c r="L27" i="14"/>
  <c r="D30" i="14"/>
  <c r="K30" i="14"/>
  <c r="L30" i="14"/>
  <c r="D31" i="14"/>
  <c r="K31" i="14"/>
  <c r="L31" i="14"/>
  <c r="D32" i="14"/>
  <c r="K32" i="14"/>
  <c r="L32" i="14"/>
  <c r="D35" i="14"/>
  <c r="K35" i="14"/>
  <c r="L35" i="14"/>
  <c r="D36" i="14"/>
  <c r="K36" i="14"/>
  <c r="L36" i="14"/>
  <c r="D37" i="14"/>
  <c r="K37" i="14"/>
  <c r="L37" i="14"/>
  <c r="D38" i="14"/>
  <c r="K38" i="14"/>
  <c r="L38" i="14"/>
  <c r="D39" i="14"/>
  <c r="K39" i="14"/>
  <c r="L39" i="14"/>
  <c r="D42" i="14"/>
  <c r="K42" i="14"/>
  <c r="L42" i="14"/>
  <c r="D43" i="14"/>
  <c r="K43" i="14"/>
  <c r="L43" i="14"/>
  <c r="D44" i="14"/>
  <c r="K44" i="14"/>
  <c r="L44" i="14"/>
  <c r="D47" i="14"/>
  <c r="K47" i="14"/>
  <c r="L47" i="14"/>
  <c r="D50" i="14"/>
  <c r="K50" i="14"/>
  <c r="L50" i="14"/>
  <c r="D6" i="13"/>
  <c r="K6" i="13"/>
  <c r="L6" i="13"/>
  <c r="D9" i="13"/>
  <c r="K9" i="13"/>
  <c r="L9" i="13"/>
  <c r="D12" i="13"/>
  <c r="K12" i="13"/>
  <c r="L12" i="13"/>
  <c r="D15" i="13"/>
  <c r="K15" i="13"/>
  <c r="L15" i="13"/>
  <c r="D18" i="13"/>
  <c r="K18" i="13"/>
  <c r="L18" i="13"/>
  <c r="D6" i="12"/>
  <c r="K6" i="12"/>
  <c r="L6" i="12"/>
  <c r="D9" i="12"/>
  <c r="K9" i="12"/>
  <c r="L9" i="12"/>
  <c r="D12" i="12"/>
  <c r="K12" i="12"/>
  <c r="L12" i="12"/>
  <c r="D6" i="11"/>
  <c r="K6" i="11"/>
  <c r="L6" i="11"/>
  <c r="D6" i="10"/>
  <c r="K6" i="10"/>
  <c r="L6" i="10"/>
  <c r="J6" i="8" l="1"/>
  <c r="I6" i="8"/>
  <c r="D6" i="8"/>
  <c r="J10" i="7"/>
  <c r="I10" i="7"/>
  <c r="D10" i="7"/>
  <c r="J7" i="7"/>
  <c r="I7" i="7"/>
  <c r="D7" i="7"/>
  <c r="J6" i="7"/>
  <c r="I6" i="7"/>
  <c r="D6" i="7"/>
  <c r="J12" i="6"/>
  <c r="I12" i="6"/>
  <c r="D12" i="6"/>
  <c r="J9" i="6"/>
  <c r="I9" i="6"/>
  <c r="D9" i="6"/>
  <c r="J6" i="6"/>
  <c r="I6" i="6"/>
  <c r="D6" i="6"/>
  <c r="J12" i="5"/>
  <c r="I12" i="5"/>
  <c r="D12" i="5"/>
  <c r="J9" i="5"/>
  <c r="I9" i="5"/>
  <c r="D9" i="5"/>
  <c r="J6" i="5"/>
  <c r="I6" i="5"/>
  <c r="D6" i="5"/>
</calcChain>
</file>

<file path=xl/sharedStrings.xml><?xml version="1.0" encoding="utf-8"?>
<sst xmlns="http://schemas.openxmlformats.org/spreadsheetml/2006/main" count="2670" uniqueCount="786">
  <si>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</si>
  <si>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</si>
  <si>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</si>
  <si>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</si>
  <si>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</si>
  <si>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</si>
  <si>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</si>
  <si>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</si>
  <si>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</si>
  <si>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</si>
  <si>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</si>
  <si>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I этап Кубка Мира по силовым видам спорта + мног-ый жим / тяга
Любители народный жим (1 вес)
Краснодар/Краснодарский край 17 - 18 апреля 2021 г.</t>
  </si>
  <si>
    <t>НАП Н.Ж.</t>
  </si>
  <si>
    <t>Народный жим</t>
  </si>
  <si>
    <t>ВЕСОВАЯ КАТЕГОРИЯ   67.5</t>
  </si>
  <si>
    <t>Коваленко Михаил</t>
  </si>
  <si>
    <t>1. Коваленко Михаил</t>
  </si>
  <si>
    <t>Открытая (27.02.1988)/33</t>
  </si>
  <si>
    <t>64,80</t>
  </si>
  <si>
    <t xml:space="preserve">Light fit </t>
  </si>
  <si>
    <t xml:space="preserve">Краснодар/Краснодарский край </t>
  </si>
  <si>
    <t>65,0</t>
  </si>
  <si>
    <t>36,0</t>
  </si>
  <si>
    <t xml:space="preserve"> </t>
  </si>
  <si>
    <t>ВЕСОВАЯ КАТЕГОРИЯ   75</t>
  </si>
  <si>
    <t>Дворкин Леонид</t>
  </si>
  <si>
    <t>1. Дворкин Леонид</t>
  </si>
  <si>
    <t>Мастера 80+ (23.01.1941)/80</t>
  </si>
  <si>
    <t>75,00</t>
  </si>
  <si>
    <t xml:space="preserve">Проф-фитнес </t>
  </si>
  <si>
    <t>75,0</t>
  </si>
  <si>
    <t>11,0</t>
  </si>
  <si>
    <t xml:space="preserve">Авраменко О. </t>
  </si>
  <si>
    <t>ВЕСОВАЯ КАТЕГОРИЯ   110</t>
  </si>
  <si>
    <t>Доронин Игорь</t>
  </si>
  <si>
    <t>1. Доронин Игорь</t>
  </si>
  <si>
    <t>Мастера 40 - 44 (04.05.1980)/40</t>
  </si>
  <si>
    <t>110,00</t>
  </si>
  <si>
    <t xml:space="preserve">Доронин И </t>
  </si>
  <si>
    <t xml:space="preserve">Ейск/Краснодарский край </t>
  </si>
  <si>
    <t>110,0</t>
  </si>
  <si>
    <t>18,0</t>
  </si>
  <si>
    <t xml:space="preserve">Шаболовский Александр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</si>
  <si>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</si>
  <si>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</si>
  <si>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</si>
  <si>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</si>
  <si>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</si>
  <si>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</si>
  <si>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</si>
  <si>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</si>
  <si>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</si>
  <si>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</si>
  <si>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</si>
  <si>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</si>
  <si>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НАП Н.Ж. </t>
  </si>
  <si>
    <t>67.5</t>
  </si>
  <si>
    <t>2340,0</t>
  </si>
  <si>
    <t>2022,2280</t>
  </si>
  <si>
    <t xml:space="preserve">Мастера </t>
  </si>
  <si>
    <t xml:space="preserve">Мастера 40 - 44 </t>
  </si>
  <si>
    <t>110</t>
  </si>
  <si>
    <t>1980,0</t>
  </si>
  <si>
    <t>1268,1900</t>
  </si>
  <si>
    <t xml:space="preserve">Мастера 80+ </t>
  </si>
  <si>
    <t>75</t>
  </si>
  <si>
    <t>825,0</t>
  </si>
  <si>
    <t>649,2750</t>
  </si>
  <si>
    <t>Тоннаж</t>
  </si>
  <si>
    <t>I этап Кубка Мира по силовым видам спорта + мног-ый жим / тяга
Профессионалы народный жим (1 вес)
Краснодар/Краснодарский край 17 - 18 апреля 2021 г.</t>
  </si>
  <si>
    <t>Хашиев Микаил</t>
  </si>
  <si>
    <t>1. Хашиев Микаил</t>
  </si>
  <si>
    <t>Юноши 16 - 17 (28.05.2004)/16</t>
  </si>
  <si>
    <t>74,70</t>
  </si>
  <si>
    <t xml:space="preserve">Карабулак </t>
  </si>
  <si>
    <t xml:space="preserve">Карабулак/Ингушетия </t>
  </si>
  <si>
    <t>20,0</t>
  </si>
  <si>
    <t xml:space="preserve">Оздоев Тимерхан </t>
  </si>
  <si>
    <t>ВЕСОВАЯ КАТЕГОРИЯ   100</t>
  </si>
  <si>
    <t>Шибзухов Валерий</t>
  </si>
  <si>
    <t>1. Шибзухов Валерий</t>
  </si>
  <si>
    <t>Открытая (18.12.1994)/26</t>
  </si>
  <si>
    <t>100,00</t>
  </si>
  <si>
    <t xml:space="preserve">лично </t>
  </si>
  <si>
    <t xml:space="preserve">Нальчик/Кабардино-Балкария </t>
  </si>
  <si>
    <t>100,0</t>
  </si>
  <si>
    <t>26,0</t>
  </si>
  <si>
    <t>Кодзоев Магомед</t>
  </si>
  <si>
    <t>1. Кодзоев Магомед</t>
  </si>
  <si>
    <t>Открытая (22.06.1985)/35</t>
  </si>
  <si>
    <t>31,0</t>
  </si>
  <si>
    <t xml:space="preserve">Оздоев Тимур </t>
  </si>
  <si>
    <t xml:space="preserve">Юноши </t>
  </si>
  <si>
    <t xml:space="preserve">Юноши 16 - 17 </t>
  </si>
  <si>
    <t>1500,0</t>
  </si>
  <si>
    <t>1185,3000</t>
  </si>
  <si>
    <t>3410,0</t>
  </si>
  <si>
    <t>2184,1050</t>
  </si>
  <si>
    <t>100</t>
  </si>
  <si>
    <t>2600,0</t>
  </si>
  <si>
    <t>1720,6801</t>
  </si>
  <si>
    <t>I этап Кубка Мира по силовым видам спорта + мног-ый жим / тяга
Любители народная становая тяга
Краснодар/Краснодарский край 17 - 18 апреля 2021 г.</t>
  </si>
  <si>
    <t>Народная становая</t>
  </si>
  <si>
    <t>Масляков Сергей</t>
  </si>
  <si>
    <t>1. Масляков Сергей</t>
  </si>
  <si>
    <t>Открытая (14.03.1970)/51</t>
  </si>
  <si>
    <t>71,20</t>
  </si>
  <si>
    <t xml:space="preserve">Старжим </t>
  </si>
  <si>
    <t xml:space="preserve">Староминская/Краснодарский край </t>
  </si>
  <si>
    <t>107,5</t>
  </si>
  <si>
    <t xml:space="preserve">Кожушний </t>
  </si>
  <si>
    <t>Мастера 50 - 54 (14.03.1970)/51</t>
  </si>
  <si>
    <t>ВЕСОВАЯ КАТЕГОРИЯ   90</t>
  </si>
  <si>
    <t>Кожушний Андрей</t>
  </si>
  <si>
    <t>1. Кожушний Андрей</t>
  </si>
  <si>
    <t>Мастера 40 - 44 (14.04.1979)/42</t>
  </si>
  <si>
    <t>85,90</t>
  </si>
  <si>
    <t>130,0</t>
  </si>
  <si>
    <t>15,0</t>
  </si>
  <si>
    <t xml:space="preserve">Масляков Сергей Викторович </t>
  </si>
  <si>
    <t>6987,5</t>
  </si>
  <si>
    <t>5792,6375</t>
  </si>
  <si>
    <t xml:space="preserve">Мастера 50 - 54 </t>
  </si>
  <si>
    <t>90</t>
  </si>
  <si>
    <t>1950,0</t>
  </si>
  <si>
    <t>1458,2100</t>
  </si>
  <si>
    <t>I этап Кубка Мира по силовым видам спорта + мног-ый жим / тяга
Любители Военный жим многоповторный
Краснодар/Краснодарский край 17 - 18 апреля 2021 г.</t>
  </si>
  <si>
    <t>Мн.повт. жим</t>
  </si>
  <si>
    <t>Шурунов Сергей</t>
  </si>
  <si>
    <t>1. Шурунов Сергей</t>
  </si>
  <si>
    <t>Мастера 60 - 64 (17.03.1959)/62</t>
  </si>
  <si>
    <t>88,10</t>
  </si>
  <si>
    <t xml:space="preserve">Шурунов С </t>
  </si>
  <si>
    <t xml:space="preserve">Сочи/Краснодарский край </t>
  </si>
  <si>
    <t>90,0</t>
  </si>
  <si>
    <t>12,0</t>
  </si>
  <si>
    <t xml:space="preserve">Мастера 60 - 64 </t>
  </si>
  <si>
    <t>1080,0</t>
  </si>
  <si>
    <t>787,4280</t>
  </si>
  <si>
    <t>150,2325</t>
  </si>
  <si>
    <t>275,0</t>
  </si>
  <si>
    <t>Ляшко Василий</t>
  </si>
  <si>
    <t xml:space="preserve">Shv/Mel </t>
  </si>
  <si>
    <t>260,0</t>
  </si>
  <si>
    <t xml:space="preserve">Северская/Краснодарский край </t>
  </si>
  <si>
    <t xml:space="preserve">Lyashko Team </t>
  </si>
  <si>
    <t>103,60</t>
  </si>
  <si>
    <t>Открытая (15.07.1982)/38</t>
  </si>
  <si>
    <t>1. Ляшко Василий</t>
  </si>
  <si>
    <t>Результат</t>
  </si>
  <si>
    <t>Приседание</t>
  </si>
  <si>
    <t>Shv/Mel</t>
  </si>
  <si>
    <t>I этап Кубка Мира по силовым видам спорта
ПРО присед в софт экипировке
Краснодар/Краснодарский край 17 - 18 апреля 2021 г.</t>
  </si>
  <si>
    <t>149,5228</t>
  </si>
  <si>
    <t>215,0</t>
  </si>
  <si>
    <t>Карацев Марат</t>
  </si>
  <si>
    <t xml:space="preserve">Ляшко Василий </t>
  </si>
  <si>
    <t>210,0</t>
  </si>
  <si>
    <t>105,50</t>
  </si>
  <si>
    <t>Мастера 50 - 54 (26.01.1968)/53</t>
  </si>
  <si>
    <t>1. Карацев Марат</t>
  </si>
  <si>
    <t>I этап Кубка Мира по силовым видам спорта
Любители присед в софт экипировке
Краснодар/Краснодарский край 17 - 18 апреля 2021 г.</t>
  </si>
  <si>
    <t>131,0838</t>
  </si>
  <si>
    <t>220,0</t>
  </si>
  <si>
    <t>Баранов Василий</t>
  </si>
  <si>
    <t>113,4210</t>
  </si>
  <si>
    <t>Барсуков Юрий</t>
  </si>
  <si>
    <t>77,4810</t>
  </si>
  <si>
    <t>60</t>
  </si>
  <si>
    <t>Семихова Ольга</t>
  </si>
  <si>
    <t xml:space="preserve">Женщины </t>
  </si>
  <si>
    <t xml:space="preserve">Лянгузов Д.Н. </t>
  </si>
  <si>
    <t>225,0</t>
  </si>
  <si>
    <t xml:space="preserve">Геленджик/Краснодарский край </t>
  </si>
  <si>
    <t xml:space="preserve">Gelendgym </t>
  </si>
  <si>
    <t>107,30</t>
  </si>
  <si>
    <t>Открытая (15.12.1979)/41</t>
  </si>
  <si>
    <t>1. Барсуков Юрий</t>
  </si>
  <si>
    <t xml:space="preserve">Кондратьев В.М. </t>
  </si>
  <si>
    <t>200,0</t>
  </si>
  <si>
    <t xml:space="preserve">Горячий Ключ/Краснодарский край </t>
  </si>
  <si>
    <t xml:space="preserve">СК Здоровяк </t>
  </si>
  <si>
    <t>90,00</t>
  </si>
  <si>
    <t>Мастера 40 - 44 (05.12.1977)/43</t>
  </si>
  <si>
    <t>1. Баранов Василий</t>
  </si>
  <si>
    <t xml:space="preserve">Кондратьев В М </t>
  </si>
  <si>
    <t>95,0</t>
  </si>
  <si>
    <t>60,00</t>
  </si>
  <si>
    <t>Открытая (01.09.1983)/37</t>
  </si>
  <si>
    <t>1. Семихова Ольга</t>
  </si>
  <si>
    <t>ВЕСОВАЯ КАТЕГОРИЯ   60</t>
  </si>
  <si>
    <t>I этап Кубка Мира по силовым видам спорта
Любители присед без экипировки
Краснодар/Краснодарский край 17 - 18 апреля 2021 г.</t>
  </si>
  <si>
    <t>140,4700</t>
  </si>
  <si>
    <t>140</t>
  </si>
  <si>
    <t>Макеев Денис</t>
  </si>
  <si>
    <t>142,5690</t>
  </si>
  <si>
    <t>Арутюнов Артур</t>
  </si>
  <si>
    <t>153,2180</t>
  </si>
  <si>
    <t>Корсунов Илья</t>
  </si>
  <si>
    <t>162,4800</t>
  </si>
  <si>
    <t>300,0</t>
  </si>
  <si>
    <t>Касимов Феликс</t>
  </si>
  <si>
    <t>82,9815</t>
  </si>
  <si>
    <t>105,0</t>
  </si>
  <si>
    <t>Сидорович Маргарита</t>
  </si>
  <si>
    <t xml:space="preserve">Курлов И.Н. </t>
  </si>
  <si>
    <t>285,0</t>
  </si>
  <si>
    <t xml:space="preserve">Таганрог/Ростовская область </t>
  </si>
  <si>
    <t xml:space="preserve">Макеев Д </t>
  </si>
  <si>
    <t>133,50</t>
  </si>
  <si>
    <t>Открытая (22.04.1983)/37</t>
  </si>
  <si>
    <t>1. Макеев Денис</t>
  </si>
  <si>
    <t>ВЕСОВАЯ КАТЕГОРИЯ   140</t>
  </si>
  <si>
    <t>310,0</t>
  </si>
  <si>
    <t>280,0</t>
  </si>
  <si>
    <t>106,30</t>
  </si>
  <si>
    <t>Открытая (29.03.1993)/28</t>
  </si>
  <si>
    <t>1. Касимов Феликс</t>
  </si>
  <si>
    <t xml:space="preserve">Грибов А. </t>
  </si>
  <si>
    <t>240,0</t>
  </si>
  <si>
    <t xml:space="preserve">Lightfit </t>
  </si>
  <si>
    <t>89,00</t>
  </si>
  <si>
    <t>Открытая (27.06.1990)/30</t>
  </si>
  <si>
    <t>1. Корсунов Илья</t>
  </si>
  <si>
    <t xml:space="preserve">Полтавская/Краснодарский край </t>
  </si>
  <si>
    <t xml:space="preserve">Арутюнов А </t>
  </si>
  <si>
    <t>73,00</t>
  </si>
  <si>
    <t>Открытая (24.06.1987)/33</t>
  </si>
  <si>
    <t>1. Арутюнов Артур</t>
  </si>
  <si>
    <t xml:space="preserve">Ставрополь/Ставропольский край </t>
  </si>
  <si>
    <t xml:space="preserve">Перец </t>
  </si>
  <si>
    <t>66,40</t>
  </si>
  <si>
    <t>Открытая (17.07.1991)/29</t>
  </si>
  <si>
    <t>1. Сидорович Маргарита</t>
  </si>
  <si>
    <t>Становая тяга</t>
  </si>
  <si>
    <t>I этап Кубка Мира по силовым видам спорта
ПРО становая тяга без экипировки
Краснодар/Краснодарский край 17 - 18 апреля 2021 г.</t>
  </si>
  <si>
    <t>108,2250</t>
  </si>
  <si>
    <t>195,0</t>
  </si>
  <si>
    <t>Гадиев Казбек</t>
  </si>
  <si>
    <t>133,3898</t>
  </si>
  <si>
    <t>250,0</t>
  </si>
  <si>
    <t>125</t>
  </si>
  <si>
    <t>Ткач Евгений</t>
  </si>
  <si>
    <t>146,0455</t>
  </si>
  <si>
    <t>107,1052</t>
  </si>
  <si>
    <t>172,5</t>
  </si>
  <si>
    <t>82.5</t>
  </si>
  <si>
    <t>Бородаенко Александр</t>
  </si>
  <si>
    <t>118,0655</t>
  </si>
  <si>
    <t>197,5</t>
  </si>
  <si>
    <t>Голубков Александр</t>
  </si>
  <si>
    <t>122,2797</t>
  </si>
  <si>
    <t>207,5</t>
  </si>
  <si>
    <t>Кондратенко Константин</t>
  </si>
  <si>
    <t>131,6925</t>
  </si>
  <si>
    <t>Оздоев Адам</t>
  </si>
  <si>
    <t>135,3392</t>
  </si>
  <si>
    <t>242,5</t>
  </si>
  <si>
    <t>Бабич Сергей</t>
  </si>
  <si>
    <t>137,8850</t>
  </si>
  <si>
    <t>230,0</t>
  </si>
  <si>
    <t>Кисель Александр</t>
  </si>
  <si>
    <t>147,7883</t>
  </si>
  <si>
    <t>252,5</t>
  </si>
  <si>
    <t>Шаляпин Владимир</t>
  </si>
  <si>
    <t>149,5125</t>
  </si>
  <si>
    <t>Петров Сергей</t>
  </si>
  <si>
    <t>112,8651</t>
  </si>
  <si>
    <t>147,5</t>
  </si>
  <si>
    <t xml:space="preserve">Юниоры 20 - 23 </t>
  </si>
  <si>
    <t>Комаров Илья</t>
  </si>
  <si>
    <t>140,5350</t>
  </si>
  <si>
    <t>Читаия Анатолий</t>
  </si>
  <si>
    <t xml:space="preserve">Юниоры </t>
  </si>
  <si>
    <t>124,0099</t>
  </si>
  <si>
    <t>155,0</t>
  </si>
  <si>
    <t>Инкин Никита</t>
  </si>
  <si>
    <t>93,7440</t>
  </si>
  <si>
    <t>120,0</t>
  </si>
  <si>
    <t>Омельянчук Екатерина</t>
  </si>
  <si>
    <t>150,1492</t>
  </si>
  <si>
    <t>137,5</t>
  </si>
  <si>
    <t xml:space="preserve">Мастера 55 - 59 </t>
  </si>
  <si>
    <t>Уварова Любовь</t>
  </si>
  <si>
    <t>80,0975</t>
  </si>
  <si>
    <t>115,0</t>
  </si>
  <si>
    <t>Бабич Алена</t>
  </si>
  <si>
    <t>103,6080</t>
  </si>
  <si>
    <t>Бородаенко Екатерина</t>
  </si>
  <si>
    <t>113,9765</t>
  </si>
  <si>
    <t>48</t>
  </si>
  <si>
    <t>Шаляпина Наталья</t>
  </si>
  <si>
    <t>114,6154</t>
  </si>
  <si>
    <t>117,5</t>
  </si>
  <si>
    <t>52</t>
  </si>
  <si>
    <t>Вьюхина Надежда</t>
  </si>
  <si>
    <t>235,0</t>
  </si>
  <si>
    <t>118,00</t>
  </si>
  <si>
    <t>Мастера 40 - 44 (18.08.1978)/42</t>
  </si>
  <si>
    <t>1. Ткач Евгений</t>
  </si>
  <si>
    <t>ВЕСОВАЯ КАТЕГОРИЯ   125</t>
  </si>
  <si>
    <t xml:space="preserve">Армашевский Михаил </t>
  </si>
  <si>
    <t>205,0</t>
  </si>
  <si>
    <t>185,0</t>
  </si>
  <si>
    <t xml:space="preserve">Белореченск/Краснодарский край </t>
  </si>
  <si>
    <t xml:space="preserve">Гадиев К </t>
  </si>
  <si>
    <t>99,60</t>
  </si>
  <si>
    <t>Мастера 40 - 44 (30.05.1980)/40</t>
  </si>
  <si>
    <t>1. Гадиев Казбек</t>
  </si>
  <si>
    <t xml:space="preserve">Тюриков Олег </t>
  </si>
  <si>
    <t xml:space="preserve">Армавир/Краснодарский край </t>
  </si>
  <si>
    <t xml:space="preserve">Соколов И </t>
  </si>
  <si>
    <t>98,80</t>
  </si>
  <si>
    <t>Открытая (12.08.1986)/34</t>
  </si>
  <si>
    <t>-. Соколов Игорь</t>
  </si>
  <si>
    <t>245,0</t>
  </si>
  <si>
    <t>98,40</t>
  </si>
  <si>
    <t>Открытая (24.02.1984)/37</t>
  </si>
  <si>
    <t>1. Бабич Сергей</t>
  </si>
  <si>
    <t>190,0</t>
  </si>
  <si>
    <t>180,0</t>
  </si>
  <si>
    <t>87,00</t>
  </si>
  <si>
    <t>Открытая (25.06.1987)/33</t>
  </si>
  <si>
    <t>5. Голубков Александр</t>
  </si>
  <si>
    <t>Открытая (04.01.1988)/33</t>
  </si>
  <si>
    <t>4. Кондратенко Константин</t>
  </si>
  <si>
    <t>Открытая (21.05.1990)/30</t>
  </si>
  <si>
    <t>3. Оздоев Адам</t>
  </si>
  <si>
    <t xml:space="preserve">Анапа/Краснодарский край </t>
  </si>
  <si>
    <t xml:space="preserve">Кисель А </t>
  </si>
  <si>
    <t>86,60</t>
  </si>
  <si>
    <t>Открытая (02.03.1982)/39</t>
  </si>
  <si>
    <t>2. Кисель Александр</t>
  </si>
  <si>
    <t>Открытая (26.01.1985)/36</t>
  </si>
  <si>
    <t>1. Шаляпин Владимир</t>
  </si>
  <si>
    <t xml:space="preserve">Джураев Г </t>
  </si>
  <si>
    <t>79,50</t>
  </si>
  <si>
    <t>Мастера 60 - 64 (22.07.1956)/64</t>
  </si>
  <si>
    <t>-. Джураев Габдулла</t>
  </si>
  <si>
    <t>165,0</t>
  </si>
  <si>
    <t>82,20</t>
  </si>
  <si>
    <t>Открытая (17.01.1983)/38</t>
  </si>
  <si>
    <t>1. Бородаенко Александр</t>
  </si>
  <si>
    <t xml:space="preserve">СК Арена </t>
  </si>
  <si>
    <t>81,50</t>
  </si>
  <si>
    <t>Юниоры 20 - 23 (05.12.1997)/23</t>
  </si>
  <si>
    <t>1. Читаия Анатолий</t>
  </si>
  <si>
    <t>ВЕСОВАЯ КАТЕГОРИЯ   82.5</t>
  </si>
  <si>
    <t xml:space="preserve">Усть-Лабинск/Краснодарский край </t>
  </si>
  <si>
    <t xml:space="preserve">Севостьянов Я </t>
  </si>
  <si>
    <t>73,80</t>
  </si>
  <si>
    <t>Открытая (04.09.1991)/29</t>
  </si>
  <si>
    <t>-. Севостьянов Яков</t>
  </si>
  <si>
    <t xml:space="preserve">Каргополь/Архангельская область </t>
  </si>
  <si>
    <t xml:space="preserve">Петров С </t>
  </si>
  <si>
    <t>Открытая (18.07.1985)/35</t>
  </si>
  <si>
    <t>1. Петров Сергей</t>
  </si>
  <si>
    <t xml:space="preserve">Читаия Анатолий </t>
  </si>
  <si>
    <t>140,0</t>
  </si>
  <si>
    <t>65,80</t>
  </si>
  <si>
    <t>Юниоры 20 - 23 (14.03.2001)/20</t>
  </si>
  <si>
    <t>1. Комаров Илья</t>
  </si>
  <si>
    <t>167,5</t>
  </si>
  <si>
    <t>145,0</t>
  </si>
  <si>
    <t>66,00</t>
  </si>
  <si>
    <t>Юноши 16 - 17 (01.04.2004)/17</t>
  </si>
  <si>
    <t>1. Инкин Никита</t>
  </si>
  <si>
    <t>78,80</t>
  </si>
  <si>
    <t>Открытая (07.02.1986)/35</t>
  </si>
  <si>
    <t>1. Бабич Алена</t>
  </si>
  <si>
    <t>66,30</t>
  </si>
  <si>
    <t>Мастера 55 - 59 (01.01.1966)/55</t>
  </si>
  <si>
    <t>1. Уварова Любовь</t>
  </si>
  <si>
    <t>80,0</t>
  </si>
  <si>
    <t xml:space="preserve">Мистер Мускул </t>
  </si>
  <si>
    <t>67,30</t>
  </si>
  <si>
    <t>Мастера 40 - 44 (09.11.1980)/40</t>
  </si>
  <si>
    <t>1. Омельянчук Екатерина</t>
  </si>
  <si>
    <t>59,80</t>
  </si>
  <si>
    <t>Открытая (06.02.1985)/36</t>
  </si>
  <si>
    <t>1. Бородаенко Екатерина</t>
  </si>
  <si>
    <t xml:space="preserve">Ухоботов Владимир </t>
  </si>
  <si>
    <t xml:space="preserve">Светогор ПРО </t>
  </si>
  <si>
    <t>51,60</t>
  </si>
  <si>
    <t>Открытая (17.03.1985)/36</t>
  </si>
  <si>
    <t>1. Вьюхина Надежда</t>
  </si>
  <si>
    <t>ВЕСОВАЯ КАТЕГОРИЯ   52</t>
  </si>
  <si>
    <t>47,90</t>
  </si>
  <si>
    <t>Открытая (27.04.1981)/39</t>
  </si>
  <si>
    <t>1. Шаляпина Наталья</t>
  </si>
  <si>
    <t>ВЕСОВАЯ КАТЕГОРИЯ   48</t>
  </si>
  <si>
    <t>I этап Кубка Мира по силовым видам спорта
Любители становая тяга без экипировки
Краснодар/Краснодарский край 17 - 18 апреля 2021 г.</t>
  </si>
  <si>
    <t>190,0781</t>
  </si>
  <si>
    <t>170,0</t>
  </si>
  <si>
    <t>Космынин Владимир</t>
  </si>
  <si>
    <t>160,0</t>
  </si>
  <si>
    <t xml:space="preserve">Кропоткин/Краснодарский край </t>
  </si>
  <si>
    <t xml:space="preserve">Spot-Leif </t>
  </si>
  <si>
    <t>72,90</t>
  </si>
  <si>
    <t>Мастера 60 - 64 (12.06.1960)/60</t>
  </si>
  <si>
    <t>1. Космынин Владимир</t>
  </si>
  <si>
    <t>Жим лёжа</t>
  </si>
  <si>
    <t>I этап Кубка Мира по силовым видам спорта
ПРО жим лежа в Софт экипировка многопетельная
Краснодар/Краснодарский край 17 - 18 апреля 2021 г.</t>
  </si>
  <si>
    <t>115,0713</t>
  </si>
  <si>
    <t>Колесник Сергей</t>
  </si>
  <si>
    <t>102,2390</t>
  </si>
  <si>
    <t>Баша Нур</t>
  </si>
  <si>
    <t>112,0150</t>
  </si>
  <si>
    <t>Заболотний Ярослав</t>
  </si>
  <si>
    <t>112,6650</t>
  </si>
  <si>
    <t>106,2800</t>
  </si>
  <si>
    <t>Бабакиев Микаил</t>
  </si>
  <si>
    <t>90,3910</t>
  </si>
  <si>
    <t xml:space="preserve">Заболотний Я </t>
  </si>
  <si>
    <t>125,00</t>
  </si>
  <si>
    <t>Открытая (02.06.1995)/25</t>
  </si>
  <si>
    <t>1. Заболотний Ярослав</t>
  </si>
  <si>
    <t>115,00</t>
  </si>
  <si>
    <t>Юниоры 20 - 23 (14.03.1998)/23</t>
  </si>
  <si>
    <t>1. Бабакиев Микаил</t>
  </si>
  <si>
    <t xml:space="preserve">Филипповская Светлана </t>
  </si>
  <si>
    <t xml:space="preserve">Ленинградская/Краснодарский край </t>
  </si>
  <si>
    <t xml:space="preserve">ZIBRA </t>
  </si>
  <si>
    <t>104,30</t>
  </si>
  <si>
    <t>Мастера 50 - 54 (27.01.1971)/50</t>
  </si>
  <si>
    <t>1. Колесник Сергей</t>
  </si>
  <si>
    <t>108,70</t>
  </si>
  <si>
    <t>Открытая (01.06.1995)/25</t>
  </si>
  <si>
    <t>2. Баша Нур</t>
  </si>
  <si>
    <t>I этап Кубка Мира по силовым видам спорта
ПРО жим лежа без экипировки
Краснодар/Краснодарский край 17 - 18 апреля 2021 г.</t>
  </si>
  <si>
    <t>68,7610</t>
  </si>
  <si>
    <t>Симиненко Сергей</t>
  </si>
  <si>
    <t>73,5375</t>
  </si>
  <si>
    <t>132,5</t>
  </si>
  <si>
    <t>88,1626</t>
  </si>
  <si>
    <t>162,5</t>
  </si>
  <si>
    <t>Брянцев Николай</t>
  </si>
  <si>
    <t>95,3337</t>
  </si>
  <si>
    <t>138,7476</t>
  </si>
  <si>
    <t>80,3300</t>
  </si>
  <si>
    <t>Ахметов Руслан</t>
  </si>
  <si>
    <t>90,2687</t>
  </si>
  <si>
    <t>Хортиев Руслан</t>
  </si>
  <si>
    <t>90,5125</t>
  </si>
  <si>
    <t>Соколов Игорь</t>
  </si>
  <si>
    <t>96,5650</t>
  </si>
  <si>
    <t>Акопян Артур</t>
  </si>
  <si>
    <t>96,8130</t>
  </si>
  <si>
    <t>Лянгузов Дмитрий</t>
  </si>
  <si>
    <t>100,3850</t>
  </si>
  <si>
    <t>Вартанов Даниел</t>
  </si>
  <si>
    <t>113,0010</t>
  </si>
  <si>
    <t>Степанюк Алексей</t>
  </si>
  <si>
    <t>95,8209</t>
  </si>
  <si>
    <t>Кушнаренко Даниил</t>
  </si>
  <si>
    <t>95,8546</t>
  </si>
  <si>
    <t>Сокирко Константин</t>
  </si>
  <si>
    <t>53,8777</t>
  </si>
  <si>
    <t>45,0</t>
  </si>
  <si>
    <t xml:space="preserve">Юноши 0-13 </t>
  </si>
  <si>
    <t>Вьюхин Денис</t>
  </si>
  <si>
    <t>70,5281</t>
  </si>
  <si>
    <t xml:space="preserve">Юноши 18 - 19 </t>
  </si>
  <si>
    <t>Аушев Калой</t>
  </si>
  <si>
    <t>79,7889</t>
  </si>
  <si>
    <t>70,0</t>
  </si>
  <si>
    <t>56</t>
  </si>
  <si>
    <t xml:space="preserve">Юноши 14-15 </t>
  </si>
  <si>
    <t>Лысенко Юрий</t>
  </si>
  <si>
    <t>83,2866</t>
  </si>
  <si>
    <t>Лойко Артем</t>
  </si>
  <si>
    <t>91,9266</t>
  </si>
  <si>
    <t>Токарев Денис</t>
  </si>
  <si>
    <t>51,2587</t>
  </si>
  <si>
    <t>50,0</t>
  </si>
  <si>
    <t>Максимова Елена</t>
  </si>
  <si>
    <t>48,2317</t>
  </si>
  <si>
    <t>52,5</t>
  </si>
  <si>
    <t>Григорьева Екатерина</t>
  </si>
  <si>
    <t>55,4242</t>
  </si>
  <si>
    <t>Захарова Анастасия</t>
  </si>
  <si>
    <t xml:space="preserve">Космынин В. </t>
  </si>
  <si>
    <t>109,00</t>
  </si>
  <si>
    <t>Мастера 40 - 44 (29.06.1978)/42</t>
  </si>
  <si>
    <t>1. Брянцев Николай</t>
  </si>
  <si>
    <t>Открытая (19.04.1982)/38</t>
  </si>
  <si>
    <t>1. Степанюк Алексей</t>
  </si>
  <si>
    <t xml:space="preserve">Чугунов Е.Г. </t>
  </si>
  <si>
    <t>150,0</t>
  </si>
  <si>
    <t xml:space="preserve">Лайт-Фит </t>
  </si>
  <si>
    <t>Открытая (22.12.1982)/38</t>
  </si>
  <si>
    <t>3. Ахметов Руслан</t>
  </si>
  <si>
    <t>99,40</t>
  </si>
  <si>
    <t>Открытая (07.05.1987)/33</t>
  </si>
  <si>
    <t>2. Хортиев Руслан</t>
  </si>
  <si>
    <t>1. Соколов Игорь</t>
  </si>
  <si>
    <t xml:space="preserve">Балтин Олег </t>
  </si>
  <si>
    <t xml:space="preserve">Арена </t>
  </si>
  <si>
    <t>95,40</t>
  </si>
  <si>
    <t>Юниоры 20 - 23 (04.01.1999)/22</t>
  </si>
  <si>
    <t>1. Сокирко Константин</t>
  </si>
  <si>
    <t xml:space="preserve">Каинов Иван </t>
  </si>
  <si>
    <t>177,5</t>
  </si>
  <si>
    <t xml:space="preserve">Высшая Лига </t>
  </si>
  <si>
    <t>88,70</t>
  </si>
  <si>
    <t>Открытая (06.10.1994)/26</t>
  </si>
  <si>
    <t>1. Вартанов Даниел</t>
  </si>
  <si>
    <t>88,90</t>
  </si>
  <si>
    <t>Юноши 18 - 19 (30.07.2001)/19</t>
  </si>
  <si>
    <t>1. Аушев Калой</t>
  </si>
  <si>
    <t xml:space="preserve">Протосеня Юрий </t>
  </si>
  <si>
    <t xml:space="preserve">Третьяков С </t>
  </si>
  <si>
    <t>81,60</t>
  </si>
  <si>
    <t>Мастера 40 - 44 (21.09.1977)/43</t>
  </si>
  <si>
    <t>-. Третьяков Сергей</t>
  </si>
  <si>
    <t>81,40</t>
  </si>
  <si>
    <t>Мастера 40 - 44 (23.05.1980)/40</t>
  </si>
  <si>
    <t>1. Симиненко Сергей</t>
  </si>
  <si>
    <t xml:space="preserve">Читаия Анатолия </t>
  </si>
  <si>
    <t>81,80</t>
  </si>
  <si>
    <t>Открытая (14.12.1993)/27</t>
  </si>
  <si>
    <t>2. Акопян Артур</t>
  </si>
  <si>
    <t xml:space="preserve">Рек А. </t>
  </si>
  <si>
    <t>142,5</t>
  </si>
  <si>
    <t>Открытая (15.11.1988)/32</t>
  </si>
  <si>
    <t>1. Лянгузов Дмитрий</t>
  </si>
  <si>
    <t>97,5</t>
  </si>
  <si>
    <t>92,5</t>
  </si>
  <si>
    <t xml:space="preserve">Кондратьев Василий Михайлович </t>
  </si>
  <si>
    <t>Юниоры 20 - 23 (31.01.2001)/20</t>
  </si>
  <si>
    <t>1. Кушнаренко Даниил</t>
  </si>
  <si>
    <t xml:space="preserve">Лойко И. Н. </t>
  </si>
  <si>
    <t>112,5</t>
  </si>
  <si>
    <t xml:space="preserve">Майкоп/Адыгея </t>
  </si>
  <si>
    <t xml:space="preserve">Лойко А </t>
  </si>
  <si>
    <t>74,40</t>
  </si>
  <si>
    <t>Юноши 18 - 19 (08.04.2003)/18</t>
  </si>
  <si>
    <t>1. Лойко Артем</t>
  </si>
  <si>
    <t>69,50</t>
  </si>
  <si>
    <t>Юноши 16 - 17 (19.02.2005)/16</t>
  </si>
  <si>
    <t>1. Токарев Денис</t>
  </si>
  <si>
    <t>53,20</t>
  </si>
  <si>
    <t>Юноши 14-15 (06.09.2006)/14</t>
  </si>
  <si>
    <t>1. Лысенко Юрий</t>
  </si>
  <si>
    <t>ВЕСОВАЯ КАТЕГОРИЯ   56</t>
  </si>
  <si>
    <t xml:space="preserve">Ухобтов Владимир </t>
  </si>
  <si>
    <t>47,5</t>
  </si>
  <si>
    <t>51,00</t>
  </si>
  <si>
    <t>Юноши 0-13 (16.07.2009)/11</t>
  </si>
  <si>
    <t>1. Вьюхин Денис</t>
  </si>
  <si>
    <t>55,0</t>
  </si>
  <si>
    <t xml:space="preserve">Донецк/ </t>
  </si>
  <si>
    <t xml:space="preserve">Григорьева Е </t>
  </si>
  <si>
    <t>55,50</t>
  </si>
  <si>
    <t>Открытая (19.05.1983)/37</t>
  </si>
  <si>
    <t>1. Григорьева Екатерина</t>
  </si>
  <si>
    <t>42,5</t>
  </si>
  <si>
    <t>50,40</t>
  </si>
  <si>
    <t>Мастера 40 - 44 (28.07.1976)/44</t>
  </si>
  <si>
    <t>1. Максимова Елена</t>
  </si>
  <si>
    <t xml:space="preserve">Космынин Владимир </t>
  </si>
  <si>
    <t>46,80</t>
  </si>
  <si>
    <t>Открытая (19.03.1995)/26</t>
  </si>
  <si>
    <t>1. Захарова Анастасия</t>
  </si>
  <si>
    <t>I этап Кубка Мира по силовым видам спорта
Любители жим лежа без экипировки
Краснодар/Краснодарский край 17 - 18 апреля 2021 г.</t>
  </si>
  <si>
    <t>397,8669</t>
  </si>
  <si>
    <t>625,0</t>
  </si>
  <si>
    <t>Шудрик Вячеслав</t>
  </si>
  <si>
    <t xml:space="preserve">Сумма </t>
  </si>
  <si>
    <t>302,0213</t>
  </si>
  <si>
    <t>537,5</t>
  </si>
  <si>
    <t>Христов Николай</t>
  </si>
  <si>
    <t>377,7250</t>
  </si>
  <si>
    <t>725,0</t>
  </si>
  <si>
    <t>387,4647</t>
  </si>
  <si>
    <t>657,5</t>
  </si>
  <si>
    <t>269,2580</t>
  </si>
  <si>
    <t>360,0</t>
  </si>
  <si>
    <t>Шибаева Ольга</t>
  </si>
  <si>
    <t>287,5</t>
  </si>
  <si>
    <t>270,0</t>
  </si>
  <si>
    <t>175,0</t>
  </si>
  <si>
    <t>105,60</t>
  </si>
  <si>
    <t>Мастера 50 - 54 (22.02.1971)/50</t>
  </si>
  <si>
    <t>1. Шудрик Вячеслав</t>
  </si>
  <si>
    <t xml:space="preserve">Шкаликов М.Н. </t>
  </si>
  <si>
    <t>212,5</t>
  </si>
  <si>
    <t>135,0</t>
  </si>
  <si>
    <t xml:space="preserve">Лайт Фит </t>
  </si>
  <si>
    <t>97,00</t>
  </si>
  <si>
    <t>Открытая (14.09.1988)/32</t>
  </si>
  <si>
    <t>1. Христов Николай</t>
  </si>
  <si>
    <t>152,5</t>
  </si>
  <si>
    <t>85,0</t>
  </si>
  <si>
    <t>82,5</t>
  </si>
  <si>
    <t>125,0</t>
  </si>
  <si>
    <t>74,50</t>
  </si>
  <si>
    <t>Мастера 40 - 44 (11.06.1976)/44</t>
  </si>
  <si>
    <t>1. Шибаева Ольга</t>
  </si>
  <si>
    <t>I этап Кубка Мира по силовым видам спорта
ПРО пауэрлифтинг без экипировки
Краснодар/Краснодарский край 17 - 18 апреля 2021 г.</t>
  </si>
  <si>
    <t>156,2750</t>
  </si>
  <si>
    <t>349,0511</t>
  </si>
  <si>
    <t>620,0</t>
  </si>
  <si>
    <t xml:space="preserve">Мастера 45 - 49 </t>
  </si>
  <si>
    <t>Дедик Павел</t>
  </si>
  <si>
    <t>252,9630</t>
  </si>
  <si>
    <t>405,0</t>
  </si>
  <si>
    <t>287,2400</t>
  </si>
  <si>
    <t>430,0</t>
  </si>
  <si>
    <t>Король Ярослав</t>
  </si>
  <si>
    <t>291,9000</t>
  </si>
  <si>
    <t>525,0</t>
  </si>
  <si>
    <t>Армашевский Михаил</t>
  </si>
  <si>
    <t>308,3505</t>
  </si>
  <si>
    <t>497,5</t>
  </si>
  <si>
    <t>Минясаров Руслан</t>
  </si>
  <si>
    <t>309,6500</t>
  </si>
  <si>
    <t>550,0</t>
  </si>
  <si>
    <t>Дроб Максим</t>
  </si>
  <si>
    <t>314,6875</t>
  </si>
  <si>
    <t>Гайворонский Николай</t>
  </si>
  <si>
    <t>361,2150</t>
  </si>
  <si>
    <t>690,0</t>
  </si>
  <si>
    <t>Черепанов Александр</t>
  </si>
  <si>
    <t>378,9818</t>
  </si>
  <si>
    <t>647,5</t>
  </si>
  <si>
    <t>Юрьев Александр</t>
  </si>
  <si>
    <t>367,4360</t>
  </si>
  <si>
    <t>540,0</t>
  </si>
  <si>
    <t>Цветков Антон</t>
  </si>
  <si>
    <t>258,2675</t>
  </si>
  <si>
    <t>297,5</t>
  </si>
  <si>
    <t>Мосин Дмитрий</t>
  </si>
  <si>
    <t>251,1784</t>
  </si>
  <si>
    <t>257,5</t>
  </si>
  <si>
    <t>287,6588</t>
  </si>
  <si>
    <t>395,0</t>
  </si>
  <si>
    <t>Скиба Олеся</t>
  </si>
  <si>
    <t xml:space="preserve">Титуленко Эдуард </t>
  </si>
  <si>
    <t>255,0</t>
  </si>
  <si>
    <t xml:space="preserve">Титан </t>
  </si>
  <si>
    <t>140,00</t>
  </si>
  <si>
    <t>Открытая (16.11.1992)/28</t>
  </si>
  <si>
    <t>1. Гайворонский Николай</t>
  </si>
  <si>
    <t xml:space="preserve">Дроб Максим </t>
  </si>
  <si>
    <t xml:space="preserve">Черепанов А </t>
  </si>
  <si>
    <t>123,20</t>
  </si>
  <si>
    <t>Открытая (11.05.1989)/31</t>
  </si>
  <si>
    <t>1. Черепанов Александр</t>
  </si>
  <si>
    <t>157,5</t>
  </si>
  <si>
    <t xml:space="preserve">Идеал </t>
  </si>
  <si>
    <t>109,40</t>
  </si>
  <si>
    <t>Мастера 45 - 49 (04.05.1975)/45</t>
  </si>
  <si>
    <t>1. Дедик Павел</t>
  </si>
  <si>
    <t xml:space="preserve">Джимов Владимир </t>
  </si>
  <si>
    <t xml:space="preserve">Армашевский М </t>
  </si>
  <si>
    <t>99,20</t>
  </si>
  <si>
    <t>Открытая (07.05.1996)/24</t>
  </si>
  <si>
    <t>2. Армашевский Михаил</t>
  </si>
  <si>
    <t xml:space="preserve">Черепанов Александр </t>
  </si>
  <si>
    <t xml:space="preserve">Дроб М </t>
  </si>
  <si>
    <t>96,60</t>
  </si>
  <si>
    <t>Открытая (18.03.1987)/34</t>
  </si>
  <si>
    <t>1. Дроб Максим</t>
  </si>
  <si>
    <t xml:space="preserve">Коршунов Николай Николаевич </t>
  </si>
  <si>
    <t xml:space="preserve">Юрьев А </t>
  </si>
  <si>
    <t>Открытая (11.10.1981)/39</t>
  </si>
  <si>
    <t>1. Юрьев Александр</t>
  </si>
  <si>
    <t>60,0</t>
  </si>
  <si>
    <t>2. Лянгузов Дмитрий</t>
  </si>
  <si>
    <t>187,5</t>
  </si>
  <si>
    <t xml:space="preserve">Геленджим </t>
  </si>
  <si>
    <t>82,40</t>
  </si>
  <si>
    <t>Открытая (17.01.1991)/30</t>
  </si>
  <si>
    <t>1. Минясаров Руслан</t>
  </si>
  <si>
    <t>192,5</t>
  </si>
  <si>
    <t>Открытая (15.05.1990)/30</t>
  </si>
  <si>
    <t>1. Король Ярослав</t>
  </si>
  <si>
    <t xml:space="preserve">Сергей Мустафин </t>
  </si>
  <si>
    <t>127,5</t>
  </si>
  <si>
    <t xml:space="preserve">Нижний Новгород/Нижегородская область </t>
  </si>
  <si>
    <t xml:space="preserve">Цветков А </t>
  </si>
  <si>
    <t>73,70</t>
  </si>
  <si>
    <t>Юниоры 20 - 23 (04.11.1998)/22</t>
  </si>
  <si>
    <t>1. Цветков Антон</t>
  </si>
  <si>
    <t>72,5</t>
  </si>
  <si>
    <t xml:space="preserve">Люберцы/Московская область </t>
  </si>
  <si>
    <t>66,50</t>
  </si>
  <si>
    <t>Юноши 14-15 (05.01.2006)/15</t>
  </si>
  <si>
    <t>1. Мосин Дмитрий</t>
  </si>
  <si>
    <t>74,10</t>
  </si>
  <si>
    <t>Открытая (17.11.1986)/34</t>
  </si>
  <si>
    <t>1. Скиба Олеся</t>
  </si>
  <si>
    <t>I этап Кубка Мира по силовым видам спорта
Любители пауэрлифтинг без экипировки
Краснодар/Краснодарский край 17 - 18 апреля 2021 г.</t>
  </si>
  <si>
    <t>358,2427</t>
  </si>
  <si>
    <t>607,5</t>
  </si>
  <si>
    <t>283,4240</t>
  </si>
  <si>
    <t>320,0</t>
  </si>
  <si>
    <t>Ляшко Наталья</t>
  </si>
  <si>
    <t>247,5</t>
  </si>
  <si>
    <t>58,00</t>
  </si>
  <si>
    <t>Открытая (06.01.1986)/35</t>
  </si>
  <si>
    <t>1. Ляшко Наталья</t>
  </si>
  <si>
    <t>I этап Кубка Мира по силовым видам спорта
Любители пауэрлифтинг в однопетельной софт экипировке
Краснодар/Краснодарский край 17 - 18 апреля 2021 г.</t>
  </si>
  <si>
    <t>376,7200</t>
  </si>
  <si>
    <t>680,0</t>
  </si>
  <si>
    <t>Митрофанов Павел</t>
  </si>
  <si>
    <t>350,0</t>
  </si>
  <si>
    <t>330,0</t>
  </si>
  <si>
    <t xml:space="preserve">Митрофанов П </t>
  </si>
  <si>
    <t>Открытая (12.08.1983)/37</t>
  </si>
  <si>
    <t>1. Митрофанов Павел</t>
  </si>
  <si>
    <t>I этап Кубка Мира по силовым видам спорта
ПРО пауэрлифтинг в многослойной экипировке
Краснодар/Краснодарский край 17 - 18 апреля 2021 г.</t>
  </si>
  <si>
    <t>15,0000</t>
  </si>
  <si>
    <t>All</t>
  </si>
  <si>
    <t>Никандров Роман</t>
  </si>
  <si>
    <t xml:space="preserve">Атлетизм </t>
  </si>
  <si>
    <t>10,0</t>
  </si>
  <si>
    <t>Мастера 40 - 44 (30.10.1978)/42</t>
  </si>
  <si>
    <t>1. Никандров Роман</t>
  </si>
  <si>
    <t>ВЕСОВАЯ КАТЕГОРИЯ   All</t>
  </si>
  <si>
    <t>Русская становая</t>
  </si>
  <si>
    <t>Атлетизм</t>
  </si>
  <si>
    <t>I этап Кубка Мира по силовым видам спорта - Рус.
Русская станова тяга профессионалы 150 кг.
Краснодар/Краснодарский край 17 - 18 апреля 2021 г.</t>
  </si>
  <si>
    <t>33,7078</t>
  </si>
  <si>
    <t>2400,0</t>
  </si>
  <si>
    <t>23,4899</t>
  </si>
  <si>
    <t>2100,0</t>
  </si>
  <si>
    <t>Киндрась Дмитрий</t>
  </si>
  <si>
    <t>16,0</t>
  </si>
  <si>
    <t>14,0</t>
  </si>
  <si>
    <t>89,40</t>
  </si>
  <si>
    <t>Юноши 16 - 17 (26.05.2004)/16</t>
  </si>
  <si>
    <t>1. Киндрась Дмитрий</t>
  </si>
  <si>
    <t>I этап Кубка Мира по силовым видам спорта - Рус.
Русская станова тяга любители 150 кг.
Краснодар/Краснодарский край 17 - 18 апреля 2021 г.</t>
  </si>
  <si>
    <t>46,5657</t>
  </si>
  <si>
    <t>4000,0</t>
  </si>
  <si>
    <t>55,0264</t>
  </si>
  <si>
    <t>5200,0</t>
  </si>
  <si>
    <t>Шевченко Денис</t>
  </si>
  <si>
    <t>40,0</t>
  </si>
  <si>
    <t>52,0</t>
  </si>
  <si>
    <t>94,50</t>
  </si>
  <si>
    <t>Открытая (07.07.1989)/31</t>
  </si>
  <si>
    <t>1. Шевченко Денис</t>
  </si>
  <si>
    <t>I этап Кубка Мира по силовым видам спорта - Рус.
Русская станова тяга любители 100 кг.
Краснодар/Краснодарский край 17 - 18 апреля 2021 г.</t>
  </si>
  <si>
    <t>28,7173</t>
  </si>
  <si>
    <t>2530,0</t>
  </si>
  <si>
    <t>46,0</t>
  </si>
  <si>
    <t>Русский жим</t>
  </si>
  <si>
    <t>I этап Кубка Мира по силовым видам спорта - Рус.
Русский жим любители 55 кг.
Краснодар/Краснодарский край 17 - 18 апреля 2021 г.</t>
  </si>
  <si>
    <t>26,0000</t>
  </si>
  <si>
    <t>I этап Кубка Мира по силовым видам спорта - Рус.
Русский жим профессионалы 100 кг.
Краснодар/Краснодарский край 17 - 18 апреля 2021 г.</t>
  </si>
  <si>
    <t>30,2500</t>
  </si>
  <si>
    <t>3025,0</t>
  </si>
  <si>
    <t>I этап Кубка Мира по силовым видам спорта - Рус.
Русский жим профессионалы 55 кг.
Краснодар/Краснодарский край 17 - 18 апреля 2021 г.</t>
  </si>
  <si>
    <t>103,2762</t>
  </si>
  <si>
    <t>Подъем на бицепс</t>
  </si>
  <si>
    <t>Жим стоя</t>
  </si>
  <si>
    <t>I этап Кубка Мира по силовым видам спорта + Пауэрспорт
Пауэрспорт Любители
Краснодар/Краснодарский край 17 - 18 апреля 2021 г.</t>
  </si>
  <si>
    <t>50,0980</t>
  </si>
  <si>
    <t>I этап Кубка Мира по силовым видам спорта + Пауэрспорт
Одиночный подъём штанги на бицепс Профессионалы
Краснодар/Краснодарский край 17 - 18 апреля 2021 г.</t>
  </si>
  <si>
    <t>38,0078</t>
  </si>
  <si>
    <t>62,5</t>
  </si>
  <si>
    <t>44,2612</t>
  </si>
  <si>
    <t>67,6465</t>
  </si>
  <si>
    <t>34,7500</t>
  </si>
  <si>
    <t>40,6315</t>
  </si>
  <si>
    <t>Мартьянов Павел</t>
  </si>
  <si>
    <t>45,2100</t>
  </si>
  <si>
    <t>37,2132</t>
  </si>
  <si>
    <t>38,1149</t>
  </si>
  <si>
    <t>Буцхрикидзе Злата</t>
  </si>
  <si>
    <t xml:space="preserve">Юниорки </t>
  </si>
  <si>
    <t>1. Армашевский Михаил</t>
  </si>
  <si>
    <t>57,5</t>
  </si>
  <si>
    <t xml:space="preserve">Мартьянов П </t>
  </si>
  <si>
    <t>Открытая (08.03.1987)/34</t>
  </si>
  <si>
    <t>1. Мартьянов Павел</t>
  </si>
  <si>
    <t xml:space="preserve">Беседин Дминтрий </t>
  </si>
  <si>
    <t>59,20</t>
  </si>
  <si>
    <t>Юниорки 20 - 23 (17.02.2001)/20</t>
  </si>
  <si>
    <t>1. Буцхрикидзе Злата</t>
  </si>
  <si>
    <t>I этап Кубка Мира по силовым видам спорта + Пауэрспорт
Одиночный подъём штанги на бицепс Любители
Краснодар/Краснодарский край 17 - 18 апреля 2021 г.</t>
  </si>
  <si>
    <t>52,7450</t>
  </si>
  <si>
    <t>I этап Кубка Мира по силовым видам спорта + Пауэрспорт
Одиночный жим штанги стоя Любители
Краснодар/Краснодарский край 17 - 18 апреля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</si>
</sst>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trike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8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126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12</v>
      </c>
      <c r="E3" s="27" t="s">
        <v>4</v>
      </c>
      <c r="F3" s="27" t="s">
        <v>7</v>
      </c>
      <c r="G3" s="27" t="s">
        <v>127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29"/>
    </row>
    <row r="5" spans="1:11" ht="15" x14ac:dyDescent="0.2">
      <c r="A5" s="39" t="s">
        <v>112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129</v>
      </c>
      <c r="B6" s="7" t="s">
        <v>130</v>
      </c>
      <c r="C6" s="7" t="s">
        <v>131</v>
      </c>
      <c r="D6" s="7" t="str">
        <f>"0,7291"</f>
        <v>0,7291</v>
      </c>
      <c r="E6" s="7" t="s">
        <v>132</v>
      </c>
      <c r="F6" s="7" t="s">
        <v>133</v>
      </c>
      <c r="G6" s="8" t="s">
        <v>134</v>
      </c>
      <c r="H6" s="8" t="s">
        <v>135</v>
      </c>
      <c r="I6" s="11" t="str">
        <f>"1080,0"</f>
        <v>1080,0</v>
      </c>
      <c r="J6" s="12" t="str">
        <f>"787,4280"</f>
        <v>787,4280</v>
      </c>
      <c r="K6" s="7" t="s">
        <v>23</v>
      </c>
    </row>
    <row r="8" spans="1:11" ht="15" x14ac:dyDescent="0.2">
      <c r="E8" s="9" t="s">
        <v>43</v>
      </c>
    </row>
    <row r="9" spans="1:11" ht="15" x14ac:dyDescent="0.2">
      <c r="E9" s="9" t="s">
        <v>44</v>
      </c>
    </row>
    <row r="10" spans="1:11" ht="15" x14ac:dyDescent="0.2">
      <c r="E10" s="9" t="s">
        <v>45</v>
      </c>
    </row>
    <row r="11" spans="1:11" ht="15" x14ac:dyDescent="0.2">
      <c r="E11" s="9" t="s">
        <v>46</v>
      </c>
    </row>
    <row r="12" spans="1:11" ht="15" x14ac:dyDescent="0.2">
      <c r="E12" s="9" t="s">
        <v>46</v>
      </c>
    </row>
    <row r="13" spans="1:11" ht="15" x14ac:dyDescent="0.2">
      <c r="E13" s="9" t="s">
        <v>47</v>
      </c>
    </row>
    <row r="14" spans="1:11" ht="15" x14ac:dyDescent="0.2">
      <c r="E14" s="9"/>
    </row>
    <row r="16" spans="1:1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55</v>
      </c>
    </row>
    <row r="20" spans="1:5" x14ac:dyDescent="0.2">
      <c r="A20" s="15" t="s">
        <v>128</v>
      </c>
      <c r="B20" s="4" t="s">
        <v>136</v>
      </c>
      <c r="C20" s="4" t="s">
        <v>123</v>
      </c>
      <c r="D20" s="4" t="s">
        <v>137</v>
      </c>
      <c r="E20" s="10" t="s">
        <v>138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402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401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24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400</v>
      </c>
      <c r="B6" s="7" t="s">
        <v>399</v>
      </c>
      <c r="C6" s="7" t="s">
        <v>398</v>
      </c>
      <c r="D6" s="7" t="str">
        <f>"0,6797"</f>
        <v>0,6797</v>
      </c>
      <c r="E6" s="7" t="s">
        <v>397</v>
      </c>
      <c r="F6" s="7" t="s">
        <v>396</v>
      </c>
      <c r="G6" s="8" t="s">
        <v>395</v>
      </c>
      <c r="H6" s="8" t="s">
        <v>393</v>
      </c>
      <c r="I6" s="44"/>
      <c r="J6" s="44"/>
      <c r="K6" s="11" t="str">
        <f>"170,0"</f>
        <v>170,0</v>
      </c>
      <c r="L6" s="12" t="str">
        <f>"190,0781"</f>
        <v>190,0781</v>
      </c>
      <c r="M6" s="7" t="s">
        <v>23</v>
      </c>
    </row>
    <row r="8" spans="1:13" ht="15" x14ac:dyDescent="0.2">
      <c r="E8" s="9" t="s">
        <v>43</v>
      </c>
    </row>
    <row r="9" spans="1:13" ht="15" x14ac:dyDescent="0.2">
      <c r="E9" s="9" t="s">
        <v>44</v>
      </c>
    </row>
    <row r="10" spans="1:13" ht="15" x14ac:dyDescent="0.2">
      <c r="E10" s="9" t="s">
        <v>45</v>
      </c>
    </row>
    <row r="11" spans="1:13" ht="15" x14ac:dyDescent="0.2">
      <c r="E11" s="9" t="s">
        <v>46</v>
      </c>
    </row>
    <row r="12" spans="1:13" ht="15" x14ac:dyDescent="0.2">
      <c r="E12" s="9" t="s">
        <v>46</v>
      </c>
    </row>
    <row r="13" spans="1:13" ht="15" x14ac:dyDescent="0.2">
      <c r="E13" s="9" t="s">
        <v>47</v>
      </c>
    </row>
    <row r="14" spans="1:13" ht="15" x14ac:dyDescent="0.2">
      <c r="E14" s="9"/>
    </row>
    <row r="16" spans="1:13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142</v>
      </c>
    </row>
    <row r="20" spans="1:5" x14ac:dyDescent="0.2">
      <c r="A20" s="15" t="s">
        <v>394</v>
      </c>
      <c r="B20" s="4" t="s">
        <v>136</v>
      </c>
      <c r="C20" s="4" t="s">
        <v>65</v>
      </c>
      <c r="D20" s="4" t="s">
        <v>393</v>
      </c>
      <c r="E20" s="10" t="s">
        <v>392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3" style="4" bestFit="1" customWidth="1"/>
    <col min="14" max="16384" width="9.140625" style="3"/>
  </cols>
  <sheetData>
    <row r="1" spans="1:13" s="2" customFormat="1" ht="29.1" customHeight="1" x14ac:dyDescent="0.2">
      <c r="A1" s="41" t="s">
        <v>429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401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24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71</v>
      </c>
      <c r="B6" s="7" t="s">
        <v>72</v>
      </c>
      <c r="C6" s="7" t="s">
        <v>73</v>
      </c>
      <c r="D6" s="7" t="str">
        <f>"0,6666"</f>
        <v>0,6666</v>
      </c>
      <c r="E6" s="7" t="s">
        <v>74</v>
      </c>
      <c r="F6" s="7" t="s">
        <v>75</v>
      </c>
      <c r="G6" s="8" t="s">
        <v>40</v>
      </c>
      <c r="H6" s="8" t="s">
        <v>278</v>
      </c>
      <c r="I6" s="44" t="s">
        <v>117</v>
      </c>
      <c r="J6" s="44"/>
      <c r="K6" s="11" t="str">
        <f>"120,0"</f>
        <v>120,0</v>
      </c>
      <c r="L6" s="12" t="str">
        <f>"90,3910"</f>
        <v>90,3910</v>
      </c>
      <c r="M6" s="7" t="s">
        <v>77</v>
      </c>
    </row>
    <row r="8" spans="1:13" ht="15" x14ac:dyDescent="0.2">
      <c r="A8" s="42" t="s">
        <v>33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19" t="s">
        <v>88</v>
      </c>
      <c r="B9" s="19" t="s">
        <v>89</v>
      </c>
      <c r="C9" s="19" t="s">
        <v>37</v>
      </c>
      <c r="D9" s="19" t="str">
        <f>"0,5365"</f>
        <v>0,5365</v>
      </c>
      <c r="E9" s="19" t="s">
        <v>74</v>
      </c>
      <c r="F9" s="19" t="s">
        <v>75</v>
      </c>
      <c r="G9" s="20" t="s">
        <v>179</v>
      </c>
      <c r="H9" s="50" t="s">
        <v>157</v>
      </c>
      <c r="I9" s="20" t="s">
        <v>157</v>
      </c>
      <c r="J9" s="50"/>
      <c r="K9" s="23" t="str">
        <f>"210,0"</f>
        <v>210,0</v>
      </c>
      <c r="L9" s="24" t="str">
        <f>"112,6650"</f>
        <v>112,6650</v>
      </c>
      <c r="M9" s="19" t="s">
        <v>91</v>
      </c>
    </row>
    <row r="10" spans="1:13" x14ac:dyDescent="0.2">
      <c r="A10" s="46" t="s">
        <v>428</v>
      </c>
      <c r="B10" s="46" t="s">
        <v>427</v>
      </c>
      <c r="C10" s="46" t="s">
        <v>426</v>
      </c>
      <c r="D10" s="46" t="str">
        <f>"0,5381"</f>
        <v>0,5381</v>
      </c>
      <c r="E10" s="46" t="s">
        <v>83</v>
      </c>
      <c r="F10" s="46" t="s">
        <v>84</v>
      </c>
      <c r="G10" s="51" t="s">
        <v>320</v>
      </c>
      <c r="H10" s="51" t="s">
        <v>303</v>
      </c>
      <c r="I10" s="51" t="s">
        <v>319</v>
      </c>
      <c r="J10" s="49"/>
      <c r="K10" s="48" t="str">
        <f>"190,0"</f>
        <v>190,0</v>
      </c>
      <c r="L10" s="47" t="str">
        <f>"102,2390"</f>
        <v>102,2390</v>
      </c>
      <c r="M10" s="46" t="s">
        <v>23</v>
      </c>
    </row>
    <row r="11" spans="1:13" x14ac:dyDescent="0.2">
      <c r="A11" s="21" t="s">
        <v>425</v>
      </c>
      <c r="B11" s="21" t="s">
        <v>424</v>
      </c>
      <c r="C11" s="21" t="s">
        <v>423</v>
      </c>
      <c r="D11" s="21" t="str">
        <f>"0,5450"</f>
        <v>0,5450</v>
      </c>
      <c r="E11" s="21" t="s">
        <v>422</v>
      </c>
      <c r="F11" s="21" t="s">
        <v>421</v>
      </c>
      <c r="G11" s="45" t="s">
        <v>320</v>
      </c>
      <c r="H11" s="45" t="s">
        <v>320</v>
      </c>
      <c r="I11" s="22" t="s">
        <v>320</v>
      </c>
      <c r="J11" s="45"/>
      <c r="K11" s="25" t="str">
        <f>"180,0"</f>
        <v>180,0</v>
      </c>
      <c r="L11" s="26" t="str">
        <f>"115,0713"</f>
        <v>115,0713</v>
      </c>
      <c r="M11" s="21" t="s">
        <v>420</v>
      </c>
    </row>
    <row r="13" spans="1:13" ht="15" x14ac:dyDescent="0.2">
      <c r="A13" s="42" t="s">
        <v>300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3" x14ac:dyDescent="0.2">
      <c r="A14" s="19" t="s">
        <v>419</v>
      </c>
      <c r="B14" s="19" t="s">
        <v>418</v>
      </c>
      <c r="C14" s="19" t="s">
        <v>417</v>
      </c>
      <c r="D14" s="19" t="str">
        <f>"0,5314"</f>
        <v>0,5314</v>
      </c>
      <c r="E14" s="19" t="s">
        <v>74</v>
      </c>
      <c r="F14" s="19" t="s">
        <v>75</v>
      </c>
      <c r="G14" s="20" t="s">
        <v>319</v>
      </c>
      <c r="H14" s="20" t="s">
        <v>179</v>
      </c>
      <c r="I14" s="50" t="s">
        <v>157</v>
      </c>
      <c r="J14" s="50"/>
      <c r="K14" s="23" t="str">
        <f>"200,0"</f>
        <v>200,0</v>
      </c>
      <c r="L14" s="24" t="str">
        <f>"106,2800"</f>
        <v>106,2800</v>
      </c>
      <c r="M14" s="19" t="s">
        <v>23</v>
      </c>
    </row>
    <row r="15" spans="1:13" x14ac:dyDescent="0.2">
      <c r="A15" s="21" t="s">
        <v>416</v>
      </c>
      <c r="B15" s="21" t="s">
        <v>415</v>
      </c>
      <c r="C15" s="21" t="s">
        <v>414</v>
      </c>
      <c r="D15" s="21" t="str">
        <f>"0,5210"</f>
        <v>0,5210</v>
      </c>
      <c r="E15" s="21" t="s">
        <v>413</v>
      </c>
      <c r="F15" s="21" t="s">
        <v>20</v>
      </c>
      <c r="G15" s="22" t="s">
        <v>154</v>
      </c>
      <c r="H15" s="45" t="s">
        <v>172</v>
      </c>
      <c r="I15" s="45" t="s">
        <v>172</v>
      </c>
      <c r="J15" s="45"/>
      <c r="K15" s="25" t="str">
        <f>"215,0"</f>
        <v>215,0</v>
      </c>
      <c r="L15" s="26" t="str">
        <f>"112,0150"</f>
        <v>112,0150</v>
      </c>
      <c r="M15" s="21" t="s">
        <v>23</v>
      </c>
    </row>
    <row r="17" spans="1:5" ht="15" x14ac:dyDescent="0.2">
      <c r="E17" s="9" t="s">
        <v>43</v>
      </c>
    </row>
    <row r="18" spans="1:5" ht="15" x14ac:dyDescent="0.2">
      <c r="E18" s="9" t="s">
        <v>44</v>
      </c>
    </row>
    <row r="19" spans="1:5" ht="15" x14ac:dyDescent="0.2">
      <c r="E19" s="9" t="s">
        <v>45</v>
      </c>
    </row>
    <row r="20" spans="1:5" ht="15" x14ac:dyDescent="0.2">
      <c r="E20" s="9" t="s">
        <v>46</v>
      </c>
    </row>
    <row r="21" spans="1:5" ht="15" x14ac:dyDescent="0.2">
      <c r="E21" s="9" t="s">
        <v>46</v>
      </c>
    </row>
    <row r="22" spans="1:5" ht="15" x14ac:dyDescent="0.2">
      <c r="E22" s="9" t="s">
        <v>47</v>
      </c>
    </row>
    <row r="23" spans="1:5" ht="15" x14ac:dyDescent="0.2">
      <c r="E23" s="9"/>
    </row>
    <row r="25" spans="1:5" ht="18" x14ac:dyDescent="0.25">
      <c r="A25" s="13" t="s">
        <v>48</v>
      </c>
      <c r="B25" s="13"/>
    </row>
    <row r="26" spans="1:5" ht="15" x14ac:dyDescent="0.2">
      <c r="A26" s="14" t="s">
        <v>49</v>
      </c>
      <c r="B26" s="14"/>
    </row>
    <row r="27" spans="1:5" ht="14.25" x14ac:dyDescent="0.2">
      <c r="A27" s="16"/>
      <c r="B27" s="17" t="s">
        <v>92</v>
      </c>
    </row>
    <row r="28" spans="1:5" ht="15" x14ac:dyDescent="0.2">
      <c r="A28" s="18" t="s">
        <v>51</v>
      </c>
      <c r="B28" s="18" t="s">
        <v>52</v>
      </c>
      <c r="C28" s="18" t="s">
        <v>53</v>
      </c>
      <c r="D28" s="18" t="s">
        <v>54</v>
      </c>
      <c r="E28" s="18" t="s">
        <v>142</v>
      </c>
    </row>
    <row r="29" spans="1:5" x14ac:dyDescent="0.2">
      <c r="A29" s="15" t="s">
        <v>70</v>
      </c>
      <c r="B29" s="4" t="s">
        <v>93</v>
      </c>
      <c r="C29" s="4" t="s">
        <v>65</v>
      </c>
      <c r="D29" s="4" t="s">
        <v>278</v>
      </c>
      <c r="E29" s="10" t="s">
        <v>412</v>
      </c>
    </row>
    <row r="31" spans="1:5" ht="14.25" x14ac:dyDescent="0.2">
      <c r="A31" s="16"/>
      <c r="B31" s="17" t="s">
        <v>273</v>
      </c>
    </row>
    <row r="32" spans="1:5" ht="15" x14ac:dyDescent="0.2">
      <c r="A32" s="18" t="s">
        <v>51</v>
      </c>
      <c r="B32" s="18" t="s">
        <v>52</v>
      </c>
      <c r="C32" s="18" t="s">
        <v>53</v>
      </c>
      <c r="D32" s="18" t="s">
        <v>54</v>
      </c>
      <c r="E32" s="18" t="s">
        <v>142</v>
      </c>
    </row>
    <row r="33" spans="1:5" x14ac:dyDescent="0.2">
      <c r="A33" s="15" t="s">
        <v>411</v>
      </c>
      <c r="B33" s="4" t="s">
        <v>269</v>
      </c>
      <c r="C33" s="4" t="s">
        <v>241</v>
      </c>
      <c r="D33" s="4" t="s">
        <v>179</v>
      </c>
      <c r="E33" s="10" t="s">
        <v>410</v>
      </c>
    </row>
    <row r="35" spans="1:5" ht="14.25" x14ac:dyDescent="0.2">
      <c r="A35" s="16"/>
      <c r="B35" s="17" t="s">
        <v>50</v>
      </c>
    </row>
    <row r="36" spans="1:5" ht="15" x14ac:dyDescent="0.2">
      <c r="A36" s="18" t="s">
        <v>51</v>
      </c>
      <c r="B36" s="18" t="s">
        <v>52</v>
      </c>
      <c r="C36" s="18" t="s">
        <v>53</v>
      </c>
      <c r="D36" s="18" t="s">
        <v>54</v>
      </c>
      <c r="E36" s="18" t="s">
        <v>142</v>
      </c>
    </row>
    <row r="37" spans="1:5" x14ac:dyDescent="0.2">
      <c r="A37" s="15" t="s">
        <v>87</v>
      </c>
      <c r="B37" s="4" t="s">
        <v>50</v>
      </c>
      <c r="C37" s="4" t="s">
        <v>61</v>
      </c>
      <c r="D37" s="4" t="s">
        <v>157</v>
      </c>
      <c r="E37" s="10" t="s">
        <v>409</v>
      </c>
    </row>
    <row r="38" spans="1:5" x14ac:dyDescent="0.2">
      <c r="A38" s="15" t="s">
        <v>408</v>
      </c>
      <c r="B38" s="4" t="s">
        <v>50</v>
      </c>
      <c r="C38" s="4" t="s">
        <v>241</v>
      </c>
      <c r="D38" s="4" t="s">
        <v>154</v>
      </c>
      <c r="E38" s="10" t="s">
        <v>407</v>
      </c>
    </row>
    <row r="39" spans="1:5" x14ac:dyDescent="0.2">
      <c r="A39" s="15" t="s">
        <v>406</v>
      </c>
      <c r="B39" s="4" t="s">
        <v>50</v>
      </c>
      <c r="C39" s="4" t="s">
        <v>61</v>
      </c>
      <c r="D39" s="4" t="s">
        <v>319</v>
      </c>
      <c r="E39" s="10" t="s">
        <v>405</v>
      </c>
    </row>
    <row r="41" spans="1:5" ht="14.25" x14ac:dyDescent="0.2">
      <c r="A41" s="16"/>
      <c r="B41" s="17" t="s">
        <v>59</v>
      </c>
    </row>
    <row r="42" spans="1:5" ht="15" x14ac:dyDescent="0.2">
      <c r="A42" s="18" t="s">
        <v>51</v>
      </c>
      <c r="B42" s="18" t="s">
        <v>52</v>
      </c>
      <c r="C42" s="18" t="s">
        <v>53</v>
      </c>
      <c r="D42" s="18" t="s">
        <v>54</v>
      </c>
      <c r="E42" s="18" t="s">
        <v>142</v>
      </c>
    </row>
    <row r="43" spans="1:5" x14ac:dyDescent="0.2">
      <c r="A43" s="15" t="s">
        <v>404</v>
      </c>
      <c r="B43" s="4" t="s">
        <v>122</v>
      </c>
      <c r="C43" s="4" t="s">
        <v>61</v>
      </c>
      <c r="D43" s="4" t="s">
        <v>320</v>
      </c>
      <c r="E43" s="10" t="s">
        <v>403</v>
      </c>
    </row>
  </sheetData>
  <mergeCells count="14">
    <mergeCell ref="A8:J8"/>
    <mergeCell ref="A13:J1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31.28515625" style="4" bestFit="1" customWidth="1"/>
    <col min="14" max="16384" width="9.140625" style="3"/>
  </cols>
  <sheetData>
    <row r="1" spans="1:13" s="2" customFormat="1" ht="29.1" customHeight="1" x14ac:dyDescent="0.2">
      <c r="A1" s="41" t="s">
        <v>564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401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390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563</v>
      </c>
      <c r="B6" s="7" t="s">
        <v>562</v>
      </c>
      <c r="C6" s="7" t="s">
        <v>561</v>
      </c>
      <c r="D6" s="7" t="str">
        <f>"1,0557"</f>
        <v>1,0557</v>
      </c>
      <c r="E6" s="7" t="s">
        <v>397</v>
      </c>
      <c r="F6" s="7" t="s">
        <v>396</v>
      </c>
      <c r="G6" s="8" t="s">
        <v>556</v>
      </c>
      <c r="H6" s="8" t="s">
        <v>546</v>
      </c>
      <c r="I6" s="8" t="s">
        <v>477</v>
      </c>
      <c r="J6" s="44"/>
      <c r="K6" s="11" t="str">
        <f>"52,5"</f>
        <v>52,5</v>
      </c>
      <c r="L6" s="12" t="str">
        <f>"55,4242"</f>
        <v>55,4242</v>
      </c>
      <c r="M6" s="7" t="s">
        <v>560</v>
      </c>
    </row>
    <row r="8" spans="1:13" ht="15" x14ac:dyDescent="0.2">
      <c r="A8" s="42" t="s">
        <v>386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7" t="s">
        <v>559</v>
      </c>
      <c r="B9" s="7" t="s">
        <v>558</v>
      </c>
      <c r="C9" s="7" t="s">
        <v>557</v>
      </c>
      <c r="D9" s="7" t="str">
        <f>"0,9944"</f>
        <v>0,9944</v>
      </c>
      <c r="E9" s="7" t="s">
        <v>397</v>
      </c>
      <c r="F9" s="7" t="s">
        <v>396</v>
      </c>
      <c r="G9" s="8" t="s">
        <v>556</v>
      </c>
      <c r="H9" s="8" t="s">
        <v>546</v>
      </c>
      <c r="I9" s="8" t="s">
        <v>474</v>
      </c>
      <c r="J9" s="44"/>
      <c r="K9" s="11" t="str">
        <f>"50,0"</f>
        <v>50,0</v>
      </c>
      <c r="L9" s="12" t="str">
        <f>"51,2587"</f>
        <v>51,2587</v>
      </c>
      <c r="M9" s="7" t="s">
        <v>481</v>
      </c>
    </row>
    <row r="11" spans="1:13" ht="15" x14ac:dyDescent="0.2">
      <c r="A11" s="42" t="s">
        <v>544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x14ac:dyDescent="0.2">
      <c r="A12" s="7" t="s">
        <v>555</v>
      </c>
      <c r="B12" s="7" t="s">
        <v>554</v>
      </c>
      <c r="C12" s="7" t="s">
        <v>553</v>
      </c>
      <c r="D12" s="7" t="str">
        <f>"0,9187"</f>
        <v>0,9187</v>
      </c>
      <c r="E12" s="7" t="s">
        <v>552</v>
      </c>
      <c r="F12" s="7" t="s">
        <v>551</v>
      </c>
      <c r="G12" s="8" t="s">
        <v>546</v>
      </c>
      <c r="H12" s="8" t="s">
        <v>477</v>
      </c>
      <c r="I12" s="44" t="s">
        <v>550</v>
      </c>
      <c r="J12" s="44"/>
      <c r="K12" s="11" t="str">
        <f>"52,5"</f>
        <v>52,5</v>
      </c>
      <c r="L12" s="12" t="str">
        <f>"48,2317"</f>
        <v>48,2317</v>
      </c>
      <c r="M12" s="7" t="s">
        <v>23</v>
      </c>
    </row>
    <row r="14" spans="1:13" ht="15" x14ac:dyDescent="0.2">
      <c r="A14" s="42" t="s">
        <v>386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3" x14ac:dyDescent="0.2">
      <c r="A15" s="7" t="s">
        <v>549</v>
      </c>
      <c r="B15" s="7" t="s">
        <v>548</v>
      </c>
      <c r="C15" s="7" t="s">
        <v>547</v>
      </c>
      <c r="D15" s="7" t="str">
        <f>"0,9734"</f>
        <v>0,9734</v>
      </c>
      <c r="E15" s="7" t="s">
        <v>382</v>
      </c>
      <c r="F15" s="7" t="s">
        <v>20</v>
      </c>
      <c r="G15" s="8" t="s">
        <v>458</v>
      </c>
      <c r="H15" s="44" t="s">
        <v>546</v>
      </c>
      <c r="I15" s="44" t="s">
        <v>474</v>
      </c>
      <c r="J15" s="44"/>
      <c r="K15" s="11" t="str">
        <f>"45,0"</f>
        <v>45,0</v>
      </c>
      <c r="L15" s="12" t="str">
        <f>"53,8777"</f>
        <v>53,8777</v>
      </c>
      <c r="M15" s="7" t="s">
        <v>545</v>
      </c>
    </row>
    <row r="17" spans="1:13" ht="15" x14ac:dyDescent="0.2">
      <c r="A17" s="42" t="s">
        <v>544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3" x14ac:dyDescent="0.2">
      <c r="A18" s="7" t="s">
        <v>543</v>
      </c>
      <c r="B18" s="7" t="s">
        <v>542</v>
      </c>
      <c r="C18" s="7" t="s">
        <v>541</v>
      </c>
      <c r="D18" s="7" t="str">
        <f>"0,9267"</f>
        <v>0,9267</v>
      </c>
      <c r="E18" s="7" t="s">
        <v>145</v>
      </c>
      <c r="F18" s="7" t="s">
        <v>144</v>
      </c>
      <c r="G18" s="8" t="s">
        <v>21</v>
      </c>
      <c r="H18" s="8" t="s">
        <v>465</v>
      </c>
      <c r="I18" s="44" t="s">
        <v>30</v>
      </c>
      <c r="J18" s="44"/>
      <c r="K18" s="11" t="str">
        <f>"70,0"</f>
        <v>70,0</v>
      </c>
      <c r="L18" s="12" t="str">
        <f>"79,7889"</f>
        <v>79,7889</v>
      </c>
      <c r="M18" s="7" t="s">
        <v>156</v>
      </c>
    </row>
    <row r="20" spans="1:13" ht="15" x14ac:dyDescent="0.2">
      <c r="A20" s="42" t="s">
        <v>24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3" x14ac:dyDescent="0.2">
      <c r="A21" s="19" t="s">
        <v>540</v>
      </c>
      <c r="B21" s="19" t="s">
        <v>539</v>
      </c>
      <c r="C21" s="19" t="s">
        <v>538</v>
      </c>
      <c r="D21" s="19" t="str">
        <f>"0,7074"</f>
        <v>0,7074</v>
      </c>
      <c r="E21" s="19" t="s">
        <v>83</v>
      </c>
      <c r="F21" s="19" t="s">
        <v>20</v>
      </c>
      <c r="G21" s="20" t="s">
        <v>40</v>
      </c>
      <c r="H21" s="20" t="s">
        <v>285</v>
      </c>
      <c r="I21" s="50" t="s">
        <v>293</v>
      </c>
      <c r="J21" s="50"/>
      <c r="K21" s="23" t="str">
        <f>"115,0"</f>
        <v>115,0</v>
      </c>
      <c r="L21" s="24" t="str">
        <f>"91,9266"</f>
        <v>91,9266</v>
      </c>
      <c r="M21" s="19" t="s">
        <v>23</v>
      </c>
    </row>
    <row r="22" spans="1:13" x14ac:dyDescent="0.2">
      <c r="A22" s="46" t="s">
        <v>537</v>
      </c>
      <c r="B22" s="46" t="s">
        <v>536</v>
      </c>
      <c r="C22" s="46" t="s">
        <v>535</v>
      </c>
      <c r="D22" s="46" t="str">
        <f>"0,6687"</f>
        <v>0,6687</v>
      </c>
      <c r="E22" s="46" t="s">
        <v>534</v>
      </c>
      <c r="F22" s="46" t="s">
        <v>533</v>
      </c>
      <c r="G22" s="51" t="s">
        <v>532</v>
      </c>
      <c r="H22" s="51" t="s">
        <v>293</v>
      </c>
      <c r="I22" s="49" t="s">
        <v>278</v>
      </c>
      <c r="J22" s="49"/>
      <c r="K22" s="48" t="str">
        <f>"117,5"</f>
        <v>117,5</v>
      </c>
      <c r="L22" s="47" t="str">
        <f>"83,2866"</f>
        <v>83,2866</v>
      </c>
      <c r="M22" s="46" t="s">
        <v>531</v>
      </c>
    </row>
    <row r="23" spans="1:13" x14ac:dyDescent="0.2">
      <c r="A23" s="46" t="s">
        <v>530</v>
      </c>
      <c r="B23" s="46" t="s">
        <v>529</v>
      </c>
      <c r="C23" s="46" t="s">
        <v>28</v>
      </c>
      <c r="D23" s="46" t="str">
        <f>"0,6645"</f>
        <v>0,6645</v>
      </c>
      <c r="E23" s="46" t="s">
        <v>181</v>
      </c>
      <c r="F23" s="46" t="s">
        <v>20</v>
      </c>
      <c r="G23" s="51" t="s">
        <v>117</v>
      </c>
      <c r="H23" s="51" t="s">
        <v>358</v>
      </c>
      <c r="I23" s="49" t="s">
        <v>363</v>
      </c>
      <c r="J23" s="49"/>
      <c r="K23" s="48" t="str">
        <f>"140,0"</f>
        <v>140,0</v>
      </c>
      <c r="L23" s="47" t="str">
        <f>"95,8209"</f>
        <v>95,8209</v>
      </c>
      <c r="M23" s="46" t="s">
        <v>528</v>
      </c>
    </row>
    <row r="24" spans="1:13" x14ac:dyDescent="0.2">
      <c r="A24" s="21" t="s">
        <v>26</v>
      </c>
      <c r="B24" s="21" t="s">
        <v>27</v>
      </c>
      <c r="C24" s="21" t="s">
        <v>28</v>
      </c>
      <c r="D24" s="21" t="str">
        <f>"0,6645"</f>
        <v>0,6645</v>
      </c>
      <c r="E24" s="21" t="s">
        <v>29</v>
      </c>
      <c r="F24" s="21" t="s">
        <v>20</v>
      </c>
      <c r="G24" s="22" t="s">
        <v>527</v>
      </c>
      <c r="H24" s="22" t="s">
        <v>526</v>
      </c>
      <c r="I24" s="22" t="s">
        <v>85</v>
      </c>
      <c r="J24" s="45"/>
      <c r="K24" s="25" t="str">
        <f>"100,0"</f>
        <v>100,0</v>
      </c>
      <c r="L24" s="26" t="str">
        <f>"138,7476"</f>
        <v>138,7476</v>
      </c>
      <c r="M24" s="21" t="s">
        <v>32</v>
      </c>
    </row>
    <row r="26" spans="1:13" ht="15" x14ac:dyDescent="0.2">
      <c r="A26" s="42" t="s">
        <v>347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3" x14ac:dyDescent="0.2">
      <c r="A27" s="19" t="s">
        <v>525</v>
      </c>
      <c r="B27" s="19" t="s">
        <v>524</v>
      </c>
      <c r="C27" s="19" t="s">
        <v>344</v>
      </c>
      <c r="D27" s="19" t="str">
        <f>"0,6246"</f>
        <v>0,6246</v>
      </c>
      <c r="E27" s="19" t="s">
        <v>174</v>
      </c>
      <c r="F27" s="19" t="s">
        <v>173</v>
      </c>
      <c r="G27" s="20" t="s">
        <v>523</v>
      </c>
      <c r="H27" s="20" t="s">
        <v>488</v>
      </c>
      <c r="I27" s="20" t="s">
        <v>275</v>
      </c>
      <c r="J27" s="50"/>
      <c r="K27" s="23" t="str">
        <f>"155,0"</f>
        <v>155,0</v>
      </c>
      <c r="L27" s="24" t="str">
        <f>"96,8130"</f>
        <v>96,8130</v>
      </c>
      <c r="M27" s="19" t="s">
        <v>522</v>
      </c>
    </row>
    <row r="28" spans="1:13" x14ac:dyDescent="0.2">
      <c r="A28" s="46" t="s">
        <v>521</v>
      </c>
      <c r="B28" s="46" t="s">
        <v>520</v>
      </c>
      <c r="C28" s="46" t="s">
        <v>519</v>
      </c>
      <c r="D28" s="46" t="str">
        <f>"0,6230"</f>
        <v>0,6230</v>
      </c>
      <c r="E28" s="46" t="s">
        <v>343</v>
      </c>
      <c r="F28" s="46" t="s">
        <v>20</v>
      </c>
      <c r="G28" s="51" t="s">
        <v>268</v>
      </c>
      <c r="H28" s="51" t="s">
        <v>275</v>
      </c>
      <c r="I28" s="49" t="s">
        <v>395</v>
      </c>
      <c r="J28" s="49"/>
      <c r="K28" s="48" t="str">
        <f>"155,0"</f>
        <v>155,0</v>
      </c>
      <c r="L28" s="47" t="str">
        <f>"96,5650"</f>
        <v>96,5650</v>
      </c>
      <c r="M28" s="46" t="s">
        <v>518</v>
      </c>
    </row>
    <row r="29" spans="1:13" x14ac:dyDescent="0.2">
      <c r="A29" s="46" t="s">
        <v>517</v>
      </c>
      <c r="B29" s="46" t="s">
        <v>516</v>
      </c>
      <c r="C29" s="46" t="s">
        <v>515</v>
      </c>
      <c r="D29" s="46" t="str">
        <f>"0,6251"</f>
        <v>0,6251</v>
      </c>
      <c r="E29" s="46" t="s">
        <v>174</v>
      </c>
      <c r="F29" s="46" t="s">
        <v>173</v>
      </c>
      <c r="G29" s="49" t="s">
        <v>40</v>
      </c>
      <c r="H29" s="51" t="s">
        <v>40</v>
      </c>
      <c r="I29" s="49" t="s">
        <v>285</v>
      </c>
      <c r="J29" s="49"/>
      <c r="K29" s="48" t="str">
        <f>"110,0"</f>
        <v>110,0</v>
      </c>
      <c r="L29" s="47" t="str">
        <f>"68,7610"</f>
        <v>68,7610</v>
      </c>
      <c r="M29" s="46" t="s">
        <v>171</v>
      </c>
    </row>
    <row r="30" spans="1:13" x14ac:dyDescent="0.2">
      <c r="A30" s="21" t="s">
        <v>514</v>
      </c>
      <c r="B30" s="21" t="s">
        <v>513</v>
      </c>
      <c r="C30" s="21" t="s">
        <v>512</v>
      </c>
      <c r="D30" s="21" t="str">
        <f>"0,6241"</f>
        <v>0,6241</v>
      </c>
      <c r="E30" s="21" t="s">
        <v>511</v>
      </c>
      <c r="F30" s="21" t="s">
        <v>20</v>
      </c>
      <c r="G30" s="45" t="s">
        <v>40</v>
      </c>
      <c r="H30" s="45" t="s">
        <v>40</v>
      </c>
      <c r="I30" s="45" t="s">
        <v>285</v>
      </c>
      <c r="J30" s="45"/>
      <c r="K30" s="25" t="str">
        <f>"0.00"</f>
        <v>0.00</v>
      </c>
      <c r="L30" s="26" t="str">
        <f>"0,0000"</f>
        <v>0,0000</v>
      </c>
      <c r="M30" s="21" t="s">
        <v>510</v>
      </c>
    </row>
    <row r="32" spans="1:13" ht="15" x14ac:dyDescent="0.2">
      <c r="A32" s="42" t="s">
        <v>112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3" x14ac:dyDescent="0.2">
      <c r="A33" s="19" t="s">
        <v>509</v>
      </c>
      <c r="B33" s="19" t="s">
        <v>508</v>
      </c>
      <c r="C33" s="19" t="s">
        <v>507</v>
      </c>
      <c r="D33" s="19" t="str">
        <f>"0,5897"</f>
        <v>0,5897</v>
      </c>
      <c r="E33" s="19" t="s">
        <v>74</v>
      </c>
      <c r="F33" s="19" t="s">
        <v>75</v>
      </c>
      <c r="G33" s="20" t="s">
        <v>40</v>
      </c>
      <c r="H33" s="20" t="s">
        <v>285</v>
      </c>
      <c r="I33" s="50" t="s">
        <v>278</v>
      </c>
      <c r="J33" s="50"/>
      <c r="K33" s="23" t="str">
        <f>"115,0"</f>
        <v>115,0</v>
      </c>
      <c r="L33" s="24" t="str">
        <f>"70,5281"</f>
        <v>70,5281</v>
      </c>
      <c r="M33" s="19" t="s">
        <v>23</v>
      </c>
    </row>
    <row r="34" spans="1:13" x14ac:dyDescent="0.2">
      <c r="A34" s="46" t="s">
        <v>506</v>
      </c>
      <c r="B34" s="46" t="s">
        <v>505</v>
      </c>
      <c r="C34" s="46" t="s">
        <v>504</v>
      </c>
      <c r="D34" s="46" t="str">
        <f>"0,5905"</f>
        <v>0,5905</v>
      </c>
      <c r="E34" s="46" t="s">
        <v>503</v>
      </c>
      <c r="F34" s="46" t="s">
        <v>310</v>
      </c>
      <c r="G34" s="51" t="s">
        <v>395</v>
      </c>
      <c r="H34" s="51" t="s">
        <v>393</v>
      </c>
      <c r="I34" s="49" t="s">
        <v>502</v>
      </c>
      <c r="J34" s="49"/>
      <c r="K34" s="48" t="str">
        <f>"170,0"</f>
        <v>170,0</v>
      </c>
      <c r="L34" s="47" t="str">
        <f>"100,3850"</f>
        <v>100,3850</v>
      </c>
      <c r="M34" s="46" t="s">
        <v>501</v>
      </c>
    </row>
    <row r="35" spans="1:13" x14ac:dyDescent="0.2">
      <c r="A35" s="21" t="s">
        <v>184</v>
      </c>
      <c r="B35" s="21" t="s">
        <v>183</v>
      </c>
      <c r="C35" s="21" t="s">
        <v>182</v>
      </c>
      <c r="D35" s="21" t="str">
        <f>"0,5853"</f>
        <v>0,5853</v>
      </c>
      <c r="E35" s="21" t="s">
        <v>181</v>
      </c>
      <c r="F35" s="21" t="s">
        <v>180</v>
      </c>
      <c r="G35" s="22" t="s">
        <v>488</v>
      </c>
      <c r="H35" s="22" t="s">
        <v>395</v>
      </c>
      <c r="I35" s="45" t="s">
        <v>339</v>
      </c>
      <c r="J35" s="45"/>
      <c r="K35" s="25" t="str">
        <f>"160,0"</f>
        <v>160,0</v>
      </c>
      <c r="L35" s="26" t="str">
        <f>"95,3337"</f>
        <v>95,3337</v>
      </c>
      <c r="M35" s="21" t="s">
        <v>178</v>
      </c>
    </row>
    <row r="37" spans="1:13" ht="15" x14ac:dyDescent="0.2">
      <c r="A37" s="42" t="s">
        <v>78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3" x14ac:dyDescent="0.2">
      <c r="A38" s="19" t="s">
        <v>500</v>
      </c>
      <c r="B38" s="19" t="s">
        <v>499</v>
      </c>
      <c r="C38" s="19" t="s">
        <v>498</v>
      </c>
      <c r="D38" s="19" t="str">
        <f>"0,5666"</f>
        <v>0,5666</v>
      </c>
      <c r="E38" s="19" t="s">
        <v>497</v>
      </c>
      <c r="F38" s="19" t="s">
        <v>20</v>
      </c>
      <c r="G38" s="20" t="s">
        <v>435</v>
      </c>
      <c r="H38" s="50" t="s">
        <v>362</v>
      </c>
      <c r="I38" s="20" t="s">
        <v>362</v>
      </c>
      <c r="J38" s="50"/>
      <c r="K38" s="23" t="str">
        <f>"167,5"</f>
        <v>167,5</v>
      </c>
      <c r="L38" s="24" t="str">
        <f>"95,8546"</f>
        <v>95,8546</v>
      </c>
      <c r="M38" s="19" t="s">
        <v>496</v>
      </c>
    </row>
    <row r="39" spans="1:13" x14ac:dyDescent="0.2">
      <c r="A39" s="46" t="s">
        <v>495</v>
      </c>
      <c r="B39" s="46" t="s">
        <v>313</v>
      </c>
      <c r="C39" s="46" t="s">
        <v>312</v>
      </c>
      <c r="D39" s="46" t="str">
        <f>"0,5570"</f>
        <v>0,5570</v>
      </c>
      <c r="E39" s="46" t="s">
        <v>311</v>
      </c>
      <c r="F39" s="46" t="s">
        <v>310</v>
      </c>
      <c r="G39" s="49" t="s">
        <v>363</v>
      </c>
      <c r="H39" s="51" t="s">
        <v>435</v>
      </c>
      <c r="I39" s="49" t="s">
        <v>362</v>
      </c>
      <c r="J39" s="49"/>
      <c r="K39" s="48" t="str">
        <f>"162,5"</f>
        <v>162,5</v>
      </c>
      <c r="L39" s="47" t="str">
        <f>"90,5125"</f>
        <v>90,5125</v>
      </c>
      <c r="M39" s="46" t="s">
        <v>309</v>
      </c>
    </row>
    <row r="40" spans="1:13" x14ac:dyDescent="0.2">
      <c r="A40" s="46" t="s">
        <v>494</v>
      </c>
      <c r="B40" s="46" t="s">
        <v>493</v>
      </c>
      <c r="C40" s="46" t="s">
        <v>492</v>
      </c>
      <c r="D40" s="46" t="str">
        <f>"0,5555"</f>
        <v>0,5555</v>
      </c>
      <c r="E40" s="46" t="s">
        <v>83</v>
      </c>
      <c r="F40" s="46" t="s">
        <v>84</v>
      </c>
      <c r="G40" s="49" t="s">
        <v>488</v>
      </c>
      <c r="H40" s="51" t="s">
        <v>488</v>
      </c>
      <c r="I40" s="51" t="s">
        <v>435</v>
      </c>
      <c r="J40" s="49"/>
      <c r="K40" s="48" t="str">
        <f>"162,5"</f>
        <v>162,5</v>
      </c>
      <c r="L40" s="47" t="str">
        <f>"90,2687"</f>
        <v>90,2687</v>
      </c>
      <c r="M40" s="46" t="s">
        <v>23</v>
      </c>
    </row>
    <row r="41" spans="1:13" x14ac:dyDescent="0.2">
      <c r="A41" s="46" t="s">
        <v>491</v>
      </c>
      <c r="B41" s="46" t="s">
        <v>490</v>
      </c>
      <c r="C41" s="46" t="s">
        <v>82</v>
      </c>
      <c r="D41" s="46" t="str">
        <f>"0,5540"</f>
        <v>0,5540</v>
      </c>
      <c r="E41" s="46" t="s">
        <v>489</v>
      </c>
      <c r="F41" s="46" t="s">
        <v>20</v>
      </c>
      <c r="G41" s="51" t="s">
        <v>358</v>
      </c>
      <c r="H41" s="51" t="s">
        <v>363</v>
      </c>
      <c r="I41" s="49" t="s">
        <v>488</v>
      </c>
      <c r="J41" s="49"/>
      <c r="K41" s="48" t="str">
        <f>"145,0"</f>
        <v>145,0</v>
      </c>
      <c r="L41" s="47" t="str">
        <f>"80,3300"</f>
        <v>80,3300</v>
      </c>
      <c r="M41" s="46" t="s">
        <v>487</v>
      </c>
    </row>
    <row r="42" spans="1:13" x14ac:dyDescent="0.2">
      <c r="A42" s="21" t="s">
        <v>308</v>
      </c>
      <c r="B42" s="21" t="s">
        <v>307</v>
      </c>
      <c r="C42" s="21" t="s">
        <v>306</v>
      </c>
      <c r="D42" s="21" t="str">
        <f>"0,5550"</f>
        <v>0,5550</v>
      </c>
      <c r="E42" s="21" t="s">
        <v>305</v>
      </c>
      <c r="F42" s="21" t="s">
        <v>304</v>
      </c>
      <c r="G42" s="22" t="s">
        <v>433</v>
      </c>
      <c r="H42" s="45" t="s">
        <v>281</v>
      </c>
      <c r="I42" s="45" t="s">
        <v>281</v>
      </c>
      <c r="J42" s="45"/>
      <c r="K42" s="25" t="str">
        <f>"132,5"</f>
        <v>132,5</v>
      </c>
      <c r="L42" s="26" t="str">
        <f>"73,5375"</f>
        <v>73,5375</v>
      </c>
      <c r="M42" s="21" t="s">
        <v>301</v>
      </c>
    </row>
    <row r="44" spans="1:13" ht="15" x14ac:dyDescent="0.2">
      <c r="A44" s="42" t="s">
        <v>33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3" x14ac:dyDescent="0.2">
      <c r="A45" s="19" t="s">
        <v>486</v>
      </c>
      <c r="B45" s="19" t="s">
        <v>485</v>
      </c>
      <c r="C45" s="19" t="s">
        <v>426</v>
      </c>
      <c r="D45" s="19" t="str">
        <f>"0,5381"</f>
        <v>0,5381</v>
      </c>
      <c r="E45" s="19" t="s">
        <v>83</v>
      </c>
      <c r="F45" s="19" t="s">
        <v>20</v>
      </c>
      <c r="G45" s="20" t="s">
        <v>319</v>
      </c>
      <c r="H45" s="20" t="s">
        <v>302</v>
      </c>
      <c r="I45" s="20" t="s">
        <v>157</v>
      </c>
      <c r="J45" s="50"/>
      <c r="K45" s="23" t="str">
        <f>"210,0"</f>
        <v>210,0</v>
      </c>
      <c r="L45" s="24" t="str">
        <f>"113,0010"</f>
        <v>113,0010</v>
      </c>
      <c r="M45" s="19" t="s">
        <v>23</v>
      </c>
    </row>
    <row r="46" spans="1:13" x14ac:dyDescent="0.2">
      <c r="A46" s="21" t="s">
        <v>484</v>
      </c>
      <c r="B46" s="21" t="s">
        <v>483</v>
      </c>
      <c r="C46" s="21" t="s">
        <v>482</v>
      </c>
      <c r="D46" s="21" t="str">
        <f>"0,5377"</f>
        <v>0,5377</v>
      </c>
      <c r="E46" s="21" t="s">
        <v>397</v>
      </c>
      <c r="F46" s="21" t="s">
        <v>396</v>
      </c>
      <c r="G46" s="22" t="s">
        <v>395</v>
      </c>
      <c r="H46" s="22" t="s">
        <v>435</v>
      </c>
      <c r="I46" s="45" t="s">
        <v>339</v>
      </c>
      <c r="J46" s="45"/>
      <c r="K46" s="25" t="str">
        <f>"162,5"</f>
        <v>162,5</v>
      </c>
      <c r="L46" s="26" t="str">
        <f>"88,1626"</f>
        <v>88,1626</v>
      </c>
      <c r="M46" s="21" t="s">
        <v>481</v>
      </c>
    </row>
    <row r="48" spans="1:13" ht="15" x14ac:dyDescent="0.2">
      <c r="E48" s="9" t="s">
        <v>43</v>
      </c>
    </row>
    <row r="49" spans="1:5" ht="15" x14ac:dyDescent="0.2">
      <c r="E49" s="9" t="s">
        <v>44</v>
      </c>
    </row>
    <row r="50" spans="1:5" ht="15" x14ac:dyDescent="0.2">
      <c r="E50" s="9" t="s">
        <v>45</v>
      </c>
    </row>
    <row r="51" spans="1:5" ht="15" x14ac:dyDescent="0.2">
      <c r="E51" s="9" t="s">
        <v>46</v>
      </c>
    </row>
    <row r="52" spans="1:5" ht="15" x14ac:dyDescent="0.2">
      <c r="E52" s="9" t="s">
        <v>46</v>
      </c>
    </row>
    <row r="53" spans="1:5" ht="15" x14ac:dyDescent="0.2">
      <c r="E53" s="9" t="s">
        <v>47</v>
      </c>
    </row>
    <row r="54" spans="1:5" ht="15" x14ac:dyDescent="0.2">
      <c r="E54" s="9"/>
    </row>
    <row r="56" spans="1:5" ht="18" x14ac:dyDescent="0.25">
      <c r="A56" s="13" t="s">
        <v>48</v>
      </c>
      <c r="B56" s="13"/>
    </row>
    <row r="57" spans="1:5" ht="15" x14ac:dyDescent="0.2">
      <c r="A57" s="14" t="s">
        <v>170</v>
      </c>
      <c r="B57" s="14"/>
    </row>
    <row r="58" spans="1:5" ht="14.25" x14ac:dyDescent="0.2">
      <c r="A58" s="16"/>
      <c r="B58" s="17" t="s">
        <v>50</v>
      </c>
    </row>
    <row r="59" spans="1:5" ht="15" x14ac:dyDescent="0.2">
      <c r="A59" s="18" t="s">
        <v>51</v>
      </c>
      <c r="B59" s="18" t="s">
        <v>52</v>
      </c>
      <c r="C59" s="18" t="s">
        <v>53</v>
      </c>
      <c r="D59" s="18" t="s">
        <v>54</v>
      </c>
      <c r="E59" s="18" t="s">
        <v>142</v>
      </c>
    </row>
    <row r="60" spans="1:5" x14ac:dyDescent="0.2">
      <c r="A60" s="15" t="s">
        <v>480</v>
      </c>
      <c r="B60" s="4" t="s">
        <v>50</v>
      </c>
      <c r="C60" s="4" t="s">
        <v>290</v>
      </c>
      <c r="D60" s="4" t="s">
        <v>477</v>
      </c>
      <c r="E60" s="10" t="s">
        <v>479</v>
      </c>
    </row>
    <row r="61" spans="1:5" x14ac:dyDescent="0.2">
      <c r="A61" s="15" t="s">
        <v>478</v>
      </c>
      <c r="B61" s="4" t="s">
        <v>50</v>
      </c>
      <c r="C61" s="4" t="s">
        <v>466</v>
      </c>
      <c r="D61" s="4" t="s">
        <v>477</v>
      </c>
      <c r="E61" s="10" t="s">
        <v>476</v>
      </c>
    </row>
    <row r="63" spans="1:5" ht="14.25" x14ac:dyDescent="0.2">
      <c r="A63" s="16"/>
      <c r="B63" s="17" t="s">
        <v>59</v>
      </c>
    </row>
    <row r="64" spans="1:5" ht="15" x14ac:dyDescent="0.2">
      <c r="A64" s="18" t="s">
        <v>51</v>
      </c>
      <c r="B64" s="18" t="s">
        <v>52</v>
      </c>
      <c r="C64" s="18" t="s">
        <v>53</v>
      </c>
      <c r="D64" s="18" t="s">
        <v>54</v>
      </c>
      <c r="E64" s="18" t="s">
        <v>142</v>
      </c>
    </row>
    <row r="65" spans="1:5" x14ac:dyDescent="0.2">
      <c r="A65" s="15" t="s">
        <v>475</v>
      </c>
      <c r="B65" s="4" t="s">
        <v>60</v>
      </c>
      <c r="C65" s="4" t="s">
        <v>294</v>
      </c>
      <c r="D65" s="4" t="s">
        <v>474</v>
      </c>
      <c r="E65" s="10" t="s">
        <v>473</v>
      </c>
    </row>
    <row r="68" spans="1:5" ht="15" x14ac:dyDescent="0.2">
      <c r="A68" s="14" t="s">
        <v>49</v>
      </c>
      <c r="B68" s="14"/>
    </row>
    <row r="69" spans="1:5" ht="14.25" x14ac:dyDescent="0.2">
      <c r="A69" s="16"/>
      <c r="B69" s="17" t="s">
        <v>92</v>
      </c>
    </row>
    <row r="70" spans="1:5" ht="15" x14ac:dyDescent="0.2">
      <c r="A70" s="18" t="s">
        <v>51</v>
      </c>
      <c r="B70" s="18" t="s">
        <v>52</v>
      </c>
      <c r="C70" s="18" t="s">
        <v>53</v>
      </c>
      <c r="D70" s="18" t="s">
        <v>54</v>
      </c>
      <c r="E70" s="18" t="s">
        <v>142</v>
      </c>
    </row>
    <row r="71" spans="1:5" x14ac:dyDescent="0.2">
      <c r="A71" s="15" t="s">
        <v>472</v>
      </c>
      <c r="B71" s="4" t="s">
        <v>93</v>
      </c>
      <c r="C71" s="4" t="s">
        <v>65</v>
      </c>
      <c r="D71" s="4" t="s">
        <v>285</v>
      </c>
      <c r="E71" s="10" t="s">
        <v>471</v>
      </c>
    </row>
    <row r="72" spans="1:5" x14ac:dyDescent="0.2">
      <c r="A72" s="15" t="s">
        <v>470</v>
      </c>
      <c r="B72" s="4" t="s">
        <v>462</v>
      </c>
      <c r="C72" s="4" t="s">
        <v>65</v>
      </c>
      <c r="D72" s="4" t="s">
        <v>293</v>
      </c>
      <c r="E72" s="10" t="s">
        <v>469</v>
      </c>
    </row>
    <row r="73" spans="1:5" x14ac:dyDescent="0.2">
      <c r="A73" s="15" t="s">
        <v>468</v>
      </c>
      <c r="B73" s="4" t="s">
        <v>467</v>
      </c>
      <c r="C73" s="4" t="s">
        <v>466</v>
      </c>
      <c r="D73" s="4" t="s">
        <v>465</v>
      </c>
      <c r="E73" s="10" t="s">
        <v>464</v>
      </c>
    </row>
    <row r="74" spans="1:5" x14ac:dyDescent="0.2">
      <c r="A74" s="15" t="s">
        <v>463</v>
      </c>
      <c r="B74" s="4" t="s">
        <v>462</v>
      </c>
      <c r="C74" s="4" t="s">
        <v>123</v>
      </c>
      <c r="D74" s="4" t="s">
        <v>285</v>
      </c>
      <c r="E74" s="10" t="s">
        <v>461</v>
      </c>
    </row>
    <row r="75" spans="1:5" x14ac:dyDescent="0.2">
      <c r="A75" s="15" t="s">
        <v>460</v>
      </c>
      <c r="B75" s="4" t="s">
        <v>459</v>
      </c>
      <c r="C75" s="4" t="s">
        <v>294</v>
      </c>
      <c r="D75" s="4" t="s">
        <v>458</v>
      </c>
      <c r="E75" s="10" t="s">
        <v>457</v>
      </c>
    </row>
    <row r="77" spans="1:5" ht="14.25" x14ac:dyDescent="0.2">
      <c r="A77" s="16"/>
      <c r="B77" s="17" t="s">
        <v>273</v>
      </c>
    </row>
    <row r="78" spans="1:5" ht="15" x14ac:dyDescent="0.2">
      <c r="A78" s="18" t="s">
        <v>51</v>
      </c>
      <c r="B78" s="18" t="s">
        <v>52</v>
      </c>
      <c r="C78" s="18" t="s">
        <v>53</v>
      </c>
      <c r="D78" s="18" t="s">
        <v>54</v>
      </c>
      <c r="E78" s="18" t="s">
        <v>142</v>
      </c>
    </row>
    <row r="79" spans="1:5" x14ac:dyDescent="0.2">
      <c r="A79" s="15" t="s">
        <v>456</v>
      </c>
      <c r="B79" s="4" t="s">
        <v>269</v>
      </c>
      <c r="C79" s="4" t="s">
        <v>98</v>
      </c>
      <c r="D79" s="4" t="s">
        <v>362</v>
      </c>
      <c r="E79" s="10" t="s">
        <v>455</v>
      </c>
    </row>
    <row r="80" spans="1:5" x14ac:dyDescent="0.2">
      <c r="A80" s="15" t="s">
        <v>454</v>
      </c>
      <c r="B80" s="4" t="s">
        <v>269</v>
      </c>
      <c r="C80" s="4" t="s">
        <v>65</v>
      </c>
      <c r="D80" s="4" t="s">
        <v>358</v>
      </c>
      <c r="E80" s="10" t="s">
        <v>453</v>
      </c>
    </row>
    <row r="82" spans="1:5" ht="14.25" x14ac:dyDescent="0.2">
      <c r="A82" s="16"/>
      <c r="B82" s="17" t="s">
        <v>50</v>
      </c>
    </row>
    <row r="83" spans="1:5" ht="15" x14ac:dyDescent="0.2">
      <c r="A83" s="18" t="s">
        <v>51</v>
      </c>
      <c r="B83" s="18" t="s">
        <v>52</v>
      </c>
      <c r="C83" s="18" t="s">
        <v>53</v>
      </c>
      <c r="D83" s="18" t="s">
        <v>54</v>
      </c>
      <c r="E83" s="18" t="s">
        <v>142</v>
      </c>
    </row>
    <row r="84" spans="1:5" x14ac:dyDescent="0.2">
      <c r="A84" s="15" t="s">
        <v>452</v>
      </c>
      <c r="B84" s="4" t="s">
        <v>50</v>
      </c>
      <c r="C84" s="4" t="s">
        <v>61</v>
      </c>
      <c r="D84" s="4" t="s">
        <v>157</v>
      </c>
      <c r="E84" s="10" t="s">
        <v>451</v>
      </c>
    </row>
    <row r="85" spans="1:5" x14ac:dyDescent="0.2">
      <c r="A85" s="15" t="s">
        <v>450</v>
      </c>
      <c r="B85" s="4" t="s">
        <v>50</v>
      </c>
      <c r="C85" s="4" t="s">
        <v>123</v>
      </c>
      <c r="D85" s="4" t="s">
        <v>393</v>
      </c>
      <c r="E85" s="10" t="s">
        <v>449</v>
      </c>
    </row>
    <row r="86" spans="1:5" x14ac:dyDescent="0.2">
      <c r="A86" s="15" t="s">
        <v>448</v>
      </c>
      <c r="B86" s="4" t="s">
        <v>50</v>
      </c>
      <c r="C86" s="4" t="s">
        <v>246</v>
      </c>
      <c r="D86" s="4" t="s">
        <v>275</v>
      </c>
      <c r="E86" s="10" t="s">
        <v>447</v>
      </c>
    </row>
    <row r="87" spans="1:5" x14ac:dyDescent="0.2">
      <c r="A87" s="15" t="s">
        <v>446</v>
      </c>
      <c r="B87" s="4" t="s">
        <v>50</v>
      </c>
      <c r="C87" s="4" t="s">
        <v>246</v>
      </c>
      <c r="D87" s="4" t="s">
        <v>275</v>
      </c>
      <c r="E87" s="10" t="s">
        <v>445</v>
      </c>
    </row>
    <row r="88" spans="1:5" x14ac:dyDescent="0.2">
      <c r="A88" s="15" t="s">
        <v>444</v>
      </c>
      <c r="B88" s="4" t="s">
        <v>50</v>
      </c>
      <c r="C88" s="4" t="s">
        <v>98</v>
      </c>
      <c r="D88" s="4" t="s">
        <v>435</v>
      </c>
      <c r="E88" s="10" t="s">
        <v>443</v>
      </c>
    </row>
    <row r="89" spans="1:5" x14ac:dyDescent="0.2">
      <c r="A89" s="15" t="s">
        <v>442</v>
      </c>
      <c r="B89" s="4" t="s">
        <v>50</v>
      </c>
      <c r="C89" s="4" t="s">
        <v>98</v>
      </c>
      <c r="D89" s="4" t="s">
        <v>435</v>
      </c>
      <c r="E89" s="10" t="s">
        <v>441</v>
      </c>
    </row>
    <row r="90" spans="1:5" x14ac:dyDescent="0.2">
      <c r="A90" s="15" t="s">
        <v>440</v>
      </c>
      <c r="B90" s="4" t="s">
        <v>50</v>
      </c>
      <c r="C90" s="4" t="s">
        <v>98</v>
      </c>
      <c r="D90" s="4" t="s">
        <v>363</v>
      </c>
      <c r="E90" s="10" t="s">
        <v>439</v>
      </c>
    </row>
    <row r="92" spans="1:5" ht="14.25" x14ac:dyDescent="0.2">
      <c r="A92" s="16"/>
      <c r="B92" s="17" t="s">
        <v>59</v>
      </c>
    </row>
    <row r="93" spans="1:5" ht="15" x14ac:dyDescent="0.2">
      <c r="A93" s="18" t="s">
        <v>51</v>
      </c>
      <c r="B93" s="18" t="s">
        <v>52</v>
      </c>
      <c r="C93" s="18" t="s">
        <v>53</v>
      </c>
      <c r="D93" s="18" t="s">
        <v>54</v>
      </c>
      <c r="E93" s="18" t="s">
        <v>142</v>
      </c>
    </row>
    <row r="94" spans="1:5" x14ac:dyDescent="0.2">
      <c r="A94" s="15" t="s">
        <v>25</v>
      </c>
      <c r="B94" s="4" t="s">
        <v>64</v>
      </c>
      <c r="C94" s="4" t="s">
        <v>65</v>
      </c>
      <c r="D94" s="4" t="s">
        <v>85</v>
      </c>
      <c r="E94" s="10" t="s">
        <v>438</v>
      </c>
    </row>
    <row r="95" spans="1:5" x14ac:dyDescent="0.2">
      <c r="A95" s="15" t="s">
        <v>164</v>
      </c>
      <c r="B95" s="4" t="s">
        <v>60</v>
      </c>
      <c r="C95" s="4" t="s">
        <v>123</v>
      </c>
      <c r="D95" s="4" t="s">
        <v>395</v>
      </c>
      <c r="E95" s="10" t="s">
        <v>437</v>
      </c>
    </row>
    <row r="96" spans="1:5" x14ac:dyDescent="0.2">
      <c r="A96" s="15" t="s">
        <v>436</v>
      </c>
      <c r="B96" s="4" t="s">
        <v>60</v>
      </c>
      <c r="C96" s="4" t="s">
        <v>61</v>
      </c>
      <c r="D96" s="4" t="s">
        <v>435</v>
      </c>
      <c r="E96" s="10" t="s">
        <v>434</v>
      </c>
    </row>
    <row r="97" spans="1:5" x14ac:dyDescent="0.2">
      <c r="A97" s="15" t="s">
        <v>238</v>
      </c>
      <c r="B97" s="4" t="s">
        <v>60</v>
      </c>
      <c r="C97" s="4" t="s">
        <v>98</v>
      </c>
      <c r="D97" s="4" t="s">
        <v>433</v>
      </c>
      <c r="E97" s="10" t="s">
        <v>432</v>
      </c>
    </row>
    <row r="98" spans="1:5" x14ac:dyDescent="0.2">
      <c r="A98" s="15" t="s">
        <v>431</v>
      </c>
      <c r="B98" s="4" t="s">
        <v>60</v>
      </c>
      <c r="C98" s="4" t="s">
        <v>246</v>
      </c>
      <c r="D98" s="4" t="s">
        <v>40</v>
      </c>
      <c r="E98" s="10" t="s">
        <v>430</v>
      </c>
    </row>
  </sheetData>
  <mergeCells count="21">
    <mergeCell ref="A26:J26"/>
    <mergeCell ref="F3:F4"/>
    <mergeCell ref="G3:J3"/>
    <mergeCell ref="A32:J32"/>
    <mergeCell ref="A37:J37"/>
    <mergeCell ref="A44:J44"/>
    <mergeCell ref="A8:J8"/>
    <mergeCell ref="A11:J11"/>
    <mergeCell ref="A14:J14"/>
    <mergeCell ref="A17:J17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4.5703125" style="4" bestFit="1" customWidth="1"/>
    <col min="22" max="16384" width="9.140625" style="3"/>
  </cols>
  <sheetData>
    <row r="1" spans="1:21" s="2" customFormat="1" ht="29.1" customHeight="1" x14ac:dyDescent="0.2">
      <c r="A1" s="41" t="s">
        <v>599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401</v>
      </c>
      <c r="L3" s="27"/>
      <c r="M3" s="27"/>
      <c r="N3" s="27"/>
      <c r="O3" s="27" t="s">
        <v>234</v>
      </c>
      <c r="P3" s="27"/>
      <c r="Q3" s="27"/>
      <c r="R3" s="27"/>
      <c r="S3" s="27" t="s">
        <v>1</v>
      </c>
      <c r="T3" s="27" t="s">
        <v>3</v>
      </c>
      <c r="U3" s="28" t="s">
        <v>2</v>
      </c>
    </row>
    <row r="4" spans="1:21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38"/>
      <c r="T4" s="38"/>
      <c r="U4" s="29"/>
    </row>
    <row r="5" spans="1:21" ht="15" x14ac:dyDescent="0.2">
      <c r="A5" s="39" t="s">
        <v>24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7" t="s">
        <v>598</v>
      </c>
      <c r="B6" s="7" t="s">
        <v>597</v>
      </c>
      <c r="C6" s="7" t="s">
        <v>596</v>
      </c>
      <c r="D6" s="7" t="str">
        <f>"0,7254"</f>
        <v>0,7254</v>
      </c>
      <c r="E6" s="7" t="s">
        <v>174</v>
      </c>
      <c r="F6" s="7" t="s">
        <v>173</v>
      </c>
      <c r="G6" s="8" t="s">
        <v>595</v>
      </c>
      <c r="H6" s="8" t="s">
        <v>117</v>
      </c>
      <c r="I6" s="8" t="s">
        <v>587</v>
      </c>
      <c r="J6" s="44"/>
      <c r="K6" s="8" t="s">
        <v>373</v>
      </c>
      <c r="L6" s="44" t="s">
        <v>594</v>
      </c>
      <c r="M6" s="8" t="s">
        <v>593</v>
      </c>
      <c r="N6" s="44"/>
      <c r="O6" s="8" t="s">
        <v>117</v>
      </c>
      <c r="P6" s="8" t="s">
        <v>587</v>
      </c>
      <c r="Q6" s="8" t="s">
        <v>358</v>
      </c>
      <c r="R6" s="44"/>
      <c r="S6" s="11" t="str">
        <f>"360,0"</f>
        <v>360,0</v>
      </c>
      <c r="T6" s="12" t="str">
        <f>"269,2580"</f>
        <v>269,2580</v>
      </c>
      <c r="U6" s="7" t="s">
        <v>171</v>
      </c>
    </row>
    <row r="8" spans="1:21" ht="15" x14ac:dyDescent="0.2">
      <c r="A8" s="42" t="s">
        <v>112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21" x14ac:dyDescent="0.2">
      <c r="A9" s="7" t="s">
        <v>223</v>
      </c>
      <c r="B9" s="7" t="s">
        <v>222</v>
      </c>
      <c r="C9" s="7" t="s">
        <v>221</v>
      </c>
      <c r="D9" s="7" t="str">
        <f>"0,5893"</f>
        <v>0,5893</v>
      </c>
      <c r="E9" s="7" t="s">
        <v>220</v>
      </c>
      <c r="F9" s="7" t="s">
        <v>20</v>
      </c>
      <c r="G9" s="8" t="s">
        <v>163</v>
      </c>
      <c r="H9" s="8" t="s">
        <v>296</v>
      </c>
      <c r="I9" s="8" t="s">
        <v>315</v>
      </c>
      <c r="J9" s="44"/>
      <c r="K9" s="8" t="s">
        <v>587</v>
      </c>
      <c r="L9" s="8" t="s">
        <v>363</v>
      </c>
      <c r="M9" s="8" t="s">
        <v>592</v>
      </c>
      <c r="N9" s="44"/>
      <c r="O9" s="8" t="s">
        <v>219</v>
      </c>
      <c r="P9" s="8" t="s">
        <v>143</v>
      </c>
      <c r="Q9" s="44" t="s">
        <v>140</v>
      </c>
      <c r="R9" s="44"/>
      <c r="S9" s="11" t="str">
        <f>"657,5"</f>
        <v>657,5</v>
      </c>
      <c r="T9" s="12" t="str">
        <f>"387,4647"</f>
        <v>387,4647</v>
      </c>
      <c r="U9" s="7" t="s">
        <v>218</v>
      </c>
    </row>
    <row r="11" spans="1:21" ht="15" x14ac:dyDescent="0.2">
      <c r="A11" s="42" t="s">
        <v>78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21" x14ac:dyDescent="0.2">
      <c r="A12" s="7" t="s">
        <v>591</v>
      </c>
      <c r="B12" s="7" t="s">
        <v>590</v>
      </c>
      <c r="C12" s="7" t="s">
        <v>589</v>
      </c>
      <c r="D12" s="7" t="str">
        <f>"0,5619"</f>
        <v>0,5619</v>
      </c>
      <c r="E12" s="7" t="s">
        <v>588</v>
      </c>
      <c r="F12" s="7" t="s">
        <v>20</v>
      </c>
      <c r="G12" s="8" t="s">
        <v>320</v>
      </c>
      <c r="H12" s="44" t="s">
        <v>319</v>
      </c>
      <c r="I12" s="8" t="s">
        <v>319</v>
      </c>
      <c r="J12" s="44"/>
      <c r="K12" s="8" t="s">
        <v>278</v>
      </c>
      <c r="L12" s="44" t="s">
        <v>117</v>
      </c>
      <c r="M12" s="8" t="s">
        <v>587</v>
      </c>
      <c r="N12" s="44"/>
      <c r="O12" s="8" t="s">
        <v>237</v>
      </c>
      <c r="P12" s="8" t="s">
        <v>302</v>
      </c>
      <c r="Q12" s="8" t="s">
        <v>586</v>
      </c>
      <c r="R12" s="44"/>
      <c r="S12" s="11" t="str">
        <f>"537,5"</f>
        <v>537,5</v>
      </c>
      <c r="T12" s="12" t="str">
        <f>"302,0213"</f>
        <v>302,0213</v>
      </c>
      <c r="U12" s="7" t="s">
        <v>585</v>
      </c>
    </row>
    <row r="14" spans="1:21" ht="15" x14ac:dyDescent="0.2">
      <c r="A14" s="42" t="s">
        <v>33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21" x14ac:dyDescent="0.2">
      <c r="A15" s="7" t="s">
        <v>584</v>
      </c>
      <c r="B15" s="7" t="s">
        <v>583</v>
      </c>
      <c r="C15" s="7" t="s">
        <v>582</v>
      </c>
      <c r="D15" s="7" t="str">
        <f>"0,5427"</f>
        <v>0,5427</v>
      </c>
      <c r="E15" s="7" t="s">
        <v>83</v>
      </c>
      <c r="F15" s="7" t="s">
        <v>551</v>
      </c>
      <c r="G15" s="8" t="s">
        <v>163</v>
      </c>
      <c r="H15" s="8" t="s">
        <v>172</v>
      </c>
      <c r="I15" s="44"/>
      <c r="J15" s="44"/>
      <c r="K15" s="8" t="s">
        <v>393</v>
      </c>
      <c r="L15" s="44" t="s">
        <v>581</v>
      </c>
      <c r="M15" s="44" t="s">
        <v>581</v>
      </c>
      <c r="N15" s="44"/>
      <c r="O15" s="8" t="s">
        <v>260</v>
      </c>
      <c r="P15" s="44" t="s">
        <v>143</v>
      </c>
      <c r="Q15" s="44" t="s">
        <v>143</v>
      </c>
      <c r="R15" s="44"/>
      <c r="S15" s="11" t="str">
        <f>"625,0"</f>
        <v>625,0</v>
      </c>
      <c r="T15" s="12" t="str">
        <f>"397,8669"</f>
        <v>397,8669</v>
      </c>
      <c r="U15" s="7" t="s">
        <v>23</v>
      </c>
    </row>
    <row r="17" spans="1:21" ht="15" x14ac:dyDescent="0.2">
      <c r="A17" s="42" t="s">
        <v>300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21" x14ac:dyDescent="0.2">
      <c r="A18" s="7" t="s">
        <v>416</v>
      </c>
      <c r="B18" s="7" t="s">
        <v>415</v>
      </c>
      <c r="C18" s="7" t="s">
        <v>414</v>
      </c>
      <c r="D18" s="7" t="str">
        <f>"0,5210"</f>
        <v>0,5210</v>
      </c>
      <c r="E18" s="7" t="s">
        <v>413</v>
      </c>
      <c r="F18" s="7" t="s">
        <v>20</v>
      </c>
      <c r="G18" s="8" t="s">
        <v>163</v>
      </c>
      <c r="H18" s="8" t="s">
        <v>219</v>
      </c>
      <c r="I18" s="44" t="s">
        <v>143</v>
      </c>
      <c r="J18" s="44"/>
      <c r="K18" s="8" t="s">
        <v>154</v>
      </c>
      <c r="L18" s="44" t="s">
        <v>172</v>
      </c>
      <c r="M18" s="44" t="s">
        <v>172</v>
      </c>
      <c r="N18" s="44"/>
      <c r="O18" s="44" t="s">
        <v>580</v>
      </c>
      <c r="P18" s="8" t="s">
        <v>580</v>
      </c>
      <c r="Q18" s="44" t="s">
        <v>579</v>
      </c>
      <c r="R18" s="44"/>
      <c r="S18" s="11" t="str">
        <f>"725,0"</f>
        <v>725,0</v>
      </c>
      <c r="T18" s="12" t="str">
        <f>"377,7250"</f>
        <v>377,7250</v>
      </c>
      <c r="U18" s="7" t="s">
        <v>23</v>
      </c>
    </row>
    <row r="20" spans="1:21" ht="15" x14ac:dyDescent="0.2">
      <c r="E20" s="9" t="s">
        <v>43</v>
      </c>
    </row>
    <row r="21" spans="1:21" ht="15" x14ac:dyDescent="0.2">
      <c r="E21" s="9" t="s">
        <v>44</v>
      </c>
    </row>
    <row r="22" spans="1:21" ht="15" x14ac:dyDescent="0.2">
      <c r="E22" s="9" t="s">
        <v>45</v>
      </c>
    </row>
    <row r="23" spans="1:21" ht="15" x14ac:dyDescent="0.2">
      <c r="E23" s="9" t="s">
        <v>46</v>
      </c>
    </row>
    <row r="24" spans="1:21" ht="15" x14ac:dyDescent="0.2">
      <c r="E24" s="9" t="s">
        <v>46</v>
      </c>
    </row>
    <row r="25" spans="1:21" ht="15" x14ac:dyDescent="0.2">
      <c r="E25" s="9" t="s">
        <v>47</v>
      </c>
    </row>
    <row r="26" spans="1:21" ht="15" x14ac:dyDescent="0.2">
      <c r="E26" s="9"/>
    </row>
    <row r="28" spans="1:21" ht="18" x14ac:dyDescent="0.25">
      <c r="A28" s="13" t="s">
        <v>48</v>
      </c>
      <c r="B28" s="13"/>
    </row>
    <row r="29" spans="1:21" ht="15" x14ac:dyDescent="0.2">
      <c r="A29" s="14" t="s">
        <v>170</v>
      </c>
      <c r="B29" s="14"/>
    </row>
    <row r="30" spans="1:21" ht="14.25" x14ac:dyDescent="0.2">
      <c r="A30" s="16"/>
      <c r="B30" s="17" t="s">
        <v>59</v>
      </c>
    </row>
    <row r="31" spans="1:21" ht="15" x14ac:dyDescent="0.2">
      <c r="A31" s="18" t="s">
        <v>51</v>
      </c>
      <c r="B31" s="18" t="s">
        <v>52</v>
      </c>
      <c r="C31" s="18" t="s">
        <v>53</v>
      </c>
      <c r="D31" s="18" t="s">
        <v>568</v>
      </c>
      <c r="E31" s="18" t="s">
        <v>142</v>
      </c>
    </row>
    <row r="32" spans="1:21" x14ac:dyDescent="0.2">
      <c r="A32" s="15" t="s">
        <v>578</v>
      </c>
      <c r="B32" s="4" t="s">
        <v>60</v>
      </c>
      <c r="C32" s="4" t="s">
        <v>65</v>
      </c>
      <c r="D32" s="4" t="s">
        <v>577</v>
      </c>
      <c r="E32" s="10" t="s">
        <v>576</v>
      </c>
    </row>
    <row r="35" spans="1:5" ht="15" x14ac:dyDescent="0.2">
      <c r="A35" s="14" t="s">
        <v>49</v>
      </c>
      <c r="B35" s="14"/>
    </row>
    <row r="36" spans="1:5" ht="14.25" x14ac:dyDescent="0.2">
      <c r="A36" s="16"/>
      <c r="B36" s="17" t="s">
        <v>50</v>
      </c>
    </row>
    <row r="37" spans="1:5" ht="15" x14ac:dyDescent="0.2">
      <c r="A37" s="18" t="s">
        <v>51</v>
      </c>
      <c r="B37" s="18" t="s">
        <v>52</v>
      </c>
      <c r="C37" s="18" t="s">
        <v>53</v>
      </c>
      <c r="D37" s="18" t="s">
        <v>568</v>
      </c>
      <c r="E37" s="18" t="s">
        <v>142</v>
      </c>
    </row>
    <row r="38" spans="1:5" x14ac:dyDescent="0.2">
      <c r="A38" s="15" t="s">
        <v>198</v>
      </c>
      <c r="B38" s="4" t="s">
        <v>50</v>
      </c>
      <c r="C38" s="4" t="s">
        <v>123</v>
      </c>
      <c r="D38" s="4" t="s">
        <v>575</v>
      </c>
      <c r="E38" s="10" t="s">
        <v>574</v>
      </c>
    </row>
    <row r="39" spans="1:5" x14ac:dyDescent="0.2">
      <c r="A39" s="15" t="s">
        <v>408</v>
      </c>
      <c r="B39" s="4" t="s">
        <v>50</v>
      </c>
      <c r="C39" s="4" t="s">
        <v>241</v>
      </c>
      <c r="D39" s="4" t="s">
        <v>573</v>
      </c>
      <c r="E39" s="10" t="s">
        <v>572</v>
      </c>
    </row>
    <row r="40" spans="1:5" x14ac:dyDescent="0.2">
      <c r="A40" s="15" t="s">
        <v>571</v>
      </c>
      <c r="B40" s="4" t="s">
        <v>50</v>
      </c>
      <c r="C40" s="4" t="s">
        <v>98</v>
      </c>
      <c r="D40" s="4" t="s">
        <v>570</v>
      </c>
      <c r="E40" s="10" t="s">
        <v>569</v>
      </c>
    </row>
    <row r="42" spans="1:5" ht="14.25" x14ac:dyDescent="0.2">
      <c r="A42" s="16"/>
      <c r="B42" s="17" t="s">
        <v>59</v>
      </c>
    </row>
    <row r="43" spans="1:5" ht="15" x14ac:dyDescent="0.2">
      <c r="A43" s="18" t="s">
        <v>51</v>
      </c>
      <c r="B43" s="18" t="s">
        <v>52</v>
      </c>
      <c r="C43" s="18" t="s">
        <v>53</v>
      </c>
      <c r="D43" s="18" t="s">
        <v>568</v>
      </c>
      <c r="E43" s="18" t="s">
        <v>142</v>
      </c>
    </row>
    <row r="44" spans="1:5" x14ac:dyDescent="0.2">
      <c r="A44" s="15" t="s">
        <v>567</v>
      </c>
      <c r="B44" s="4" t="s">
        <v>122</v>
      </c>
      <c r="C44" s="4" t="s">
        <v>61</v>
      </c>
      <c r="D44" s="4" t="s">
        <v>566</v>
      </c>
      <c r="E44" s="10" t="s">
        <v>565</v>
      </c>
    </row>
  </sheetData>
  <mergeCells count="18">
    <mergeCell ref="A17:R17"/>
    <mergeCell ref="S3:S4"/>
    <mergeCell ref="G3:J3"/>
    <mergeCell ref="K3:N3"/>
    <mergeCell ref="O3:R3"/>
    <mergeCell ref="A8:R8"/>
    <mergeCell ref="A11:R11"/>
    <mergeCell ref="A14:R1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9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29.28515625" style="4" bestFit="1" customWidth="1"/>
    <col min="22" max="16384" width="9.140625" style="3"/>
  </cols>
  <sheetData>
    <row r="1" spans="1:21" s="2" customFormat="1" ht="29.1" customHeight="1" x14ac:dyDescent="0.2">
      <c r="A1" s="41" t="s">
        <v>693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401</v>
      </c>
      <c r="L3" s="27"/>
      <c r="M3" s="27"/>
      <c r="N3" s="27"/>
      <c r="O3" s="27" t="s">
        <v>234</v>
      </c>
      <c r="P3" s="27"/>
      <c r="Q3" s="27"/>
      <c r="R3" s="27"/>
      <c r="S3" s="27" t="s">
        <v>1</v>
      </c>
      <c r="T3" s="27" t="s">
        <v>3</v>
      </c>
      <c r="U3" s="28" t="s">
        <v>2</v>
      </c>
    </row>
    <row r="4" spans="1:21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38"/>
      <c r="T4" s="38"/>
      <c r="U4" s="29"/>
    </row>
    <row r="5" spans="1:21" ht="15" x14ac:dyDescent="0.2">
      <c r="A5" s="39" t="s">
        <v>386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7" t="s">
        <v>385</v>
      </c>
      <c r="B6" s="7" t="s">
        <v>384</v>
      </c>
      <c r="C6" s="7" t="s">
        <v>383</v>
      </c>
      <c r="D6" s="7" t="str">
        <f>"0,9754"</f>
        <v>0,9754</v>
      </c>
      <c r="E6" s="7" t="s">
        <v>382</v>
      </c>
      <c r="F6" s="7" t="s">
        <v>20</v>
      </c>
      <c r="G6" s="8" t="s">
        <v>134</v>
      </c>
      <c r="H6" s="44" t="s">
        <v>526</v>
      </c>
      <c r="I6" s="44" t="s">
        <v>526</v>
      </c>
      <c r="J6" s="44"/>
      <c r="K6" s="8" t="s">
        <v>474</v>
      </c>
      <c r="L6" s="44" t="s">
        <v>550</v>
      </c>
      <c r="M6" s="44" t="s">
        <v>550</v>
      </c>
      <c r="N6" s="44"/>
      <c r="O6" s="8" t="s">
        <v>85</v>
      </c>
      <c r="P6" s="8" t="s">
        <v>40</v>
      </c>
      <c r="Q6" s="8" t="s">
        <v>293</v>
      </c>
      <c r="R6" s="44"/>
      <c r="S6" s="11" t="str">
        <f>"257,5"</f>
        <v>257,5</v>
      </c>
      <c r="T6" s="12" t="str">
        <f>"251,1784"</f>
        <v>251,1784</v>
      </c>
      <c r="U6" s="7" t="s">
        <v>381</v>
      </c>
    </row>
    <row r="8" spans="1:21" ht="15" x14ac:dyDescent="0.2">
      <c r="A8" s="42" t="s">
        <v>24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21" x14ac:dyDescent="0.2">
      <c r="A9" s="7" t="s">
        <v>692</v>
      </c>
      <c r="B9" s="7" t="s">
        <v>691</v>
      </c>
      <c r="C9" s="7" t="s">
        <v>690</v>
      </c>
      <c r="D9" s="7" t="str">
        <f>"0,7283"</f>
        <v>0,7283</v>
      </c>
      <c r="E9" s="7" t="s">
        <v>145</v>
      </c>
      <c r="F9" s="7" t="s">
        <v>144</v>
      </c>
      <c r="G9" s="8" t="s">
        <v>117</v>
      </c>
      <c r="H9" s="44" t="s">
        <v>281</v>
      </c>
      <c r="I9" s="8" t="s">
        <v>281</v>
      </c>
      <c r="J9" s="44"/>
      <c r="K9" s="8" t="s">
        <v>30</v>
      </c>
      <c r="L9" s="8" t="s">
        <v>373</v>
      </c>
      <c r="M9" s="8" t="s">
        <v>594</v>
      </c>
      <c r="N9" s="44"/>
      <c r="O9" s="8" t="s">
        <v>275</v>
      </c>
      <c r="P9" s="8" t="s">
        <v>339</v>
      </c>
      <c r="Q9" s="8" t="s">
        <v>581</v>
      </c>
      <c r="R9" s="44"/>
      <c r="S9" s="11" t="str">
        <f>"395,0"</f>
        <v>395,0</v>
      </c>
      <c r="T9" s="12" t="str">
        <f>"287,6588"</f>
        <v>287,6588</v>
      </c>
      <c r="U9" s="7" t="s">
        <v>156</v>
      </c>
    </row>
    <row r="11" spans="1:21" ht="15" x14ac:dyDescent="0.2">
      <c r="A11" s="42" t="s">
        <v>14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21" x14ac:dyDescent="0.2">
      <c r="A12" s="7" t="s">
        <v>689</v>
      </c>
      <c r="B12" s="7" t="s">
        <v>688</v>
      </c>
      <c r="C12" s="7" t="s">
        <v>687</v>
      </c>
      <c r="D12" s="7" t="str">
        <f>"0,7357"</f>
        <v>0,7357</v>
      </c>
      <c r="E12" s="7" t="s">
        <v>174</v>
      </c>
      <c r="F12" s="7" t="s">
        <v>686</v>
      </c>
      <c r="G12" s="8" t="s">
        <v>85</v>
      </c>
      <c r="H12" s="8" t="s">
        <v>203</v>
      </c>
      <c r="I12" s="8" t="s">
        <v>40</v>
      </c>
      <c r="J12" s="44"/>
      <c r="K12" s="8" t="s">
        <v>21</v>
      </c>
      <c r="L12" s="8" t="s">
        <v>465</v>
      </c>
      <c r="M12" s="44" t="s">
        <v>685</v>
      </c>
      <c r="N12" s="44"/>
      <c r="O12" s="44" t="s">
        <v>203</v>
      </c>
      <c r="P12" s="8" t="s">
        <v>40</v>
      </c>
      <c r="Q12" s="8" t="s">
        <v>293</v>
      </c>
      <c r="R12" s="44"/>
      <c r="S12" s="11" t="str">
        <f>"297,5"</f>
        <v>297,5</v>
      </c>
      <c r="T12" s="12" t="str">
        <f>"258,2675"</f>
        <v>258,2675</v>
      </c>
      <c r="U12" s="7" t="s">
        <v>171</v>
      </c>
    </row>
    <row r="14" spans="1:21" ht="15" x14ac:dyDescent="0.2">
      <c r="A14" s="42" t="s">
        <v>24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21" x14ac:dyDescent="0.2">
      <c r="A15" s="19" t="s">
        <v>684</v>
      </c>
      <c r="B15" s="19" t="s">
        <v>683</v>
      </c>
      <c r="C15" s="19" t="s">
        <v>682</v>
      </c>
      <c r="D15" s="19" t="str">
        <f>"0,6737"</f>
        <v>0,6737</v>
      </c>
      <c r="E15" s="19" t="s">
        <v>681</v>
      </c>
      <c r="F15" s="19" t="s">
        <v>680</v>
      </c>
      <c r="G15" s="50" t="s">
        <v>319</v>
      </c>
      <c r="H15" s="20" t="s">
        <v>179</v>
      </c>
      <c r="I15" s="20" t="s">
        <v>302</v>
      </c>
      <c r="J15" s="50"/>
      <c r="K15" s="20" t="s">
        <v>285</v>
      </c>
      <c r="L15" s="20" t="s">
        <v>595</v>
      </c>
      <c r="M15" s="50" t="s">
        <v>679</v>
      </c>
      <c r="N15" s="50"/>
      <c r="O15" s="20" t="s">
        <v>179</v>
      </c>
      <c r="P15" s="20" t="s">
        <v>252</v>
      </c>
      <c r="Q15" s="20" t="s">
        <v>157</v>
      </c>
      <c r="R15" s="50"/>
      <c r="S15" s="23" t="str">
        <f>"540,0"</f>
        <v>540,0</v>
      </c>
      <c r="T15" s="24" t="str">
        <f>"367,4360"</f>
        <v>367,4360</v>
      </c>
      <c r="U15" s="19" t="s">
        <v>678</v>
      </c>
    </row>
    <row r="16" spans="1:21" x14ac:dyDescent="0.2">
      <c r="A16" s="21" t="s">
        <v>677</v>
      </c>
      <c r="B16" s="21" t="s">
        <v>676</v>
      </c>
      <c r="C16" s="21" t="s">
        <v>596</v>
      </c>
      <c r="D16" s="21" t="str">
        <f>"0,6680"</f>
        <v>0,6680</v>
      </c>
      <c r="E16" s="21" t="s">
        <v>174</v>
      </c>
      <c r="F16" s="21" t="s">
        <v>173</v>
      </c>
      <c r="G16" s="22" t="s">
        <v>587</v>
      </c>
      <c r="H16" s="22" t="s">
        <v>358</v>
      </c>
      <c r="I16" s="22" t="s">
        <v>363</v>
      </c>
      <c r="J16" s="45"/>
      <c r="K16" s="22" t="s">
        <v>134</v>
      </c>
      <c r="L16" s="45" t="s">
        <v>186</v>
      </c>
      <c r="M16" s="22" t="s">
        <v>85</v>
      </c>
      <c r="N16" s="45"/>
      <c r="O16" s="22" t="s">
        <v>581</v>
      </c>
      <c r="P16" s="22" t="s">
        <v>303</v>
      </c>
      <c r="Q16" s="45" t="s">
        <v>675</v>
      </c>
      <c r="R16" s="45"/>
      <c r="S16" s="25" t="str">
        <f>"430,0"</f>
        <v>430,0</v>
      </c>
      <c r="T16" s="26" t="str">
        <f>"287,2400"</f>
        <v>287,2400</v>
      </c>
      <c r="U16" s="21" t="s">
        <v>171</v>
      </c>
    </row>
    <row r="18" spans="1:21" ht="15" x14ac:dyDescent="0.2">
      <c r="A18" s="42" t="s">
        <v>347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21" x14ac:dyDescent="0.2">
      <c r="A19" s="19" t="s">
        <v>674</v>
      </c>
      <c r="B19" s="19" t="s">
        <v>673</v>
      </c>
      <c r="C19" s="19" t="s">
        <v>672</v>
      </c>
      <c r="D19" s="19" t="str">
        <f>"0,6198"</f>
        <v>0,6198</v>
      </c>
      <c r="E19" s="19" t="s">
        <v>671</v>
      </c>
      <c r="F19" s="19" t="s">
        <v>173</v>
      </c>
      <c r="G19" s="20" t="s">
        <v>339</v>
      </c>
      <c r="H19" s="20" t="s">
        <v>245</v>
      </c>
      <c r="I19" s="20" t="s">
        <v>320</v>
      </c>
      <c r="J19" s="50"/>
      <c r="K19" s="20" t="s">
        <v>278</v>
      </c>
      <c r="L19" s="20" t="s">
        <v>595</v>
      </c>
      <c r="M19" s="20" t="s">
        <v>117</v>
      </c>
      <c r="N19" s="50"/>
      <c r="O19" s="20" t="s">
        <v>393</v>
      </c>
      <c r="P19" s="20" t="s">
        <v>320</v>
      </c>
      <c r="Q19" s="20" t="s">
        <v>670</v>
      </c>
      <c r="R19" s="50"/>
      <c r="S19" s="23" t="str">
        <f>"497,5"</f>
        <v>497,5</v>
      </c>
      <c r="T19" s="24" t="str">
        <f>"308,3505"</f>
        <v>308,3505</v>
      </c>
      <c r="U19" s="19" t="s">
        <v>171</v>
      </c>
    </row>
    <row r="20" spans="1:21" x14ac:dyDescent="0.2">
      <c r="A20" s="46" t="s">
        <v>669</v>
      </c>
      <c r="B20" s="46" t="s">
        <v>524</v>
      </c>
      <c r="C20" s="46" t="s">
        <v>344</v>
      </c>
      <c r="D20" s="46" t="str">
        <f>"0,6246"</f>
        <v>0,6246</v>
      </c>
      <c r="E20" s="46" t="s">
        <v>174</v>
      </c>
      <c r="F20" s="46" t="s">
        <v>173</v>
      </c>
      <c r="G20" s="51" t="s">
        <v>474</v>
      </c>
      <c r="H20" s="49"/>
      <c r="I20" s="49"/>
      <c r="J20" s="49"/>
      <c r="K20" s="51" t="s">
        <v>523</v>
      </c>
      <c r="L20" s="51" t="s">
        <v>488</v>
      </c>
      <c r="M20" s="51" t="s">
        <v>275</v>
      </c>
      <c r="N20" s="49"/>
      <c r="O20" s="51" t="s">
        <v>320</v>
      </c>
      <c r="P20" s="51" t="s">
        <v>319</v>
      </c>
      <c r="Q20" s="51" t="s">
        <v>179</v>
      </c>
      <c r="R20" s="49"/>
      <c r="S20" s="48" t="str">
        <f>"405,0"</f>
        <v>405,0</v>
      </c>
      <c r="T20" s="47" t="str">
        <f>"252,9630"</f>
        <v>252,9630</v>
      </c>
      <c r="U20" s="46" t="s">
        <v>522</v>
      </c>
    </row>
    <row r="21" spans="1:21" x14ac:dyDescent="0.2">
      <c r="A21" s="21" t="s">
        <v>517</v>
      </c>
      <c r="B21" s="21" t="s">
        <v>516</v>
      </c>
      <c r="C21" s="21" t="s">
        <v>515</v>
      </c>
      <c r="D21" s="21" t="str">
        <f>"0,6251"</f>
        <v>0,6251</v>
      </c>
      <c r="E21" s="21" t="s">
        <v>174</v>
      </c>
      <c r="F21" s="21" t="s">
        <v>173</v>
      </c>
      <c r="G21" s="22" t="s">
        <v>668</v>
      </c>
      <c r="H21" s="45"/>
      <c r="I21" s="45"/>
      <c r="J21" s="45"/>
      <c r="K21" s="45" t="s">
        <v>40</v>
      </c>
      <c r="L21" s="22" t="s">
        <v>40</v>
      </c>
      <c r="M21" s="45" t="s">
        <v>285</v>
      </c>
      <c r="N21" s="45"/>
      <c r="O21" s="22" t="s">
        <v>373</v>
      </c>
      <c r="P21" s="45"/>
      <c r="Q21" s="45"/>
      <c r="R21" s="45"/>
      <c r="S21" s="25" t="str">
        <f>"250,0"</f>
        <v>250,0</v>
      </c>
      <c r="T21" s="26" t="str">
        <f>"156,2750"</f>
        <v>156,2750</v>
      </c>
      <c r="U21" s="21" t="s">
        <v>171</v>
      </c>
    </row>
    <row r="23" spans="1:21" ht="15" x14ac:dyDescent="0.2">
      <c r="A23" s="42" t="s">
        <v>112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21" x14ac:dyDescent="0.2">
      <c r="A24" s="7" t="s">
        <v>667</v>
      </c>
      <c r="B24" s="7" t="s">
        <v>666</v>
      </c>
      <c r="C24" s="7" t="s">
        <v>182</v>
      </c>
      <c r="D24" s="7" t="str">
        <f>"0,5853"</f>
        <v>0,5853</v>
      </c>
      <c r="E24" s="7" t="s">
        <v>665</v>
      </c>
      <c r="F24" s="7" t="s">
        <v>229</v>
      </c>
      <c r="G24" s="8" t="s">
        <v>157</v>
      </c>
      <c r="H24" s="8" t="s">
        <v>163</v>
      </c>
      <c r="I24" s="8" t="s">
        <v>260</v>
      </c>
      <c r="J24" s="44"/>
      <c r="K24" s="8" t="s">
        <v>358</v>
      </c>
      <c r="L24" s="8" t="s">
        <v>488</v>
      </c>
      <c r="M24" s="8" t="s">
        <v>649</v>
      </c>
      <c r="N24" s="44"/>
      <c r="O24" s="8" t="s">
        <v>260</v>
      </c>
      <c r="P24" s="8" t="s">
        <v>240</v>
      </c>
      <c r="Q24" s="8" t="s">
        <v>143</v>
      </c>
      <c r="R24" s="44"/>
      <c r="S24" s="11" t="str">
        <f>"647,5"</f>
        <v>647,5</v>
      </c>
      <c r="T24" s="12" t="str">
        <f>"378,9818"</f>
        <v>378,9818</v>
      </c>
      <c r="U24" s="7" t="s">
        <v>664</v>
      </c>
    </row>
    <row r="26" spans="1:21" ht="15" x14ac:dyDescent="0.2">
      <c r="A26" s="42" t="s">
        <v>78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">
      <c r="A27" s="19" t="s">
        <v>663</v>
      </c>
      <c r="B27" s="19" t="s">
        <v>662</v>
      </c>
      <c r="C27" s="19" t="s">
        <v>661</v>
      </c>
      <c r="D27" s="19" t="str">
        <f>"0,5630"</f>
        <v>0,5630</v>
      </c>
      <c r="E27" s="19" t="s">
        <v>660</v>
      </c>
      <c r="F27" s="19" t="s">
        <v>20</v>
      </c>
      <c r="G27" s="20" t="s">
        <v>303</v>
      </c>
      <c r="H27" s="50" t="s">
        <v>179</v>
      </c>
      <c r="I27" s="20" t="s">
        <v>179</v>
      </c>
      <c r="J27" s="50"/>
      <c r="K27" s="20" t="s">
        <v>358</v>
      </c>
      <c r="L27" s="20" t="s">
        <v>488</v>
      </c>
      <c r="M27" s="50" t="s">
        <v>395</v>
      </c>
      <c r="N27" s="50"/>
      <c r="O27" s="20" t="s">
        <v>320</v>
      </c>
      <c r="P27" s="20" t="s">
        <v>179</v>
      </c>
      <c r="Q27" s="50" t="s">
        <v>219</v>
      </c>
      <c r="R27" s="50"/>
      <c r="S27" s="23" t="str">
        <f>"550,0"</f>
        <v>550,0</v>
      </c>
      <c r="T27" s="24" t="str">
        <f>"309,6500"</f>
        <v>309,6500</v>
      </c>
      <c r="U27" s="19" t="s">
        <v>659</v>
      </c>
    </row>
    <row r="28" spans="1:21" x14ac:dyDescent="0.2">
      <c r="A28" s="21" t="s">
        <v>658</v>
      </c>
      <c r="B28" s="21" t="s">
        <v>657</v>
      </c>
      <c r="C28" s="21" t="s">
        <v>656</v>
      </c>
      <c r="D28" s="21" t="str">
        <f>"0,5560"</f>
        <v>0,5560</v>
      </c>
      <c r="E28" s="21" t="s">
        <v>655</v>
      </c>
      <c r="F28" s="21" t="s">
        <v>304</v>
      </c>
      <c r="G28" s="22" t="s">
        <v>319</v>
      </c>
      <c r="H28" s="45" t="s">
        <v>302</v>
      </c>
      <c r="I28" s="22" t="s">
        <v>157</v>
      </c>
      <c r="J28" s="45"/>
      <c r="K28" s="22" t="s">
        <v>85</v>
      </c>
      <c r="L28" s="22" t="s">
        <v>40</v>
      </c>
      <c r="M28" s="22" t="s">
        <v>285</v>
      </c>
      <c r="N28" s="45"/>
      <c r="O28" s="22" t="s">
        <v>319</v>
      </c>
      <c r="P28" s="22" t="s">
        <v>179</v>
      </c>
      <c r="Q28" s="45" t="s">
        <v>252</v>
      </c>
      <c r="R28" s="45"/>
      <c r="S28" s="25" t="str">
        <f>"525,0"</f>
        <v>525,0</v>
      </c>
      <c r="T28" s="26" t="str">
        <f>"291,9000"</f>
        <v>291,9000</v>
      </c>
      <c r="U28" s="21" t="s">
        <v>654</v>
      </c>
    </row>
    <row r="30" spans="1:21" ht="15" x14ac:dyDescent="0.2">
      <c r="A30" s="42" t="s">
        <v>33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1" x14ac:dyDescent="0.2">
      <c r="A31" s="7" t="s">
        <v>653</v>
      </c>
      <c r="B31" s="7" t="s">
        <v>652</v>
      </c>
      <c r="C31" s="7" t="s">
        <v>651</v>
      </c>
      <c r="D31" s="7" t="str">
        <f>"0,5372"</f>
        <v>0,5372</v>
      </c>
      <c r="E31" s="7" t="s">
        <v>650</v>
      </c>
      <c r="F31" s="7" t="s">
        <v>173</v>
      </c>
      <c r="G31" s="44" t="s">
        <v>179</v>
      </c>
      <c r="H31" s="8" t="s">
        <v>157</v>
      </c>
      <c r="I31" s="8" t="s">
        <v>154</v>
      </c>
      <c r="J31" s="44"/>
      <c r="K31" s="8" t="s">
        <v>358</v>
      </c>
      <c r="L31" s="8" t="s">
        <v>488</v>
      </c>
      <c r="M31" s="44" t="s">
        <v>649</v>
      </c>
      <c r="N31" s="44"/>
      <c r="O31" s="8" t="s">
        <v>296</v>
      </c>
      <c r="P31" s="8" t="s">
        <v>315</v>
      </c>
      <c r="Q31" s="8" t="s">
        <v>639</v>
      </c>
      <c r="R31" s="44"/>
      <c r="S31" s="11" t="str">
        <f>"620,0"</f>
        <v>620,0</v>
      </c>
      <c r="T31" s="12" t="str">
        <f>"349,0511"</f>
        <v>349,0511</v>
      </c>
      <c r="U31" s="7" t="s">
        <v>23</v>
      </c>
    </row>
    <row r="33" spans="1:21" ht="15" x14ac:dyDescent="0.2">
      <c r="A33" s="42" t="s">
        <v>300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">
      <c r="A34" s="7" t="s">
        <v>648</v>
      </c>
      <c r="B34" s="7" t="s">
        <v>647</v>
      </c>
      <c r="C34" s="7" t="s">
        <v>646</v>
      </c>
      <c r="D34" s="7" t="str">
        <f>"0,5235"</f>
        <v>0,5235</v>
      </c>
      <c r="E34" s="7" t="s">
        <v>645</v>
      </c>
      <c r="F34" s="7" t="s">
        <v>20</v>
      </c>
      <c r="G34" s="44" t="s">
        <v>219</v>
      </c>
      <c r="H34" s="8" t="s">
        <v>219</v>
      </c>
      <c r="I34" s="44" t="s">
        <v>143</v>
      </c>
      <c r="J34" s="44"/>
      <c r="K34" s="8" t="s">
        <v>395</v>
      </c>
      <c r="L34" s="8" t="s">
        <v>393</v>
      </c>
      <c r="M34" s="44" t="s">
        <v>320</v>
      </c>
      <c r="N34" s="44"/>
      <c r="O34" s="8" t="s">
        <v>240</v>
      </c>
      <c r="P34" s="8" t="s">
        <v>580</v>
      </c>
      <c r="Q34" s="8" t="s">
        <v>214</v>
      </c>
      <c r="R34" s="44"/>
      <c r="S34" s="11" t="str">
        <f>"690,0"</f>
        <v>690,0</v>
      </c>
      <c r="T34" s="12" t="str">
        <f>"361,2150"</f>
        <v>361,2150</v>
      </c>
      <c r="U34" s="7" t="s">
        <v>644</v>
      </c>
    </row>
    <row r="36" spans="1:21" ht="15" x14ac:dyDescent="0.2">
      <c r="A36" s="42" t="s">
        <v>212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21" x14ac:dyDescent="0.2">
      <c r="A37" s="7" t="s">
        <v>643</v>
      </c>
      <c r="B37" s="7" t="s">
        <v>642</v>
      </c>
      <c r="C37" s="7" t="s">
        <v>641</v>
      </c>
      <c r="D37" s="7" t="str">
        <f>"0,5035"</f>
        <v>0,5035</v>
      </c>
      <c r="E37" s="7" t="s">
        <v>640</v>
      </c>
      <c r="F37" s="7" t="s">
        <v>533</v>
      </c>
      <c r="G37" s="44" t="s">
        <v>157</v>
      </c>
      <c r="H37" s="8" t="s">
        <v>157</v>
      </c>
      <c r="I37" s="8" t="s">
        <v>154</v>
      </c>
      <c r="J37" s="44"/>
      <c r="K37" s="8" t="s">
        <v>363</v>
      </c>
      <c r="L37" s="8" t="s">
        <v>275</v>
      </c>
      <c r="M37" s="44" t="s">
        <v>395</v>
      </c>
      <c r="N37" s="44"/>
      <c r="O37" s="8" t="s">
        <v>219</v>
      </c>
      <c r="P37" s="8" t="s">
        <v>240</v>
      </c>
      <c r="Q37" s="8" t="s">
        <v>639</v>
      </c>
      <c r="R37" s="44"/>
      <c r="S37" s="11" t="str">
        <f>"625,0"</f>
        <v>625,0</v>
      </c>
      <c r="T37" s="12" t="str">
        <f>"314,6875"</f>
        <v>314,6875</v>
      </c>
      <c r="U37" s="7" t="s">
        <v>638</v>
      </c>
    </row>
    <row r="39" spans="1:21" ht="15" x14ac:dyDescent="0.2">
      <c r="E39" s="9" t="s">
        <v>43</v>
      </c>
    </row>
    <row r="40" spans="1:21" ht="15" x14ac:dyDescent="0.2">
      <c r="E40" s="9" t="s">
        <v>44</v>
      </c>
    </row>
    <row r="41" spans="1:21" ht="15" x14ac:dyDescent="0.2">
      <c r="E41" s="9" t="s">
        <v>45</v>
      </c>
    </row>
    <row r="42" spans="1:21" ht="15" x14ac:dyDescent="0.2">
      <c r="E42" s="9" t="s">
        <v>46</v>
      </c>
    </row>
    <row r="43" spans="1:21" ht="15" x14ac:dyDescent="0.2">
      <c r="E43" s="9" t="s">
        <v>46</v>
      </c>
    </row>
    <row r="44" spans="1:21" ht="15" x14ac:dyDescent="0.2">
      <c r="E44" s="9" t="s">
        <v>47</v>
      </c>
    </row>
    <row r="45" spans="1:21" ht="15" x14ac:dyDescent="0.2">
      <c r="E45" s="9"/>
    </row>
    <row r="47" spans="1:21" ht="18" x14ac:dyDescent="0.25">
      <c r="A47" s="13" t="s">
        <v>48</v>
      </c>
      <c r="B47" s="13"/>
    </row>
    <row r="48" spans="1:21" ht="15" x14ac:dyDescent="0.2">
      <c r="A48" s="14" t="s">
        <v>170</v>
      </c>
      <c r="B48" s="14"/>
    </row>
    <row r="49" spans="1:5" ht="14.25" x14ac:dyDescent="0.2">
      <c r="A49" s="16"/>
      <c r="B49" s="17" t="s">
        <v>50</v>
      </c>
    </row>
    <row r="50" spans="1:5" ht="15" x14ac:dyDescent="0.2">
      <c r="A50" s="18" t="s">
        <v>51</v>
      </c>
      <c r="B50" s="18" t="s">
        <v>52</v>
      </c>
      <c r="C50" s="18" t="s">
        <v>53</v>
      </c>
      <c r="D50" s="18" t="s">
        <v>568</v>
      </c>
      <c r="E50" s="18" t="s">
        <v>142</v>
      </c>
    </row>
    <row r="51" spans="1:5" x14ac:dyDescent="0.2">
      <c r="A51" s="15" t="s">
        <v>637</v>
      </c>
      <c r="B51" s="4" t="s">
        <v>50</v>
      </c>
      <c r="C51" s="4" t="s">
        <v>65</v>
      </c>
      <c r="D51" s="4" t="s">
        <v>636</v>
      </c>
      <c r="E51" s="10" t="s">
        <v>635</v>
      </c>
    </row>
    <row r="52" spans="1:5" x14ac:dyDescent="0.2">
      <c r="A52" s="15" t="s">
        <v>295</v>
      </c>
      <c r="B52" s="4" t="s">
        <v>50</v>
      </c>
      <c r="C52" s="4" t="s">
        <v>294</v>
      </c>
      <c r="D52" s="4" t="s">
        <v>634</v>
      </c>
      <c r="E52" s="10" t="s">
        <v>633</v>
      </c>
    </row>
    <row r="55" spans="1:5" ht="15" x14ac:dyDescent="0.2">
      <c r="A55" s="14" t="s">
        <v>49</v>
      </c>
      <c r="B55" s="14"/>
    </row>
    <row r="56" spans="1:5" ht="14.25" x14ac:dyDescent="0.2">
      <c r="A56" s="16"/>
      <c r="B56" s="17" t="s">
        <v>92</v>
      </c>
    </row>
    <row r="57" spans="1:5" ht="15" x14ac:dyDescent="0.2">
      <c r="A57" s="18" t="s">
        <v>51</v>
      </c>
      <c r="B57" s="18" t="s">
        <v>52</v>
      </c>
      <c r="C57" s="18" t="s">
        <v>53</v>
      </c>
      <c r="D57" s="18" t="s">
        <v>568</v>
      </c>
      <c r="E57" s="18" t="s">
        <v>142</v>
      </c>
    </row>
    <row r="58" spans="1:5" x14ac:dyDescent="0.2">
      <c r="A58" s="15" t="s">
        <v>632</v>
      </c>
      <c r="B58" s="4" t="s">
        <v>467</v>
      </c>
      <c r="C58" s="4" t="s">
        <v>56</v>
      </c>
      <c r="D58" s="4" t="s">
        <v>631</v>
      </c>
      <c r="E58" s="10" t="s">
        <v>630</v>
      </c>
    </row>
    <row r="60" spans="1:5" ht="14.25" x14ac:dyDescent="0.2">
      <c r="A60" s="16"/>
      <c r="B60" s="17" t="s">
        <v>273</v>
      </c>
    </row>
    <row r="61" spans="1:5" ht="15" x14ac:dyDescent="0.2">
      <c r="A61" s="18" t="s">
        <v>51</v>
      </c>
      <c r="B61" s="18" t="s">
        <v>52</v>
      </c>
      <c r="C61" s="18" t="s">
        <v>53</v>
      </c>
      <c r="D61" s="18" t="s">
        <v>568</v>
      </c>
      <c r="E61" s="18" t="s">
        <v>142</v>
      </c>
    </row>
    <row r="62" spans="1:5" x14ac:dyDescent="0.2">
      <c r="A62" s="15" t="s">
        <v>629</v>
      </c>
      <c r="B62" s="4" t="s">
        <v>269</v>
      </c>
      <c r="C62" s="4" t="s">
        <v>65</v>
      </c>
      <c r="D62" s="4" t="s">
        <v>628</v>
      </c>
      <c r="E62" s="10" t="s">
        <v>627</v>
      </c>
    </row>
    <row r="64" spans="1:5" ht="14.25" x14ac:dyDescent="0.2">
      <c r="A64" s="16"/>
      <c r="B64" s="17" t="s">
        <v>50</v>
      </c>
    </row>
    <row r="65" spans="1:5" ht="15" x14ac:dyDescent="0.2">
      <c r="A65" s="18" t="s">
        <v>51</v>
      </c>
      <c r="B65" s="18" t="s">
        <v>52</v>
      </c>
      <c r="C65" s="18" t="s">
        <v>53</v>
      </c>
      <c r="D65" s="18" t="s">
        <v>568</v>
      </c>
      <c r="E65" s="18" t="s">
        <v>142</v>
      </c>
    </row>
    <row r="66" spans="1:5" x14ac:dyDescent="0.2">
      <c r="A66" s="15" t="s">
        <v>626</v>
      </c>
      <c r="B66" s="4" t="s">
        <v>50</v>
      </c>
      <c r="C66" s="4" t="s">
        <v>123</v>
      </c>
      <c r="D66" s="4" t="s">
        <v>625</v>
      </c>
      <c r="E66" s="10" t="s">
        <v>624</v>
      </c>
    </row>
    <row r="67" spans="1:5" x14ac:dyDescent="0.2">
      <c r="A67" s="15" t="s">
        <v>623</v>
      </c>
      <c r="B67" s="4" t="s">
        <v>50</v>
      </c>
      <c r="C67" s="4" t="s">
        <v>241</v>
      </c>
      <c r="D67" s="4" t="s">
        <v>622</v>
      </c>
      <c r="E67" s="10" t="s">
        <v>621</v>
      </c>
    </row>
    <row r="68" spans="1:5" x14ac:dyDescent="0.2">
      <c r="A68" s="15" t="s">
        <v>620</v>
      </c>
      <c r="B68" s="4" t="s">
        <v>50</v>
      </c>
      <c r="C68" s="4" t="s">
        <v>193</v>
      </c>
      <c r="D68" s="4" t="s">
        <v>566</v>
      </c>
      <c r="E68" s="10" t="s">
        <v>619</v>
      </c>
    </row>
    <row r="69" spans="1:5" x14ac:dyDescent="0.2">
      <c r="A69" s="15" t="s">
        <v>618</v>
      </c>
      <c r="B69" s="4" t="s">
        <v>50</v>
      </c>
      <c r="C69" s="4" t="s">
        <v>98</v>
      </c>
      <c r="D69" s="4" t="s">
        <v>617</v>
      </c>
      <c r="E69" s="10" t="s">
        <v>616</v>
      </c>
    </row>
    <row r="70" spans="1:5" x14ac:dyDescent="0.2">
      <c r="A70" s="15" t="s">
        <v>615</v>
      </c>
      <c r="B70" s="4" t="s">
        <v>50</v>
      </c>
      <c r="C70" s="4" t="s">
        <v>246</v>
      </c>
      <c r="D70" s="4" t="s">
        <v>614</v>
      </c>
      <c r="E70" s="10" t="s">
        <v>613</v>
      </c>
    </row>
    <row r="71" spans="1:5" x14ac:dyDescent="0.2">
      <c r="A71" s="15" t="s">
        <v>612</v>
      </c>
      <c r="B71" s="4" t="s">
        <v>50</v>
      </c>
      <c r="C71" s="4" t="s">
        <v>98</v>
      </c>
      <c r="D71" s="4" t="s">
        <v>611</v>
      </c>
      <c r="E71" s="10" t="s">
        <v>610</v>
      </c>
    </row>
    <row r="72" spans="1:5" x14ac:dyDescent="0.2">
      <c r="A72" s="15" t="s">
        <v>609</v>
      </c>
      <c r="B72" s="4" t="s">
        <v>50</v>
      </c>
      <c r="C72" s="4" t="s">
        <v>65</v>
      </c>
      <c r="D72" s="4" t="s">
        <v>608</v>
      </c>
      <c r="E72" s="10" t="s">
        <v>607</v>
      </c>
    </row>
    <row r="73" spans="1:5" x14ac:dyDescent="0.2">
      <c r="A73" s="15" t="s">
        <v>448</v>
      </c>
      <c r="B73" s="4" t="s">
        <v>50</v>
      </c>
      <c r="C73" s="4" t="s">
        <v>246</v>
      </c>
      <c r="D73" s="4" t="s">
        <v>606</v>
      </c>
      <c r="E73" s="10" t="s">
        <v>605</v>
      </c>
    </row>
    <row r="75" spans="1:5" ht="14.25" x14ac:dyDescent="0.2">
      <c r="A75" s="16"/>
      <c r="B75" s="17" t="s">
        <v>59</v>
      </c>
    </row>
    <row r="76" spans="1:5" ht="15" x14ac:dyDescent="0.2">
      <c r="A76" s="18" t="s">
        <v>51</v>
      </c>
      <c r="B76" s="18" t="s">
        <v>52</v>
      </c>
      <c r="C76" s="18" t="s">
        <v>53</v>
      </c>
      <c r="D76" s="18" t="s">
        <v>568</v>
      </c>
      <c r="E76" s="18" t="s">
        <v>142</v>
      </c>
    </row>
    <row r="77" spans="1:5" x14ac:dyDescent="0.2">
      <c r="A77" s="15" t="s">
        <v>604</v>
      </c>
      <c r="B77" s="4" t="s">
        <v>603</v>
      </c>
      <c r="C77" s="4" t="s">
        <v>61</v>
      </c>
      <c r="D77" s="4" t="s">
        <v>602</v>
      </c>
      <c r="E77" s="10" t="s">
        <v>601</v>
      </c>
    </row>
    <row r="78" spans="1:5" x14ac:dyDescent="0.2">
      <c r="A78" s="15" t="s">
        <v>431</v>
      </c>
      <c r="B78" s="4" t="s">
        <v>60</v>
      </c>
      <c r="C78" s="4" t="s">
        <v>246</v>
      </c>
      <c r="D78" s="4" t="s">
        <v>240</v>
      </c>
      <c r="E78" s="10" t="s">
        <v>600</v>
      </c>
    </row>
  </sheetData>
  <mergeCells count="23">
    <mergeCell ref="A36:R36"/>
    <mergeCell ref="A8:R8"/>
    <mergeCell ref="A11:R11"/>
    <mergeCell ref="A14:R14"/>
    <mergeCell ref="A18:R18"/>
    <mergeCell ref="A23:R23"/>
    <mergeCell ref="A26:R26"/>
    <mergeCell ref="F3:F4"/>
    <mergeCell ref="G3:J3"/>
    <mergeCell ref="K3:N3"/>
    <mergeCell ref="O3:R3"/>
    <mergeCell ref="A30:R30"/>
    <mergeCell ref="A33:R33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5.28515625" style="4" bestFit="1" customWidth="1"/>
    <col min="22" max="16384" width="9.140625" style="3"/>
  </cols>
  <sheetData>
    <row r="1" spans="1:21" s="2" customFormat="1" ht="29.1" customHeight="1" x14ac:dyDescent="0.2">
      <c r="A1" s="41" t="s">
        <v>703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401</v>
      </c>
      <c r="L3" s="27"/>
      <c r="M3" s="27"/>
      <c r="N3" s="27"/>
      <c r="O3" s="27" t="s">
        <v>234</v>
      </c>
      <c r="P3" s="27"/>
      <c r="Q3" s="27"/>
      <c r="R3" s="27"/>
      <c r="S3" s="27" t="s">
        <v>1</v>
      </c>
      <c r="T3" s="27" t="s">
        <v>3</v>
      </c>
      <c r="U3" s="28" t="s">
        <v>2</v>
      </c>
    </row>
    <row r="4" spans="1:21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38"/>
      <c r="T4" s="38"/>
      <c r="U4" s="29"/>
    </row>
    <row r="5" spans="1:21" ht="15" x14ac:dyDescent="0.2">
      <c r="A5" s="39" t="s">
        <v>190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7" t="s">
        <v>702</v>
      </c>
      <c r="B6" s="7" t="s">
        <v>701</v>
      </c>
      <c r="C6" s="7" t="s">
        <v>700</v>
      </c>
      <c r="D6" s="7" t="str">
        <f>"0,8857"</f>
        <v>0,8857</v>
      </c>
      <c r="E6" s="7" t="s">
        <v>145</v>
      </c>
      <c r="F6" s="7" t="s">
        <v>144</v>
      </c>
      <c r="G6" s="8" t="s">
        <v>40</v>
      </c>
      <c r="H6" s="44" t="s">
        <v>278</v>
      </c>
      <c r="I6" s="44" t="s">
        <v>278</v>
      </c>
      <c r="J6" s="44"/>
      <c r="K6" s="8" t="s">
        <v>668</v>
      </c>
      <c r="L6" s="8" t="s">
        <v>465</v>
      </c>
      <c r="M6" s="8" t="s">
        <v>685</v>
      </c>
      <c r="N6" s="44"/>
      <c r="O6" s="8" t="s">
        <v>278</v>
      </c>
      <c r="P6" s="8" t="s">
        <v>433</v>
      </c>
      <c r="Q6" s="8" t="s">
        <v>281</v>
      </c>
      <c r="R6" s="44"/>
      <c r="S6" s="11" t="str">
        <f>"320,0"</f>
        <v>320,0</v>
      </c>
      <c r="T6" s="12" t="str">
        <f>"283,4240"</f>
        <v>283,4240</v>
      </c>
      <c r="U6" s="7" t="s">
        <v>156</v>
      </c>
    </row>
    <row r="8" spans="1:21" ht="15" x14ac:dyDescent="0.2">
      <c r="A8" s="42" t="s">
        <v>112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21" x14ac:dyDescent="0.2">
      <c r="A9" s="7" t="s">
        <v>334</v>
      </c>
      <c r="B9" s="7" t="s">
        <v>333</v>
      </c>
      <c r="C9" s="7" t="s">
        <v>507</v>
      </c>
      <c r="D9" s="7" t="str">
        <f>"0,5897"</f>
        <v>0,5897</v>
      </c>
      <c r="E9" s="7" t="s">
        <v>145</v>
      </c>
      <c r="F9" s="7" t="s">
        <v>144</v>
      </c>
      <c r="G9" s="8" t="s">
        <v>157</v>
      </c>
      <c r="H9" s="8" t="s">
        <v>172</v>
      </c>
      <c r="I9" s="44" t="s">
        <v>296</v>
      </c>
      <c r="J9" s="44"/>
      <c r="K9" s="8" t="s">
        <v>595</v>
      </c>
      <c r="L9" s="8" t="s">
        <v>587</v>
      </c>
      <c r="M9" s="44" t="s">
        <v>523</v>
      </c>
      <c r="N9" s="44"/>
      <c r="O9" s="8" t="s">
        <v>172</v>
      </c>
      <c r="P9" s="8" t="s">
        <v>296</v>
      </c>
      <c r="Q9" s="8" t="s">
        <v>699</v>
      </c>
      <c r="R9" s="44"/>
      <c r="S9" s="11" t="str">
        <f>"607,5"</f>
        <v>607,5</v>
      </c>
      <c r="T9" s="12" t="str">
        <f>"358,2427"</f>
        <v>358,2427</v>
      </c>
      <c r="U9" s="7" t="s">
        <v>156</v>
      </c>
    </row>
    <row r="11" spans="1:21" ht="15" x14ac:dyDescent="0.2">
      <c r="E11" s="9" t="s">
        <v>43</v>
      </c>
    </row>
    <row r="12" spans="1:21" ht="15" x14ac:dyDescent="0.2">
      <c r="E12" s="9" t="s">
        <v>44</v>
      </c>
    </row>
    <row r="13" spans="1:21" ht="15" x14ac:dyDescent="0.2">
      <c r="E13" s="9" t="s">
        <v>45</v>
      </c>
    </row>
    <row r="14" spans="1:21" ht="15" x14ac:dyDescent="0.2">
      <c r="E14" s="9" t="s">
        <v>46</v>
      </c>
    </row>
    <row r="15" spans="1:21" ht="15" x14ac:dyDescent="0.2">
      <c r="E15" s="9" t="s">
        <v>46</v>
      </c>
    </row>
    <row r="16" spans="1:21" ht="15" x14ac:dyDescent="0.2">
      <c r="E16" s="9" t="s">
        <v>47</v>
      </c>
    </row>
    <row r="17" spans="1:5" ht="15" x14ac:dyDescent="0.2">
      <c r="E17" s="9"/>
    </row>
    <row r="19" spans="1:5" ht="18" x14ac:dyDescent="0.25">
      <c r="A19" s="13" t="s">
        <v>48</v>
      </c>
      <c r="B19" s="13"/>
    </row>
    <row r="20" spans="1:5" ht="15" x14ac:dyDescent="0.2">
      <c r="A20" s="14" t="s">
        <v>170</v>
      </c>
      <c r="B20" s="14"/>
    </row>
    <row r="21" spans="1:5" ht="14.25" x14ac:dyDescent="0.2">
      <c r="A21" s="16"/>
      <c r="B21" s="17" t="s">
        <v>50</v>
      </c>
    </row>
    <row r="22" spans="1:5" ht="15" x14ac:dyDescent="0.2">
      <c r="A22" s="18" t="s">
        <v>51</v>
      </c>
      <c r="B22" s="18" t="s">
        <v>52</v>
      </c>
      <c r="C22" s="18" t="s">
        <v>53</v>
      </c>
      <c r="D22" s="18" t="s">
        <v>568</v>
      </c>
      <c r="E22" s="18" t="s">
        <v>142</v>
      </c>
    </row>
    <row r="23" spans="1:5" x14ac:dyDescent="0.2">
      <c r="A23" s="15" t="s">
        <v>698</v>
      </c>
      <c r="B23" s="4" t="s">
        <v>50</v>
      </c>
      <c r="C23" s="4" t="s">
        <v>168</v>
      </c>
      <c r="D23" s="4" t="s">
        <v>697</v>
      </c>
      <c r="E23" s="10" t="s">
        <v>696</v>
      </c>
    </row>
    <row r="26" spans="1:5" ht="15" x14ac:dyDescent="0.2">
      <c r="A26" s="14" t="s">
        <v>49</v>
      </c>
      <c r="B26" s="14"/>
    </row>
    <row r="27" spans="1:5" ht="14.25" x14ac:dyDescent="0.2">
      <c r="A27" s="16"/>
      <c r="B27" s="17" t="s">
        <v>50</v>
      </c>
    </row>
    <row r="28" spans="1:5" ht="15" x14ac:dyDescent="0.2">
      <c r="A28" s="18" t="s">
        <v>51</v>
      </c>
      <c r="B28" s="18" t="s">
        <v>52</v>
      </c>
      <c r="C28" s="18" t="s">
        <v>53</v>
      </c>
      <c r="D28" s="18" t="s">
        <v>568</v>
      </c>
      <c r="E28" s="18" t="s">
        <v>142</v>
      </c>
    </row>
    <row r="29" spans="1:5" x14ac:dyDescent="0.2">
      <c r="A29" s="15" t="s">
        <v>264</v>
      </c>
      <c r="B29" s="4" t="s">
        <v>50</v>
      </c>
      <c r="C29" s="4" t="s">
        <v>123</v>
      </c>
      <c r="D29" s="4" t="s">
        <v>695</v>
      </c>
      <c r="E29" s="10" t="s">
        <v>694</v>
      </c>
    </row>
  </sheetData>
  <mergeCells count="15">
    <mergeCell ref="A8:R8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5.5703125" style="3" customWidth="1"/>
    <col min="12" max="13" width="2.140625" style="3" customWidth="1"/>
    <col min="14" max="14" width="4.85546875" style="3" customWidth="1"/>
    <col min="15" max="15" width="5.5703125" style="3" customWidth="1"/>
    <col min="16" max="17" width="2.1406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1" t="s">
        <v>712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401</v>
      </c>
      <c r="L3" s="27"/>
      <c r="M3" s="27"/>
      <c r="N3" s="27"/>
      <c r="O3" s="27" t="s">
        <v>234</v>
      </c>
      <c r="P3" s="27"/>
      <c r="Q3" s="27"/>
      <c r="R3" s="27"/>
      <c r="S3" s="27" t="s">
        <v>1</v>
      </c>
      <c r="T3" s="27" t="s">
        <v>3</v>
      </c>
      <c r="U3" s="28" t="s">
        <v>2</v>
      </c>
    </row>
    <row r="4" spans="1:21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38"/>
      <c r="T4" s="38"/>
      <c r="U4" s="29"/>
    </row>
    <row r="5" spans="1:21" ht="15" x14ac:dyDescent="0.2">
      <c r="A5" s="39" t="s">
        <v>78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7" t="s">
        <v>711</v>
      </c>
      <c r="B6" s="7" t="s">
        <v>710</v>
      </c>
      <c r="C6" s="7" t="s">
        <v>82</v>
      </c>
      <c r="D6" s="7" t="str">
        <f>"0,5540"</f>
        <v>0,5540</v>
      </c>
      <c r="E6" s="7" t="s">
        <v>709</v>
      </c>
      <c r="F6" s="7" t="s">
        <v>20</v>
      </c>
      <c r="G6" s="8" t="s">
        <v>708</v>
      </c>
      <c r="H6" s="44" t="s">
        <v>707</v>
      </c>
      <c r="I6" s="44"/>
      <c r="J6" s="44"/>
      <c r="K6" s="8" t="s">
        <v>488</v>
      </c>
      <c r="L6" s="44"/>
      <c r="M6" s="44"/>
      <c r="N6" s="44"/>
      <c r="O6" s="8" t="s">
        <v>179</v>
      </c>
      <c r="P6" s="44"/>
      <c r="Q6" s="44"/>
      <c r="R6" s="44"/>
      <c r="S6" s="11" t="str">
        <f>"680,0"</f>
        <v>680,0</v>
      </c>
      <c r="T6" s="12" t="str">
        <f>"376,7200"</f>
        <v>376,7200</v>
      </c>
      <c r="U6" s="7" t="s">
        <v>23</v>
      </c>
    </row>
    <row r="8" spans="1:21" ht="15" x14ac:dyDescent="0.2">
      <c r="E8" s="9" t="s">
        <v>43</v>
      </c>
    </row>
    <row r="9" spans="1:21" ht="15" x14ac:dyDescent="0.2">
      <c r="E9" s="9" t="s">
        <v>44</v>
      </c>
    </row>
    <row r="10" spans="1:21" ht="15" x14ac:dyDescent="0.2">
      <c r="E10" s="9" t="s">
        <v>45</v>
      </c>
    </row>
    <row r="11" spans="1:21" ht="15" x14ac:dyDescent="0.2">
      <c r="E11" s="9" t="s">
        <v>46</v>
      </c>
    </row>
    <row r="12" spans="1:21" ht="15" x14ac:dyDescent="0.2">
      <c r="E12" s="9" t="s">
        <v>46</v>
      </c>
    </row>
    <row r="13" spans="1:21" ht="15" x14ac:dyDescent="0.2">
      <c r="E13" s="9" t="s">
        <v>47</v>
      </c>
    </row>
    <row r="14" spans="1:21" ht="15" x14ac:dyDescent="0.2">
      <c r="E14" s="9"/>
    </row>
    <row r="16" spans="1:2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50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568</v>
      </c>
      <c r="E19" s="18" t="s">
        <v>142</v>
      </c>
    </row>
    <row r="20" spans="1:5" x14ac:dyDescent="0.2">
      <c r="A20" s="15" t="s">
        <v>706</v>
      </c>
      <c r="B20" s="4" t="s">
        <v>50</v>
      </c>
      <c r="C20" s="4" t="s">
        <v>98</v>
      </c>
      <c r="D20" s="4" t="s">
        <v>705</v>
      </c>
      <c r="E20" s="10" t="s">
        <v>704</v>
      </c>
    </row>
  </sheetData>
  <mergeCells count="14">
    <mergeCell ref="C3:C4"/>
    <mergeCell ref="U3:U4"/>
    <mergeCell ref="F3:F4"/>
    <mergeCell ref="E3:E4"/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723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721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719</v>
      </c>
      <c r="B6" s="7" t="s">
        <v>718</v>
      </c>
      <c r="C6" s="7" t="s">
        <v>82</v>
      </c>
      <c r="D6" s="7" t="str">
        <f>"1,0000"</f>
        <v>1,0000</v>
      </c>
      <c r="E6" s="7" t="s">
        <v>374</v>
      </c>
      <c r="F6" s="7" t="s">
        <v>229</v>
      </c>
      <c r="G6" s="8" t="s">
        <v>488</v>
      </c>
      <c r="H6" s="8" t="s">
        <v>717</v>
      </c>
      <c r="I6" s="11" t="str">
        <f>"1500,0"</f>
        <v>1500,0</v>
      </c>
      <c r="J6" s="12" t="str">
        <f>"15,0000"</f>
        <v>15,0000</v>
      </c>
      <c r="K6" s="7" t="s">
        <v>23</v>
      </c>
    </row>
    <row r="8" spans="1:11" ht="15" x14ac:dyDescent="0.2">
      <c r="E8" s="9" t="s">
        <v>43</v>
      </c>
    </row>
    <row r="9" spans="1:11" ht="15" x14ac:dyDescent="0.2">
      <c r="E9" s="9" t="s">
        <v>44</v>
      </c>
    </row>
    <row r="10" spans="1:11" ht="15" x14ac:dyDescent="0.2">
      <c r="E10" s="9" t="s">
        <v>45</v>
      </c>
    </row>
    <row r="11" spans="1:11" ht="15" x14ac:dyDescent="0.2">
      <c r="E11" s="9" t="s">
        <v>46</v>
      </c>
    </row>
    <row r="12" spans="1:11" ht="15" x14ac:dyDescent="0.2">
      <c r="E12" s="9" t="s">
        <v>46</v>
      </c>
    </row>
    <row r="13" spans="1:11" ht="15" x14ac:dyDescent="0.2">
      <c r="E13" s="9" t="s">
        <v>47</v>
      </c>
    </row>
    <row r="14" spans="1:11" ht="15" x14ac:dyDescent="0.2">
      <c r="E14" s="9"/>
    </row>
    <row r="16" spans="1:1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716</v>
      </c>
    </row>
    <row r="20" spans="1:5" x14ac:dyDescent="0.2">
      <c r="A20" s="15" t="s">
        <v>715</v>
      </c>
      <c r="B20" s="4" t="s">
        <v>60</v>
      </c>
      <c r="C20" s="4" t="s">
        <v>714</v>
      </c>
      <c r="D20" s="4" t="s">
        <v>94</v>
      </c>
      <c r="E20" s="10" t="s">
        <v>713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0.5703125" style="4" bestFit="1" customWidth="1"/>
    <col min="12" max="16384" width="9.140625" style="3"/>
  </cols>
  <sheetData>
    <row r="1" spans="1:11" s="2" customFormat="1" ht="29.1" customHeight="1" x14ac:dyDescent="0.2">
      <c r="A1" s="41" t="s">
        <v>734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721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19" t="s">
        <v>733</v>
      </c>
      <c r="B6" s="19" t="s">
        <v>732</v>
      </c>
      <c r="C6" s="19" t="s">
        <v>731</v>
      </c>
      <c r="D6" s="19" t="str">
        <f>"1,0000"</f>
        <v>1,0000</v>
      </c>
      <c r="E6" s="19" t="s">
        <v>374</v>
      </c>
      <c r="F6" s="19" t="s">
        <v>229</v>
      </c>
      <c r="G6" s="20" t="s">
        <v>488</v>
      </c>
      <c r="H6" s="20" t="s">
        <v>730</v>
      </c>
      <c r="I6" s="23" t="str">
        <f>"2100,0"</f>
        <v>2100,0</v>
      </c>
      <c r="J6" s="24" t="str">
        <f>"23,4899"</f>
        <v>23,4899</v>
      </c>
      <c r="K6" s="19" t="s">
        <v>23</v>
      </c>
    </row>
    <row r="7" spans="1:11" x14ac:dyDescent="0.2">
      <c r="A7" s="46" t="s">
        <v>104</v>
      </c>
      <c r="B7" s="46" t="s">
        <v>105</v>
      </c>
      <c r="C7" s="46" t="s">
        <v>106</v>
      </c>
      <c r="D7" s="46" t="str">
        <f>"1,0000"</f>
        <v>1,0000</v>
      </c>
      <c r="E7" s="46" t="s">
        <v>107</v>
      </c>
      <c r="F7" s="46" t="s">
        <v>108</v>
      </c>
      <c r="G7" s="51" t="s">
        <v>488</v>
      </c>
      <c r="H7" s="51" t="s">
        <v>729</v>
      </c>
      <c r="I7" s="48" t="str">
        <f>"2400,0"</f>
        <v>2400,0</v>
      </c>
      <c r="J7" s="47" t="str">
        <f>"33,7078"</f>
        <v>33,7078</v>
      </c>
      <c r="K7" s="46" t="s">
        <v>110</v>
      </c>
    </row>
    <row r="8" spans="1:11" x14ac:dyDescent="0.2">
      <c r="A8" s="21" t="s">
        <v>104</v>
      </c>
      <c r="B8" s="21" t="s">
        <v>111</v>
      </c>
      <c r="C8" s="21" t="s">
        <v>106</v>
      </c>
      <c r="D8" s="21" t="str">
        <f>"1,0000"</f>
        <v>1,0000</v>
      </c>
      <c r="E8" s="21" t="s">
        <v>107</v>
      </c>
      <c r="F8" s="21" t="s">
        <v>108</v>
      </c>
      <c r="G8" s="22" t="s">
        <v>488</v>
      </c>
      <c r="H8" s="22" t="s">
        <v>729</v>
      </c>
      <c r="I8" s="25" t="str">
        <f>"2400,0"</f>
        <v>2400,0</v>
      </c>
      <c r="J8" s="26" t="str">
        <f>"33,7078"</f>
        <v>33,7078</v>
      </c>
      <c r="K8" s="21" t="s">
        <v>110</v>
      </c>
    </row>
    <row r="10" spans="1:11" ht="15" x14ac:dyDescent="0.2">
      <c r="E10" s="9" t="s">
        <v>43</v>
      </c>
    </row>
    <row r="11" spans="1:11" ht="15" x14ac:dyDescent="0.2">
      <c r="E11" s="9" t="s">
        <v>44</v>
      </c>
    </row>
    <row r="12" spans="1:11" ht="15" x14ac:dyDescent="0.2">
      <c r="E12" s="9" t="s">
        <v>45</v>
      </c>
    </row>
    <row r="13" spans="1:11" ht="15" x14ac:dyDescent="0.2">
      <c r="E13" s="9" t="s">
        <v>46</v>
      </c>
    </row>
    <row r="14" spans="1:11" ht="15" x14ac:dyDescent="0.2">
      <c r="E14" s="9" t="s">
        <v>46</v>
      </c>
    </row>
    <row r="15" spans="1:11" ht="15" x14ac:dyDescent="0.2">
      <c r="E15" s="9" t="s">
        <v>47</v>
      </c>
    </row>
    <row r="16" spans="1:11" ht="15" x14ac:dyDescent="0.2">
      <c r="E16" s="9"/>
    </row>
    <row r="18" spans="1:5" ht="18" x14ac:dyDescent="0.25">
      <c r="A18" s="13" t="s">
        <v>48</v>
      </c>
      <c r="B18" s="13"/>
    </row>
    <row r="19" spans="1:5" ht="15" x14ac:dyDescent="0.2">
      <c r="A19" s="14" t="s">
        <v>49</v>
      </c>
      <c r="B19" s="14"/>
    </row>
    <row r="20" spans="1:5" ht="14.25" x14ac:dyDescent="0.2">
      <c r="A20" s="16"/>
      <c r="B20" s="17" t="s">
        <v>92</v>
      </c>
    </row>
    <row r="21" spans="1:5" ht="15" x14ac:dyDescent="0.2">
      <c r="A21" s="18" t="s">
        <v>51</v>
      </c>
      <c r="B21" s="18" t="s">
        <v>52</v>
      </c>
      <c r="C21" s="18" t="s">
        <v>53</v>
      </c>
      <c r="D21" s="18" t="s">
        <v>54</v>
      </c>
      <c r="E21" s="18" t="s">
        <v>716</v>
      </c>
    </row>
    <row r="22" spans="1:5" x14ac:dyDescent="0.2">
      <c r="A22" s="15" t="s">
        <v>728</v>
      </c>
      <c r="B22" s="4" t="s">
        <v>93</v>
      </c>
      <c r="C22" s="4" t="s">
        <v>714</v>
      </c>
      <c r="D22" s="4" t="s">
        <v>727</v>
      </c>
      <c r="E22" s="10" t="s">
        <v>726</v>
      </c>
    </row>
    <row r="24" spans="1:5" ht="14.25" x14ac:dyDescent="0.2">
      <c r="A24" s="16"/>
      <c r="B24" s="17" t="s">
        <v>50</v>
      </c>
    </row>
    <row r="25" spans="1:5" ht="15" x14ac:dyDescent="0.2">
      <c r="A25" s="18" t="s">
        <v>51</v>
      </c>
      <c r="B25" s="18" t="s">
        <v>52</v>
      </c>
      <c r="C25" s="18" t="s">
        <v>53</v>
      </c>
      <c r="D25" s="18" t="s">
        <v>54</v>
      </c>
      <c r="E25" s="18" t="s">
        <v>716</v>
      </c>
    </row>
    <row r="26" spans="1:5" x14ac:dyDescent="0.2">
      <c r="A26" s="15" t="s">
        <v>103</v>
      </c>
      <c r="B26" s="4" t="s">
        <v>50</v>
      </c>
      <c r="C26" s="4" t="s">
        <v>714</v>
      </c>
      <c r="D26" s="4" t="s">
        <v>725</v>
      </c>
      <c r="E26" s="10" t="s">
        <v>724</v>
      </c>
    </row>
    <row r="28" spans="1:5" ht="14.25" x14ac:dyDescent="0.2">
      <c r="A28" s="16"/>
      <c r="B28" s="17" t="s">
        <v>59</v>
      </c>
    </row>
    <row r="29" spans="1:5" ht="15" x14ac:dyDescent="0.2">
      <c r="A29" s="18" t="s">
        <v>51</v>
      </c>
      <c r="B29" s="18" t="s">
        <v>52</v>
      </c>
      <c r="C29" s="18" t="s">
        <v>53</v>
      </c>
      <c r="D29" s="18" t="s">
        <v>54</v>
      </c>
      <c r="E29" s="18" t="s">
        <v>716</v>
      </c>
    </row>
    <row r="30" spans="1:5" x14ac:dyDescent="0.2">
      <c r="A30" s="15" t="s">
        <v>103</v>
      </c>
      <c r="B30" s="4" t="s">
        <v>122</v>
      </c>
      <c r="C30" s="4" t="s">
        <v>714</v>
      </c>
      <c r="D30" s="4" t="s">
        <v>725</v>
      </c>
      <c r="E30" s="10" t="s">
        <v>724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27.5703125" style="4" bestFit="1" customWidth="1"/>
    <col min="12" max="16384" width="9.140625" style="3"/>
  </cols>
  <sheetData>
    <row r="1" spans="1:11" s="2" customFormat="1" ht="29.1" customHeight="1" x14ac:dyDescent="0.2">
      <c r="A1" s="41" t="s">
        <v>745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721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19" t="s">
        <v>744</v>
      </c>
      <c r="B6" s="19" t="s">
        <v>743</v>
      </c>
      <c r="C6" s="19" t="s">
        <v>742</v>
      </c>
      <c r="D6" s="19" t="str">
        <f>"1,0000"</f>
        <v>1,0000</v>
      </c>
      <c r="E6" s="19" t="s">
        <v>19</v>
      </c>
      <c r="F6" s="19" t="s">
        <v>20</v>
      </c>
      <c r="G6" s="20" t="s">
        <v>85</v>
      </c>
      <c r="H6" s="20" t="s">
        <v>741</v>
      </c>
      <c r="I6" s="23" t="str">
        <f>"5200,0"</f>
        <v>5200,0</v>
      </c>
      <c r="J6" s="24" t="str">
        <f>"55,0264"</f>
        <v>55,0264</v>
      </c>
      <c r="K6" s="19" t="s">
        <v>23</v>
      </c>
    </row>
    <row r="7" spans="1:11" x14ac:dyDescent="0.2">
      <c r="A7" s="21" t="s">
        <v>114</v>
      </c>
      <c r="B7" s="21" t="s">
        <v>115</v>
      </c>
      <c r="C7" s="21" t="s">
        <v>116</v>
      </c>
      <c r="D7" s="21" t="str">
        <f>"1,0000"</f>
        <v>1,0000</v>
      </c>
      <c r="E7" s="21" t="s">
        <v>107</v>
      </c>
      <c r="F7" s="21" t="s">
        <v>108</v>
      </c>
      <c r="G7" s="22" t="s">
        <v>85</v>
      </c>
      <c r="H7" s="22" t="s">
        <v>740</v>
      </c>
      <c r="I7" s="25" t="str">
        <f>"4000,0"</f>
        <v>4000,0</v>
      </c>
      <c r="J7" s="26" t="str">
        <f>"46,5657"</f>
        <v>46,5657</v>
      </c>
      <c r="K7" s="21" t="s">
        <v>119</v>
      </c>
    </row>
    <row r="9" spans="1:11" ht="15" x14ac:dyDescent="0.2">
      <c r="E9" s="9" t="s">
        <v>43</v>
      </c>
    </row>
    <row r="10" spans="1:11" ht="15" x14ac:dyDescent="0.2">
      <c r="E10" s="9" t="s">
        <v>44</v>
      </c>
    </row>
    <row r="11" spans="1:11" ht="15" x14ac:dyDescent="0.2">
      <c r="E11" s="9" t="s">
        <v>45</v>
      </c>
    </row>
    <row r="12" spans="1:11" ht="15" x14ac:dyDescent="0.2">
      <c r="E12" s="9" t="s">
        <v>46</v>
      </c>
    </row>
    <row r="13" spans="1:11" ht="15" x14ac:dyDescent="0.2">
      <c r="E13" s="9" t="s">
        <v>46</v>
      </c>
    </row>
    <row r="14" spans="1:11" ht="15" x14ac:dyDescent="0.2">
      <c r="E14" s="9" t="s">
        <v>47</v>
      </c>
    </row>
    <row r="15" spans="1:11" ht="15" x14ac:dyDescent="0.2">
      <c r="E15" s="9"/>
    </row>
    <row r="17" spans="1:5" ht="18" x14ac:dyDescent="0.25">
      <c r="A17" s="13" t="s">
        <v>48</v>
      </c>
      <c r="B17" s="13"/>
    </row>
    <row r="18" spans="1:5" ht="15" x14ac:dyDescent="0.2">
      <c r="A18" s="14" t="s">
        <v>49</v>
      </c>
      <c r="B18" s="14"/>
    </row>
    <row r="19" spans="1:5" ht="14.25" x14ac:dyDescent="0.2">
      <c r="A19" s="16"/>
      <c r="B19" s="17" t="s">
        <v>50</v>
      </c>
    </row>
    <row r="20" spans="1:5" ht="15" x14ac:dyDescent="0.2">
      <c r="A20" s="18" t="s">
        <v>51</v>
      </c>
      <c r="B20" s="18" t="s">
        <v>52</v>
      </c>
      <c r="C20" s="18" t="s">
        <v>53</v>
      </c>
      <c r="D20" s="18" t="s">
        <v>54</v>
      </c>
      <c r="E20" s="18" t="s">
        <v>716</v>
      </c>
    </row>
    <row r="21" spans="1:5" x14ac:dyDescent="0.2">
      <c r="A21" s="15" t="s">
        <v>739</v>
      </c>
      <c r="B21" s="4" t="s">
        <v>50</v>
      </c>
      <c r="C21" s="4" t="s">
        <v>714</v>
      </c>
      <c r="D21" s="4" t="s">
        <v>738</v>
      </c>
      <c r="E21" s="10" t="s">
        <v>737</v>
      </c>
    </row>
    <row r="23" spans="1:5" ht="14.25" x14ac:dyDescent="0.2">
      <c r="A23" s="16"/>
      <c r="B23" s="17" t="s">
        <v>59</v>
      </c>
    </row>
    <row r="24" spans="1:5" ht="15" x14ac:dyDescent="0.2">
      <c r="A24" s="18" t="s">
        <v>51</v>
      </c>
      <c r="B24" s="18" t="s">
        <v>52</v>
      </c>
      <c r="C24" s="18" t="s">
        <v>53</v>
      </c>
      <c r="D24" s="18" t="s">
        <v>54</v>
      </c>
      <c r="E24" s="18" t="s">
        <v>716</v>
      </c>
    </row>
    <row r="25" spans="1:5" x14ac:dyDescent="0.2">
      <c r="A25" s="15" t="s">
        <v>113</v>
      </c>
      <c r="B25" s="4" t="s">
        <v>60</v>
      </c>
      <c r="C25" s="4" t="s">
        <v>714</v>
      </c>
      <c r="D25" s="4" t="s">
        <v>736</v>
      </c>
      <c r="E25" s="10" t="s">
        <v>735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27.5703125" style="4" bestFit="1" customWidth="1"/>
    <col min="12" max="16384" width="9.140625" style="3"/>
  </cols>
  <sheetData>
    <row r="1" spans="1:11" s="2" customFormat="1" ht="29.1" customHeight="1" x14ac:dyDescent="0.2">
      <c r="A1" s="41" t="s">
        <v>101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12</v>
      </c>
      <c r="E3" s="27" t="s">
        <v>4</v>
      </c>
      <c r="F3" s="27" t="s">
        <v>7</v>
      </c>
      <c r="G3" s="27" t="s">
        <v>102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29"/>
    </row>
    <row r="5" spans="1:11" ht="15" x14ac:dyDescent="0.2">
      <c r="A5" s="39" t="s">
        <v>24</v>
      </c>
      <c r="B5" s="40"/>
      <c r="C5" s="40"/>
      <c r="D5" s="40"/>
      <c r="E5" s="40"/>
      <c r="F5" s="40"/>
      <c r="G5" s="40"/>
      <c r="H5" s="40"/>
    </row>
    <row r="6" spans="1:11" x14ac:dyDescent="0.2">
      <c r="A6" s="19" t="s">
        <v>104</v>
      </c>
      <c r="B6" s="19" t="s">
        <v>105</v>
      </c>
      <c r="C6" s="19" t="s">
        <v>106</v>
      </c>
      <c r="D6" s="19" t="str">
        <f>"0,8290"</f>
        <v>0,8290</v>
      </c>
      <c r="E6" s="19" t="s">
        <v>107</v>
      </c>
      <c r="F6" s="19" t="s">
        <v>108</v>
      </c>
      <c r="G6" s="20" t="s">
        <v>109</v>
      </c>
      <c r="H6" s="20" t="s">
        <v>21</v>
      </c>
      <c r="I6" s="23" t="str">
        <f>"6987,5"</f>
        <v>6987,5</v>
      </c>
      <c r="J6" s="24" t="str">
        <f>"5792,6375"</f>
        <v>5792,6375</v>
      </c>
      <c r="K6" s="19" t="s">
        <v>110</v>
      </c>
    </row>
    <row r="7" spans="1:11" x14ac:dyDescent="0.2">
      <c r="A7" s="21" t="s">
        <v>104</v>
      </c>
      <c r="B7" s="21" t="s">
        <v>111</v>
      </c>
      <c r="C7" s="21" t="s">
        <v>106</v>
      </c>
      <c r="D7" s="21" t="str">
        <f>"0,8290"</f>
        <v>0,8290</v>
      </c>
      <c r="E7" s="21" t="s">
        <v>107</v>
      </c>
      <c r="F7" s="21" t="s">
        <v>108</v>
      </c>
      <c r="G7" s="22" t="s">
        <v>109</v>
      </c>
      <c r="H7" s="22" t="s">
        <v>21</v>
      </c>
      <c r="I7" s="25" t="str">
        <f>"6987,5"</f>
        <v>6987,5</v>
      </c>
      <c r="J7" s="26" t="str">
        <f>"5792,6375"</f>
        <v>5792,6375</v>
      </c>
      <c r="K7" s="21" t="s">
        <v>110</v>
      </c>
    </row>
    <row r="9" spans="1:11" ht="15" x14ac:dyDescent="0.2">
      <c r="A9" s="42" t="s">
        <v>112</v>
      </c>
      <c r="B9" s="43"/>
      <c r="C9" s="43"/>
      <c r="D9" s="43"/>
      <c r="E9" s="43"/>
      <c r="F9" s="43"/>
      <c r="G9" s="43"/>
      <c r="H9" s="43"/>
    </row>
    <row r="10" spans="1:11" x14ac:dyDescent="0.2">
      <c r="A10" s="7" t="s">
        <v>114</v>
      </c>
      <c r="B10" s="7" t="s">
        <v>115</v>
      </c>
      <c r="C10" s="7" t="s">
        <v>116</v>
      </c>
      <c r="D10" s="7" t="str">
        <f>"0,7478"</f>
        <v>0,7478</v>
      </c>
      <c r="E10" s="7" t="s">
        <v>107</v>
      </c>
      <c r="F10" s="7" t="s">
        <v>108</v>
      </c>
      <c r="G10" s="8" t="s">
        <v>117</v>
      </c>
      <c r="H10" s="8" t="s">
        <v>118</v>
      </c>
      <c r="I10" s="11" t="str">
        <f>"1950,0"</f>
        <v>1950,0</v>
      </c>
      <c r="J10" s="12" t="str">
        <f>"1458,2100"</f>
        <v>1458,2100</v>
      </c>
      <c r="K10" s="7" t="s">
        <v>119</v>
      </c>
    </row>
    <row r="12" spans="1:11" ht="15" x14ac:dyDescent="0.2">
      <c r="E12" s="9" t="s">
        <v>43</v>
      </c>
    </row>
    <row r="13" spans="1:11" ht="15" x14ac:dyDescent="0.2">
      <c r="E13" s="9" t="s">
        <v>44</v>
      </c>
    </row>
    <row r="14" spans="1:11" ht="15" x14ac:dyDescent="0.2">
      <c r="E14" s="9" t="s">
        <v>45</v>
      </c>
    </row>
    <row r="15" spans="1:11" ht="15" x14ac:dyDescent="0.2">
      <c r="E15" s="9" t="s">
        <v>46</v>
      </c>
    </row>
    <row r="16" spans="1:11" ht="15" x14ac:dyDescent="0.2">
      <c r="E16" s="9" t="s">
        <v>46</v>
      </c>
    </row>
    <row r="17" spans="1:5" ht="15" x14ac:dyDescent="0.2">
      <c r="E17" s="9" t="s">
        <v>47</v>
      </c>
    </row>
    <row r="18" spans="1:5" ht="15" x14ac:dyDescent="0.2">
      <c r="E18" s="9"/>
    </row>
    <row r="20" spans="1:5" ht="18" x14ac:dyDescent="0.25">
      <c r="A20" s="13" t="s">
        <v>48</v>
      </c>
      <c r="B20" s="13"/>
    </row>
    <row r="21" spans="1:5" ht="15" x14ac:dyDescent="0.2">
      <c r="A21" s="14" t="s">
        <v>49</v>
      </c>
      <c r="B21" s="14"/>
    </row>
    <row r="22" spans="1:5" ht="14.25" x14ac:dyDescent="0.2">
      <c r="A22" s="16"/>
      <c r="B22" s="17" t="s">
        <v>50</v>
      </c>
    </row>
    <row r="23" spans="1:5" ht="15" x14ac:dyDescent="0.2">
      <c r="A23" s="18" t="s">
        <v>51</v>
      </c>
      <c r="B23" s="18" t="s">
        <v>52</v>
      </c>
      <c r="C23" s="18" t="s">
        <v>53</v>
      </c>
      <c r="D23" s="18" t="s">
        <v>54</v>
      </c>
      <c r="E23" s="18" t="s">
        <v>55</v>
      </c>
    </row>
    <row r="24" spans="1:5" x14ac:dyDescent="0.2">
      <c r="A24" s="15" t="s">
        <v>103</v>
      </c>
      <c r="B24" s="4" t="s">
        <v>50</v>
      </c>
      <c r="C24" s="4" t="s">
        <v>65</v>
      </c>
      <c r="D24" s="4" t="s">
        <v>120</v>
      </c>
      <c r="E24" s="10" t="s">
        <v>121</v>
      </c>
    </row>
    <row r="26" spans="1:5" ht="14.25" x14ac:dyDescent="0.2">
      <c r="A26" s="16"/>
      <c r="B26" s="17" t="s">
        <v>59</v>
      </c>
    </row>
    <row r="27" spans="1:5" ht="15" x14ac:dyDescent="0.2">
      <c r="A27" s="18" t="s">
        <v>51</v>
      </c>
      <c r="B27" s="18" t="s">
        <v>52</v>
      </c>
      <c r="C27" s="18" t="s">
        <v>53</v>
      </c>
      <c r="D27" s="18" t="s">
        <v>54</v>
      </c>
      <c r="E27" s="18" t="s">
        <v>55</v>
      </c>
    </row>
    <row r="28" spans="1:5" x14ac:dyDescent="0.2">
      <c r="A28" s="15" t="s">
        <v>103</v>
      </c>
      <c r="B28" s="4" t="s">
        <v>122</v>
      </c>
      <c r="C28" s="4" t="s">
        <v>65</v>
      </c>
      <c r="D28" s="4" t="s">
        <v>120</v>
      </c>
      <c r="E28" s="10" t="s">
        <v>121</v>
      </c>
    </row>
    <row r="29" spans="1:5" x14ac:dyDescent="0.2">
      <c r="A29" s="15" t="s">
        <v>113</v>
      </c>
      <c r="B29" s="4" t="s">
        <v>60</v>
      </c>
      <c r="C29" s="4" t="s">
        <v>123</v>
      </c>
      <c r="D29" s="4" t="s">
        <v>124</v>
      </c>
      <c r="E29" s="10" t="s">
        <v>125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9:H9"/>
    <mergeCell ref="G3:H3"/>
    <mergeCell ref="I3:I4"/>
    <mergeCell ref="J3:J4"/>
    <mergeCell ref="K3:K4"/>
    <mergeCell ref="A5:H5"/>
  </mergeCells>
  <pageMargins left="0.7" right="0.7" top="0.75" bottom="0.75" header="0.3" footer="0.3"/>
  <pageSetup paperSize="9" scale="6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750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749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129</v>
      </c>
      <c r="B6" s="7" t="s">
        <v>130</v>
      </c>
      <c r="C6" s="7" t="s">
        <v>131</v>
      </c>
      <c r="D6" s="7" t="str">
        <f>"1,0000"</f>
        <v>1,0000</v>
      </c>
      <c r="E6" s="7" t="s">
        <v>132</v>
      </c>
      <c r="F6" s="7" t="s">
        <v>133</v>
      </c>
      <c r="G6" s="8" t="s">
        <v>550</v>
      </c>
      <c r="H6" s="8" t="s">
        <v>748</v>
      </c>
      <c r="I6" s="11" t="str">
        <f>"2530,0"</f>
        <v>2530,0</v>
      </c>
      <c r="J6" s="12" t="str">
        <f>"28,7173"</f>
        <v>28,7173</v>
      </c>
      <c r="K6" s="7" t="s">
        <v>23</v>
      </c>
    </row>
    <row r="8" spans="1:11" ht="15" x14ac:dyDescent="0.2">
      <c r="E8" s="9" t="s">
        <v>43</v>
      </c>
    </row>
    <row r="9" spans="1:11" ht="15" x14ac:dyDescent="0.2">
      <c r="E9" s="9" t="s">
        <v>44</v>
      </c>
    </row>
    <row r="10" spans="1:11" ht="15" x14ac:dyDescent="0.2">
      <c r="E10" s="9" t="s">
        <v>45</v>
      </c>
    </row>
    <row r="11" spans="1:11" ht="15" x14ac:dyDescent="0.2">
      <c r="E11" s="9" t="s">
        <v>46</v>
      </c>
    </row>
    <row r="12" spans="1:11" ht="15" x14ac:dyDescent="0.2">
      <c r="E12" s="9" t="s">
        <v>46</v>
      </c>
    </row>
    <row r="13" spans="1:11" ht="15" x14ac:dyDescent="0.2">
      <c r="E13" s="9" t="s">
        <v>47</v>
      </c>
    </row>
    <row r="14" spans="1:11" ht="15" x14ac:dyDescent="0.2">
      <c r="E14" s="9"/>
    </row>
    <row r="16" spans="1:1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716</v>
      </c>
    </row>
    <row r="20" spans="1:5" x14ac:dyDescent="0.2">
      <c r="A20" s="15" t="s">
        <v>128</v>
      </c>
      <c r="B20" s="4" t="s">
        <v>136</v>
      </c>
      <c r="C20" s="4" t="s">
        <v>714</v>
      </c>
      <c r="D20" s="4" t="s">
        <v>747</v>
      </c>
      <c r="E20" s="10" t="s">
        <v>746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752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749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80</v>
      </c>
      <c r="B6" s="7" t="s">
        <v>81</v>
      </c>
      <c r="C6" s="7" t="s">
        <v>82</v>
      </c>
      <c r="D6" s="7" t="str">
        <f>"1,0000"</f>
        <v>1,0000</v>
      </c>
      <c r="E6" s="7" t="s">
        <v>83</v>
      </c>
      <c r="F6" s="7" t="s">
        <v>84</v>
      </c>
      <c r="G6" s="8" t="s">
        <v>85</v>
      </c>
      <c r="H6" s="8" t="s">
        <v>86</v>
      </c>
      <c r="I6" s="11" t="str">
        <f>"2600,0"</f>
        <v>2600,0</v>
      </c>
      <c r="J6" s="12" t="str">
        <f>"26,0000"</f>
        <v>26,0000</v>
      </c>
      <c r="K6" s="7" t="s">
        <v>23</v>
      </c>
    </row>
    <row r="8" spans="1:11" ht="15" x14ac:dyDescent="0.2">
      <c r="E8" s="9" t="s">
        <v>43</v>
      </c>
    </row>
    <row r="9" spans="1:11" ht="15" x14ac:dyDescent="0.2">
      <c r="E9" s="9" t="s">
        <v>44</v>
      </c>
    </row>
    <row r="10" spans="1:11" ht="15" x14ac:dyDescent="0.2">
      <c r="E10" s="9" t="s">
        <v>45</v>
      </c>
    </row>
    <row r="11" spans="1:11" ht="15" x14ac:dyDescent="0.2">
      <c r="E11" s="9" t="s">
        <v>46</v>
      </c>
    </row>
    <row r="12" spans="1:11" ht="15" x14ac:dyDescent="0.2">
      <c r="E12" s="9" t="s">
        <v>46</v>
      </c>
    </row>
    <row r="13" spans="1:11" ht="15" x14ac:dyDescent="0.2">
      <c r="E13" s="9" t="s">
        <v>47</v>
      </c>
    </row>
    <row r="14" spans="1:11" ht="15" x14ac:dyDescent="0.2">
      <c r="E14" s="9"/>
    </row>
    <row r="16" spans="1:1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50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716</v>
      </c>
    </row>
    <row r="20" spans="1:5" x14ac:dyDescent="0.2">
      <c r="A20" s="15" t="s">
        <v>79</v>
      </c>
      <c r="B20" s="4" t="s">
        <v>50</v>
      </c>
      <c r="C20" s="4" t="s">
        <v>714</v>
      </c>
      <c r="D20" s="4" t="s">
        <v>99</v>
      </c>
      <c r="E20" s="10" t="s">
        <v>751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755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722</v>
      </c>
      <c r="E3" s="27" t="s">
        <v>4</v>
      </c>
      <c r="F3" s="27" t="s">
        <v>7</v>
      </c>
      <c r="G3" s="27" t="s">
        <v>749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6" t="s">
        <v>8</v>
      </c>
      <c r="H4" s="6" t="s">
        <v>9</v>
      </c>
      <c r="I4" s="38"/>
      <c r="J4" s="38"/>
      <c r="K4" s="29"/>
    </row>
    <row r="5" spans="1:11" ht="15" x14ac:dyDescent="0.2">
      <c r="A5" s="39" t="s">
        <v>720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719</v>
      </c>
      <c r="B6" s="7" t="s">
        <v>718</v>
      </c>
      <c r="C6" s="7" t="s">
        <v>82</v>
      </c>
      <c r="D6" s="7" t="str">
        <f>"1,0000"</f>
        <v>1,0000</v>
      </c>
      <c r="E6" s="7" t="s">
        <v>374</v>
      </c>
      <c r="F6" s="7" t="s">
        <v>229</v>
      </c>
      <c r="G6" s="8" t="s">
        <v>550</v>
      </c>
      <c r="H6" s="8" t="s">
        <v>550</v>
      </c>
      <c r="I6" s="11" t="str">
        <f>"3025,0"</f>
        <v>3025,0</v>
      </c>
      <c r="J6" s="12" t="str">
        <f>"30,2500"</f>
        <v>30,2500</v>
      </c>
      <c r="K6" s="7" t="s">
        <v>23</v>
      </c>
    </row>
    <row r="8" spans="1:11" ht="15" x14ac:dyDescent="0.2">
      <c r="E8" s="9" t="s">
        <v>43</v>
      </c>
    </row>
    <row r="9" spans="1:11" ht="15" x14ac:dyDescent="0.2">
      <c r="E9" s="9" t="s">
        <v>44</v>
      </c>
    </row>
    <row r="10" spans="1:11" ht="15" x14ac:dyDescent="0.2">
      <c r="E10" s="9" t="s">
        <v>45</v>
      </c>
    </row>
    <row r="11" spans="1:11" ht="15" x14ac:dyDescent="0.2">
      <c r="E11" s="9" t="s">
        <v>46</v>
      </c>
    </row>
    <row r="12" spans="1:11" ht="15" x14ac:dyDescent="0.2">
      <c r="E12" s="9" t="s">
        <v>46</v>
      </c>
    </row>
    <row r="13" spans="1:11" ht="15" x14ac:dyDescent="0.2">
      <c r="E13" s="9" t="s">
        <v>47</v>
      </c>
    </row>
    <row r="14" spans="1:11" ht="15" x14ac:dyDescent="0.2">
      <c r="E14" s="9"/>
    </row>
    <row r="16" spans="1:11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716</v>
      </c>
    </row>
    <row r="20" spans="1:5" x14ac:dyDescent="0.2">
      <c r="A20" s="15" t="s">
        <v>715</v>
      </c>
      <c r="B20" s="4" t="s">
        <v>60</v>
      </c>
      <c r="C20" s="4" t="s">
        <v>714</v>
      </c>
      <c r="D20" s="4" t="s">
        <v>754</v>
      </c>
      <c r="E20" s="10" t="s">
        <v>753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6" fitToHeight="0" orientation="landscape" r:id="rId1"/>
  <headerFooter alignWithMargins="0">
    <oddFooter>&amp;L&amp;G&amp;R&amp;D&amp;T&amp;P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2851562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23.28515625" style="4" bestFit="1" customWidth="1"/>
    <col min="18" max="16384" width="9.140625" style="3"/>
  </cols>
  <sheetData>
    <row r="1" spans="1:17" s="2" customFormat="1" ht="29.1" customHeight="1" x14ac:dyDescent="0.2">
      <c r="A1" s="41" t="s">
        <v>759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7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758</v>
      </c>
      <c r="H3" s="27"/>
      <c r="I3" s="27"/>
      <c r="J3" s="27"/>
      <c r="K3" s="27" t="s">
        <v>757</v>
      </c>
      <c r="L3" s="27"/>
      <c r="M3" s="27"/>
      <c r="N3" s="27"/>
      <c r="O3" s="27" t="s">
        <v>1</v>
      </c>
      <c r="P3" s="27" t="s">
        <v>3</v>
      </c>
      <c r="Q3" s="28" t="s">
        <v>2</v>
      </c>
    </row>
    <row r="4" spans="1:17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38"/>
      <c r="P4" s="38"/>
      <c r="Q4" s="29"/>
    </row>
    <row r="5" spans="1:17" ht="15" x14ac:dyDescent="0.2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x14ac:dyDescent="0.2">
      <c r="A6" s="7" t="s">
        <v>35</v>
      </c>
      <c r="B6" s="7" t="s">
        <v>36</v>
      </c>
      <c r="C6" s="7" t="s">
        <v>37</v>
      </c>
      <c r="D6" s="7" t="str">
        <f>"0,5365"</f>
        <v>0,5365</v>
      </c>
      <c r="E6" s="7" t="s">
        <v>38</v>
      </c>
      <c r="F6" s="7" t="s">
        <v>39</v>
      </c>
      <c r="G6" s="8" t="s">
        <v>203</v>
      </c>
      <c r="H6" s="8" t="s">
        <v>109</v>
      </c>
      <c r="I6" s="8" t="s">
        <v>40</v>
      </c>
      <c r="J6" s="44"/>
      <c r="K6" s="8" t="s">
        <v>594</v>
      </c>
      <c r="L6" s="44" t="s">
        <v>134</v>
      </c>
      <c r="M6" s="44" t="s">
        <v>134</v>
      </c>
      <c r="N6" s="44"/>
      <c r="O6" s="11" t="str">
        <f>"192,5"</f>
        <v>192,5</v>
      </c>
      <c r="P6" s="12" t="str">
        <f>"103,2762"</f>
        <v>103,2762</v>
      </c>
      <c r="Q6" s="7" t="s">
        <v>42</v>
      </c>
    </row>
    <row r="8" spans="1:17" ht="15" x14ac:dyDescent="0.2">
      <c r="E8" s="9" t="s">
        <v>43</v>
      </c>
    </row>
    <row r="9" spans="1:17" ht="15" x14ac:dyDescent="0.2">
      <c r="E9" s="9" t="s">
        <v>44</v>
      </c>
    </row>
    <row r="10" spans="1:17" ht="15" x14ac:dyDescent="0.2">
      <c r="E10" s="9" t="s">
        <v>45</v>
      </c>
    </row>
    <row r="11" spans="1:17" ht="15" x14ac:dyDescent="0.2">
      <c r="E11" s="9" t="s">
        <v>46</v>
      </c>
    </row>
    <row r="12" spans="1:17" ht="15" x14ac:dyDescent="0.2">
      <c r="E12" s="9" t="s">
        <v>46</v>
      </c>
    </row>
    <row r="13" spans="1:17" ht="15" x14ac:dyDescent="0.2">
      <c r="E13" s="9" t="s">
        <v>47</v>
      </c>
    </row>
    <row r="14" spans="1:17" ht="15" x14ac:dyDescent="0.2">
      <c r="E14" s="9"/>
    </row>
    <row r="16" spans="1:17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568</v>
      </c>
      <c r="E19" s="18" t="s">
        <v>142</v>
      </c>
    </row>
    <row r="20" spans="1:5" x14ac:dyDescent="0.2">
      <c r="A20" s="15" t="s">
        <v>34</v>
      </c>
      <c r="B20" s="4" t="s">
        <v>60</v>
      </c>
      <c r="C20" s="4" t="s">
        <v>61</v>
      </c>
      <c r="D20" s="4" t="s">
        <v>675</v>
      </c>
      <c r="E20" s="10" t="s">
        <v>756</v>
      </c>
    </row>
  </sheetData>
  <mergeCells count="13">
    <mergeCell ref="F3:F4"/>
    <mergeCell ref="G3:J3"/>
    <mergeCell ref="K3:N3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65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761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757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217</v>
      </c>
      <c r="B6" s="7" t="s">
        <v>216</v>
      </c>
      <c r="C6" s="7" t="s">
        <v>215</v>
      </c>
      <c r="D6" s="7" t="str">
        <f>"0,5416"</f>
        <v>0,5416</v>
      </c>
      <c r="E6" s="7" t="s">
        <v>83</v>
      </c>
      <c r="F6" s="7" t="s">
        <v>84</v>
      </c>
      <c r="G6" s="8" t="s">
        <v>465</v>
      </c>
      <c r="H6" s="8" t="s">
        <v>594</v>
      </c>
      <c r="I6" s="8" t="s">
        <v>527</v>
      </c>
      <c r="J6" s="44"/>
      <c r="K6" s="11" t="str">
        <f>"92,5"</f>
        <v>92,5</v>
      </c>
      <c r="L6" s="12" t="str">
        <f>"50,0980"</f>
        <v>50,0980</v>
      </c>
      <c r="M6" s="7" t="s">
        <v>23</v>
      </c>
    </row>
    <row r="8" spans="1:13" ht="15" x14ac:dyDescent="0.2">
      <c r="E8" s="9" t="s">
        <v>43</v>
      </c>
    </row>
    <row r="9" spans="1:13" ht="15" x14ac:dyDescent="0.2">
      <c r="E9" s="9" t="s">
        <v>44</v>
      </c>
    </row>
    <row r="10" spans="1:13" ht="15" x14ac:dyDescent="0.2">
      <c r="E10" s="9" t="s">
        <v>45</v>
      </c>
    </row>
    <row r="11" spans="1:13" ht="15" x14ac:dyDescent="0.2">
      <c r="E11" s="9" t="s">
        <v>46</v>
      </c>
    </row>
    <row r="12" spans="1:13" ht="15" x14ac:dyDescent="0.2">
      <c r="E12" s="9" t="s">
        <v>46</v>
      </c>
    </row>
    <row r="13" spans="1:13" ht="15" x14ac:dyDescent="0.2">
      <c r="E13" s="9" t="s">
        <v>47</v>
      </c>
    </row>
    <row r="14" spans="1:13" ht="15" x14ac:dyDescent="0.2">
      <c r="E14" s="9"/>
    </row>
    <row r="16" spans="1:13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50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142</v>
      </c>
    </row>
    <row r="20" spans="1:5" x14ac:dyDescent="0.2">
      <c r="A20" s="15" t="s">
        <v>201</v>
      </c>
      <c r="B20" s="4" t="s">
        <v>50</v>
      </c>
      <c r="C20" s="4" t="s">
        <v>61</v>
      </c>
      <c r="D20" s="4" t="s">
        <v>527</v>
      </c>
      <c r="E20" s="10" t="s">
        <v>760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41" t="s">
        <v>783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757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190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782</v>
      </c>
      <c r="B6" s="7" t="s">
        <v>781</v>
      </c>
      <c r="C6" s="7" t="s">
        <v>780</v>
      </c>
      <c r="D6" s="7" t="str">
        <f>"0,8707"</f>
        <v>0,8707</v>
      </c>
      <c r="E6" s="7" t="s">
        <v>83</v>
      </c>
      <c r="F6" s="7" t="s">
        <v>396</v>
      </c>
      <c r="G6" s="44" t="s">
        <v>740</v>
      </c>
      <c r="H6" s="44" t="s">
        <v>740</v>
      </c>
      <c r="I6" s="8" t="s">
        <v>556</v>
      </c>
      <c r="J6" s="44"/>
      <c r="K6" s="11" t="str">
        <f>"42,5"</f>
        <v>42,5</v>
      </c>
      <c r="L6" s="12" t="str">
        <f>"38,1149"</f>
        <v>38,1149</v>
      </c>
      <c r="M6" s="7" t="s">
        <v>779</v>
      </c>
    </row>
    <row r="8" spans="1:13" ht="15" x14ac:dyDescent="0.2">
      <c r="A8" s="42" t="s">
        <v>14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7" t="s">
        <v>16</v>
      </c>
      <c r="B9" s="7" t="s">
        <v>17</v>
      </c>
      <c r="C9" s="7" t="s">
        <v>18</v>
      </c>
      <c r="D9" s="7" t="str">
        <f>"0,7535"</f>
        <v>0,7535</v>
      </c>
      <c r="E9" s="7" t="s">
        <v>19</v>
      </c>
      <c r="F9" s="7" t="s">
        <v>20</v>
      </c>
      <c r="G9" s="8" t="s">
        <v>477</v>
      </c>
      <c r="H9" s="8" t="s">
        <v>668</v>
      </c>
      <c r="I9" s="44" t="s">
        <v>763</v>
      </c>
      <c r="J9" s="44"/>
      <c r="K9" s="11" t="str">
        <f>"60,0"</f>
        <v>60,0</v>
      </c>
      <c r="L9" s="12" t="str">
        <f>"45,2100"</f>
        <v>45,2100</v>
      </c>
      <c r="M9" s="7" t="s">
        <v>23</v>
      </c>
    </row>
    <row r="11" spans="1:13" ht="15" x14ac:dyDescent="0.2">
      <c r="A11" s="42" t="s">
        <v>24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x14ac:dyDescent="0.2">
      <c r="A12" s="7" t="s">
        <v>537</v>
      </c>
      <c r="B12" s="7" t="s">
        <v>536</v>
      </c>
      <c r="C12" s="7" t="s">
        <v>535</v>
      </c>
      <c r="D12" s="7" t="str">
        <f>"0,6687"</f>
        <v>0,6687</v>
      </c>
      <c r="E12" s="7" t="s">
        <v>534</v>
      </c>
      <c r="F12" s="7" t="s">
        <v>533</v>
      </c>
      <c r="G12" s="8" t="s">
        <v>458</v>
      </c>
      <c r="H12" s="8" t="s">
        <v>477</v>
      </c>
      <c r="I12" s="44" t="s">
        <v>775</v>
      </c>
      <c r="J12" s="44"/>
      <c r="K12" s="11" t="str">
        <f>"52,5"</f>
        <v>52,5</v>
      </c>
      <c r="L12" s="12" t="str">
        <f>"37,2132"</f>
        <v>37,2132</v>
      </c>
      <c r="M12" s="7" t="s">
        <v>531</v>
      </c>
    </row>
    <row r="14" spans="1:13" ht="15" x14ac:dyDescent="0.2">
      <c r="A14" s="42" t="s">
        <v>347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3" x14ac:dyDescent="0.2">
      <c r="A15" s="7" t="s">
        <v>778</v>
      </c>
      <c r="B15" s="7" t="s">
        <v>777</v>
      </c>
      <c r="C15" s="7" t="s">
        <v>515</v>
      </c>
      <c r="D15" s="7" t="str">
        <f>"0,6251"</f>
        <v>0,6251</v>
      </c>
      <c r="E15" s="7" t="s">
        <v>776</v>
      </c>
      <c r="F15" s="7" t="s">
        <v>224</v>
      </c>
      <c r="G15" s="8" t="s">
        <v>775</v>
      </c>
      <c r="H15" s="8" t="s">
        <v>21</v>
      </c>
      <c r="I15" s="44" t="s">
        <v>465</v>
      </c>
      <c r="J15" s="44"/>
      <c r="K15" s="11" t="str">
        <f>"65,0"</f>
        <v>65,0</v>
      </c>
      <c r="L15" s="12" t="str">
        <f>"40,6315"</f>
        <v>40,6315</v>
      </c>
      <c r="M15" s="7" t="s">
        <v>23</v>
      </c>
    </row>
    <row r="17" spans="1:13" ht="15" x14ac:dyDescent="0.2">
      <c r="A17" s="42" t="s">
        <v>112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3" x14ac:dyDescent="0.2">
      <c r="A18" s="19" t="s">
        <v>114</v>
      </c>
      <c r="B18" s="19" t="s">
        <v>115</v>
      </c>
      <c r="C18" s="19" t="s">
        <v>116</v>
      </c>
      <c r="D18" s="19" t="str">
        <f>"0,6027"</f>
        <v>0,6027</v>
      </c>
      <c r="E18" s="19" t="s">
        <v>107</v>
      </c>
      <c r="F18" s="19" t="s">
        <v>108</v>
      </c>
      <c r="G18" s="20" t="s">
        <v>550</v>
      </c>
      <c r="H18" s="20" t="s">
        <v>763</v>
      </c>
      <c r="I18" s="50" t="s">
        <v>465</v>
      </c>
      <c r="J18" s="50"/>
      <c r="K18" s="23" t="str">
        <f>"62,5"</f>
        <v>62,5</v>
      </c>
      <c r="L18" s="24" t="str">
        <f>"38,0078"</f>
        <v>38,0078</v>
      </c>
      <c r="M18" s="19" t="s">
        <v>119</v>
      </c>
    </row>
    <row r="19" spans="1:13" x14ac:dyDescent="0.2">
      <c r="A19" s="21" t="s">
        <v>129</v>
      </c>
      <c r="B19" s="21" t="s">
        <v>130</v>
      </c>
      <c r="C19" s="21" t="s">
        <v>131</v>
      </c>
      <c r="D19" s="21" t="str">
        <f>"0,5930"</f>
        <v>0,5930</v>
      </c>
      <c r="E19" s="21" t="s">
        <v>132</v>
      </c>
      <c r="F19" s="21" t="s">
        <v>133</v>
      </c>
      <c r="G19" s="22" t="s">
        <v>775</v>
      </c>
      <c r="H19" s="22" t="s">
        <v>21</v>
      </c>
      <c r="I19" s="45" t="s">
        <v>465</v>
      </c>
      <c r="J19" s="45"/>
      <c r="K19" s="25" t="str">
        <f>"65,0"</f>
        <v>65,0</v>
      </c>
      <c r="L19" s="26" t="str">
        <f>"67,6465"</f>
        <v>67,6465</v>
      </c>
      <c r="M19" s="21" t="s">
        <v>23</v>
      </c>
    </row>
    <row r="21" spans="1:13" ht="15" x14ac:dyDescent="0.2">
      <c r="A21" s="42" t="s">
        <v>78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3" x14ac:dyDescent="0.2">
      <c r="A22" s="7" t="s">
        <v>774</v>
      </c>
      <c r="B22" s="7" t="s">
        <v>657</v>
      </c>
      <c r="C22" s="7" t="s">
        <v>656</v>
      </c>
      <c r="D22" s="7" t="str">
        <f>"0,5560"</f>
        <v>0,5560</v>
      </c>
      <c r="E22" s="7" t="s">
        <v>655</v>
      </c>
      <c r="F22" s="7" t="s">
        <v>304</v>
      </c>
      <c r="G22" s="8" t="s">
        <v>763</v>
      </c>
      <c r="H22" s="44" t="s">
        <v>465</v>
      </c>
      <c r="I22" s="44" t="s">
        <v>465</v>
      </c>
      <c r="J22" s="44"/>
      <c r="K22" s="11" t="str">
        <f>"62,5"</f>
        <v>62,5</v>
      </c>
      <c r="L22" s="12" t="str">
        <f>"34,7500"</f>
        <v>34,7500</v>
      </c>
      <c r="M22" s="7" t="s">
        <v>654</v>
      </c>
    </row>
    <row r="24" spans="1:13" ht="15" x14ac:dyDescent="0.2">
      <c r="A24" s="42" t="s">
        <v>33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3" x14ac:dyDescent="0.2">
      <c r="A25" s="7" t="s">
        <v>35</v>
      </c>
      <c r="B25" s="7" t="s">
        <v>36</v>
      </c>
      <c r="C25" s="7" t="s">
        <v>37</v>
      </c>
      <c r="D25" s="7" t="str">
        <f>"0,5365"</f>
        <v>0,5365</v>
      </c>
      <c r="E25" s="7" t="s">
        <v>38</v>
      </c>
      <c r="F25" s="7" t="s">
        <v>39</v>
      </c>
      <c r="G25" s="8" t="s">
        <v>594</v>
      </c>
      <c r="H25" s="44" t="s">
        <v>134</v>
      </c>
      <c r="I25" s="44" t="s">
        <v>134</v>
      </c>
      <c r="J25" s="44"/>
      <c r="K25" s="11" t="str">
        <f>"82,5"</f>
        <v>82,5</v>
      </c>
      <c r="L25" s="12" t="str">
        <f>"44,2612"</f>
        <v>44,2612</v>
      </c>
      <c r="M25" s="7" t="s">
        <v>42</v>
      </c>
    </row>
    <row r="27" spans="1:13" ht="15" x14ac:dyDescent="0.2">
      <c r="E27" s="9" t="s">
        <v>43</v>
      </c>
    </row>
    <row r="28" spans="1:13" ht="15" x14ac:dyDescent="0.2">
      <c r="E28" s="9" t="s">
        <v>44</v>
      </c>
    </row>
    <row r="29" spans="1:13" ht="15" x14ac:dyDescent="0.2">
      <c r="E29" s="9" t="s">
        <v>45</v>
      </c>
    </row>
    <row r="30" spans="1:13" ht="15" x14ac:dyDescent="0.2">
      <c r="E30" s="9" t="s">
        <v>46</v>
      </c>
    </row>
    <row r="31" spans="1:13" ht="15" x14ac:dyDescent="0.2">
      <c r="E31" s="9" t="s">
        <v>46</v>
      </c>
    </row>
    <row r="32" spans="1:13" ht="15" x14ac:dyDescent="0.2">
      <c r="E32" s="9" t="s">
        <v>47</v>
      </c>
    </row>
    <row r="33" spans="1:5" ht="15" x14ac:dyDescent="0.2">
      <c r="E33" s="9"/>
    </row>
    <row r="35" spans="1:5" ht="18" x14ac:dyDescent="0.25">
      <c r="A35" s="13" t="s">
        <v>48</v>
      </c>
      <c r="B35" s="13"/>
    </row>
    <row r="36" spans="1:5" ht="15" x14ac:dyDescent="0.2">
      <c r="A36" s="14" t="s">
        <v>170</v>
      </c>
      <c r="B36" s="14"/>
    </row>
    <row r="37" spans="1:5" ht="14.25" x14ac:dyDescent="0.2">
      <c r="A37" s="16"/>
      <c r="B37" s="17" t="s">
        <v>773</v>
      </c>
    </row>
    <row r="38" spans="1:5" ht="15" x14ac:dyDescent="0.2">
      <c r="A38" s="18" t="s">
        <v>51</v>
      </c>
      <c r="B38" s="18" t="s">
        <v>52</v>
      </c>
      <c r="C38" s="18" t="s">
        <v>53</v>
      </c>
      <c r="D38" s="18" t="s">
        <v>54</v>
      </c>
      <c r="E38" s="18" t="s">
        <v>142</v>
      </c>
    </row>
    <row r="39" spans="1:5" x14ac:dyDescent="0.2">
      <c r="A39" s="15" t="s">
        <v>772</v>
      </c>
      <c r="B39" s="4" t="s">
        <v>269</v>
      </c>
      <c r="C39" s="4" t="s">
        <v>168</v>
      </c>
      <c r="D39" s="4" t="s">
        <v>556</v>
      </c>
      <c r="E39" s="10" t="s">
        <v>771</v>
      </c>
    </row>
    <row r="42" spans="1:5" ht="15" x14ac:dyDescent="0.2">
      <c r="A42" s="14" t="s">
        <v>49</v>
      </c>
      <c r="B42" s="14"/>
    </row>
    <row r="43" spans="1:5" ht="14.25" x14ac:dyDescent="0.2">
      <c r="A43" s="16"/>
      <c r="B43" s="17" t="s">
        <v>92</v>
      </c>
    </row>
    <row r="44" spans="1:5" ht="15" x14ac:dyDescent="0.2">
      <c r="A44" s="18" t="s">
        <v>51</v>
      </c>
      <c r="B44" s="18" t="s">
        <v>52</v>
      </c>
      <c r="C44" s="18" t="s">
        <v>53</v>
      </c>
      <c r="D44" s="18" t="s">
        <v>54</v>
      </c>
      <c r="E44" s="18" t="s">
        <v>142</v>
      </c>
    </row>
    <row r="45" spans="1:5" x14ac:dyDescent="0.2">
      <c r="A45" s="15" t="s">
        <v>470</v>
      </c>
      <c r="B45" s="4" t="s">
        <v>462</v>
      </c>
      <c r="C45" s="4" t="s">
        <v>65</v>
      </c>
      <c r="D45" s="4" t="s">
        <v>477</v>
      </c>
      <c r="E45" s="10" t="s">
        <v>770</v>
      </c>
    </row>
    <row r="47" spans="1:5" ht="14.25" x14ac:dyDescent="0.2">
      <c r="A47" s="16"/>
      <c r="B47" s="17" t="s">
        <v>50</v>
      </c>
    </row>
    <row r="48" spans="1:5" ht="15" x14ac:dyDescent="0.2">
      <c r="A48" s="18" t="s">
        <v>51</v>
      </c>
      <c r="B48" s="18" t="s">
        <v>52</v>
      </c>
      <c r="C48" s="18" t="s">
        <v>53</v>
      </c>
      <c r="D48" s="18" t="s">
        <v>54</v>
      </c>
      <c r="E48" s="18" t="s">
        <v>142</v>
      </c>
    </row>
    <row r="49" spans="1:5" x14ac:dyDescent="0.2">
      <c r="A49" s="15" t="s">
        <v>15</v>
      </c>
      <c r="B49" s="4" t="s">
        <v>50</v>
      </c>
      <c r="C49" s="4" t="s">
        <v>56</v>
      </c>
      <c r="D49" s="4" t="s">
        <v>668</v>
      </c>
      <c r="E49" s="10" t="s">
        <v>769</v>
      </c>
    </row>
    <row r="50" spans="1:5" x14ac:dyDescent="0.2">
      <c r="A50" s="15" t="s">
        <v>768</v>
      </c>
      <c r="B50" s="4" t="s">
        <v>50</v>
      </c>
      <c r="C50" s="4" t="s">
        <v>246</v>
      </c>
      <c r="D50" s="4" t="s">
        <v>21</v>
      </c>
      <c r="E50" s="10" t="s">
        <v>767</v>
      </c>
    </row>
    <row r="51" spans="1:5" x14ac:dyDescent="0.2">
      <c r="A51" s="15" t="s">
        <v>612</v>
      </c>
      <c r="B51" s="4" t="s">
        <v>50</v>
      </c>
      <c r="C51" s="4" t="s">
        <v>98</v>
      </c>
      <c r="D51" s="4" t="s">
        <v>763</v>
      </c>
      <c r="E51" s="10" t="s">
        <v>766</v>
      </c>
    </row>
    <row r="53" spans="1:5" ht="14.25" x14ac:dyDescent="0.2">
      <c r="A53" s="16"/>
      <c r="B53" s="17" t="s">
        <v>59</v>
      </c>
    </row>
    <row r="54" spans="1:5" ht="15" x14ac:dyDescent="0.2">
      <c r="A54" s="18" t="s">
        <v>51</v>
      </c>
      <c r="B54" s="18" t="s">
        <v>52</v>
      </c>
      <c r="C54" s="18" t="s">
        <v>53</v>
      </c>
      <c r="D54" s="18" t="s">
        <v>54</v>
      </c>
      <c r="E54" s="18" t="s">
        <v>142</v>
      </c>
    </row>
    <row r="55" spans="1:5" x14ac:dyDescent="0.2">
      <c r="A55" s="15" t="s">
        <v>128</v>
      </c>
      <c r="B55" s="4" t="s">
        <v>136</v>
      </c>
      <c r="C55" s="4" t="s">
        <v>123</v>
      </c>
      <c r="D55" s="4" t="s">
        <v>21</v>
      </c>
      <c r="E55" s="10" t="s">
        <v>765</v>
      </c>
    </row>
    <row r="56" spans="1:5" x14ac:dyDescent="0.2">
      <c r="A56" s="15" t="s">
        <v>34</v>
      </c>
      <c r="B56" s="4" t="s">
        <v>60</v>
      </c>
      <c r="C56" s="4" t="s">
        <v>61</v>
      </c>
      <c r="D56" s="4" t="s">
        <v>594</v>
      </c>
      <c r="E56" s="10" t="s">
        <v>764</v>
      </c>
    </row>
    <row r="57" spans="1:5" x14ac:dyDescent="0.2">
      <c r="A57" s="15" t="s">
        <v>113</v>
      </c>
      <c r="B57" s="4" t="s">
        <v>60</v>
      </c>
      <c r="C57" s="4" t="s">
        <v>123</v>
      </c>
      <c r="D57" s="4" t="s">
        <v>763</v>
      </c>
      <c r="E57" s="10" t="s">
        <v>762</v>
      </c>
    </row>
  </sheetData>
  <mergeCells count="18">
    <mergeCell ref="A24:J24"/>
    <mergeCell ref="K3:K4"/>
    <mergeCell ref="L3:L4"/>
    <mergeCell ref="M3:M4"/>
    <mergeCell ref="A5:J5"/>
    <mergeCell ref="A8:J8"/>
    <mergeCell ref="A11:J11"/>
    <mergeCell ref="A14:J14"/>
    <mergeCell ref="A17:J17"/>
    <mergeCell ref="A21:J2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8" width="4.5703125" style="3" customWidth="1"/>
    <col min="9" max="9" width="2.1406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785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758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14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16</v>
      </c>
      <c r="B6" s="7" t="s">
        <v>17</v>
      </c>
      <c r="C6" s="7" t="s">
        <v>18</v>
      </c>
      <c r="D6" s="7" t="str">
        <f>"0,7535"</f>
        <v>0,7535</v>
      </c>
      <c r="E6" s="7" t="s">
        <v>19</v>
      </c>
      <c r="F6" s="7" t="s">
        <v>20</v>
      </c>
      <c r="G6" s="8" t="s">
        <v>465</v>
      </c>
      <c r="H6" s="44" t="s">
        <v>685</v>
      </c>
      <c r="I6" s="44"/>
      <c r="J6" s="44"/>
      <c r="K6" s="11" t="str">
        <f>"70,0"</f>
        <v>70,0</v>
      </c>
      <c r="L6" s="12" t="str">
        <f>"52,7450"</f>
        <v>52,7450</v>
      </c>
      <c r="M6" s="7" t="s">
        <v>23</v>
      </c>
    </row>
    <row r="8" spans="1:13" ht="15" x14ac:dyDescent="0.2">
      <c r="E8" s="9" t="s">
        <v>43</v>
      </c>
    </row>
    <row r="9" spans="1:13" ht="15" x14ac:dyDescent="0.2">
      <c r="E9" s="9" t="s">
        <v>44</v>
      </c>
    </row>
    <row r="10" spans="1:13" ht="15" x14ac:dyDescent="0.2">
      <c r="E10" s="9" t="s">
        <v>45</v>
      </c>
    </row>
    <row r="11" spans="1:13" ht="15" x14ac:dyDescent="0.2">
      <c r="E11" s="9" t="s">
        <v>46</v>
      </c>
    </row>
    <row r="12" spans="1:13" ht="15" x14ac:dyDescent="0.2">
      <c r="E12" s="9" t="s">
        <v>46</v>
      </c>
    </row>
    <row r="13" spans="1:13" ht="15" x14ac:dyDescent="0.2">
      <c r="E13" s="9" t="s">
        <v>47</v>
      </c>
    </row>
    <row r="14" spans="1:13" ht="15" x14ac:dyDescent="0.2">
      <c r="E14" s="9"/>
    </row>
    <row r="16" spans="1:13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50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142</v>
      </c>
    </row>
    <row r="20" spans="1:5" x14ac:dyDescent="0.2">
      <c r="A20" s="15" t="s">
        <v>15</v>
      </c>
      <c r="B20" s="4" t="s">
        <v>50</v>
      </c>
      <c r="C20" s="4" t="s">
        <v>56</v>
      </c>
      <c r="D20" s="4" t="s">
        <v>465</v>
      </c>
      <c r="E20" s="10" t="s">
        <v>784</v>
      </c>
    </row>
  </sheetData>
  <mergeCells count="12">
    <mergeCell ref="F3:F4"/>
    <mergeCell ref="E3:E4"/>
    <mergeCell ref="A5:J5"/>
    <mergeCell ref="D3:D4"/>
    <mergeCell ref="K3:K4"/>
    <mergeCell ref="L3:L4"/>
    <mergeCell ref="A1:M2"/>
    <mergeCell ref="G3:J3"/>
    <mergeCell ref="A3:A4"/>
    <mergeCell ref="B3:B4"/>
    <mergeCell ref="C3:C4"/>
    <mergeCell ref="M3:M4"/>
  </mergeCells>
  <pageMargins left="0.19685039370078741" right="0.47244094488188981" top="0.43307086614173229" bottom="0.47244094488188981" header="0.51181102362204722" footer="0.51181102362204722"/>
  <pageSetup scale="78" fitToHeight="0" orientation="landscape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7" style="4" bestFit="1" customWidth="1"/>
    <col min="12" max="16384" width="9.140625" style="3"/>
  </cols>
  <sheetData>
    <row r="1" spans="1:11" s="2" customFormat="1" ht="29.1" customHeight="1" x14ac:dyDescent="0.2">
      <c r="A1" s="41" t="s">
        <v>69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12</v>
      </c>
      <c r="E3" s="27" t="s">
        <v>4</v>
      </c>
      <c r="F3" s="27" t="s">
        <v>7</v>
      </c>
      <c r="G3" s="27" t="s">
        <v>13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29"/>
    </row>
    <row r="5" spans="1:11" ht="15" x14ac:dyDescent="0.2">
      <c r="A5" s="39" t="s">
        <v>24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71</v>
      </c>
      <c r="B6" s="7" t="s">
        <v>72</v>
      </c>
      <c r="C6" s="7" t="s">
        <v>73</v>
      </c>
      <c r="D6" s="7" t="str">
        <f>"0,7902"</f>
        <v>0,7902</v>
      </c>
      <c r="E6" s="7" t="s">
        <v>74</v>
      </c>
      <c r="F6" s="7" t="s">
        <v>75</v>
      </c>
      <c r="G6" s="8" t="s">
        <v>30</v>
      </c>
      <c r="H6" s="8" t="s">
        <v>76</v>
      </c>
      <c r="I6" s="11" t="str">
        <f>"1500,0"</f>
        <v>1500,0</v>
      </c>
      <c r="J6" s="12" t="str">
        <f>"1185,3000"</f>
        <v>1185,3000</v>
      </c>
      <c r="K6" s="7" t="s">
        <v>77</v>
      </c>
    </row>
    <row r="8" spans="1:11" ht="15" x14ac:dyDescent="0.2">
      <c r="A8" s="42" t="s">
        <v>78</v>
      </c>
      <c r="B8" s="43"/>
      <c r="C8" s="43"/>
      <c r="D8" s="43"/>
      <c r="E8" s="43"/>
      <c r="F8" s="43"/>
      <c r="G8" s="43"/>
      <c r="H8" s="43"/>
    </row>
    <row r="9" spans="1:11" x14ac:dyDescent="0.2">
      <c r="A9" s="7" t="s">
        <v>80</v>
      </c>
      <c r="B9" s="7" t="s">
        <v>81</v>
      </c>
      <c r="C9" s="7" t="s">
        <v>82</v>
      </c>
      <c r="D9" s="7" t="str">
        <f>"0,6618"</f>
        <v>0,6618</v>
      </c>
      <c r="E9" s="7" t="s">
        <v>83</v>
      </c>
      <c r="F9" s="7" t="s">
        <v>84</v>
      </c>
      <c r="G9" s="8" t="s">
        <v>85</v>
      </c>
      <c r="H9" s="8" t="s">
        <v>86</v>
      </c>
      <c r="I9" s="11" t="str">
        <f>"2600,0"</f>
        <v>2600,0</v>
      </c>
      <c r="J9" s="12" t="str">
        <f>"1720,6801"</f>
        <v>1720,6801</v>
      </c>
      <c r="K9" s="7" t="s">
        <v>23</v>
      </c>
    </row>
    <row r="11" spans="1:11" ht="15" x14ac:dyDescent="0.2">
      <c r="A11" s="42" t="s">
        <v>33</v>
      </c>
      <c r="B11" s="43"/>
      <c r="C11" s="43"/>
      <c r="D11" s="43"/>
      <c r="E11" s="43"/>
      <c r="F11" s="43"/>
      <c r="G11" s="43"/>
      <c r="H11" s="43"/>
    </row>
    <row r="12" spans="1:11" x14ac:dyDescent="0.2">
      <c r="A12" s="7" t="s">
        <v>88</v>
      </c>
      <c r="B12" s="7" t="s">
        <v>89</v>
      </c>
      <c r="C12" s="7" t="s">
        <v>37</v>
      </c>
      <c r="D12" s="7" t="str">
        <f>"0,6405"</f>
        <v>0,6405</v>
      </c>
      <c r="E12" s="7" t="s">
        <v>74</v>
      </c>
      <c r="F12" s="7" t="s">
        <v>75</v>
      </c>
      <c r="G12" s="8" t="s">
        <v>40</v>
      </c>
      <c r="H12" s="8" t="s">
        <v>90</v>
      </c>
      <c r="I12" s="11" t="str">
        <f>"3410,0"</f>
        <v>3410,0</v>
      </c>
      <c r="J12" s="12" t="str">
        <f>"2184,1050"</f>
        <v>2184,1050</v>
      </c>
      <c r="K12" s="7" t="s">
        <v>91</v>
      </c>
    </row>
    <row r="14" spans="1:11" ht="15" x14ac:dyDescent="0.2">
      <c r="E14" s="9" t="s">
        <v>43</v>
      </c>
    </row>
    <row r="15" spans="1:11" ht="15" x14ac:dyDescent="0.2">
      <c r="E15" s="9" t="s">
        <v>44</v>
      </c>
    </row>
    <row r="16" spans="1:11" ht="15" x14ac:dyDescent="0.2">
      <c r="E16" s="9" t="s">
        <v>45</v>
      </c>
    </row>
    <row r="17" spans="1:5" ht="15" x14ac:dyDescent="0.2">
      <c r="E17" s="9" t="s">
        <v>46</v>
      </c>
    </row>
    <row r="18" spans="1:5" ht="15" x14ac:dyDescent="0.2">
      <c r="E18" s="9" t="s">
        <v>46</v>
      </c>
    </row>
    <row r="19" spans="1:5" ht="15" x14ac:dyDescent="0.2">
      <c r="E19" s="9" t="s">
        <v>47</v>
      </c>
    </row>
    <row r="20" spans="1:5" ht="15" x14ac:dyDescent="0.2">
      <c r="E20" s="9"/>
    </row>
    <row r="22" spans="1:5" ht="18" x14ac:dyDescent="0.25">
      <c r="A22" s="13" t="s">
        <v>48</v>
      </c>
      <c r="B22" s="13"/>
    </row>
    <row r="23" spans="1:5" ht="15" x14ac:dyDescent="0.2">
      <c r="A23" s="14" t="s">
        <v>49</v>
      </c>
      <c r="B23" s="14"/>
    </row>
    <row r="24" spans="1:5" ht="14.25" x14ac:dyDescent="0.2">
      <c r="A24" s="16"/>
      <c r="B24" s="17" t="s">
        <v>92</v>
      </c>
    </row>
    <row r="25" spans="1:5" ht="15" x14ac:dyDescent="0.2">
      <c r="A25" s="18" t="s">
        <v>51</v>
      </c>
      <c r="B25" s="18" t="s">
        <v>52</v>
      </c>
      <c r="C25" s="18" t="s">
        <v>53</v>
      </c>
      <c r="D25" s="18" t="s">
        <v>54</v>
      </c>
      <c r="E25" s="18" t="s">
        <v>55</v>
      </c>
    </row>
    <row r="26" spans="1:5" x14ac:dyDescent="0.2">
      <c r="A26" s="15" t="s">
        <v>70</v>
      </c>
      <c r="B26" s="4" t="s">
        <v>93</v>
      </c>
      <c r="C26" s="4" t="s">
        <v>65</v>
      </c>
      <c r="D26" s="4" t="s">
        <v>94</v>
      </c>
      <c r="E26" s="10" t="s">
        <v>95</v>
      </c>
    </row>
    <row r="28" spans="1:5" ht="14.25" x14ac:dyDescent="0.2">
      <c r="A28" s="16"/>
      <c r="B28" s="17" t="s">
        <v>50</v>
      </c>
    </row>
    <row r="29" spans="1:5" ht="15" x14ac:dyDescent="0.2">
      <c r="A29" s="18" t="s">
        <v>51</v>
      </c>
      <c r="B29" s="18" t="s">
        <v>52</v>
      </c>
      <c r="C29" s="18" t="s">
        <v>53</v>
      </c>
      <c r="D29" s="18" t="s">
        <v>54</v>
      </c>
      <c r="E29" s="18" t="s">
        <v>55</v>
      </c>
    </row>
    <row r="30" spans="1:5" x14ac:dyDescent="0.2">
      <c r="A30" s="15" t="s">
        <v>87</v>
      </c>
      <c r="B30" s="4" t="s">
        <v>50</v>
      </c>
      <c r="C30" s="4" t="s">
        <v>61</v>
      </c>
      <c r="D30" s="4" t="s">
        <v>96</v>
      </c>
      <c r="E30" s="10" t="s">
        <v>97</v>
      </c>
    </row>
    <row r="31" spans="1:5" x14ac:dyDescent="0.2">
      <c r="A31" s="15" t="s">
        <v>79</v>
      </c>
      <c r="B31" s="4" t="s">
        <v>50</v>
      </c>
      <c r="C31" s="4" t="s">
        <v>98</v>
      </c>
      <c r="D31" s="4" t="s">
        <v>99</v>
      </c>
      <c r="E31" s="10" t="s">
        <v>100</v>
      </c>
    </row>
  </sheetData>
  <mergeCells count="14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A8:H8"/>
    <mergeCell ref="A11:H11"/>
    <mergeCell ref="G3:H3"/>
    <mergeCell ref="I3:I4"/>
    <mergeCell ref="J3:J4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31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23.28515625" style="4" bestFit="1" customWidth="1"/>
    <col min="12" max="16384" width="9.140625" style="3"/>
  </cols>
  <sheetData>
    <row r="1" spans="1:11" s="2" customFormat="1" ht="29.1" customHeight="1" x14ac:dyDescent="0.2">
      <c r="A1" s="41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12</v>
      </c>
      <c r="E3" s="27" t="s">
        <v>4</v>
      </c>
      <c r="F3" s="27" t="s">
        <v>7</v>
      </c>
      <c r="G3" s="27" t="s">
        <v>13</v>
      </c>
      <c r="H3" s="27"/>
      <c r="I3" s="27" t="s">
        <v>68</v>
      </c>
      <c r="J3" s="27" t="s">
        <v>3</v>
      </c>
      <c r="K3" s="28" t="s">
        <v>2</v>
      </c>
    </row>
    <row r="4" spans="1:11" s="1" customFormat="1" ht="21" customHeight="1" thickBot="1" x14ac:dyDescent="0.25">
      <c r="A4" s="3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29"/>
    </row>
    <row r="5" spans="1:11" ht="15" x14ac:dyDescent="0.2">
      <c r="A5" s="39" t="s">
        <v>14</v>
      </c>
      <c r="B5" s="40"/>
      <c r="C5" s="40"/>
      <c r="D5" s="40"/>
      <c r="E5" s="40"/>
      <c r="F5" s="40"/>
      <c r="G5" s="40"/>
      <c r="H5" s="40"/>
    </row>
    <row r="6" spans="1:11" x14ac:dyDescent="0.2">
      <c r="A6" s="7" t="s">
        <v>16</v>
      </c>
      <c r="B6" s="7" t="s">
        <v>17</v>
      </c>
      <c r="C6" s="7" t="s">
        <v>18</v>
      </c>
      <c r="D6" s="7" t="str">
        <f>"0,8642"</f>
        <v>0,8642</v>
      </c>
      <c r="E6" s="7" t="s">
        <v>19</v>
      </c>
      <c r="F6" s="7" t="s">
        <v>20</v>
      </c>
      <c r="G6" s="8" t="s">
        <v>21</v>
      </c>
      <c r="H6" s="8" t="s">
        <v>22</v>
      </c>
      <c r="I6" s="11" t="str">
        <f>"2340,0"</f>
        <v>2340,0</v>
      </c>
      <c r="J6" s="12" t="str">
        <f>"2022,2280"</f>
        <v>2022,2280</v>
      </c>
      <c r="K6" s="7" t="s">
        <v>23</v>
      </c>
    </row>
    <row r="8" spans="1:11" ht="15" x14ac:dyDescent="0.2">
      <c r="A8" s="42" t="s">
        <v>24</v>
      </c>
      <c r="B8" s="43"/>
      <c r="C8" s="43"/>
      <c r="D8" s="43"/>
      <c r="E8" s="43"/>
      <c r="F8" s="43"/>
      <c r="G8" s="43"/>
      <c r="H8" s="43"/>
    </row>
    <row r="9" spans="1:11" x14ac:dyDescent="0.2">
      <c r="A9" s="7" t="s">
        <v>26</v>
      </c>
      <c r="B9" s="7" t="s">
        <v>27</v>
      </c>
      <c r="C9" s="7" t="s">
        <v>28</v>
      </c>
      <c r="D9" s="7" t="str">
        <f>"0,7870"</f>
        <v>0,7870</v>
      </c>
      <c r="E9" s="7" t="s">
        <v>29</v>
      </c>
      <c r="F9" s="7" t="s">
        <v>20</v>
      </c>
      <c r="G9" s="8" t="s">
        <v>30</v>
      </c>
      <c r="H9" s="8" t="s">
        <v>31</v>
      </c>
      <c r="I9" s="11" t="str">
        <f>"825,0"</f>
        <v>825,0</v>
      </c>
      <c r="J9" s="12" t="str">
        <f>"649,2750"</f>
        <v>649,2750</v>
      </c>
      <c r="K9" s="7" t="s">
        <v>32</v>
      </c>
    </row>
    <row r="11" spans="1:11" ht="15" x14ac:dyDescent="0.2">
      <c r="A11" s="42" t="s">
        <v>33</v>
      </c>
      <c r="B11" s="43"/>
      <c r="C11" s="43"/>
      <c r="D11" s="43"/>
      <c r="E11" s="43"/>
      <c r="F11" s="43"/>
      <c r="G11" s="43"/>
      <c r="H11" s="43"/>
    </row>
    <row r="12" spans="1:11" x14ac:dyDescent="0.2">
      <c r="A12" s="7" t="s">
        <v>35</v>
      </c>
      <c r="B12" s="7" t="s">
        <v>36</v>
      </c>
      <c r="C12" s="7" t="s">
        <v>37</v>
      </c>
      <c r="D12" s="7" t="str">
        <f>"0,6405"</f>
        <v>0,6405</v>
      </c>
      <c r="E12" s="7" t="s">
        <v>38</v>
      </c>
      <c r="F12" s="7" t="s">
        <v>39</v>
      </c>
      <c r="G12" s="8" t="s">
        <v>40</v>
      </c>
      <c r="H12" s="8" t="s">
        <v>41</v>
      </c>
      <c r="I12" s="11" t="str">
        <f>"1980,0"</f>
        <v>1980,0</v>
      </c>
      <c r="J12" s="12" t="str">
        <f>"1268,1900"</f>
        <v>1268,1900</v>
      </c>
      <c r="K12" s="7" t="s">
        <v>42</v>
      </c>
    </row>
    <row r="14" spans="1:11" ht="15" x14ac:dyDescent="0.2">
      <c r="E14" s="9" t="s">
        <v>43</v>
      </c>
    </row>
    <row r="15" spans="1:11" ht="15" x14ac:dyDescent="0.2">
      <c r="E15" s="9" t="s">
        <v>44</v>
      </c>
    </row>
    <row r="16" spans="1:11" ht="15" x14ac:dyDescent="0.2">
      <c r="E16" s="9" t="s">
        <v>45</v>
      </c>
    </row>
    <row r="17" spans="1:5" ht="15" x14ac:dyDescent="0.2">
      <c r="E17" s="9" t="s">
        <v>46</v>
      </c>
    </row>
    <row r="18" spans="1:5" ht="15" x14ac:dyDescent="0.2">
      <c r="E18" s="9" t="s">
        <v>46</v>
      </c>
    </row>
    <row r="19" spans="1:5" ht="15" x14ac:dyDescent="0.2">
      <c r="E19" s="9" t="s">
        <v>47</v>
      </c>
    </row>
    <row r="20" spans="1:5" ht="15" x14ac:dyDescent="0.2">
      <c r="E20" s="9"/>
    </row>
    <row r="22" spans="1:5" ht="18" x14ac:dyDescent="0.25">
      <c r="A22" s="13" t="s">
        <v>48</v>
      </c>
      <c r="B22" s="13"/>
    </row>
    <row r="23" spans="1:5" ht="15" x14ac:dyDescent="0.2">
      <c r="A23" s="14" t="s">
        <v>49</v>
      </c>
      <c r="B23" s="14"/>
    </row>
    <row r="24" spans="1:5" ht="14.25" x14ac:dyDescent="0.2">
      <c r="A24" s="16"/>
      <c r="B24" s="17" t="s">
        <v>50</v>
      </c>
    </row>
    <row r="25" spans="1:5" ht="15" x14ac:dyDescent="0.2">
      <c r="A25" s="18" t="s">
        <v>51</v>
      </c>
      <c r="B25" s="18" t="s">
        <v>52</v>
      </c>
      <c r="C25" s="18" t="s">
        <v>53</v>
      </c>
      <c r="D25" s="18" t="s">
        <v>54</v>
      </c>
      <c r="E25" s="18" t="s">
        <v>55</v>
      </c>
    </row>
    <row r="26" spans="1:5" x14ac:dyDescent="0.2">
      <c r="A26" s="15" t="s">
        <v>15</v>
      </c>
      <c r="B26" s="4" t="s">
        <v>50</v>
      </c>
      <c r="C26" s="4" t="s">
        <v>56</v>
      </c>
      <c r="D26" s="4" t="s">
        <v>57</v>
      </c>
      <c r="E26" s="10" t="s">
        <v>58</v>
      </c>
    </row>
    <row r="28" spans="1:5" ht="14.25" x14ac:dyDescent="0.2">
      <c r="A28" s="16"/>
      <c r="B28" s="17" t="s">
        <v>59</v>
      </c>
    </row>
    <row r="29" spans="1:5" ht="15" x14ac:dyDescent="0.2">
      <c r="A29" s="18" t="s">
        <v>51</v>
      </c>
      <c r="B29" s="18" t="s">
        <v>52</v>
      </c>
      <c r="C29" s="18" t="s">
        <v>53</v>
      </c>
      <c r="D29" s="18" t="s">
        <v>54</v>
      </c>
      <c r="E29" s="18" t="s">
        <v>55</v>
      </c>
    </row>
    <row r="30" spans="1:5" x14ac:dyDescent="0.2">
      <c r="A30" s="15" t="s">
        <v>34</v>
      </c>
      <c r="B30" s="4" t="s">
        <v>60</v>
      </c>
      <c r="C30" s="4" t="s">
        <v>61</v>
      </c>
      <c r="D30" s="4" t="s">
        <v>62</v>
      </c>
      <c r="E30" s="10" t="s">
        <v>63</v>
      </c>
    </row>
    <row r="31" spans="1:5" x14ac:dyDescent="0.2">
      <c r="A31" s="15" t="s">
        <v>25</v>
      </c>
      <c r="B31" s="4" t="s">
        <v>64</v>
      </c>
      <c r="C31" s="4" t="s">
        <v>65</v>
      </c>
      <c r="D31" s="4" t="s">
        <v>66</v>
      </c>
      <c r="E31" s="10" t="s">
        <v>67</v>
      </c>
    </row>
  </sheetData>
  <mergeCells count="14">
    <mergeCell ref="J3:J4"/>
    <mergeCell ref="A1:K2"/>
    <mergeCell ref="A3:A4"/>
    <mergeCell ref="B3:B4"/>
    <mergeCell ref="C3:C4"/>
    <mergeCell ref="K3:K4"/>
    <mergeCell ref="F3:F4"/>
    <mergeCell ref="E3:E4"/>
    <mergeCell ref="G3:H3"/>
    <mergeCell ref="A5:H5"/>
    <mergeCell ref="A8:H8"/>
    <mergeCell ref="A11:H11"/>
    <mergeCell ref="D3:D4"/>
    <mergeCell ref="I3:I4"/>
  </mergeCells>
  <phoneticPr fontId="0" type="noConversion"/>
  <pageMargins left="0.19685039370078741" right="0.47244094488188981" top="0.43307086614173229" bottom="0.47244094488188981" header="0.51181102362204722" footer="0.51181102362204722"/>
  <pageSetup fitToWidth="0" orientation="landscape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4257812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152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148</v>
      </c>
      <c r="B6" s="7" t="s">
        <v>147</v>
      </c>
      <c r="C6" s="7" t="s">
        <v>146</v>
      </c>
      <c r="D6" s="7" t="str">
        <f>"0,5463"</f>
        <v>0,5463</v>
      </c>
      <c r="E6" s="7" t="s">
        <v>145</v>
      </c>
      <c r="F6" s="7" t="s">
        <v>144</v>
      </c>
      <c r="G6" s="8" t="s">
        <v>143</v>
      </c>
      <c r="H6" s="8" t="s">
        <v>140</v>
      </c>
      <c r="I6" s="44"/>
      <c r="J6" s="44"/>
      <c r="K6" s="11" t="str">
        <f>"275,0"</f>
        <v>275,0</v>
      </c>
      <c r="L6" s="12" t="str">
        <f>"150,2325"</f>
        <v>150,2325</v>
      </c>
      <c r="M6" s="7" t="s">
        <v>23</v>
      </c>
    </row>
    <row r="8" spans="1:13" ht="15" x14ac:dyDescent="0.2">
      <c r="E8" s="9" t="s">
        <v>43</v>
      </c>
    </row>
    <row r="9" spans="1:13" ht="15" x14ac:dyDescent="0.2">
      <c r="E9" s="9" t="s">
        <v>44</v>
      </c>
    </row>
    <row r="10" spans="1:13" ht="15" x14ac:dyDescent="0.2">
      <c r="E10" s="9" t="s">
        <v>45</v>
      </c>
    </row>
    <row r="11" spans="1:13" ht="15" x14ac:dyDescent="0.2">
      <c r="E11" s="9" t="s">
        <v>46</v>
      </c>
    </row>
    <row r="12" spans="1:13" ht="15" x14ac:dyDescent="0.2">
      <c r="E12" s="9" t="s">
        <v>46</v>
      </c>
    </row>
    <row r="13" spans="1:13" ht="15" x14ac:dyDescent="0.2">
      <c r="E13" s="9" t="s">
        <v>47</v>
      </c>
    </row>
    <row r="14" spans="1:13" ht="15" x14ac:dyDescent="0.2">
      <c r="E14" s="9"/>
    </row>
    <row r="16" spans="1:13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50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142</v>
      </c>
    </row>
    <row r="20" spans="1:5" x14ac:dyDescent="0.2">
      <c r="A20" s="15" t="s">
        <v>141</v>
      </c>
      <c r="B20" s="4" t="s">
        <v>50</v>
      </c>
      <c r="C20" s="4" t="s">
        <v>61</v>
      </c>
      <c r="D20" s="4" t="s">
        <v>140</v>
      </c>
      <c r="E20" s="10" t="s">
        <v>139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41" t="s">
        <v>161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160</v>
      </c>
      <c r="B6" s="7" t="s">
        <v>159</v>
      </c>
      <c r="C6" s="7" t="s">
        <v>158</v>
      </c>
      <c r="D6" s="7" t="str">
        <f>"0,5429"</f>
        <v>0,5429</v>
      </c>
      <c r="E6" s="7" t="s">
        <v>145</v>
      </c>
      <c r="F6" s="7" t="s">
        <v>144</v>
      </c>
      <c r="G6" s="44" t="s">
        <v>157</v>
      </c>
      <c r="H6" s="44" t="s">
        <v>154</v>
      </c>
      <c r="I6" s="8" t="s">
        <v>154</v>
      </c>
      <c r="J6" s="44"/>
      <c r="K6" s="11" t="str">
        <f>"215,0"</f>
        <v>215,0</v>
      </c>
      <c r="L6" s="12" t="str">
        <f>"149,5228"</f>
        <v>149,5228</v>
      </c>
      <c r="M6" s="7" t="s">
        <v>156</v>
      </c>
    </row>
    <row r="8" spans="1:13" ht="15" x14ac:dyDescent="0.2">
      <c r="E8" s="9" t="s">
        <v>43</v>
      </c>
    </row>
    <row r="9" spans="1:13" ht="15" x14ac:dyDescent="0.2">
      <c r="E9" s="9" t="s">
        <v>44</v>
      </c>
    </row>
    <row r="10" spans="1:13" ht="15" x14ac:dyDescent="0.2">
      <c r="E10" s="9" t="s">
        <v>45</v>
      </c>
    </row>
    <row r="11" spans="1:13" ht="15" x14ac:dyDescent="0.2">
      <c r="E11" s="9" t="s">
        <v>46</v>
      </c>
    </row>
    <row r="12" spans="1:13" ht="15" x14ac:dyDescent="0.2">
      <c r="E12" s="9" t="s">
        <v>46</v>
      </c>
    </row>
    <row r="13" spans="1:13" ht="15" x14ac:dyDescent="0.2">
      <c r="E13" s="9" t="s">
        <v>47</v>
      </c>
    </row>
    <row r="14" spans="1:13" ht="15" x14ac:dyDescent="0.2">
      <c r="E14" s="9"/>
    </row>
    <row r="16" spans="1:13" ht="18" x14ac:dyDescent="0.25">
      <c r="A16" s="13" t="s">
        <v>48</v>
      </c>
      <c r="B16" s="13"/>
    </row>
    <row r="17" spans="1:5" ht="15" x14ac:dyDescent="0.2">
      <c r="A17" s="14" t="s">
        <v>49</v>
      </c>
      <c r="B17" s="14"/>
    </row>
    <row r="18" spans="1:5" ht="14.25" x14ac:dyDescent="0.2">
      <c r="A18" s="16"/>
      <c r="B18" s="17" t="s">
        <v>59</v>
      </c>
    </row>
    <row r="19" spans="1:5" ht="15" x14ac:dyDescent="0.2">
      <c r="A19" s="18" t="s">
        <v>51</v>
      </c>
      <c r="B19" s="18" t="s">
        <v>52</v>
      </c>
      <c r="C19" s="18" t="s">
        <v>53</v>
      </c>
      <c r="D19" s="18" t="s">
        <v>54</v>
      </c>
      <c r="E19" s="18" t="s">
        <v>142</v>
      </c>
    </row>
    <row r="20" spans="1:5" x14ac:dyDescent="0.2">
      <c r="A20" s="15" t="s">
        <v>155</v>
      </c>
      <c r="B20" s="4" t="s">
        <v>122</v>
      </c>
      <c r="C20" s="4" t="s">
        <v>61</v>
      </c>
      <c r="D20" s="4" t="s">
        <v>154</v>
      </c>
      <c r="E20" s="10" t="s">
        <v>153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6.28515625" style="4" bestFit="1" customWidth="1"/>
    <col min="14" max="16384" width="9.140625" style="3"/>
  </cols>
  <sheetData>
    <row r="1" spans="1:13" s="2" customFormat="1" ht="29.1" customHeight="1" x14ac:dyDescent="0.2">
      <c r="A1" s="41" t="s">
        <v>191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150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190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189</v>
      </c>
      <c r="B6" s="7" t="s">
        <v>188</v>
      </c>
      <c r="C6" s="7" t="s">
        <v>187</v>
      </c>
      <c r="D6" s="7" t="str">
        <f>"0,8609"</f>
        <v>0,8609</v>
      </c>
      <c r="E6" s="7" t="s">
        <v>181</v>
      </c>
      <c r="F6" s="7" t="s">
        <v>180</v>
      </c>
      <c r="G6" s="44" t="s">
        <v>134</v>
      </c>
      <c r="H6" s="8" t="s">
        <v>134</v>
      </c>
      <c r="I6" s="44" t="s">
        <v>186</v>
      </c>
      <c r="J6" s="44"/>
      <c r="K6" s="11" t="str">
        <f>"90,0"</f>
        <v>90,0</v>
      </c>
      <c r="L6" s="12" t="str">
        <f>"77,4810"</f>
        <v>77,4810</v>
      </c>
      <c r="M6" s="7" t="s">
        <v>185</v>
      </c>
    </row>
    <row r="8" spans="1:13" ht="15" x14ac:dyDescent="0.2">
      <c r="A8" s="42" t="s">
        <v>112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7" t="s">
        <v>184</v>
      </c>
      <c r="B9" s="7" t="s">
        <v>183</v>
      </c>
      <c r="C9" s="7" t="s">
        <v>182</v>
      </c>
      <c r="D9" s="7" t="str">
        <f>"0,5853"</f>
        <v>0,5853</v>
      </c>
      <c r="E9" s="7" t="s">
        <v>181</v>
      </c>
      <c r="F9" s="7" t="s">
        <v>180</v>
      </c>
      <c r="G9" s="44" t="s">
        <v>179</v>
      </c>
      <c r="H9" s="8" t="s">
        <v>179</v>
      </c>
      <c r="I9" s="8" t="s">
        <v>163</v>
      </c>
      <c r="J9" s="44"/>
      <c r="K9" s="11" t="str">
        <f>"220,0"</f>
        <v>220,0</v>
      </c>
      <c r="L9" s="12" t="str">
        <f>"131,0838"</f>
        <v>131,0838</v>
      </c>
      <c r="M9" s="7" t="s">
        <v>178</v>
      </c>
    </row>
    <row r="11" spans="1:13" ht="15" x14ac:dyDescent="0.2">
      <c r="A11" s="42" t="s">
        <v>33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x14ac:dyDescent="0.2">
      <c r="A12" s="7" t="s">
        <v>177</v>
      </c>
      <c r="B12" s="7" t="s">
        <v>176</v>
      </c>
      <c r="C12" s="7" t="s">
        <v>175</v>
      </c>
      <c r="D12" s="7" t="str">
        <f>"0,5401"</f>
        <v>0,5401</v>
      </c>
      <c r="E12" s="7" t="s">
        <v>174</v>
      </c>
      <c r="F12" s="7" t="s">
        <v>173</v>
      </c>
      <c r="G12" s="8" t="s">
        <v>157</v>
      </c>
      <c r="H12" s="44" t="s">
        <v>163</v>
      </c>
      <c r="I12" s="44" t="s">
        <v>172</v>
      </c>
      <c r="J12" s="44"/>
      <c r="K12" s="11" t="str">
        <f>"210,0"</f>
        <v>210,0</v>
      </c>
      <c r="L12" s="12" t="str">
        <f>"113,4210"</f>
        <v>113,4210</v>
      </c>
      <c r="M12" s="7" t="s">
        <v>171</v>
      </c>
    </row>
    <row r="14" spans="1:13" ht="15" x14ac:dyDescent="0.2">
      <c r="E14" s="9" t="s">
        <v>43</v>
      </c>
    </row>
    <row r="15" spans="1:13" ht="15" x14ac:dyDescent="0.2">
      <c r="E15" s="9" t="s">
        <v>44</v>
      </c>
    </row>
    <row r="16" spans="1:13" ht="15" x14ac:dyDescent="0.2">
      <c r="E16" s="9" t="s">
        <v>45</v>
      </c>
    </row>
    <row r="17" spans="1:5" ht="15" x14ac:dyDescent="0.2">
      <c r="E17" s="9" t="s">
        <v>46</v>
      </c>
    </row>
    <row r="18" spans="1:5" ht="15" x14ac:dyDescent="0.2">
      <c r="E18" s="9" t="s">
        <v>46</v>
      </c>
    </row>
    <row r="19" spans="1:5" ht="15" x14ac:dyDescent="0.2">
      <c r="E19" s="9" t="s">
        <v>47</v>
      </c>
    </row>
    <row r="20" spans="1:5" ht="15" x14ac:dyDescent="0.2">
      <c r="E20" s="9"/>
    </row>
    <row r="22" spans="1:5" ht="18" x14ac:dyDescent="0.25">
      <c r="A22" s="13" t="s">
        <v>48</v>
      </c>
      <c r="B22" s="13"/>
    </row>
    <row r="23" spans="1:5" ht="15" x14ac:dyDescent="0.2">
      <c r="A23" s="14" t="s">
        <v>170</v>
      </c>
      <c r="B23" s="14"/>
    </row>
    <row r="24" spans="1:5" ht="14.25" x14ac:dyDescent="0.2">
      <c r="A24" s="16"/>
      <c r="B24" s="17" t="s">
        <v>50</v>
      </c>
    </row>
    <row r="25" spans="1:5" ht="15" x14ac:dyDescent="0.2">
      <c r="A25" s="18" t="s">
        <v>51</v>
      </c>
      <c r="B25" s="18" t="s">
        <v>52</v>
      </c>
      <c r="C25" s="18" t="s">
        <v>53</v>
      </c>
      <c r="D25" s="18" t="s">
        <v>54</v>
      </c>
      <c r="E25" s="18" t="s">
        <v>142</v>
      </c>
    </row>
    <row r="26" spans="1:5" x14ac:dyDescent="0.2">
      <c r="A26" s="15" t="s">
        <v>169</v>
      </c>
      <c r="B26" s="4" t="s">
        <v>50</v>
      </c>
      <c r="C26" s="4" t="s">
        <v>168</v>
      </c>
      <c r="D26" s="4" t="s">
        <v>134</v>
      </c>
      <c r="E26" s="10" t="s">
        <v>167</v>
      </c>
    </row>
    <row r="29" spans="1:5" ht="15" x14ac:dyDescent="0.2">
      <c r="A29" s="14" t="s">
        <v>49</v>
      </c>
      <c r="B29" s="14"/>
    </row>
    <row r="30" spans="1:5" ht="14.25" x14ac:dyDescent="0.2">
      <c r="A30" s="16"/>
      <c r="B30" s="17" t="s">
        <v>50</v>
      </c>
    </row>
    <row r="31" spans="1:5" ht="15" x14ac:dyDescent="0.2">
      <c r="A31" s="18" t="s">
        <v>51</v>
      </c>
      <c r="B31" s="18" t="s">
        <v>52</v>
      </c>
      <c r="C31" s="18" t="s">
        <v>53</v>
      </c>
      <c r="D31" s="18" t="s">
        <v>54</v>
      </c>
      <c r="E31" s="18" t="s">
        <v>142</v>
      </c>
    </row>
    <row r="32" spans="1:5" x14ac:dyDescent="0.2">
      <c r="A32" s="15" t="s">
        <v>166</v>
      </c>
      <c r="B32" s="4" t="s">
        <v>50</v>
      </c>
      <c r="C32" s="4" t="s">
        <v>61</v>
      </c>
      <c r="D32" s="4" t="s">
        <v>157</v>
      </c>
      <c r="E32" s="10" t="s">
        <v>165</v>
      </c>
    </row>
    <row r="34" spans="1:5" ht="14.25" x14ac:dyDescent="0.2">
      <c r="A34" s="16"/>
      <c r="B34" s="17" t="s">
        <v>59</v>
      </c>
    </row>
    <row r="35" spans="1:5" ht="15" x14ac:dyDescent="0.2">
      <c r="A35" s="18" t="s">
        <v>51</v>
      </c>
      <c r="B35" s="18" t="s">
        <v>52</v>
      </c>
      <c r="C35" s="18" t="s">
        <v>53</v>
      </c>
      <c r="D35" s="18" t="s">
        <v>54</v>
      </c>
      <c r="E35" s="18" t="s">
        <v>142</v>
      </c>
    </row>
    <row r="36" spans="1:5" x14ac:dyDescent="0.2">
      <c r="A36" s="15" t="s">
        <v>164</v>
      </c>
      <c r="B36" s="4" t="s">
        <v>60</v>
      </c>
      <c r="C36" s="4" t="s">
        <v>123</v>
      </c>
      <c r="D36" s="4" t="s">
        <v>163</v>
      </c>
      <c r="E36" s="10" t="s">
        <v>162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2" style="4" bestFit="1" customWidth="1"/>
    <col min="14" max="16384" width="9.140625" style="3"/>
  </cols>
  <sheetData>
    <row r="1" spans="1:13" s="2" customFormat="1" ht="29.1" customHeight="1" x14ac:dyDescent="0.2">
      <c r="A1" s="41" t="s">
        <v>235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234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14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233</v>
      </c>
      <c r="B6" s="7" t="s">
        <v>232</v>
      </c>
      <c r="C6" s="7" t="s">
        <v>231</v>
      </c>
      <c r="D6" s="7" t="str">
        <f>"0,7903"</f>
        <v>0,7903</v>
      </c>
      <c r="E6" s="7" t="s">
        <v>230</v>
      </c>
      <c r="F6" s="7" t="s">
        <v>229</v>
      </c>
      <c r="G6" s="8" t="s">
        <v>186</v>
      </c>
      <c r="H6" s="8" t="s">
        <v>85</v>
      </c>
      <c r="I6" s="8" t="s">
        <v>203</v>
      </c>
      <c r="J6" s="44"/>
      <c r="K6" s="11" t="str">
        <f>"105,0"</f>
        <v>105,0</v>
      </c>
      <c r="L6" s="12" t="str">
        <f>"82,9815"</f>
        <v>82,9815</v>
      </c>
      <c r="M6" s="7" t="s">
        <v>23</v>
      </c>
    </row>
    <row r="8" spans="1:13" ht="15" x14ac:dyDescent="0.2">
      <c r="A8" s="42" t="s">
        <v>24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7" t="s">
        <v>228</v>
      </c>
      <c r="B9" s="7" t="s">
        <v>227</v>
      </c>
      <c r="C9" s="7" t="s">
        <v>226</v>
      </c>
      <c r="D9" s="7" t="str">
        <f>"0,6789"</f>
        <v>0,6789</v>
      </c>
      <c r="E9" s="7" t="s">
        <v>225</v>
      </c>
      <c r="F9" s="7" t="s">
        <v>224</v>
      </c>
      <c r="G9" s="8" t="s">
        <v>179</v>
      </c>
      <c r="H9" s="8" t="s">
        <v>157</v>
      </c>
      <c r="I9" s="44" t="s">
        <v>163</v>
      </c>
      <c r="J9" s="44"/>
      <c r="K9" s="11" t="str">
        <f>"210,0"</f>
        <v>210,0</v>
      </c>
      <c r="L9" s="12" t="str">
        <f>"142,5690"</f>
        <v>142,5690</v>
      </c>
      <c r="M9" s="7" t="s">
        <v>23</v>
      </c>
    </row>
    <row r="11" spans="1:13" ht="15" x14ac:dyDescent="0.2">
      <c r="A11" s="42" t="s">
        <v>112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x14ac:dyDescent="0.2">
      <c r="A12" s="7" t="s">
        <v>223</v>
      </c>
      <c r="B12" s="7" t="s">
        <v>222</v>
      </c>
      <c r="C12" s="7" t="s">
        <v>221</v>
      </c>
      <c r="D12" s="7" t="str">
        <f>"0,5893"</f>
        <v>0,5893</v>
      </c>
      <c r="E12" s="7" t="s">
        <v>220</v>
      </c>
      <c r="F12" s="7" t="s">
        <v>20</v>
      </c>
      <c r="G12" s="8" t="s">
        <v>219</v>
      </c>
      <c r="H12" s="8" t="s">
        <v>143</v>
      </c>
      <c r="I12" s="44" t="s">
        <v>140</v>
      </c>
      <c r="J12" s="44"/>
      <c r="K12" s="11" t="str">
        <f>"260,0"</f>
        <v>260,0</v>
      </c>
      <c r="L12" s="12" t="str">
        <f>"153,2180"</f>
        <v>153,2180</v>
      </c>
      <c r="M12" s="7" t="s">
        <v>218</v>
      </c>
    </row>
    <row r="14" spans="1:13" ht="15" x14ac:dyDescent="0.2">
      <c r="A14" s="42" t="s">
        <v>33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3" x14ac:dyDescent="0.2">
      <c r="A15" s="7" t="s">
        <v>217</v>
      </c>
      <c r="B15" s="7" t="s">
        <v>216</v>
      </c>
      <c r="C15" s="7" t="s">
        <v>215</v>
      </c>
      <c r="D15" s="7" t="str">
        <f>"0,5416"</f>
        <v>0,5416</v>
      </c>
      <c r="E15" s="7" t="s">
        <v>83</v>
      </c>
      <c r="F15" s="7" t="s">
        <v>84</v>
      </c>
      <c r="G15" s="8" t="s">
        <v>214</v>
      </c>
      <c r="H15" s="8" t="s">
        <v>200</v>
      </c>
      <c r="I15" s="44" t="s">
        <v>213</v>
      </c>
      <c r="J15" s="44"/>
      <c r="K15" s="11" t="str">
        <f>"300,0"</f>
        <v>300,0</v>
      </c>
      <c r="L15" s="12" t="str">
        <f>"162,4800"</f>
        <v>162,4800</v>
      </c>
      <c r="M15" s="7" t="s">
        <v>23</v>
      </c>
    </row>
    <row r="17" spans="1:13" ht="15" x14ac:dyDescent="0.2">
      <c r="A17" s="42" t="s">
        <v>212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3" x14ac:dyDescent="0.2">
      <c r="A18" s="7" t="s">
        <v>211</v>
      </c>
      <c r="B18" s="7" t="s">
        <v>210</v>
      </c>
      <c r="C18" s="7" t="s">
        <v>209</v>
      </c>
      <c r="D18" s="7" t="str">
        <f>"0,5108"</f>
        <v>0,5108</v>
      </c>
      <c r="E18" s="7" t="s">
        <v>208</v>
      </c>
      <c r="F18" s="7" t="s">
        <v>207</v>
      </c>
      <c r="G18" s="8" t="s">
        <v>140</v>
      </c>
      <c r="H18" s="44" t="s">
        <v>206</v>
      </c>
      <c r="I18" s="44"/>
      <c r="J18" s="44"/>
      <c r="K18" s="11" t="str">
        <f>"275,0"</f>
        <v>275,0</v>
      </c>
      <c r="L18" s="12" t="str">
        <f>"140,4700"</f>
        <v>140,4700</v>
      </c>
      <c r="M18" s="7" t="s">
        <v>205</v>
      </c>
    </row>
    <row r="20" spans="1:13" ht="15" x14ac:dyDescent="0.2">
      <c r="E20" s="9" t="s">
        <v>43</v>
      </c>
    </row>
    <row r="21" spans="1:13" ht="15" x14ac:dyDescent="0.2">
      <c r="E21" s="9" t="s">
        <v>44</v>
      </c>
    </row>
    <row r="22" spans="1:13" ht="15" x14ac:dyDescent="0.2">
      <c r="E22" s="9" t="s">
        <v>45</v>
      </c>
    </row>
    <row r="23" spans="1:13" ht="15" x14ac:dyDescent="0.2">
      <c r="E23" s="9" t="s">
        <v>46</v>
      </c>
    </row>
    <row r="24" spans="1:13" ht="15" x14ac:dyDescent="0.2">
      <c r="E24" s="9" t="s">
        <v>46</v>
      </c>
    </row>
    <row r="25" spans="1:13" ht="15" x14ac:dyDescent="0.2">
      <c r="E25" s="9" t="s">
        <v>47</v>
      </c>
    </row>
    <row r="26" spans="1:13" ht="15" x14ac:dyDescent="0.2">
      <c r="E26" s="9"/>
    </row>
    <row r="28" spans="1:13" ht="18" x14ac:dyDescent="0.25">
      <c r="A28" s="13" t="s">
        <v>48</v>
      </c>
      <c r="B28" s="13"/>
    </row>
    <row r="29" spans="1:13" ht="15" x14ac:dyDescent="0.2">
      <c r="A29" s="14" t="s">
        <v>170</v>
      </c>
      <c r="B29" s="14"/>
    </row>
    <row r="30" spans="1:13" ht="14.25" x14ac:dyDescent="0.2">
      <c r="A30" s="16"/>
      <c r="B30" s="17" t="s">
        <v>50</v>
      </c>
    </row>
    <row r="31" spans="1:13" ht="15" x14ac:dyDescent="0.2">
      <c r="A31" s="18" t="s">
        <v>51</v>
      </c>
      <c r="B31" s="18" t="s">
        <v>52</v>
      </c>
      <c r="C31" s="18" t="s">
        <v>53</v>
      </c>
      <c r="D31" s="18" t="s">
        <v>54</v>
      </c>
      <c r="E31" s="18" t="s">
        <v>142</v>
      </c>
    </row>
    <row r="32" spans="1:13" x14ac:dyDescent="0.2">
      <c r="A32" s="15" t="s">
        <v>204</v>
      </c>
      <c r="B32" s="4" t="s">
        <v>50</v>
      </c>
      <c r="C32" s="4" t="s">
        <v>56</v>
      </c>
      <c r="D32" s="4" t="s">
        <v>203</v>
      </c>
      <c r="E32" s="10" t="s">
        <v>202</v>
      </c>
    </row>
    <row r="35" spans="1:5" ht="15" x14ac:dyDescent="0.2">
      <c r="A35" s="14" t="s">
        <v>49</v>
      </c>
      <c r="B35" s="14"/>
    </row>
    <row r="36" spans="1:5" ht="14.25" x14ac:dyDescent="0.2">
      <c r="A36" s="16"/>
      <c r="B36" s="17" t="s">
        <v>50</v>
      </c>
    </row>
    <row r="37" spans="1:5" ht="15" x14ac:dyDescent="0.2">
      <c r="A37" s="18" t="s">
        <v>51</v>
      </c>
      <c r="B37" s="18" t="s">
        <v>52</v>
      </c>
      <c r="C37" s="18" t="s">
        <v>53</v>
      </c>
      <c r="D37" s="18" t="s">
        <v>54</v>
      </c>
      <c r="E37" s="18" t="s">
        <v>142</v>
      </c>
    </row>
    <row r="38" spans="1:5" x14ac:dyDescent="0.2">
      <c r="A38" s="15" t="s">
        <v>201</v>
      </c>
      <c r="B38" s="4" t="s">
        <v>50</v>
      </c>
      <c r="C38" s="4" t="s">
        <v>61</v>
      </c>
      <c r="D38" s="4" t="s">
        <v>200</v>
      </c>
      <c r="E38" s="10" t="s">
        <v>199</v>
      </c>
    </row>
    <row r="39" spans="1:5" x14ac:dyDescent="0.2">
      <c r="A39" s="15" t="s">
        <v>198</v>
      </c>
      <c r="B39" s="4" t="s">
        <v>50</v>
      </c>
      <c r="C39" s="4" t="s">
        <v>123</v>
      </c>
      <c r="D39" s="4" t="s">
        <v>143</v>
      </c>
      <c r="E39" s="10" t="s">
        <v>197</v>
      </c>
    </row>
    <row r="40" spans="1:5" x14ac:dyDescent="0.2">
      <c r="A40" s="15" t="s">
        <v>196</v>
      </c>
      <c r="B40" s="4" t="s">
        <v>50</v>
      </c>
      <c r="C40" s="4" t="s">
        <v>65</v>
      </c>
      <c r="D40" s="4" t="s">
        <v>157</v>
      </c>
      <c r="E40" s="10" t="s">
        <v>195</v>
      </c>
    </row>
    <row r="41" spans="1:5" x14ac:dyDescent="0.2">
      <c r="A41" s="15" t="s">
        <v>194</v>
      </c>
      <c r="B41" s="4" t="s">
        <v>50</v>
      </c>
      <c r="C41" s="4" t="s">
        <v>193</v>
      </c>
      <c r="D41" s="4" t="s">
        <v>140</v>
      </c>
      <c r="E41" s="10" t="s">
        <v>192</v>
      </c>
    </row>
  </sheetData>
  <mergeCells count="16">
    <mergeCell ref="G3:J3"/>
    <mergeCell ref="A8:J8"/>
    <mergeCell ref="A11:J11"/>
    <mergeCell ref="A14:J14"/>
    <mergeCell ref="A17:J1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41" t="s">
        <v>391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.1" customHeight="1" thickBo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 x14ac:dyDescent="0.2">
      <c r="A3" s="35" t="s">
        <v>0</v>
      </c>
      <c r="B3" s="37" t="s">
        <v>6</v>
      </c>
      <c r="C3" s="37" t="s">
        <v>10</v>
      </c>
      <c r="D3" s="27" t="s">
        <v>151</v>
      </c>
      <c r="E3" s="27" t="s">
        <v>4</v>
      </c>
      <c r="F3" s="27" t="s">
        <v>7</v>
      </c>
      <c r="G3" s="27" t="s">
        <v>234</v>
      </c>
      <c r="H3" s="27"/>
      <c r="I3" s="27"/>
      <c r="J3" s="27"/>
      <c r="K3" s="27" t="s">
        <v>149</v>
      </c>
      <c r="L3" s="27" t="s">
        <v>3</v>
      </c>
      <c r="M3" s="28" t="s">
        <v>2</v>
      </c>
    </row>
    <row r="4" spans="1:13" s="1" customFormat="1" ht="21" customHeight="1" thickBot="1" x14ac:dyDescent="0.25">
      <c r="A4" s="36"/>
      <c r="B4" s="38"/>
      <c r="C4" s="38"/>
      <c r="D4" s="38"/>
      <c r="E4" s="38"/>
      <c r="F4" s="38"/>
      <c r="G4" s="6">
        <v>1</v>
      </c>
      <c r="H4" s="6">
        <v>2</v>
      </c>
      <c r="I4" s="6">
        <v>3</v>
      </c>
      <c r="J4" s="6" t="s">
        <v>5</v>
      </c>
      <c r="K4" s="38"/>
      <c r="L4" s="38"/>
      <c r="M4" s="29"/>
    </row>
    <row r="5" spans="1:13" ht="15" x14ac:dyDescent="0.2">
      <c r="A5" s="39" t="s">
        <v>390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7" t="s">
        <v>389</v>
      </c>
      <c r="B6" s="7" t="s">
        <v>388</v>
      </c>
      <c r="C6" s="7" t="s">
        <v>387</v>
      </c>
      <c r="D6" s="7" t="str">
        <f>"1,0361"</f>
        <v>1,0361</v>
      </c>
      <c r="E6" s="7" t="s">
        <v>145</v>
      </c>
      <c r="F6" s="7" t="s">
        <v>144</v>
      </c>
      <c r="G6" s="8" t="s">
        <v>134</v>
      </c>
      <c r="H6" s="8" t="s">
        <v>85</v>
      </c>
      <c r="I6" s="8" t="s">
        <v>40</v>
      </c>
      <c r="J6" s="44"/>
      <c r="K6" s="11" t="str">
        <f>"110,0"</f>
        <v>110,0</v>
      </c>
      <c r="L6" s="12" t="str">
        <f>"113,9765"</f>
        <v>113,9765</v>
      </c>
      <c r="M6" s="7" t="s">
        <v>23</v>
      </c>
    </row>
    <row r="8" spans="1:13" ht="15" x14ac:dyDescent="0.2">
      <c r="A8" s="42" t="s">
        <v>386</v>
      </c>
      <c r="B8" s="43"/>
      <c r="C8" s="43"/>
      <c r="D8" s="43"/>
      <c r="E8" s="43"/>
      <c r="F8" s="43"/>
      <c r="G8" s="43"/>
      <c r="H8" s="43"/>
      <c r="I8" s="43"/>
      <c r="J8" s="43"/>
    </row>
    <row r="9" spans="1:13" x14ac:dyDescent="0.2">
      <c r="A9" s="7" t="s">
        <v>385</v>
      </c>
      <c r="B9" s="7" t="s">
        <v>384</v>
      </c>
      <c r="C9" s="7" t="s">
        <v>383</v>
      </c>
      <c r="D9" s="7" t="str">
        <f>"0,9754"</f>
        <v>0,9754</v>
      </c>
      <c r="E9" s="7" t="s">
        <v>382</v>
      </c>
      <c r="F9" s="7" t="s">
        <v>20</v>
      </c>
      <c r="G9" s="8" t="s">
        <v>85</v>
      </c>
      <c r="H9" s="8" t="s">
        <v>40</v>
      </c>
      <c r="I9" s="8" t="s">
        <v>293</v>
      </c>
      <c r="J9" s="44"/>
      <c r="K9" s="11" t="str">
        <f>"117,5"</f>
        <v>117,5</v>
      </c>
      <c r="L9" s="12" t="str">
        <f>"114,6154"</f>
        <v>114,6154</v>
      </c>
      <c r="M9" s="7" t="s">
        <v>381</v>
      </c>
    </row>
    <row r="11" spans="1:13" ht="15" x14ac:dyDescent="0.2">
      <c r="A11" s="42" t="s">
        <v>190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 x14ac:dyDescent="0.2">
      <c r="A12" s="7" t="s">
        <v>380</v>
      </c>
      <c r="B12" s="7" t="s">
        <v>379</v>
      </c>
      <c r="C12" s="7" t="s">
        <v>378</v>
      </c>
      <c r="D12" s="7" t="str">
        <f>"0,8634"</f>
        <v>0,8634</v>
      </c>
      <c r="E12" s="7" t="s">
        <v>145</v>
      </c>
      <c r="F12" s="7" t="s">
        <v>144</v>
      </c>
      <c r="G12" s="8" t="s">
        <v>40</v>
      </c>
      <c r="H12" s="8" t="s">
        <v>278</v>
      </c>
      <c r="I12" s="44" t="s">
        <v>117</v>
      </c>
      <c r="J12" s="44"/>
      <c r="K12" s="11" t="str">
        <f>"120,0"</f>
        <v>120,0</v>
      </c>
      <c r="L12" s="12" t="str">
        <f>"103,6080"</f>
        <v>103,6080</v>
      </c>
      <c r="M12" s="7" t="s">
        <v>156</v>
      </c>
    </row>
    <row r="14" spans="1:13" ht="15" x14ac:dyDescent="0.2">
      <c r="A14" s="42" t="s">
        <v>14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3" x14ac:dyDescent="0.2">
      <c r="A15" s="19" t="s">
        <v>377</v>
      </c>
      <c r="B15" s="19" t="s">
        <v>376</v>
      </c>
      <c r="C15" s="19" t="s">
        <v>375</v>
      </c>
      <c r="D15" s="19" t="str">
        <f>"0,7812"</f>
        <v>0,7812</v>
      </c>
      <c r="E15" s="19" t="s">
        <v>374</v>
      </c>
      <c r="F15" s="19" t="s">
        <v>229</v>
      </c>
      <c r="G15" s="20" t="s">
        <v>373</v>
      </c>
      <c r="H15" s="20" t="s">
        <v>134</v>
      </c>
      <c r="I15" s="20" t="s">
        <v>278</v>
      </c>
      <c r="J15" s="50"/>
      <c r="K15" s="23" t="str">
        <f>"120,0"</f>
        <v>120,0</v>
      </c>
      <c r="L15" s="24" t="str">
        <f>"93,7440"</f>
        <v>93,7440</v>
      </c>
      <c r="M15" s="19" t="s">
        <v>23</v>
      </c>
    </row>
    <row r="16" spans="1:13" x14ac:dyDescent="0.2">
      <c r="A16" s="21" t="s">
        <v>372</v>
      </c>
      <c r="B16" s="21" t="s">
        <v>371</v>
      </c>
      <c r="C16" s="21" t="s">
        <v>370</v>
      </c>
      <c r="D16" s="21" t="str">
        <f>"0,7913"</f>
        <v>0,7913</v>
      </c>
      <c r="E16" s="21" t="s">
        <v>145</v>
      </c>
      <c r="F16" s="21" t="s">
        <v>144</v>
      </c>
      <c r="G16" s="22" t="s">
        <v>278</v>
      </c>
      <c r="H16" s="22" t="s">
        <v>117</v>
      </c>
      <c r="I16" s="22" t="s">
        <v>281</v>
      </c>
      <c r="J16" s="45"/>
      <c r="K16" s="25" t="str">
        <f>"137,5"</f>
        <v>137,5</v>
      </c>
      <c r="L16" s="26" t="str">
        <f>"150,1492"</f>
        <v>150,1492</v>
      </c>
      <c r="M16" s="21" t="s">
        <v>23</v>
      </c>
    </row>
    <row r="18" spans="1:13" ht="15" x14ac:dyDescent="0.2">
      <c r="A18" s="42" t="s">
        <v>347</v>
      </c>
      <c r="B18" s="43"/>
      <c r="C18" s="43"/>
      <c r="D18" s="43"/>
      <c r="E18" s="43"/>
      <c r="F18" s="43"/>
      <c r="G18" s="43"/>
      <c r="H18" s="43"/>
      <c r="I18" s="43"/>
      <c r="J18" s="43"/>
    </row>
    <row r="19" spans="1:13" x14ac:dyDescent="0.2">
      <c r="A19" s="7" t="s">
        <v>369</v>
      </c>
      <c r="B19" s="7" t="s">
        <v>368</v>
      </c>
      <c r="C19" s="7" t="s">
        <v>367</v>
      </c>
      <c r="D19" s="7" t="str">
        <f>"0,6965"</f>
        <v>0,6965</v>
      </c>
      <c r="E19" s="7" t="s">
        <v>145</v>
      </c>
      <c r="F19" s="7" t="s">
        <v>144</v>
      </c>
      <c r="G19" s="8" t="s">
        <v>85</v>
      </c>
      <c r="H19" s="8" t="s">
        <v>40</v>
      </c>
      <c r="I19" s="8" t="s">
        <v>285</v>
      </c>
      <c r="J19" s="44"/>
      <c r="K19" s="11" t="str">
        <f>"115,0"</f>
        <v>115,0</v>
      </c>
      <c r="L19" s="12" t="str">
        <f>"80,0975"</f>
        <v>80,0975</v>
      </c>
      <c r="M19" s="7" t="s">
        <v>156</v>
      </c>
    </row>
    <row r="21" spans="1:13" ht="15" x14ac:dyDescent="0.2">
      <c r="A21" s="42" t="s">
        <v>14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3" x14ac:dyDescent="0.2">
      <c r="A22" s="19" t="s">
        <v>366</v>
      </c>
      <c r="B22" s="19" t="s">
        <v>365</v>
      </c>
      <c r="C22" s="19" t="s">
        <v>364</v>
      </c>
      <c r="D22" s="19" t="str">
        <f>"0,7408"</f>
        <v>0,7408</v>
      </c>
      <c r="E22" s="19" t="s">
        <v>145</v>
      </c>
      <c r="F22" s="19" t="s">
        <v>144</v>
      </c>
      <c r="G22" s="50" t="s">
        <v>363</v>
      </c>
      <c r="H22" s="20" t="s">
        <v>275</v>
      </c>
      <c r="I22" s="50" t="s">
        <v>362</v>
      </c>
      <c r="J22" s="50"/>
      <c r="K22" s="23" t="str">
        <f>"155,0"</f>
        <v>155,0</v>
      </c>
      <c r="L22" s="24" t="str">
        <f>"124,0099"</f>
        <v>124,0099</v>
      </c>
      <c r="M22" s="19" t="s">
        <v>156</v>
      </c>
    </row>
    <row r="23" spans="1:13" x14ac:dyDescent="0.2">
      <c r="A23" s="21" t="s">
        <v>361</v>
      </c>
      <c r="B23" s="21" t="s">
        <v>360</v>
      </c>
      <c r="C23" s="21" t="s">
        <v>359</v>
      </c>
      <c r="D23" s="21" t="str">
        <f>"0,7429"</f>
        <v>0,7429</v>
      </c>
      <c r="E23" s="21" t="s">
        <v>343</v>
      </c>
      <c r="F23" s="21" t="s">
        <v>20</v>
      </c>
      <c r="G23" s="45" t="s">
        <v>358</v>
      </c>
      <c r="H23" s="22" t="s">
        <v>358</v>
      </c>
      <c r="I23" s="22" t="s">
        <v>268</v>
      </c>
      <c r="J23" s="45"/>
      <c r="K23" s="25" t="str">
        <f>"147,5"</f>
        <v>147,5</v>
      </c>
      <c r="L23" s="26" t="str">
        <f>"112,8651"</f>
        <v>112,8651</v>
      </c>
      <c r="M23" s="21" t="s">
        <v>357</v>
      </c>
    </row>
    <row r="25" spans="1:13" ht="15" x14ac:dyDescent="0.2">
      <c r="A25" s="42" t="s">
        <v>24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3" x14ac:dyDescent="0.2">
      <c r="A26" s="19" t="s">
        <v>356</v>
      </c>
      <c r="B26" s="19" t="s">
        <v>355</v>
      </c>
      <c r="C26" s="19" t="s">
        <v>28</v>
      </c>
      <c r="D26" s="19" t="str">
        <f>"0,6645"</f>
        <v>0,6645</v>
      </c>
      <c r="E26" s="19" t="s">
        <v>354</v>
      </c>
      <c r="F26" s="19" t="s">
        <v>353</v>
      </c>
      <c r="G26" s="20" t="s">
        <v>302</v>
      </c>
      <c r="H26" s="20" t="s">
        <v>154</v>
      </c>
      <c r="I26" s="20" t="s">
        <v>172</v>
      </c>
      <c r="J26" s="50"/>
      <c r="K26" s="23" t="str">
        <f>"225,0"</f>
        <v>225,0</v>
      </c>
      <c r="L26" s="24" t="str">
        <f>"149,5125"</f>
        <v>149,5125</v>
      </c>
      <c r="M26" s="19" t="s">
        <v>23</v>
      </c>
    </row>
    <row r="27" spans="1:13" x14ac:dyDescent="0.2">
      <c r="A27" s="21" t="s">
        <v>352</v>
      </c>
      <c r="B27" s="21" t="s">
        <v>351</v>
      </c>
      <c r="C27" s="21" t="s">
        <v>350</v>
      </c>
      <c r="D27" s="21" t="str">
        <f>"0,6730"</f>
        <v>0,6730</v>
      </c>
      <c r="E27" s="21" t="s">
        <v>349</v>
      </c>
      <c r="F27" s="21" t="s">
        <v>348</v>
      </c>
      <c r="G27" s="45" t="s">
        <v>320</v>
      </c>
      <c r="H27" s="45" t="s">
        <v>320</v>
      </c>
      <c r="I27" s="45" t="s">
        <v>320</v>
      </c>
      <c r="J27" s="45"/>
      <c r="K27" s="25" t="str">
        <f>"0.00"</f>
        <v>0.00</v>
      </c>
      <c r="L27" s="26" t="str">
        <f>"0,0000"</f>
        <v>0,0000</v>
      </c>
      <c r="M27" s="21" t="s">
        <v>23</v>
      </c>
    </row>
    <row r="29" spans="1:13" ht="15" x14ac:dyDescent="0.2">
      <c r="A29" s="42" t="s">
        <v>347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3" x14ac:dyDescent="0.2">
      <c r="A30" s="19" t="s">
        <v>346</v>
      </c>
      <c r="B30" s="19" t="s">
        <v>345</v>
      </c>
      <c r="C30" s="19" t="s">
        <v>344</v>
      </c>
      <c r="D30" s="19" t="str">
        <f>"0,6246"</f>
        <v>0,6246</v>
      </c>
      <c r="E30" s="19" t="s">
        <v>343</v>
      </c>
      <c r="F30" s="19" t="s">
        <v>20</v>
      </c>
      <c r="G30" s="20" t="s">
        <v>172</v>
      </c>
      <c r="H30" s="50" t="s">
        <v>296</v>
      </c>
      <c r="I30" s="50" t="s">
        <v>296</v>
      </c>
      <c r="J30" s="50"/>
      <c r="K30" s="23" t="str">
        <f>"225,0"</f>
        <v>225,0</v>
      </c>
      <c r="L30" s="24" t="str">
        <f>"140,5350"</f>
        <v>140,5350</v>
      </c>
      <c r="M30" s="19" t="s">
        <v>23</v>
      </c>
    </row>
    <row r="31" spans="1:13" x14ac:dyDescent="0.2">
      <c r="A31" s="46" t="s">
        <v>342</v>
      </c>
      <c r="B31" s="46" t="s">
        <v>341</v>
      </c>
      <c r="C31" s="46" t="s">
        <v>340</v>
      </c>
      <c r="D31" s="46" t="str">
        <f>"0,6209"</f>
        <v>0,6209</v>
      </c>
      <c r="E31" s="46" t="s">
        <v>145</v>
      </c>
      <c r="F31" s="46" t="s">
        <v>144</v>
      </c>
      <c r="G31" s="51" t="s">
        <v>275</v>
      </c>
      <c r="H31" s="51" t="s">
        <v>339</v>
      </c>
      <c r="I31" s="51" t="s">
        <v>245</v>
      </c>
      <c r="J31" s="49"/>
      <c r="K31" s="48" t="str">
        <f>"172,5"</f>
        <v>172,5</v>
      </c>
      <c r="L31" s="47" t="str">
        <f>"107,1052"</f>
        <v>107,1052</v>
      </c>
      <c r="M31" s="46" t="s">
        <v>156</v>
      </c>
    </row>
    <row r="32" spans="1:13" x14ac:dyDescent="0.2">
      <c r="A32" s="21" t="s">
        <v>338</v>
      </c>
      <c r="B32" s="21" t="s">
        <v>337</v>
      </c>
      <c r="C32" s="21" t="s">
        <v>336</v>
      </c>
      <c r="D32" s="21" t="str">
        <f>"0,6358"</f>
        <v>0,6358</v>
      </c>
      <c r="E32" s="21" t="s">
        <v>335</v>
      </c>
      <c r="F32" s="21" t="s">
        <v>20</v>
      </c>
      <c r="G32" s="45" t="s">
        <v>319</v>
      </c>
      <c r="H32" s="45" t="s">
        <v>319</v>
      </c>
      <c r="I32" s="45"/>
      <c r="J32" s="45"/>
      <c r="K32" s="25" t="str">
        <f>"0.00"</f>
        <v>0.00</v>
      </c>
      <c r="L32" s="26" t="str">
        <f>"0,0000"</f>
        <v>0,0000</v>
      </c>
      <c r="M32" s="21" t="s">
        <v>23</v>
      </c>
    </row>
    <row r="34" spans="1:13" ht="15" x14ac:dyDescent="0.2">
      <c r="A34" s="42" t="s">
        <v>112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3" x14ac:dyDescent="0.2">
      <c r="A35" s="19" t="s">
        <v>334</v>
      </c>
      <c r="B35" s="19" t="s">
        <v>333</v>
      </c>
      <c r="C35" s="19" t="s">
        <v>182</v>
      </c>
      <c r="D35" s="19" t="str">
        <f>"0,5853"</f>
        <v>0,5853</v>
      </c>
      <c r="E35" s="19" t="s">
        <v>145</v>
      </c>
      <c r="F35" s="19" t="s">
        <v>144</v>
      </c>
      <c r="G35" s="20" t="s">
        <v>172</v>
      </c>
      <c r="H35" s="20" t="s">
        <v>219</v>
      </c>
      <c r="I35" s="20" t="s">
        <v>263</v>
      </c>
      <c r="J35" s="50"/>
      <c r="K35" s="23" t="str">
        <f>"252,5"</f>
        <v>252,5</v>
      </c>
      <c r="L35" s="24" t="str">
        <f>"147,7883"</f>
        <v>147,7883</v>
      </c>
      <c r="M35" s="19" t="s">
        <v>156</v>
      </c>
    </row>
    <row r="36" spans="1:13" x14ac:dyDescent="0.2">
      <c r="A36" s="46" t="s">
        <v>332</v>
      </c>
      <c r="B36" s="46" t="s">
        <v>331</v>
      </c>
      <c r="C36" s="46" t="s">
        <v>330</v>
      </c>
      <c r="D36" s="46" t="str">
        <f>"0,5995"</f>
        <v>0,5995</v>
      </c>
      <c r="E36" s="46" t="s">
        <v>329</v>
      </c>
      <c r="F36" s="46" t="s">
        <v>328</v>
      </c>
      <c r="G36" s="51" t="s">
        <v>163</v>
      </c>
      <c r="H36" s="51" t="s">
        <v>172</v>
      </c>
      <c r="I36" s="51" t="s">
        <v>260</v>
      </c>
      <c r="J36" s="49"/>
      <c r="K36" s="48" t="str">
        <f>"230,0"</f>
        <v>230,0</v>
      </c>
      <c r="L36" s="47" t="str">
        <f>"137,8850"</f>
        <v>137,8850</v>
      </c>
      <c r="M36" s="46" t="s">
        <v>23</v>
      </c>
    </row>
    <row r="37" spans="1:13" x14ac:dyDescent="0.2">
      <c r="A37" s="46" t="s">
        <v>327</v>
      </c>
      <c r="B37" s="46" t="s">
        <v>326</v>
      </c>
      <c r="C37" s="46" t="s">
        <v>182</v>
      </c>
      <c r="D37" s="46" t="str">
        <f>"0,5853"</f>
        <v>0,5853</v>
      </c>
      <c r="E37" s="46" t="s">
        <v>74</v>
      </c>
      <c r="F37" s="46" t="s">
        <v>75</v>
      </c>
      <c r="G37" s="51" t="s">
        <v>179</v>
      </c>
      <c r="H37" s="49" t="s">
        <v>172</v>
      </c>
      <c r="I37" s="51" t="s">
        <v>172</v>
      </c>
      <c r="J37" s="49"/>
      <c r="K37" s="48" t="str">
        <f>"225,0"</f>
        <v>225,0</v>
      </c>
      <c r="L37" s="47" t="str">
        <f>"131,6925"</f>
        <v>131,6925</v>
      </c>
      <c r="M37" s="46" t="s">
        <v>77</v>
      </c>
    </row>
    <row r="38" spans="1:13" x14ac:dyDescent="0.2">
      <c r="A38" s="46" t="s">
        <v>325</v>
      </c>
      <c r="B38" s="46" t="s">
        <v>324</v>
      </c>
      <c r="C38" s="46" t="s">
        <v>221</v>
      </c>
      <c r="D38" s="46" t="str">
        <f>"0,5893"</f>
        <v>0,5893</v>
      </c>
      <c r="E38" s="46" t="s">
        <v>145</v>
      </c>
      <c r="F38" s="46" t="s">
        <v>144</v>
      </c>
      <c r="G38" s="51" t="s">
        <v>319</v>
      </c>
      <c r="H38" s="51" t="s">
        <v>179</v>
      </c>
      <c r="I38" s="51" t="s">
        <v>252</v>
      </c>
      <c r="J38" s="49"/>
      <c r="K38" s="48" t="str">
        <f>"207,5"</f>
        <v>207,5</v>
      </c>
      <c r="L38" s="47" t="str">
        <f>"122,2797"</f>
        <v>122,2797</v>
      </c>
      <c r="M38" s="46" t="s">
        <v>23</v>
      </c>
    </row>
    <row r="39" spans="1:13" x14ac:dyDescent="0.2">
      <c r="A39" s="21" t="s">
        <v>323</v>
      </c>
      <c r="B39" s="21" t="s">
        <v>322</v>
      </c>
      <c r="C39" s="21" t="s">
        <v>321</v>
      </c>
      <c r="D39" s="21" t="str">
        <f>"0,5978"</f>
        <v>0,5978</v>
      </c>
      <c r="E39" s="21" t="s">
        <v>145</v>
      </c>
      <c r="F39" s="21" t="s">
        <v>144</v>
      </c>
      <c r="G39" s="22" t="s">
        <v>320</v>
      </c>
      <c r="H39" s="22" t="s">
        <v>319</v>
      </c>
      <c r="I39" s="22" t="s">
        <v>249</v>
      </c>
      <c r="J39" s="45"/>
      <c r="K39" s="25" t="str">
        <f>"197,5"</f>
        <v>197,5</v>
      </c>
      <c r="L39" s="26" t="str">
        <f>"118,0655"</f>
        <v>118,0655</v>
      </c>
      <c r="M39" s="21" t="s">
        <v>156</v>
      </c>
    </row>
    <row r="41" spans="1:13" ht="15" x14ac:dyDescent="0.2">
      <c r="A41" s="42" t="s">
        <v>78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3" x14ac:dyDescent="0.2">
      <c r="A42" s="19" t="s">
        <v>318</v>
      </c>
      <c r="B42" s="19" t="s">
        <v>317</v>
      </c>
      <c r="C42" s="19" t="s">
        <v>316</v>
      </c>
      <c r="D42" s="19" t="str">
        <f>"0,5581"</f>
        <v>0,5581</v>
      </c>
      <c r="E42" s="19" t="s">
        <v>145</v>
      </c>
      <c r="F42" s="19" t="s">
        <v>144</v>
      </c>
      <c r="G42" s="20" t="s">
        <v>296</v>
      </c>
      <c r="H42" s="20" t="s">
        <v>257</v>
      </c>
      <c r="I42" s="50" t="s">
        <v>315</v>
      </c>
      <c r="J42" s="50"/>
      <c r="K42" s="23" t="str">
        <f>"242,5"</f>
        <v>242,5</v>
      </c>
      <c r="L42" s="24" t="str">
        <f>"135,3392"</f>
        <v>135,3392</v>
      </c>
      <c r="M42" s="19" t="s">
        <v>156</v>
      </c>
    </row>
    <row r="43" spans="1:13" x14ac:dyDescent="0.2">
      <c r="A43" s="46" t="s">
        <v>314</v>
      </c>
      <c r="B43" s="46" t="s">
        <v>313</v>
      </c>
      <c r="C43" s="46" t="s">
        <v>312</v>
      </c>
      <c r="D43" s="46" t="str">
        <f>"0,5570"</f>
        <v>0,5570</v>
      </c>
      <c r="E43" s="46" t="s">
        <v>311</v>
      </c>
      <c r="F43" s="46" t="s">
        <v>310</v>
      </c>
      <c r="G43" s="49" t="s">
        <v>154</v>
      </c>
      <c r="H43" s="49"/>
      <c r="I43" s="49"/>
      <c r="J43" s="49"/>
      <c r="K43" s="48" t="str">
        <f>"0.00"</f>
        <v>0.00</v>
      </c>
      <c r="L43" s="47" t="str">
        <f>"0,0000"</f>
        <v>0,0000</v>
      </c>
      <c r="M43" s="46" t="s">
        <v>309</v>
      </c>
    </row>
    <row r="44" spans="1:13" x14ac:dyDescent="0.2">
      <c r="A44" s="21" t="s">
        <v>308</v>
      </c>
      <c r="B44" s="21" t="s">
        <v>307</v>
      </c>
      <c r="C44" s="21" t="s">
        <v>306</v>
      </c>
      <c r="D44" s="21" t="str">
        <f>"0,5550"</f>
        <v>0,5550</v>
      </c>
      <c r="E44" s="21" t="s">
        <v>305</v>
      </c>
      <c r="F44" s="21" t="s">
        <v>304</v>
      </c>
      <c r="G44" s="22" t="s">
        <v>303</v>
      </c>
      <c r="H44" s="22" t="s">
        <v>237</v>
      </c>
      <c r="I44" s="45" t="s">
        <v>302</v>
      </c>
      <c r="J44" s="45"/>
      <c r="K44" s="25" t="str">
        <f>"195,0"</f>
        <v>195,0</v>
      </c>
      <c r="L44" s="26" t="str">
        <f>"108,2250"</f>
        <v>108,2250</v>
      </c>
      <c r="M44" s="21" t="s">
        <v>301</v>
      </c>
    </row>
    <row r="46" spans="1:13" ht="15" x14ac:dyDescent="0.2">
      <c r="A46" s="42" t="s">
        <v>33</v>
      </c>
      <c r="B46" s="43"/>
      <c r="C46" s="43"/>
      <c r="D46" s="43"/>
      <c r="E46" s="43"/>
      <c r="F46" s="43"/>
      <c r="G46" s="43"/>
      <c r="H46" s="43"/>
      <c r="I46" s="43"/>
      <c r="J46" s="43"/>
    </row>
    <row r="47" spans="1:13" x14ac:dyDescent="0.2">
      <c r="A47" s="7" t="s">
        <v>160</v>
      </c>
      <c r="B47" s="7" t="s">
        <v>159</v>
      </c>
      <c r="C47" s="7" t="s">
        <v>158</v>
      </c>
      <c r="D47" s="7" t="str">
        <f>"0,5429"</f>
        <v>0,5429</v>
      </c>
      <c r="E47" s="7" t="s">
        <v>145</v>
      </c>
      <c r="F47" s="7" t="s">
        <v>144</v>
      </c>
      <c r="G47" s="8" t="s">
        <v>179</v>
      </c>
      <c r="H47" s="8" t="s">
        <v>157</v>
      </c>
      <c r="I47" s="44" t="s">
        <v>163</v>
      </c>
      <c r="J47" s="44"/>
      <c r="K47" s="11" t="str">
        <f>"210,0"</f>
        <v>210,0</v>
      </c>
      <c r="L47" s="12" t="str">
        <f>"146,0455"</f>
        <v>146,0455</v>
      </c>
      <c r="M47" s="7" t="s">
        <v>156</v>
      </c>
    </row>
    <row r="49" spans="1:13" ht="15" x14ac:dyDescent="0.2">
      <c r="A49" s="42" t="s">
        <v>300</v>
      </c>
      <c r="B49" s="43"/>
      <c r="C49" s="43"/>
      <c r="D49" s="43"/>
      <c r="E49" s="43"/>
      <c r="F49" s="43"/>
      <c r="G49" s="43"/>
      <c r="H49" s="43"/>
      <c r="I49" s="43"/>
      <c r="J49" s="43"/>
    </row>
    <row r="50" spans="1:13" x14ac:dyDescent="0.2">
      <c r="A50" s="7" t="s">
        <v>299</v>
      </c>
      <c r="B50" s="7" t="s">
        <v>298</v>
      </c>
      <c r="C50" s="7" t="s">
        <v>297</v>
      </c>
      <c r="D50" s="7" t="str">
        <f>"0,5288"</f>
        <v>0,5288</v>
      </c>
      <c r="E50" s="7" t="s">
        <v>145</v>
      </c>
      <c r="F50" s="7" t="s">
        <v>144</v>
      </c>
      <c r="G50" s="8" t="s">
        <v>296</v>
      </c>
      <c r="H50" s="44" t="s">
        <v>240</v>
      </c>
      <c r="I50" s="8" t="s">
        <v>240</v>
      </c>
      <c r="J50" s="44"/>
      <c r="K50" s="11" t="str">
        <f>"250,0"</f>
        <v>250,0</v>
      </c>
      <c r="L50" s="12" t="str">
        <f>"133,3898"</f>
        <v>133,3898</v>
      </c>
      <c r="M50" s="7" t="s">
        <v>156</v>
      </c>
    </row>
    <row r="52" spans="1:13" ht="15" x14ac:dyDescent="0.2">
      <c r="E52" s="9" t="s">
        <v>43</v>
      </c>
    </row>
    <row r="53" spans="1:13" ht="15" x14ac:dyDescent="0.2">
      <c r="E53" s="9" t="s">
        <v>44</v>
      </c>
    </row>
    <row r="54" spans="1:13" ht="15" x14ac:dyDescent="0.2">
      <c r="E54" s="9" t="s">
        <v>45</v>
      </c>
    </row>
    <row r="55" spans="1:13" ht="15" x14ac:dyDescent="0.2">
      <c r="E55" s="9" t="s">
        <v>46</v>
      </c>
    </row>
    <row r="56" spans="1:13" ht="15" x14ac:dyDescent="0.2">
      <c r="E56" s="9" t="s">
        <v>46</v>
      </c>
    </row>
    <row r="57" spans="1:13" ht="15" x14ac:dyDescent="0.2">
      <c r="E57" s="9" t="s">
        <v>47</v>
      </c>
    </row>
    <row r="58" spans="1:13" ht="15" x14ac:dyDescent="0.2">
      <c r="E58" s="9"/>
    </row>
    <row r="60" spans="1:13" ht="18" x14ac:dyDescent="0.25">
      <c r="A60" s="13" t="s">
        <v>48</v>
      </c>
      <c r="B60" s="13"/>
    </row>
    <row r="61" spans="1:13" ht="15" x14ac:dyDescent="0.2">
      <c r="A61" s="14" t="s">
        <v>170</v>
      </c>
      <c r="B61" s="14"/>
    </row>
    <row r="62" spans="1:13" ht="14.25" x14ac:dyDescent="0.2">
      <c r="A62" s="16"/>
      <c r="B62" s="17" t="s">
        <v>50</v>
      </c>
    </row>
    <row r="63" spans="1:13" ht="15" x14ac:dyDescent="0.2">
      <c r="A63" s="18" t="s">
        <v>51</v>
      </c>
      <c r="B63" s="18" t="s">
        <v>52</v>
      </c>
      <c r="C63" s="18" t="s">
        <v>53</v>
      </c>
      <c r="D63" s="18" t="s">
        <v>54</v>
      </c>
      <c r="E63" s="18" t="s">
        <v>142</v>
      </c>
    </row>
    <row r="64" spans="1:13" x14ac:dyDescent="0.2">
      <c r="A64" s="15" t="s">
        <v>295</v>
      </c>
      <c r="B64" s="4" t="s">
        <v>50</v>
      </c>
      <c r="C64" s="4" t="s">
        <v>294</v>
      </c>
      <c r="D64" s="4" t="s">
        <v>293</v>
      </c>
      <c r="E64" s="10" t="s">
        <v>292</v>
      </c>
    </row>
    <row r="65" spans="1:5" x14ac:dyDescent="0.2">
      <c r="A65" s="15" t="s">
        <v>291</v>
      </c>
      <c r="B65" s="4" t="s">
        <v>50</v>
      </c>
      <c r="C65" s="4" t="s">
        <v>290</v>
      </c>
      <c r="D65" s="4" t="s">
        <v>40</v>
      </c>
      <c r="E65" s="10" t="s">
        <v>289</v>
      </c>
    </row>
    <row r="66" spans="1:5" x14ac:dyDescent="0.2">
      <c r="A66" s="15" t="s">
        <v>288</v>
      </c>
      <c r="B66" s="4" t="s">
        <v>50</v>
      </c>
      <c r="C66" s="4" t="s">
        <v>168</v>
      </c>
      <c r="D66" s="4" t="s">
        <v>278</v>
      </c>
      <c r="E66" s="10" t="s">
        <v>287</v>
      </c>
    </row>
    <row r="67" spans="1:5" x14ac:dyDescent="0.2">
      <c r="A67" s="15" t="s">
        <v>286</v>
      </c>
      <c r="B67" s="4" t="s">
        <v>50</v>
      </c>
      <c r="C67" s="4" t="s">
        <v>246</v>
      </c>
      <c r="D67" s="4" t="s">
        <v>285</v>
      </c>
      <c r="E67" s="10" t="s">
        <v>284</v>
      </c>
    </row>
    <row r="69" spans="1:5" ht="14.25" x14ac:dyDescent="0.2">
      <c r="A69" s="16"/>
      <c r="B69" s="17" t="s">
        <v>59</v>
      </c>
    </row>
    <row r="70" spans="1:5" ht="15" x14ac:dyDescent="0.2">
      <c r="A70" s="18" t="s">
        <v>51</v>
      </c>
      <c r="B70" s="18" t="s">
        <v>52</v>
      </c>
      <c r="C70" s="18" t="s">
        <v>53</v>
      </c>
      <c r="D70" s="18" t="s">
        <v>54</v>
      </c>
      <c r="E70" s="18" t="s">
        <v>142</v>
      </c>
    </row>
    <row r="71" spans="1:5" x14ac:dyDescent="0.2">
      <c r="A71" s="15" t="s">
        <v>283</v>
      </c>
      <c r="B71" s="4" t="s">
        <v>282</v>
      </c>
      <c r="C71" s="4" t="s">
        <v>56</v>
      </c>
      <c r="D71" s="4" t="s">
        <v>281</v>
      </c>
      <c r="E71" s="10" t="s">
        <v>280</v>
      </c>
    </row>
    <row r="72" spans="1:5" x14ac:dyDescent="0.2">
      <c r="A72" s="15" t="s">
        <v>279</v>
      </c>
      <c r="B72" s="4" t="s">
        <v>60</v>
      </c>
      <c r="C72" s="4" t="s">
        <v>56</v>
      </c>
      <c r="D72" s="4" t="s">
        <v>278</v>
      </c>
      <c r="E72" s="10" t="s">
        <v>277</v>
      </c>
    </row>
    <row r="75" spans="1:5" ht="15" x14ac:dyDescent="0.2">
      <c r="A75" s="14" t="s">
        <v>49</v>
      </c>
      <c r="B75" s="14"/>
    </row>
    <row r="76" spans="1:5" ht="14.25" x14ac:dyDescent="0.2">
      <c r="A76" s="16"/>
      <c r="B76" s="17" t="s">
        <v>92</v>
      </c>
    </row>
    <row r="77" spans="1:5" ht="15" x14ac:dyDescent="0.2">
      <c r="A77" s="18" t="s">
        <v>51</v>
      </c>
      <c r="B77" s="18" t="s">
        <v>52</v>
      </c>
      <c r="C77" s="18" t="s">
        <v>53</v>
      </c>
      <c r="D77" s="18" t="s">
        <v>54</v>
      </c>
      <c r="E77" s="18" t="s">
        <v>142</v>
      </c>
    </row>
    <row r="78" spans="1:5" x14ac:dyDescent="0.2">
      <c r="A78" s="15" t="s">
        <v>276</v>
      </c>
      <c r="B78" s="4" t="s">
        <v>93</v>
      </c>
      <c r="C78" s="4" t="s">
        <v>56</v>
      </c>
      <c r="D78" s="4" t="s">
        <v>275</v>
      </c>
      <c r="E78" s="10" t="s">
        <v>274</v>
      </c>
    </row>
    <row r="80" spans="1:5" ht="14.25" x14ac:dyDescent="0.2">
      <c r="A80" s="16"/>
      <c r="B80" s="17" t="s">
        <v>273</v>
      </c>
    </row>
    <row r="81" spans="1:5" ht="15" x14ac:dyDescent="0.2">
      <c r="A81" s="18" t="s">
        <v>51</v>
      </c>
      <c r="B81" s="18" t="s">
        <v>52</v>
      </c>
      <c r="C81" s="18" t="s">
        <v>53</v>
      </c>
      <c r="D81" s="18" t="s">
        <v>54</v>
      </c>
      <c r="E81" s="18" t="s">
        <v>142</v>
      </c>
    </row>
    <row r="82" spans="1:5" x14ac:dyDescent="0.2">
      <c r="A82" s="15" t="s">
        <v>272</v>
      </c>
      <c r="B82" s="4" t="s">
        <v>269</v>
      </c>
      <c r="C82" s="4" t="s">
        <v>246</v>
      </c>
      <c r="D82" s="4" t="s">
        <v>172</v>
      </c>
      <c r="E82" s="10" t="s">
        <v>271</v>
      </c>
    </row>
    <row r="83" spans="1:5" x14ac:dyDescent="0.2">
      <c r="A83" s="15" t="s">
        <v>270</v>
      </c>
      <c r="B83" s="4" t="s">
        <v>269</v>
      </c>
      <c r="C83" s="4" t="s">
        <v>56</v>
      </c>
      <c r="D83" s="4" t="s">
        <v>268</v>
      </c>
      <c r="E83" s="10" t="s">
        <v>267</v>
      </c>
    </row>
    <row r="85" spans="1:5" ht="14.25" x14ac:dyDescent="0.2">
      <c r="A85" s="16"/>
      <c r="B85" s="17" t="s">
        <v>50</v>
      </c>
    </row>
    <row r="86" spans="1:5" ht="15" x14ac:dyDescent="0.2">
      <c r="A86" s="18" t="s">
        <v>51</v>
      </c>
      <c r="B86" s="18" t="s">
        <v>52</v>
      </c>
      <c r="C86" s="18" t="s">
        <v>53</v>
      </c>
      <c r="D86" s="18" t="s">
        <v>54</v>
      </c>
      <c r="E86" s="18" t="s">
        <v>142</v>
      </c>
    </row>
    <row r="87" spans="1:5" x14ac:dyDescent="0.2">
      <c r="A87" s="15" t="s">
        <v>266</v>
      </c>
      <c r="B87" s="4" t="s">
        <v>50</v>
      </c>
      <c r="C87" s="4" t="s">
        <v>65</v>
      </c>
      <c r="D87" s="4" t="s">
        <v>172</v>
      </c>
      <c r="E87" s="10" t="s">
        <v>265</v>
      </c>
    </row>
    <row r="88" spans="1:5" x14ac:dyDescent="0.2">
      <c r="A88" s="15" t="s">
        <v>264</v>
      </c>
      <c r="B88" s="4" t="s">
        <v>50</v>
      </c>
      <c r="C88" s="4" t="s">
        <v>123</v>
      </c>
      <c r="D88" s="4" t="s">
        <v>263</v>
      </c>
      <c r="E88" s="10" t="s">
        <v>262</v>
      </c>
    </row>
    <row r="89" spans="1:5" x14ac:dyDescent="0.2">
      <c r="A89" s="15" t="s">
        <v>261</v>
      </c>
      <c r="B89" s="4" t="s">
        <v>50</v>
      </c>
      <c r="C89" s="4" t="s">
        <v>123</v>
      </c>
      <c r="D89" s="4" t="s">
        <v>260</v>
      </c>
      <c r="E89" s="10" t="s">
        <v>259</v>
      </c>
    </row>
    <row r="90" spans="1:5" x14ac:dyDescent="0.2">
      <c r="A90" s="15" t="s">
        <v>258</v>
      </c>
      <c r="B90" s="4" t="s">
        <v>50</v>
      </c>
      <c r="C90" s="4" t="s">
        <v>98</v>
      </c>
      <c r="D90" s="4" t="s">
        <v>257</v>
      </c>
      <c r="E90" s="10" t="s">
        <v>256</v>
      </c>
    </row>
    <row r="91" spans="1:5" x14ac:dyDescent="0.2">
      <c r="A91" s="15" t="s">
        <v>255</v>
      </c>
      <c r="B91" s="4" t="s">
        <v>50</v>
      </c>
      <c r="C91" s="4" t="s">
        <v>123</v>
      </c>
      <c r="D91" s="4" t="s">
        <v>172</v>
      </c>
      <c r="E91" s="10" t="s">
        <v>254</v>
      </c>
    </row>
    <row r="92" spans="1:5" x14ac:dyDescent="0.2">
      <c r="A92" s="15" t="s">
        <v>253</v>
      </c>
      <c r="B92" s="4" t="s">
        <v>50</v>
      </c>
      <c r="C92" s="4" t="s">
        <v>123</v>
      </c>
      <c r="D92" s="4" t="s">
        <v>252</v>
      </c>
      <c r="E92" s="10" t="s">
        <v>251</v>
      </c>
    </row>
    <row r="93" spans="1:5" x14ac:dyDescent="0.2">
      <c r="A93" s="15" t="s">
        <v>250</v>
      </c>
      <c r="B93" s="4" t="s">
        <v>50</v>
      </c>
      <c r="C93" s="4" t="s">
        <v>123</v>
      </c>
      <c r="D93" s="4" t="s">
        <v>249</v>
      </c>
      <c r="E93" s="10" t="s">
        <v>248</v>
      </c>
    </row>
    <row r="94" spans="1:5" x14ac:dyDescent="0.2">
      <c r="A94" s="15" t="s">
        <v>247</v>
      </c>
      <c r="B94" s="4" t="s">
        <v>50</v>
      </c>
      <c r="C94" s="4" t="s">
        <v>246</v>
      </c>
      <c r="D94" s="4" t="s">
        <v>245</v>
      </c>
      <c r="E94" s="10" t="s">
        <v>244</v>
      </c>
    </row>
    <row r="96" spans="1:5" ht="14.25" x14ac:dyDescent="0.2">
      <c r="A96" s="16"/>
      <c r="B96" s="17" t="s">
        <v>59</v>
      </c>
    </row>
    <row r="97" spans="1:5" ht="15" x14ac:dyDescent="0.2">
      <c r="A97" s="18" t="s">
        <v>51</v>
      </c>
      <c r="B97" s="18" t="s">
        <v>52</v>
      </c>
      <c r="C97" s="18" t="s">
        <v>53</v>
      </c>
      <c r="D97" s="18" t="s">
        <v>54</v>
      </c>
      <c r="E97" s="18" t="s">
        <v>142</v>
      </c>
    </row>
    <row r="98" spans="1:5" x14ac:dyDescent="0.2">
      <c r="A98" s="15" t="s">
        <v>155</v>
      </c>
      <c r="B98" s="4" t="s">
        <v>122</v>
      </c>
      <c r="C98" s="4" t="s">
        <v>61</v>
      </c>
      <c r="D98" s="4" t="s">
        <v>157</v>
      </c>
      <c r="E98" s="10" t="s">
        <v>243</v>
      </c>
    </row>
    <row r="99" spans="1:5" x14ac:dyDescent="0.2">
      <c r="A99" s="15" t="s">
        <v>242</v>
      </c>
      <c r="B99" s="4" t="s">
        <v>60</v>
      </c>
      <c r="C99" s="4" t="s">
        <v>241</v>
      </c>
      <c r="D99" s="4" t="s">
        <v>240</v>
      </c>
      <c r="E99" s="10" t="s">
        <v>239</v>
      </c>
    </row>
    <row r="100" spans="1:5" x14ac:dyDescent="0.2">
      <c r="A100" s="15" t="s">
        <v>238</v>
      </c>
      <c r="B100" s="4" t="s">
        <v>60</v>
      </c>
      <c r="C100" s="4" t="s">
        <v>98</v>
      </c>
      <c r="D100" s="4" t="s">
        <v>237</v>
      </c>
      <c r="E100" s="10" t="s">
        <v>236</v>
      </c>
    </row>
  </sheetData>
  <mergeCells count="23">
    <mergeCell ref="A29:J29"/>
    <mergeCell ref="A34:J34"/>
    <mergeCell ref="A41:J41"/>
    <mergeCell ref="A46:J46"/>
    <mergeCell ref="A49:J49"/>
    <mergeCell ref="A25:J25"/>
    <mergeCell ref="K3:K4"/>
    <mergeCell ref="L3:L4"/>
    <mergeCell ref="M3:M4"/>
    <mergeCell ref="A5:J5"/>
    <mergeCell ref="A8:J8"/>
    <mergeCell ref="A11:J11"/>
    <mergeCell ref="A14:J14"/>
    <mergeCell ref="A18:J18"/>
    <mergeCell ref="A21:J2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Любители В.Ж. многоповторный</vt:lpstr>
      <vt:lpstr>Люб. становая тяга</vt:lpstr>
      <vt:lpstr>Проф. народный жим 1 вес</vt:lpstr>
      <vt:lpstr>Люб. народный жим 1 вес</vt:lpstr>
      <vt:lpstr>ПРО присед софт экип.</vt:lpstr>
      <vt:lpstr>Люб. присед софт экип.</vt:lpstr>
      <vt:lpstr>Люб. присед б.э.</vt:lpstr>
      <vt:lpstr>ПРО тяга б.э.</vt:lpstr>
      <vt:lpstr>Люб. тяга б.э.</vt:lpstr>
      <vt:lpstr>ПРО жим софт мн.петельная</vt:lpstr>
      <vt:lpstr>ПРО жим б.э.</vt:lpstr>
      <vt:lpstr>Люб. жим б.э.</vt:lpstr>
      <vt:lpstr>ПРО ПЛ. б.э.</vt:lpstr>
      <vt:lpstr>Люб. ПЛ. б.э.</vt:lpstr>
      <vt:lpstr>Люб. ПЛ. 1.петельная софт</vt:lpstr>
      <vt:lpstr>ПРО ПЛ. мн.слой</vt:lpstr>
      <vt:lpstr>Русская тяга проф. 150 кг.</vt:lpstr>
      <vt:lpstr>Русская тяга люб. 150 кг.</vt:lpstr>
      <vt:lpstr>Русская тяга люб. 100 кг.</vt:lpstr>
      <vt:lpstr>РЖ любители 55 кг.</vt:lpstr>
      <vt:lpstr>РЖ Проф 100 кг.</vt:lpstr>
      <vt:lpstr>РЖ Проф 55 кг.</vt:lpstr>
      <vt:lpstr>Пауэрспорт Любители</vt:lpstr>
      <vt:lpstr>Бицепс Профессионалы</vt:lpstr>
      <vt:lpstr>Бицепс Любители</vt:lpstr>
      <vt:lpstr>Жим стоя Любители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Пользователь</cp:lastModifiedBy>
  <cp:lastPrinted>2021-04-18T14:28:59Z</cp:lastPrinted>
  <dcterms:created xsi:type="dcterms:W3CDTF">2002-06-16T13:36:44Z</dcterms:created>
  <dcterms:modified xsi:type="dcterms:W3CDTF">2021-04-24T10:12:16Z</dcterms:modified>
</cp:coreProperties>
</file>