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15480" windowHeight="7800" firstSheet="22" activeTab="25"/>
  </bookViews>
  <sheets>
    <sheet name="Лист17" sheetId="22" r:id="rId1"/>
    <sheet name="Двоеборье проф." sheetId="21" r:id="rId2"/>
    <sheet name="ПРО присед б.э." sheetId="20" r:id="rId3"/>
    <sheet name="Люб. присед б.э." sheetId="19" r:id="rId4"/>
    <sheet name="Люб. тяга софт экип." sheetId="18" r:id="rId5"/>
    <sheet name="ПРО тяга б.э." sheetId="17" r:id="rId6"/>
    <sheet name="Люб. тяга б.э." sheetId="16" r:id="rId7"/>
    <sheet name="ПРО жим софт мн.петельная" sheetId="15" r:id="rId8"/>
    <sheet name="Люб. жим софт мн.петельная" sheetId="14" r:id="rId9"/>
    <sheet name="ПРО жим софт 1 петельная" sheetId="13" r:id="rId10"/>
    <sheet name="Люб. жим 1 петельная" sheetId="12" r:id="rId11"/>
    <sheet name="ПРО жим б.э." sheetId="11" r:id="rId12"/>
    <sheet name="Люб. жим б.э." sheetId="10" r:id="rId13"/>
    <sheet name="ПРО жим 1.слой" sheetId="9" r:id="rId14"/>
    <sheet name="Люб. Военный жим класс." sheetId="8" r:id="rId15"/>
    <sheet name="ПРО ПЛ. б.э." sheetId="7" r:id="rId16"/>
    <sheet name="Люб. ПЛ. б.э." sheetId="6" r:id="rId17"/>
    <sheet name="ПРО ПЛ. 1.слой" sheetId="5" r:id="rId18"/>
    <sheet name="ПРО В.Ж. многоповторный" sheetId="23" r:id="rId19"/>
    <sheet name="Люб. становая тяга" sheetId="24" r:id="rId20"/>
    <sheet name="Проф. народный жим 1 вес" sheetId="25" r:id="rId21"/>
    <sheet name="Люб. народный жим 1_2 вес" sheetId="26" r:id="rId22"/>
    <sheet name="Люб. народный жим 1 вес" sheetId="27" r:id="rId23"/>
    <sheet name="Пауэрспорт Любители" sheetId="28" r:id="rId24"/>
    <sheet name="Бицепс Профессионалы" sheetId="29" r:id="rId25"/>
    <sheet name="Бицепс Любители" sheetId="30" r:id="rId26"/>
    <sheet name="Русская тяга люб. 150 кг." sheetId="31" r:id="rId27"/>
    <sheet name="Русская тяга проф. 100 кг." sheetId="32" r:id="rId28"/>
    <sheet name="Русская тяга люб. 100 кг." sheetId="33" r:id="rId29"/>
    <sheet name="Русская тяга люб. 75 кг." sheetId="34" r:id="rId30"/>
    <sheet name="Русская тяга люб. 55 кг." sheetId="35" r:id="rId31"/>
    <sheet name="РБ Проф 50 кг." sheetId="36" r:id="rId32"/>
    <sheet name="РБ Проф 35 кг." sheetId="37" r:id="rId33"/>
    <sheet name="РЖ любители 75 кг." sheetId="38" r:id="rId34"/>
    <sheet name="РЖ Проф 75 кг." sheetId="39" r:id="rId35"/>
    <sheet name="РЖ Проф 55 кг." sheetId="40" r:id="rId36"/>
  </sheets>
  <definedNames>
    <definedName name="_FilterDatabase" localSheetId="22" hidden="1">'Люб. народный жим 1 вес'!$A$1:$I$3</definedName>
    <definedName name="_FilterDatabase" localSheetId="17" hidden="1">'ПРО ПЛ. 1.слой'!$A$1:$S$3</definedName>
    <definedName name="_FilterDatabase" localSheetId="35" hidden="1">'РЖ Проф 55 кг.'!$A$1:$I$3</definedName>
  </definedNames>
  <calcPr calcId="162913"/>
</workbook>
</file>

<file path=xl/calcChain.xml><?xml version="1.0" encoding="utf-8"?>
<calcChain xmlns="http://schemas.openxmlformats.org/spreadsheetml/2006/main">
  <c r="D6" i="40" l="1"/>
  <c r="I6" i="40"/>
  <c r="J6" i="40"/>
  <c r="D6" i="39"/>
  <c r="I6" i="39"/>
  <c r="J6" i="39"/>
  <c r="D7" i="39"/>
  <c r="I7" i="39"/>
  <c r="J7" i="39"/>
  <c r="D6" i="38"/>
  <c r="I6" i="38"/>
  <c r="J6" i="38"/>
  <c r="D6" i="37"/>
  <c r="I6" i="37"/>
  <c r="J6" i="37"/>
  <c r="D7" i="37"/>
  <c r="I7" i="37"/>
  <c r="J7" i="37"/>
  <c r="D6" i="36"/>
  <c r="I6" i="36"/>
  <c r="J6" i="36"/>
  <c r="D7" i="36"/>
  <c r="I7" i="36"/>
  <c r="J7" i="36"/>
  <c r="D6" i="35"/>
  <c r="I6" i="35"/>
  <c r="J6" i="35"/>
  <c r="D6" i="34"/>
  <c r="I6" i="34"/>
  <c r="J6" i="34"/>
  <c r="D6" i="33"/>
  <c r="I6" i="33"/>
  <c r="J6" i="33"/>
  <c r="D7" i="33"/>
  <c r="I7" i="33"/>
  <c r="J7" i="33"/>
  <c r="D8" i="33"/>
  <c r="I8" i="33"/>
  <c r="J8" i="33"/>
  <c r="D6" i="32"/>
  <c r="I6" i="32"/>
  <c r="J6" i="32"/>
  <c r="D6" i="31"/>
  <c r="I6" i="31"/>
  <c r="J6" i="31"/>
  <c r="D6" i="30" l="1"/>
  <c r="K6" i="30"/>
  <c r="L6" i="30"/>
  <c r="D9" i="30"/>
  <c r="K9" i="30"/>
  <c r="L9" i="30"/>
  <c r="D12" i="30"/>
  <c r="K12" i="30"/>
  <c r="L12" i="30"/>
  <c r="D15" i="30"/>
  <c r="K15" i="30"/>
  <c r="L15" i="30"/>
  <c r="D18" i="30"/>
  <c r="K18" i="30"/>
  <c r="L18" i="30"/>
  <c r="D19" i="30"/>
  <c r="K19" i="30"/>
  <c r="L19" i="30"/>
  <c r="D22" i="30"/>
  <c r="K22" i="30"/>
  <c r="L22" i="30"/>
  <c r="D23" i="30"/>
  <c r="K23" i="30"/>
  <c r="L23" i="30"/>
  <c r="D24" i="30"/>
  <c r="K24" i="30"/>
  <c r="L24" i="30"/>
  <c r="D25" i="30"/>
  <c r="K25" i="30"/>
  <c r="L25" i="30"/>
  <c r="D26" i="30"/>
  <c r="K26" i="30"/>
  <c r="L26" i="30"/>
  <c r="D27" i="30"/>
  <c r="K27" i="30"/>
  <c r="L27" i="30"/>
  <c r="D30" i="30"/>
  <c r="K30" i="30"/>
  <c r="L30" i="30"/>
  <c r="D31" i="30"/>
  <c r="K31" i="30"/>
  <c r="L31" i="30"/>
  <c r="D32" i="30"/>
  <c r="K32" i="30"/>
  <c r="L32" i="30"/>
  <c r="D35" i="30"/>
  <c r="K35" i="30"/>
  <c r="L35" i="30"/>
  <c r="D36" i="30"/>
  <c r="K36" i="30"/>
  <c r="L36" i="30"/>
  <c r="D37" i="30"/>
  <c r="K37" i="30"/>
  <c r="L37" i="30"/>
  <c r="D38" i="30"/>
  <c r="K38" i="30"/>
  <c r="L38" i="30"/>
  <c r="D39" i="30"/>
  <c r="K39" i="30"/>
  <c r="L39" i="30"/>
  <c r="D40" i="30"/>
  <c r="K40" i="30"/>
  <c r="L40" i="30"/>
  <c r="D43" i="30"/>
  <c r="K43" i="30"/>
  <c r="L43" i="30"/>
  <c r="D46" i="30"/>
  <c r="K46" i="30"/>
  <c r="L46" i="30"/>
  <c r="D47" i="30"/>
  <c r="K47" i="30"/>
  <c r="L47" i="30"/>
  <c r="D50" i="30"/>
  <c r="K50" i="30"/>
  <c r="L50" i="30"/>
  <c r="D6" i="29"/>
  <c r="K6" i="29"/>
  <c r="L6" i="29"/>
  <c r="D6" i="28"/>
  <c r="O6" i="28"/>
  <c r="P6" i="28"/>
  <c r="D6" i="27" l="1"/>
  <c r="I6" i="27"/>
  <c r="J6" i="27"/>
  <c r="D7" i="27"/>
  <c r="I7" i="27"/>
  <c r="J7" i="27"/>
  <c r="D10" i="27"/>
  <c r="I10" i="27"/>
  <c r="J10" i="27"/>
  <c r="D6" i="26"/>
  <c r="I6" i="26"/>
  <c r="J6" i="26"/>
  <c r="D9" i="26"/>
  <c r="I9" i="26"/>
  <c r="J9" i="26"/>
  <c r="D6" i="25"/>
  <c r="I6" i="25"/>
  <c r="J6" i="25"/>
  <c r="D9" i="25"/>
  <c r="I9" i="25"/>
  <c r="J9" i="25"/>
  <c r="D6" i="24"/>
  <c r="I6" i="24"/>
  <c r="J6" i="24"/>
  <c r="D6" i="23"/>
  <c r="I6" i="23"/>
  <c r="J6" i="23"/>
  <c r="P6" i="21" l="1"/>
  <c r="O6" i="21"/>
  <c r="D6" i="21"/>
  <c r="L6" i="20"/>
  <c r="K6" i="20"/>
  <c r="D6" i="20"/>
  <c r="L12" i="19"/>
  <c r="K12" i="19"/>
  <c r="D12" i="19"/>
  <c r="L9" i="19"/>
  <c r="K9" i="19"/>
  <c r="D9" i="19"/>
  <c r="L6" i="19"/>
  <c r="K6" i="19"/>
  <c r="D6" i="19"/>
  <c r="L6" i="18"/>
  <c r="K6" i="18"/>
  <c r="D6" i="18"/>
  <c r="L16" i="17"/>
  <c r="K16" i="17"/>
  <c r="D16" i="17"/>
  <c r="L13" i="17"/>
  <c r="K13" i="17"/>
  <c r="D13" i="17"/>
  <c r="L12" i="17"/>
  <c r="K12" i="17"/>
  <c r="D12" i="17"/>
  <c r="L9" i="17"/>
  <c r="K9" i="17"/>
  <c r="D9" i="17"/>
  <c r="L6" i="17"/>
  <c r="K6" i="17"/>
  <c r="D6" i="17"/>
  <c r="L49" i="16"/>
  <c r="K49" i="16"/>
  <c r="D49" i="16"/>
  <c r="L46" i="16"/>
  <c r="K46" i="16"/>
  <c r="D46" i="16"/>
  <c r="L43" i="16"/>
  <c r="K43" i="16"/>
  <c r="D43" i="16"/>
  <c r="L42" i="16"/>
  <c r="K42" i="16"/>
  <c r="D42" i="16"/>
  <c r="L39" i="16"/>
  <c r="K39" i="16"/>
  <c r="D39" i="16"/>
  <c r="L38" i="16"/>
  <c r="K38" i="16"/>
  <c r="D38" i="16"/>
  <c r="L37" i="16"/>
  <c r="K37" i="16"/>
  <c r="D37" i="16"/>
  <c r="L34" i="16"/>
  <c r="K34" i="16"/>
  <c r="D34" i="16"/>
  <c r="L33" i="16"/>
  <c r="K33" i="16"/>
  <c r="D33" i="16"/>
  <c r="L30" i="16"/>
  <c r="K30" i="16"/>
  <c r="D30" i="16"/>
  <c r="L27" i="16"/>
  <c r="K27" i="16"/>
  <c r="D27" i="16"/>
  <c r="L26" i="16"/>
  <c r="K26" i="16"/>
  <c r="D26" i="16"/>
  <c r="L25" i="16"/>
  <c r="K25" i="16"/>
  <c r="D25" i="16"/>
  <c r="L22" i="16"/>
  <c r="K22" i="16"/>
  <c r="D22" i="16"/>
  <c r="L19" i="16"/>
  <c r="K19" i="16"/>
  <c r="D19" i="16"/>
  <c r="L16" i="16"/>
  <c r="K16" i="16"/>
  <c r="D16" i="16"/>
  <c r="L13" i="16"/>
  <c r="K13" i="16"/>
  <c r="D13" i="16"/>
  <c r="L12" i="16"/>
  <c r="K12" i="16"/>
  <c r="D12" i="16"/>
  <c r="L9" i="16"/>
  <c r="K9" i="16"/>
  <c r="D9" i="16"/>
  <c r="L6" i="16"/>
  <c r="K6" i="16"/>
  <c r="D6" i="16"/>
  <c r="L9" i="15"/>
  <c r="K9" i="15"/>
  <c r="D9" i="15"/>
  <c r="L6" i="15"/>
  <c r="K6" i="15"/>
  <c r="D6" i="15"/>
  <c r="L6" i="14"/>
  <c r="K6" i="14"/>
  <c r="D6" i="14"/>
  <c r="L6" i="13"/>
  <c r="K6" i="13"/>
  <c r="D6" i="13"/>
  <c r="L6" i="12"/>
  <c r="K6" i="12"/>
  <c r="D6" i="12"/>
  <c r="L6" i="11"/>
  <c r="K6" i="11"/>
  <c r="D6" i="11"/>
  <c r="L48" i="10"/>
  <c r="K48" i="10"/>
  <c r="D48" i="10"/>
  <c r="L45" i="10"/>
  <c r="K45" i="10"/>
  <c r="D45" i="10"/>
  <c r="L42" i="10"/>
  <c r="K42" i="10"/>
  <c r="D42" i="10"/>
  <c r="L41" i="10"/>
  <c r="K41" i="10"/>
  <c r="D41" i="10"/>
  <c r="L40" i="10"/>
  <c r="K40" i="10"/>
  <c r="D40" i="10"/>
  <c r="L39" i="10"/>
  <c r="K39" i="10"/>
  <c r="D39" i="10"/>
  <c r="L36" i="10"/>
  <c r="K36" i="10"/>
  <c r="D36" i="10"/>
  <c r="L35" i="10"/>
  <c r="K35" i="10"/>
  <c r="D35" i="10"/>
  <c r="L34" i="10"/>
  <c r="K34" i="10"/>
  <c r="D34" i="10"/>
  <c r="L33" i="10"/>
  <c r="K33" i="10"/>
  <c r="D33" i="10"/>
  <c r="L30" i="10"/>
  <c r="K30" i="10"/>
  <c r="D30" i="10"/>
  <c r="L29" i="10"/>
  <c r="K29" i="10"/>
  <c r="D29" i="10"/>
  <c r="L28" i="10"/>
  <c r="K28" i="10"/>
  <c r="D28" i="10"/>
  <c r="L27" i="10"/>
  <c r="K27" i="10"/>
  <c r="D27" i="10"/>
  <c r="L24" i="10"/>
  <c r="K24" i="10"/>
  <c r="D24" i="10"/>
  <c r="L21" i="10"/>
  <c r="K21" i="10"/>
  <c r="D21" i="10"/>
  <c r="L18" i="10"/>
  <c r="K18" i="10"/>
  <c r="D18" i="10"/>
  <c r="L15" i="10"/>
  <c r="K15" i="10"/>
  <c r="D15" i="10"/>
  <c r="L12" i="10"/>
  <c r="K12" i="10"/>
  <c r="D12" i="10"/>
  <c r="L9" i="10"/>
  <c r="K9" i="10"/>
  <c r="D9" i="10"/>
  <c r="L6" i="10"/>
  <c r="K6" i="10"/>
  <c r="D6" i="10"/>
  <c r="L6" i="8"/>
  <c r="K6" i="8"/>
  <c r="D6" i="8"/>
  <c r="T15" i="7"/>
  <c r="S15" i="7"/>
  <c r="D15" i="7"/>
  <c r="T12" i="7"/>
  <c r="S12" i="7"/>
  <c r="D12" i="7"/>
  <c r="T9" i="7"/>
  <c r="S9" i="7"/>
  <c r="D9" i="7"/>
  <c r="T6" i="7"/>
  <c r="S6" i="7"/>
  <c r="D6" i="7"/>
  <c r="T54" i="6"/>
  <c r="S54" i="6"/>
  <c r="D54" i="6"/>
  <c r="T51" i="6"/>
  <c r="S51" i="6"/>
  <c r="D51" i="6"/>
  <c r="T50" i="6"/>
  <c r="S50" i="6"/>
  <c r="D50" i="6"/>
  <c r="T47" i="6"/>
  <c r="S47" i="6"/>
  <c r="D47" i="6"/>
  <c r="T44" i="6"/>
  <c r="S44" i="6"/>
  <c r="D44" i="6"/>
  <c r="T43" i="6"/>
  <c r="S43" i="6"/>
  <c r="D43" i="6"/>
  <c r="T42" i="6"/>
  <c r="S42" i="6"/>
  <c r="D42" i="6"/>
  <c r="T39" i="6"/>
  <c r="S39" i="6"/>
  <c r="D39" i="6"/>
  <c r="T38" i="6"/>
  <c r="S38" i="6"/>
  <c r="D38" i="6"/>
  <c r="T37" i="6"/>
  <c r="S37" i="6"/>
  <c r="D37" i="6"/>
  <c r="T36" i="6"/>
  <c r="S36" i="6"/>
  <c r="D36" i="6"/>
  <c r="T35" i="6"/>
  <c r="S35" i="6"/>
  <c r="D35" i="6"/>
  <c r="T32" i="6"/>
  <c r="S32" i="6"/>
  <c r="D32" i="6"/>
  <c r="T31" i="6"/>
  <c r="S31" i="6"/>
  <c r="D31" i="6"/>
  <c r="T30" i="6"/>
  <c r="S30" i="6"/>
  <c r="D30" i="6"/>
  <c r="T27" i="6"/>
  <c r="S27" i="6"/>
  <c r="D27" i="6"/>
  <c r="T26" i="6"/>
  <c r="S26" i="6"/>
  <c r="D26" i="6"/>
  <c r="T25" i="6"/>
  <c r="S25" i="6"/>
  <c r="D25" i="6"/>
  <c r="T24" i="6"/>
  <c r="S24" i="6"/>
  <c r="D24" i="6"/>
  <c r="T23" i="6"/>
  <c r="S23" i="6"/>
  <c r="D23" i="6"/>
  <c r="T20" i="6"/>
  <c r="S20" i="6"/>
  <c r="D20" i="6"/>
  <c r="T19" i="6"/>
  <c r="S19" i="6"/>
  <c r="D19" i="6"/>
  <c r="T16" i="6"/>
  <c r="S16" i="6"/>
  <c r="D16" i="6"/>
  <c r="T13" i="6"/>
  <c r="S13" i="6"/>
  <c r="D13" i="6"/>
  <c r="T10" i="6"/>
  <c r="S10" i="6"/>
  <c r="D10" i="6"/>
  <c r="T9" i="6"/>
  <c r="S9" i="6"/>
  <c r="D9" i="6"/>
  <c r="T6" i="6"/>
  <c r="S6" i="6"/>
  <c r="D6" i="6"/>
  <c r="T6" i="5"/>
  <c r="S6" i="5"/>
  <c r="D6" i="5"/>
</calcChain>
</file>

<file path=xl/sharedStrings.xml><?xml version="1.0" encoding="utf-8"?>
<sst xmlns="http://schemas.openxmlformats.org/spreadsheetml/2006/main" count="3329" uniqueCount="857">
  <si>
    <t>ФИО</t>
  </si>
  <si>
    <t>Сумма</t>
  </si>
  <si>
    <t>Тренер</t>
  </si>
  <si>
    <t>Очки</t>
  </si>
  <si>
    <t>Команда</t>
  </si>
  <si>
    <t>Рек</t>
  </si>
  <si>
    <t>Коэф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</si>
  <si>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</si>
  <si>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</si>
  <si>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</si>
  <si>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</si>
  <si>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</si>
  <si>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СВЕТОГОР ПРО - XI
ПРО пауэрлифтинг в однослойной экипировке
Краснодар/Краснодарский край 24 - 25 июля 2021 г.</t>
  </si>
  <si>
    <t>Shv/Mel</t>
  </si>
  <si>
    <t>Приседание</t>
  </si>
  <si>
    <t>Жим лёжа</t>
  </si>
  <si>
    <t>Становая тяга</t>
  </si>
  <si>
    <t>ВЕСОВАЯ КАТЕГОРИЯ   110</t>
  </si>
  <si>
    <t>Некрушец Роман</t>
  </si>
  <si>
    <t>1. Некрушец Роман</t>
  </si>
  <si>
    <t>Открытая (15.05.1993)/28</t>
  </si>
  <si>
    <t>106,60</t>
  </si>
  <si>
    <t xml:space="preserve">Некрушец Р </t>
  </si>
  <si>
    <t xml:space="preserve">Ростов-на-Дону/Ростовская область </t>
  </si>
  <si>
    <t>235,0</t>
  </si>
  <si>
    <t>255,0</t>
  </si>
  <si>
    <t>260,0</t>
  </si>
  <si>
    <t>155,0</t>
  </si>
  <si>
    <t>170,0</t>
  </si>
  <si>
    <t>172,5</t>
  </si>
  <si>
    <t>245,0</t>
  </si>
  <si>
    <t>265,0</t>
  </si>
  <si>
    <t>270,0</t>
  </si>
  <si>
    <t xml:space="preserve">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</si>
  <si>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</si>
  <si>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</si>
  <si>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</si>
  <si>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</si>
  <si>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</si>
  <si>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</si>
  <si>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</si>
  <si>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</si>
  <si>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</si>
  <si>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</si>
  <si>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</si>
  <si>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</si>
  <si>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</si>
  <si>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>110</t>
  </si>
  <si>
    <t>700,0</t>
  </si>
  <si>
    <t>378,7700</t>
  </si>
  <si>
    <t>СВЕТОГОР ПРО - XI
Любители пауэрлифтинг без экипировки
Краснодар/Краснодарский край 24 - 25 июля 2021 г.</t>
  </si>
  <si>
    <t>ВЕСОВАЯ КАТЕГОРИЯ   52</t>
  </si>
  <si>
    <t>Кучина Елена</t>
  </si>
  <si>
    <t>1. Кучина Елена</t>
  </si>
  <si>
    <t>Открытая (04.09.1986)/34</t>
  </si>
  <si>
    <t>52,00</t>
  </si>
  <si>
    <t xml:space="preserve">Фитнес Клуб Олимпийский </t>
  </si>
  <si>
    <t xml:space="preserve">Белореченск/Краснодарский край </t>
  </si>
  <si>
    <t>70,0</t>
  </si>
  <si>
    <t>75,0</t>
  </si>
  <si>
    <t>35,0</t>
  </si>
  <si>
    <t>40,0</t>
  </si>
  <si>
    <t>45,0</t>
  </si>
  <si>
    <t>80,0</t>
  </si>
  <si>
    <t xml:space="preserve">Армашевский Михаил </t>
  </si>
  <si>
    <t>ВЕСОВАЯ КАТЕГОРИЯ   75</t>
  </si>
  <si>
    <t>Маташвили Наталья</t>
  </si>
  <si>
    <t>1. Маташвили Наталья</t>
  </si>
  <si>
    <t>Открытая (13.01.1987)/34</t>
  </si>
  <si>
    <t>72,70</t>
  </si>
  <si>
    <t xml:space="preserve">Центр Тяжести </t>
  </si>
  <si>
    <t xml:space="preserve">Усть-Лабинск/Краснодарский край </t>
  </si>
  <si>
    <t>90,0</t>
  </si>
  <si>
    <t>50,0</t>
  </si>
  <si>
    <t>100,0</t>
  </si>
  <si>
    <t>110,0</t>
  </si>
  <si>
    <t xml:space="preserve">Новосельцев О.С. </t>
  </si>
  <si>
    <t>Лемешко Елена</t>
  </si>
  <si>
    <t>1. Лемешко Елена</t>
  </si>
  <si>
    <t>Мастера 40 - 44 (09.01.1981)/40</t>
  </si>
  <si>
    <t>68,50</t>
  </si>
  <si>
    <t xml:space="preserve">Фанат (Свердловск) </t>
  </si>
  <si>
    <t xml:space="preserve">Луганск/Луганская область </t>
  </si>
  <si>
    <t>115,0</t>
  </si>
  <si>
    <t>120,0</t>
  </si>
  <si>
    <t>55,0</t>
  </si>
  <si>
    <t>62,5</t>
  </si>
  <si>
    <t>135,0</t>
  </si>
  <si>
    <t>145,0</t>
  </si>
  <si>
    <t xml:space="preserve">Шапошник Дмитрий </t>
  </si>
  <si>
    <t>Лемешко Арсений</t>
  </si>
  <si>
    <t>1. Лемешко Арсений</t>
  </si>
  <si>
    <t>Юноши 0-13 (21.09.2012)/8</t>
  </si>
  <si>
    <t>30,30</t>
  </si>
  <si>
    <t>52,5</t>
  </si>
  <si>
    <t>25,0</t>
  </si>
  <si>
    <t>30,0</t>
  </si>
  <si>
    <t>32,5</t>
  </si>
  <si>
    <t>57,5</t>
  </si>
  <si>
    <t>ВЕСОВАЯ КАТЕГОРИЯ   60</t>
  </si>
  <si>
    <t>Балыменко Павел</t>
  </si>
  <si>
    <t>1. Балыменко Павел</t>
  </si>
  <si>
    <t>Юноши 16 - 17 (23.06.2004)/17</t>
  </si>
  <si>
    <t>59,20</t>
  </si>
  <si>
    <t xml:space="preserve">Балыменко П </t>
  </si>
  <si>
    <t xml:space="preserve">Крымск/Краснодарский край </t>
  </si>
  <si>
    <t>95,0</t>
  </si>
  <si>
    <t>65,0</t>
  </si>
  <si>
    <t>ВЕСОВАЯ КАТЕГОРИЯ   67.5</t>
  </si>
  <si>
    <t>Гривастов Глеб</t>
  </si>
  <si>
    <t>1. Гривастов Глеб</t>
  </si>
  <si>
    <t>Юноши 16 - 17 (25.10.2004)/16</t>
  </si>
  <si>
    <t>63,20</t>
  </si>
  <si>
    <t>140,0</t>
  </si>
  <si>
    <t>Горецкий Егор</t>
  </si>
  <si>
    <t>2. Горецкий Егор</t>
  </si>
  <si>
    <t>Юноши 16 - 17 (02.11.2005)/15</t>
  </si>
  <si>
    <t>62,50</t>
  </si>
  <si>
    <t>60,0</t>
  </si>
  <si>
    <t>Николаев Рудольф</t>
  </si>
  <si>
    <t>1. Николаев Рудольф</t>
  </si>
  <si>
    <t>Юноши 16 - 17 (08.10.2004)/16</t>
  </si>
  <si>
    <t>73,30</t>
  </si>
  <si>
    <t xml:space="preserve">лично </t>
  </si>
  <si>
    <t>150,0</t>
  </si>
  <si>
    <t>Магомадов Салман</t>
  </si>
  <si>
    <t>1. Магомадов Салман</t>
  </si>
  <si>
    <t>Юноши 18 - 19 (06.11.2001)/19</t>
  </si>
  <si>
    <t>74,10</t>
  </si>
  <si>
    <t xml:space="preserve">Нальчик/Кабардино-Балкария республика </t>
  </si>
  <si>
    <t>175,0</t>
  </si>
  <si>
    <t>205,0</t>
  </si>
  <si>
    <t xml:space="preserve">Ингушев Черим Хажпагович </t>
  </si>
  <si>
    <t>Шитько Богдан</t>
  </si>
  <si>
    <t>1. Шитько Богдан</t>
  </si>
  <si>
    <t>Юниоры 20 - 23 (17.12.2000)/20</t>
  </si>
  <si>
    <t>75,00</t>
  </si>
  <si>
    <t xml:space="preserve">Dynamite Pro </t>
  </si>
  <si>
    <t xml:space="preserve">Майкоп/Адыгея </t>
  </si>
  <si>
    <t>122,5</t>
  </si>
  <si>
    <t>130,0</t>
  </si>
  <si>
    <t>137,5</t>
  </si>
  <si>
    <t>190,0</t>
  </si>
  <si>
    <t>200,0</t>
  </si>
  <si>
    <t xml:space="preserve">Никулин Руслан </t>
  </si>
  <si>
    <t>-. Бабичев Андрей</t>
  </si>
  <si>
    <t>Юниоры 20 - 23 (18.06.1998)/23</t>
  </si>
  <si>
    <t xml:space="preserve">Тульский/Адыгея республика </t>
  </si>
  <si>
    <t>-. Соловьев Евгений</t>
  </si>
  <si>
    <t>Мастера 40 - 44 (27.07.1979)/41</t>
  </si>
  <si>
    <t>73,60</t>
  </si>
  <si>
    <t>ВЕСОВАЯ КАТЕГОРИЯ   82.5</t>
  </si>
  <si>
    <t>Тубаев Эльдар</t>
  </si>
  <si>
    <t>1. Тубаев Эльдар</t>
  </si>
  <si>
    <t>Юноши 18 - 19 (29.08.2002)/18</t>
  </si>
  <si>
    <t>82,10</t>
  </si>
  <si>
    <t xml:space="preserve">Легион г. Нальчик </t>
  </si>
  <si>
    <t xml:space="preserve">Нальчик/Кабардино-Балкария </t>
  </si>
  <si>
    <t>160,0</t>
  </si>
  <si>
    <t>105,0</t>
  </si>
  <si>
    <t>112,5</t>
  </si>
  <si>
    <t>217,5</t>
  </si>
  <si>
    <t xml:space="preserve">Губжев Б.Р. </t>
  </si>
  <si>
    <t>Гузенков Денис</t>
  </si>
  <si>
    <t>1. Гузенков Денис</t>
  </si>
  <si>
    <t>Открытая (29.07.1982)/38</t>
  </si>
  <si>
    <t>81,80</t>
  </si>
  <si>
    <t>85,0</t>
  </si>
  <si>
    <t>185,0</t>
  </si>
  <si>
    <t>Ещенко Александр</t>
  </si>
  <si>
    <t>1. Ещенко Александр</t>
  </si>
  <si>
    <t>Мастера 60 - 64 (29.09.1957)/63</t>
  </si>
  <si>
    <t>82,50</t>
  </si>
  <si>
    <t>125,0</t>
  </si>
  <si>
    <t>ВЕСОВАЯ КАТЕГОРИЯ   90</t>
  </si>
  <si>
    <t>Михайлов Богдан</t>
  </si>
  <si>
    <t>1. Михайлов Богдан</t>
  </si>
  <si>
    <t>Юноши 0-13 (13.10.2009)/11</t>
  </si>
  <si>
    <t>86,20</t>
  </si>
  <si>
    <t>Питинов Дмитрий</t>
  </si>
  <si>
    <t>1. Питинов Дмитрий</t>
  </si>
  <si>
    <t>Юноши 18 - 19 (04.02.2002)/19</t>
  </si>
  <si>
    <t>83,90</t>
  </si>
  <si>
    <t>180,0</t>
  </si>
  <si>
    <t>Невзоров Алексей</t>
  </si>
  <si>
    <t>1. Невзоров Алексей</t>
  </si>
  <si>
    <t>Юниоры 20 - 23 (10.11.2000)/20</t>
  </si>
  <si>
    <t>88,10</t>
  </si>
  <si>
    <t>210,0</t>
  </si>
  <si>
    <t>220,0</t>
  </si>
  <si>
    <t>127,5</t>
  </si>
  <si>
    <t>230,0</t>
  </si>
  <si>
    <t>240,0</t>
  </si>
  <si>
    <t>262,5</t>
  </si>
  <si>
    <t>Мищенко Артем</t>
  </si>
  <si>
    <t>1. Мищенко Артем</t>
  </si>
  <si>
    <t>Открытая (26.06.1984)/37</t>
  </si>
  <si>
    <t>88,60</t>
  </si>
  <si>
    <t xml:space="preserve">TG </t>
  </si>
  <si>
    <t xml:space="preserve">Москва </t>
  </si>
  <si>
    <t>195,0</t>
  </si>
  <si>
    <t>197,5</t>
  </si>
  <si>
    <t>Смирнов Леонид</t>
  </si>
  <si>
    <t>1. Смирнов Леонид</t>
  </si>
  <si>
    <t>Мастера 60 - 64 (26.09.1957)/63</t>
  </si>
  <si>
    <t>89,80</t>
  </si>
  <si>
    <t xml:space="preserve">Смирнов Л </t>
  </si>
  <si>
    <t xml:space="preserve">Смирнов Л.А. </t>
  </si>
  <si>
    <t>ВЕСОВАЯ КАТЕГОРИЯ   100</t>
  </si>
  <si>
    <t>Никишин Олег</t>
  </si>
  <si>
    <t>1. Никишин Олег</t>
  </si>
  <si>
    <t>Юноши 16 - 17 (07.05.2004)/17</t>
  </si>
  <si>
    <t>100,00</t>
  </si>
  <si>
    <t>Армашевский Михаил</t>
  </si>
  <si>
    <t>1. Армашевский Михаил</t>
  </si>
  <si>
    <t>Открытая (07.05.1996)/25</t>
  </si>
  <si>
    <t>98,20</t>
  </si>
  <si>
    <t xml:space="preserve">Армашевский М </t>
  </si>
  <si>
    <t xml:space="preserve">Джимов Владимир </t>
  </si>
  <si>
    <t>Омаров Олег</t>
  </si>
  <si>
    <t>1. Омаров Олег</t>
  </si>
  <si>
    <t>Мастера 45 - 49 (17.02.1973)/48</t>
  </si>
  <si>
    <t>96,80</t>
  </si>
  <si>
    <t>Новосельцев Олег</t>
  </si>
  <si>
    <t>1. Новосельцев Олег</t>
  </si>
  <si>
    <t>Открытая (10.05.1985)/36</t>
  </si>
  <si>
    <t>109,00</t>
  </si>
  <si>
    <t>215,0</t>
  </si>
  <si>
    <t>280,0</t>
  </si>
  <si>
    <t>290,0</t>
  </si>
  <si>
    <t>300,0</t>
  </si>
  <si>
    <t>ВЕСОВАЯ КАТЕГОРИЯ   125</t>
  </si>
  <si>
    <t>Кушчетеров Юрий</t>
  </si>
  <si>
    <t>1. Кушчетеров Юрий</t>
  </si>
  <si>
    <t>Юноши 18 - 19 (25.10.2002)/18</t>
  </si>
  <si>
    <t>121,10</t>
  </si>
  <si>
    <t>Бесчасный Денис</t>
  </si>
  <si>
    <t>1. Бесчасный Денис</t>
  </si>
  <si>
    <t>Открытая (11.03.1988)/33</t>
  </si>
  <si>
    <t>122,30</t>
  </si>
  <si>
    <t>250,0</t>
  </si>
  <si>
    <t>ВЕСОВАЯ КАТЕГОРИЯ   140</t>
  </si>
  <si>
    <t>Рогов Егор</t>
  </si>
  <si>
    <t>1. Рогов Егор</t>
  </si>
  <si>
    <t>Открытая (03.11.1991)/29</t>
  </si>
  <si>
    <t>130,00</t>
  </si>
  <si>
    <t xml:space="preserve">Женщины </t>
  </si>
  <si>
    <t>52</t>
  </si>
  <si>
    <t>184,1765</t>
  </si>
  <si>
    <t>75</t>
  </si>
  <si>
    <t>180,8835</t>
  </si>
  <si>
    <t xml:space="preserve">Мастера </t>
  </si>
  <si>
    <t xml:space="preserve">Мастера 40 - 44 </t>
  </si>
  <si>
    <t>327,5</t>
  </si>
  <si>
    <t>252,2077</t>
  </si>
  <si>
    <t xml:space="preserve">Юноши </t>
  </si>
  <si>
    <t xml:space="preserve">Юноши 18 - 19 </t>
  </si>
  <si>
    <t>82.5</t>
  </si>
  <si>
    <t>480,0</t>
  </si>
  <si>
    <t>316,1683</t>
  </si>
  <si>
    <t>435,0</t>
  </si>
  <si>
    <t>303,4699</t>
  </si>
  <si>
    <t xml:space="preserve">Юноши 16 - 17 </t>
  </si>
  <si>
    <t>67.5</t>
  </si>
  <si>
    <t>320,0</t>
  </si>
  <si>
    <t>279,0467</t>
  </si>
  <si>
    <t>90</t>
  </si>
  <si>
    <t>400,0</t>
  </si>
  <si>
    <t>254,6752</t>
  </si>
  <si>
    <t>330,0</t>
  </si>
  <si>
    <t>252,3414</t>
  </si>
  <si>
    <t>100</t>
  </si>
  <si>
    <t>420,0</t>
  </si>
  <si>
    <t>251,2944</t>
  </si>
  <si>
    <t>60</t>
  </si>
  <si>
    <t>275,0</t>
  </si>
  <si>
    <t>244,7874</t>
  </si>
  <si>
    <t xml:space="preserve">Юноши 0-13 </t>
  </si>
  <si>
    <t>226,1503</t>
  </si>
  <si>
    <t>192,2957</t>
  </si>
  <si>
    <t>184,1272</t>
  </si>
  <si>
    <t>125</t>
  </si>
  <si>
    <t>167,2362</t>
  </si>
  <si>
    <t xml:space="preserve">Юниоры </t>
  </si>
  <si>
    <t xml:space="preserve">Юниоры 20 - 23 </t>
  </si>
  <si>
    <t>580,0</t>
  </si>
  <si>
    <t>354,2582</t>
  </si>
  <si>
    <t>460,0</t>
  </si>
  <si>
    <t>314,8401</t>
  </si>
  <si>
    <t>376,3900</t>
  </si>
  <si>
    <t>640,0</t>
  </si>
  <si>
    <t>335,7440</t>
  </si>
  <si>
    <t>140</t>
  </si>
  <si>
    <t>575,0</t>
  </si>
  <si>
    <t>296,1250</t>
  </si>
  <si>
    <t>505,0</t>
  </si>
  <si>
    <t>282,0930</t>
  </si>
  <si>
    <t>440,0</t>
  </si>
  <si>
    <t>260,0400</t>
  </si>
  <si>
    <t>390,0</t>
  </si>
  <si>
    <t>242,9700</t>
  </si>
  <si>
    <t xml:space="preserve">Мастера 60 - 64 </t>
  </si>
  <si>
    <t>470,0</t>
  </si>
  <si>
    <t>526,8385</t>
  </si>
  <si>
    <t>295,0</t>
  </si>
  <si>
    <t>312,9481</t>
  </si>
  <si>
    <t xml:space="preserve">Мастера 45 - 49 </t>
  </si>
  <si>
    <t>263,8443</t>
  </si>
  <si>
    <t>СВЕТОГОР ПРО - XI
ПРО пауэрлифтинг без экипировки
Краснодар/Краснодарский край 24 - 25 июля 2021 г.</t>
  </si>
  <si>
    <t>Лемешко Александр</t>
  </si>
  <si>
    <t>1. Лемешко Александр</t>
  </si>
  <si>
    <t>Юноши 0-13 (26.05.2009)/12</t>
  </si>
  <si>
    <t>35,80</t>
  </si>
  <si>
    <t>22,5</t>
  </si>
  <si>
    <t>27,5</t>
  </si>
  <si>
    <t>Корсунов Илья</t>
  </si>
  <si>
    <t>1. Корсунов Илья</t>
  </si>
  <si>
    <t>Открытая (27.06.1990)/31</t>
  </si>
  <si>
    <t xml:space="preserve">Lightfit </t>
  </si>
  <si>
    <t xml:space="preserve">Краснодар/Краснодарский край </t>
  </si>
  <si>
    <t>162,5</t>
  </si>
  <si>
    <t xml:space="preserve">Грибов А. </t>
  </si>
  <si>
    <t>Ухоботов Владимир</t>
  </si>
  <si>
    <t>1. Ухоботов Владимир</t>
  </si>
  <si>
    <t>Мастера 40 - 44 (18.06.1978)/43</t>
  </si>
  <si>
    <t xml:space="preserve">Светогор-про </t>
  </si>
  <si>
    <t>Дороничев Сергей</t>
  </si>
  <si>
    <t>1. Дороничев Сергей</t>
  </si>
  <si>
    <t>Открытая (06.11.1982)/38</t>
  </si>
  <si>
    <t>101,00</t>
  </si>
  <si>
    <t xml:space="preserve">СК Каскад </t>
  </si>
  <si>
    <t xml:space="preserve">Тимашёвск/Краснодарский край </t>
  </si>
  <si>
    <t>165,0</t>
  </si>
  <si>
    <t xml:space="preserve">Крят И. </t>
  </si>
  <si>
    <t>205,9583</t>
  </si>
  <si>
    <t>707,5</t>
  </si>
  <si>
    <t>419,5475</t>
  </si>
  <si>
    <t>353,0880</t>
  </si>
  <si>
    <t>620,0</t>
  </si>
  <si>
    <t>349,6627</t>
  </si>
  <si>
    <t>СВЕТОГОР ПРО - XI
Любители военный жим классический
Краснодар/Краснодарский край 24 - 25 июля 2021 г.</t>
  </si>
  <si>
    <t xml:space="preserve">Результат </t>
  </si>
  <si>
    <t>116,6925</t>
  </si>
  <si>
    <t>Результат</t>
  </si>
  <si>
    <t>СВЕТОГОР ПРО - XI
ПРО жим лежа в однослойной экипировке
Краснодар/Краснодарский край 24 - 25 июля 2021 г.</t>
  </si>
  <si>
    <t>СВЕТОГОР ПРО - XI
Любители жим лежа без экипировки
Краснодар/Краснодарский край 24 - 25 июля 2021 г.</t>
  </si>
  <si>
    <t>ВЕСОВАЯ КАТЕГОРИЯ   48</t>
  </si>
  <si>
    <t>Захарова Анастасия</t>
  </si>
  <si>
    <t>1. Захарова Анастасия</t>
  </si>
  <si>
    <t>Открытая (19.03.1995)/26</t>
  </si>
  <si>
    <t>46,70</t>
  </si>
  <si>
    <t xml:space="preserve">Spot-Leif </t>
  </si>
  <si>
    <t xml:space="preserve">Кропоткин/Краснодарский край </t>
  </si>
  <si>
    <t xml:space="preserve">Космынин Владимир </t>
  </si>
  <si>
    <t>Степанова Ирина</t>
  </si>
  <si>
    <t>1. Степанова Ирина</t>
  </si>
  <si>
    <t>Открытая (19.08.1987)/33</t>
  </si>
  <si>
    <t>51,90</t>
  </si>
  <si>
    <t xml:space="preserve">Светогор - про </t>
  </si>
  <si>
    <t>42,5</t>
  </si>
  <si>
    <t xml:space="preserve">Ухоботов Владимир </t>
  </si>
  <si>
    <t>Федюнина Яна</t>
  </si>
  <si>
    <t>1. Федюнина Яна</t>
  </si>
  <si>
    <t>Мастера 45 - 49 (15.11.1975)/45</t>
  </si>
  <si>
    <t>65,60</t>
  </si>
  <si>
    <t xml:space="preserve">Федюнина Я </t>
  </si>
  <si>
    <t>72,5</t>
  </si>
  <si>
    <t xml:space="preserve">Прагин Роман </t>
  </si>
  <si>
    <t>ВЕСОВАЯ КАТЕГОРИЯ   56</t>
  </si>
  <si>
    <t>Лысенко Юрий</t>
  </si>
  <si>
    <t>1. Лысенко Юрий</t>
  </si>
  <si>
    <t>Юноши 14-15 (06.09.2006)/14</t>
  </si>
  <si>
    <t>55,40</t>
  </si>
  <si>
    <t xml:space="preserve">Lyashko Team </t>
  </si>
  <si>
    <t xml:space="preserve">Северская/Краснодарский край </t>
  </si>
  <si>
    <t xml:space="preserve">Ляшко Василий </t>
  </si>
  <si>
    <t>Панченко Ростислав</t>
  </si>
  <si>
    <t>1. Панченко Ростислав</t>
  </si>
  <si>
    <t>67,50</t>
  </si>
  <si>
    <t xml:space="preserve">Панченко Р </t>
  </si>
  <si>
    <t>Гордиенко Богдан</t>
  </si>
  <si>
    <t>1. Гордиенко Богдан</t>
  </si>
  <si>
    <t>Юноши 14-15 (07.07.2006)/15</t>
  </si>
  <si>
    <t>68,60</t>
  </si>
  <si>
    <t xml:space="preserve">NEOFIT </t>
  </si>
  <si>
    <t xml:space="preserve">Старощербиновская/Краснодарский край </t>
  </si>
  <si>
    <t xml:space="preserve">Носов А. </t>
  </si>
  <si>
    <t>Гринкевич Егор</t>
  </si>
  <si>
    <t>1. Гринкевич Егор</t>
  </si>
  <si>
    <t>Юниоры 20 - 23 (25.07.1997)/24</t>
  </si>
  <si>
    <t>74,80</t>
  </si>
  <si>
    <t xml:space="preserve">Ястреб </t>
  </si>
  <si>
    <t xml:space="preserve">Константин Смыченко </t>
  </si>
  <si>
    <t>2. Шитько Богдан</t>
  </si>
  <si>
    <t>Дворкин Леонид</t>
  </si>
  <si>
    <t>1. Дворкин Леонид</t>
  </si>
  <si>
    <t>Мастера 80+ (23.01.1941)/80</t>
  </si>
  <si>
    <t>74,00</t>
  </si>
  <si>
    <t xml:space="preserve">Проф-фитнес </t>
  </si>
  <si>
    <t>97,5</t>
  </si>
  <si>
    <t>102,5</t>
  </si>
  <si>
    <t xml:space="preserve">Авраменко О. </t>
  </si>
  <si>
    <t>Косолапов Анатолий</t>
  </si>
  <si>
    <t>1. Косолапов Анатолий</t>
  </si>
  <si>
    <t>Открытая (18.04.1990)/31</t>
  </si>
  <si>
    <t>80,00</t>
  </si>
  <si>
    <t xml:space="preserve">FTZ </t>
  </si>
  <si>
    <t xml:space="preserve">Георг </t>
  </si>
  <si>
    <t>Тимофеев Виктор</t>
  </si>
  <si>
    <t>2. Тимофеев Виктор</t>
  </si>
  <si>
    <t>Открытая (29.07.1991)/29</t>
  </si>
  <si>
    <t>82,00</t>
  </si>
  <si>
    <t xml:space="preserve">Олимп </t>
  </si>
  <si>
    <t xml:space="preserve">Волжский/Волгоградская область </t>
  </si>
  <si>
    <t>Третьяков Сергей</t>
  </si>
  <si>
    <t>1. Третьяков Сергей</t>
  </si>
  <si>
    <t>Мастера 40 - 44 (21.09.1977)/43</t>
  </si>
  <si>
    <t>80,60</t>
  </si>
  <si>
    <t xml:space="preserve">Третьяков С </t>
  </si>
  <si>
    <t xml:space="preserve">Протосеня Юрий </t>
  </si>
  <si>
    <t>Логинов Александр</t>
  </si>
  <si>
    <t>2. Логинов Александр</t>
  </si>
  <si>
    <t>Мастера 40 - 44 (19.07.1981)/40</t>
  </si>
  <si>
    <t>77,70</t>
  </si>
  <si>
    <t xml:space="preserve">Логинов А </t>
  </si>
  <si>
    <t xml:space="preserve">89604821472 </t>
  </si>
  <si>
    <t>Рябко Валерий</t>
  </si>
  <si>
    <t>1. Рябко Валерий</t>
  </si>
  <si>
    <t>Юноши 14-15 (23.03.2006)/15</t>
  </si>
  <si>
    <t>85,40</t>
  </si>
  <si>
    <t>Гадиев Казбек</t>
  </si>
  <si>
    <t>1. Гадиев Казбек</t>
  </si>
  <si>
    <t>Мастера 40 - 44 (30.05.1980)/41</t>
  </si>
  <si>
    <t>90,00</t>
  </si>
  <si>
    <t>Куданов Иван</t>
  </si>
  <si>
    <t>1. Куданов Иван</t>
  </si>
  <si>
    <t>Юниоры 20 - 23 (08.11.1998)/22</t>
  </si>
  <si>
    <t xml:space="preserve">Шлыков Алексей </t>
  </si>
  <si>
    <t>Брянцев Николай</t>
  </si>
  <si>
    <t>1. Брянцев Николай</t>
  </si>
  <si>
    <t>Мастера 40 - 44 (29.06.1978)/43</t>
  </si>
  <si>
    <t xml:space="preserve">Космынин В. </t>
  </si>
  <si>
    <t>48</t>
  </si>
  <si>
    <t>52,8750</t>
  </si>
  <si>
    <t>43,6882</t>
  </si>
  <si>
    <t>60,6662</t>
  </si>
  <si>
    <t>48,1312</t>
  </si>
  <si>
    <t xml:space="preserve">Юноши 14-15 </t>
  </si>
  <si>
    <t>56</t>
  </si>
  <si>
    <t>78,9466</t>
  </si>
  <si>
    <t>50,6574</t>
  </si>
  <si>
    <t>48,4608</t>
  </si>
  <si>
    <t>46,4035</t>
  </si>
  <si>
    <t>91,5612</t>
  </si>
  <si>
    <t>90,9253</t>
  </si>
  <si>
    <t>88,9765</t>
  </si>
  <si>
    <t>74,7574</t>
  </si>
  <si>
    <t>112,2900</t>
  </si>
  <si>
    <t>85,4415</t>
  </si>
  <si>
    <t>71,5185</t>
  </si>
  <si>
    <t xml:space="preserve">Мастера 80+ </t>
  </si>
  <si>
    <t>143,7358</t>
  </si>
  <si>
    <t>132,6051</t>
  </si>
  <si>
    <t>90,3175</t>
  </si>
  <si>
    <t>79,2526</t>
  </si>
  <si>
    <t>73,6956</t>
  </si>
  <si>
    <t>72,7538</t>
  </si>
  <si>
    <t>СВЕТОГОР ПРО - XI
ПРО жим лежа без экипировки
Краснодар/Краснодарский край 24 - 25 июля 2021 г.</t>
  </si>
  <si>
    <t>-. Куликов Кирилл</t>
  </si>
  <si>
    <t>Открытая (04.10.1987)/33</t>
  </si>
  <si>
    <t>97,40</t>
  </si>
  <si>
    <t xml:space="preserve">Куликов К </t>
  </si>
  <si>
    <t>СВЕТОГОР ПРО - XI
Любители жим лежа в Софт экипировка однопетельная
Краснодар/Краснодарский край 24 - 25 июля 2021 г.</t>
  </si>
  <si>
    <t>Рассказов Александр</t>
  </si>
  <si>
    <t>1. Рассказов Александр</t>
  </si>
  <si>
    <t>Мастера 60 - 64 (27.06.1961)/60</t>
  </si>
  <si>
    <t>89,70</t>
  </si>
  <si>
    <t xml:space="preserve">Варги </t>
  </si>
  <si>
    <t xml:space="preserve">Майкоп/Адыгея республика </t>
  </si>
  <si>
    <t xml:space="preserve">Манченко А. </t>
  </si>
  <si>
    <t>173,6626</t>
  </si>
  <si>
    <t>СВЕТОГОР ПРО - XI
ПРО жим лежа Софт экипировка однопетельная
Краснодар/Краснодарский край 24 - 25 июля 2021 г.</t>
  </si>
  <si>
    <t>Уткин Андрей</t>
  </si>
  <si>
    <t>1. Уткин Андрей</t>
  </si>
  <si>
    <t>Открытая (21.12.1976)/44</t>
  </si>
  <si>
    <t>89,20</t>
  </si>
  <si>
    <t xml:space="preserve">Уткин А </t>
  </si>
  <si>
    <t>158,8950</t>
  </si>
  <si>
    <t>СВЕТОГОР ПРО - XI
Любители жим лежа в Софт экипировка многопетельная
Краснодар/Краснодарский край 24 - 25 июля 2021 г.</t>
  </si>
  <si>
    <t>ВЕСОВАЯ КАТЕГОРИЯ   140+</t>
  </si>
  <si>
    <t>Маслов Владимир</t>
  </si>
  <si>
    <t>1. Маслов Владимир</t>
  </si>
  <si>
    <t>Открытая (11.03.1992)/29</t>
  </si>
  <si>
    <t>145,50</t>
  </si>
  <si>
    <t>285,0</t>
  </si>
  <si>
    <t>140+</t>
  </si>
  <si>
    <t>141,7875</t>
  </si>
  <si>
    <t>СВЕТОГОР ПРО - XI
ПРО жим лежа в Софт экипировка многопетельная
Краснодар/Краснодарский край 24 - 25 июля 2021 г.</t>
  </si>
  <si>
    <t>Космынин Владимир</t>
  </si>
  <si>
    <t>1. Космынин Владимир</t>
  </si>
  <si>
    <t>Мастера 60 - 64 (12.06.1960)/61</t>
  </si>
  <si>
    <t>70,90</t>
  </si>
  <si>
    <t>Клименко Иван</t>
  </si>
  <si>
    <t>1. Клименко Иван</t>
  </si>
  <si>
    <t>Открытая (20.11.1980)/40</t>
  </si>
  <si>
    <t>105,70</t>
  </si>
  <si>
    <t xml:space="preserve">Новоспорт </t>
  </si>
  <si>
    <t xml:space="preserve">Иванов Алексей </t>
  </si>
  <si>
    <t>143,7890</t>
  </si>
  <si>
    <t>212,8315</t>
  </si>
  <si>
    <t>СВЕТОГОР ПРО - XI
Любители становая тяга без экипировки
Краснодар/Краснодарский край 24 - 25 июля 2021 г.</t>
  </si>
  <si>
    <t>Евсеенкова Юлия</t>
  </si>
  <si>
    <t>1. Евсеенкова Юлия</t>
  </si>
  <si>
    <t>Открытая (02.05.1983)/38</t>
  </si>
  <si>
    <t>54,50</t>
  </si>
  <si>
    <t xml:space="preserve">Ты можешь! </t>
  </si>
  <si>
    <t xml:space="preserve">Чугунов Е.Г. </t>
  </si>
  <si>
    <t>Бородаенко Екатерина</t>
  </si>
  <si>
    <t>1. Бородаенко Екатерина</t>
  </si>
  <si>
    <t>Открытая (06.02.1985)/36</t>
  </si>
  <si>
    <t>59,00</t>
  </si>
  <si>
    <t xml:space="preserve">Ляшко Тим </t>
  </si>
  <si>
    <t>Скиба Олеся</t>
  </si>
  <si>
    <t>1. Скиба Олеся</t>
  </si>
  <si>
    <t>Открытая (17.11.1986)/34</t>
  </si>
  <si>
    <t>72,90</t>
  </si>
  <si>
    <t>167,5</t>
  </si>
  <si>
    <t>ВЕСОВАЯ КАТЕГОРИЯ   90+</t>
  </si>
  <si>
    <t>Лысенко Натела</t>
  </si>
  <si>
    <t>1. Лысенко Натела</t>
  </si>
  <si>
    <t>Мастера 40 - 44 (07.08.1978)/42</t>
  </si>
  <si>
    <t>120,00</t>
  </si>
  <si>
    <t>107,5</t>
  </si>
  <si>
    <t>Разумовский Роман</t>
  </si>
  <si>
    <t>1. Разумовский Роман</t>
  </si>
  <si>
    <t>Юниоры 20 - 23 (13.06.2001)/20</t>
  </si>
  <si>
    <t>Бориев Амир</t>
  </si>
  <si>
    <t>1. Бориев Амир</t>
  </si>
  <si>
    <t>Открытая (04.07.1992)/29</t>
  </si>
  <si>
    <t>66,50</t>
  </si>
  <si>
    <t>192,5</t>
  </si>
  <si>
    <t>Масляков Сергей</t>
  </si>
  <si>
    <t>1. Масляков Сергей</t>
  </si>
  <si>
    <t>Мастера 50 - 54 (14.03.1970)/51</t>
  </si>
  <si>
    <t>67,20</t>
  </si>
  <si>
    <t xml:space="preserve">Старжим </t>
  </si>
  <si>
    <t xml:space="preserve">Староминская/Краснодарский край </t>
  </si>
  <si>
    <t xml:space="preserve">Кожушний </t>
  </si>
  <si>
    <t>Бочарников Кирилл</t>
  </si>
  <si>
    <t>1. Бочарников Кирилл</t>
  </si>
  <si>
    <t>Открытая (21.07.1995)/26</t>
  </si>
  <si>
    <t>73,80</t>
  </si>
  <si>
    <t>Соловьенко Савва</t>
  </si>
  <si>
    <t>2. Соловьенко Савва</t>
  </si>
  <si>
    <t>Юноши 18 - 19 (23.11.2002)/18</t>
  </si>
  <si>
    <t>81,70</t>
  </si>
  <si>
    <t xml:space="preserve">Грибов team </t>
  </si>
  <si>
    <t>Чистяков Евгений</t>
  </si>
  <si>
    <t>1. Чистяков Евгений</t>
  </si>
  <si>
    <t>Открытая (11.04.1993)/28</t>
  </si>
  <si>
    <t>87,90</t>
  </si>
  <si>
    <t xml:space="preserve">Чистяков Е </t>
  </si>
  <si>
    <t>Шапошник Дмитрий</t>
  </si>
  <si>
    <t>2. Шапошник Дмитрий</t>
  </si>
  <si>
    <t>Мастера 40 - 44 (28.01.1980)/41</t>
  </si>
  <si>
    <t xml:space="preserve">Карпов В.В. </t>
  </si>
  <si>
    <t>Козедуб Владимир</t>
  </si>
  <si>
    <t>1. Козедуб Владимир</t>
  </si>
  <si>
    <t>Открытая (01.11.1991)/29</t>
  </si>
  <si>
    <t>96,50</t>
  </si>
  <si>
    <t xml:space="preserve">Козедуб В </t>
  </si>
  <si>
    <t>Омельченко Денис</t>
  </si>
  <si>
    <t>2. Омельченко Денис</t>
  </si>
  <si>
    <t>Открытая (09.10.1988)/32</t>
  </si>
  <si>
    <t>242,5</t>
  </si>
  <si>
    <t>Давыдов Денис</t>
  </si>
  <si>
    <t>1. Давыдов Денис</t>
  </si>
  <si>
    <t>Мастера 40 - 44 (23.01.1980)/41</t>
  </si>
  <si>
    <t>109,20</t>
  </si>
  <si>
    <t>123,4224</t>
  </si>
  <si>
    <t>113,5095</t>
  </si>
  <si>
    <t>102,5860</t>
  </si>
  <si>
    <t>111,6645</t>
  </si>
  <si>
    <t>90+</t>
  </si>
  <si>
    <t>78,5618</t>
  </si>
  <si>
    <t>135,0302</t>
  </si>
  <si>
    <t>132,1820</t>
  </si>
  <si>
    <t>122,5034</t>
  </si>
  <si>
    <t>92,8831</t>
  </si>
  <si>
    <t>78,0436</t>
  </si>
  <si>
    <t>84,1021</t>
  </si>
  <si>
    <t>147,1400</t>
  </si>
  <si>
    <t>140,8250</t>
  </si>
  <si>
    <t>139,5665</t>
  </si>
  <si>
    <t>130,1900</t>
  </si>
  <si>
    <t>100,9500</t>
  </si>
  <si>
    <t xml:space="preserve">Мастера 50 - 54 </t>
  </si>
  <si>
    <t>168,8908</t>
  </si>
  <si>
    <t>113,2136</t>
  </si>
  <si>
    <t>111,5406</t>
  </si>
  <si>
    <t>99,9359</t>
  </si>
  <si>
    <t>СВЕТОГОР ПРО - XI
ПРО становая тяга без экипировки
Краснодар/Краснодарский край 24 - 25 июля 2021 г.</t>
  </si>
  <si>
    <t>Мащенко Роман</t>
  </si>
  <si>
    <t>1. Мащенко Роман</t>
  </si>
  <si>
    <t>Открытая (29.10.1983)/37</t>
  </si>
  <si>
    <t>92,20</t>
  </si>
  <si>
    <t xml:space="preserve">Лайт Фит </t>
  </si>
  <si>
    <t>Таловасов Анатолий</t>
  </si>
  <si>
    <t>1. Таловасов Анатолий</t>
  </si>
  <si>
    <t>Мастера 60 - 64 (01.12.1960)/60</t>
  </si>
  <si>
    <t xml:space="preserve">Антал </t>
  </si>
  <si>
    <t>257,0</t>
  </si>
  <si>
    <t>Ляшко Василий</t>
  </si>
  <si>
    <t>1. Ляшко Василий</t>
  </si>
  <si>
    <t>Открытая (15.07.1982)/39</t>
  </si>
  <si>
    <t>108,60</t>
  </si>
  <si>
    <t>80,7680</t>
  </si>
  <si>
    <t>171,9700</t>
  </si>
  <si>
    <t>150,6960</t>
  </si>
  <si>
    <t>109,6680</t>
  </si>
  <si>
    <t>223,2759</t>
  </si>
  <si>
    <t>СВЕТОГОР ПРО - XI
Любители становая тяга в софт экипировке
Краснодар/Краснодарский край 24 - 25 июля 2021 г.</t>
  </si>
  <si>
    <t>Ляшко Наталья</t>
  </si>
  <si>
    <t>1. Ляшко Наталья</t>
  </si>
  <si>
    <t>Открытая (06.01.1986)/35</t>
  </si>
  <si>
    <t>111,3266</t>
  </si>
  <si>
    <t>СВЕТОГОР ПРО - XI
Любители присед без экипировки
Краснодар/Краснодарский край 24 - 25 июля 2021 г.</t>
  </si>
  <si>
    <t>-. Шапошник Дмитрий</t>
  </si>
  <si>
    <t>84,8063</t>
  </si>
  <si>
    <t>87,4900</t>
  </si>
  <si>
    <t>СВЕТОГОР ПРО - XI
ПРО присед без экипировки
Краснодар/Краснодарский край 24 - 25 июля 2021 г.</t>
  </si>
  <si>
    <t>СВЕТОГОР ПРО - XI
Силовое двоеборье профессионалы
Краснодар/Краснодарский край 24 - 25 июля 2021 г.</t>
  </si>
  <si>
    <t>Скляр Олег</t>
  </si>
  <si>
    <t>1. Скляр Олег</t>
  </si>
  <si>
    <t>Мастера 55 - 59 (21.06.1966)/55</t>
  </si>
  <si>
    <t>107,20</t>
  </si>
  <si>
    <t xml:space="preserve">Спарта </t>
  </si>
  <si>
    <t xml:space="preserve">Скляр О.Ю. </t>
  </si>
  <si>
    <t xml:space="preserve">Мастера 55 - 59 </t>
  </si>
  <si>
    <t>450,0</t>
  </si>
  <si>
    <t>335,4642</t>
  </si>
  <si>
    <t>1485,6390</t>
  </si>
  <si>
    <t>2070,0</t>
  </si>
  <si>
    <t>Прагин Роман</t>
  </si>
  <si>
    <t xml:space="preserve">НАП Н.Ж. </t>
  </si>
  <si>
    <t>23,0</t>
  </si>
  <si>
    <t xml:space="preserve">Прагин Р </t>
  </si>
  <si>
    <t>89,50</t>
  </si>
  <si>
    <t>Открытая (02.06.1986)/35</t>
  </si>
  <si>
    <t>1. Прагин Роман</t>
  </si>
  <si>
    <t>Тоннаж</t>
  </si>
  <si>
    <t>Мн.повт. жим</t>
  </si>
  <si>
    <t>НАП Н.Ж.</t>
  </si>
  <si>
    <t>СВЕТОГОР ПРО - XI (Многоповторный)
ПРО Военный жим многоповторный
Краснодар/Краснодарский край 24 - 25 июля 2021 г.</t>
  </si>
  <si>
    <t>2388,8220</t>
  </si>
  <si>
    <t>2580,0</t>
  </si>
  <si>
    <t>Рудь Юлия</t>
  </si>
  <si>
    <t>43,0</t>
  </si>
  <si>
    <t>58,70</t>
  </si>
  <si>
    <t>Открытая (20.04.1993)/28</t>
  </si>
  <si>
    <t>1. Рудь Юлия</t>
  </si>
  <si>
    <t>Народная становая</t>
  </si>
  <si>
    <t>СВЕТОГОР ПРО - XI (Многоповторный)
Любители народная становая тяга
Краснодар/Краснодарский край 24 - 25 июля 2021 г.</t>
  </si>
  <si>
    <t>1066,7360</t>
  </si>
  <si>
    <t>1520,0</t>
  </si>
  <si>
    <t>Смыченко Константин</t>
  </si>
  <si>
    <t>5914,7549</t>
  </si>
  <si>
    <t>7425,0</t>
  </si>
  <si>
    <t>Чкана Дмитрий</t>
  </si>
  <si>
    <t>16,0</t>
  </si>
  <si>
    <t xml:space="preserve">Гулькевичи/Краснодарский край </t>
  </si>
  <si>
    <t xml:space="preserve">Lucky fit </t>
  </si>
  <si>
    <t>94,30</t>
  </si>
  <si>
    <t>Открытая (07.09.1983)/37</t>
  </si>
  <si>
    <t>1. Смыченко Константин</t>
  </si>
  <si>
    <t xml:space="preserve">Воронин Евгений </t>
  </si>
  <si>
    <t>99,0</t>
  </si>
  <si>
    <t xml:space="preserve">Евпатория/Крым </t>
  </si>
  <si>
    <t xml:space="preserve">Домкрат </t>
  </si>
  <si>
    <t>Открытая (23.07.1988)/33</t>
  </si>
  <si>
    <t>1. Чкана Дмитрий</t>
  </si>
  <si>
    <t>Народный жим</t>
  </si>
  <si>
    <t>СВЕТОГОР ПРО - XI (Многоповторный)
Профессионалы народный жим (1 вес)
Краснодар/Краснодарский край 24 - 25 июля 2021 г.</t>
  </si>
  <si>
    <t>643,1310</t>
  </si>
  <si>
    <t>855,0</t>
  </si>
  <si>
    <t>2132,3785</t>
  </si>
  <si>
    <t>1242,5</t>
  </si>
  <si>
    <t>19,0</t>
  </si>
  <si>
    <t>71,0</t>
  </si>
  <si>
    <t>17,5</t>
  </si>
  <si>
    <t>СВЕТОГОР ПРО - XI (Многоповторный)
Любители народный жим (1/2 вес)
Краснодар/Краснодарский край 24 - 25 июля 2021 г.</t>
  </si>
  <si>
    <t>717,9300</t>
  </si>
  <si>
    <t>900,0</t>
  </si>
  <si>
    <t>2,0</t>
  </si>
  <si>
    <t>-. Логинов Александр</t>
  </si>
  <si>
    <t>12,0</t>
  </si>
  <si>
    <t>СВЕТОГОР ПРО - XI (Многоповторный)
Любители народный жим (1 вес)
Краснодар/Краснодарский край 24 - 25 июля 2021 г.</t>
  </si>
  <si>
    <t>106,3800</t>
  </si>
  <si>
    <t>Подъем на бицепс</t>
  </si>
  <si>
    <t>Жим стоя</t>
  </si>
  <si>
    <t>СВЕТОГОР ПРО - XI (Пауэрспорт)
Пауэрспорт Любители
Краснодар/Краснодарский край 24 - 25 июля 2021 г.</t>
  </si>
  <si>
    <t>42,5400</t>
  </si>
  <si>
    <t>Мусаев Аюб</t>
  </si>
  <si>
    <t xml:space="preserve">Грозный/Чечня </t>
  </si>
  <si>
    <t>95,20</t>
  </si>
  <si>
    <t>Открытая (01.09.1986)/34</t>
  </si>
  <si>
    <t>1. Мусаев Аюб</t>
  </si>
  <si>
    <t>СВЕТОГОР ПРО - XI (Пауэрспорт)
Одиночный подъём штанги на бицепс Профессионалы
Краснодар/Краснодарский край 24 - 25 июля 2021 г.</t>
  </si>
  <si>
    <t>33,7557</t>
  </si>
  <si>
    <t>35,2715</t>
  </si>
  <si>
    <t>37,1853</t>
  </si>
  <si>
    <t>40,6817</t>
  </si>
  <si>
    <t>Доронин Игорь</t>
  </si>
  <si>
    <t>44,3814</t>
  </si>
  <si>
    <t>Сажин Александр</t>
  </si>
  <si>
    <t>44,5151</t>
  </si>
  <si>
    <t>Соловьев Евгений</t>
  </si>
  <si>
    <t>55,6942</t>
  </si>
  <si>
    <t>33,5635</t>
  </si>
  <si>
    <t>47,5</t>
  </si>
  <si>
    <t>Смирнов Алексей</t>
  </si>
  <si>
    <t>40,0380</t>
  </si>
  <si>
    <t>Клинков Антон</t>
  </si>
  <si>
    <t>40,4235</t>
  </si>
  <si>
    <t>40,5600</t>
  </si>
  <si>
    <t>43,0578</t>
  </si>
  <si>
    <t>44,3250</t>
  </si>
  <si>
    <t>39,2098</t>
  </si>
  <si>
    <t>Хачетлов Кантемир</t>
  </si>
  <si>
    <t>41,1264</t>
  </si>
  <si>
    <t>Тлупов Темболат</t>
  </si>
  <si>
    <t>46,1621</t>
  </si>
  <si>
    <t>82,5</t>
  </si>
  <si>
    <t>24,2304</t>
  </si>
  <si>
    <t>15,0</t>
  </si>
  <si>
    <t>25,0854</t>
  </si>
  <si>
    <t>35,8823</t>
  </si>
  <si>
    <t>39,6738</t>
  </si>
  <si>
    <t>Ишбаев Ренат</t>
  </si>
  <si>
    <t>41,8579</t>
  </si>
  <si>
    <t>42,8145</t>
  </si>
  <si>
    <t>48,0842</t>
  </si>
  <si>
    <t>Хацимов Изнаур</t>
  </si>
  <si>
    <t>30,8040</t>
  </si>
  <si>
    <t>19,3870</t>
  </si>
  <si>
    <t>20,0</t>
  </si>
  <si>
    <t xml:space="preserve">Шаболовский Александр </t>
  </si>
  <si>
    <t xml:space="preserve">Ейск/Краснодарский край </t>
  </si>
  <si>
    <t xml:space="preserve">Здравница </t>
  </si>
  <si>
    <t>106,80</t>
  </si>
  <si>
    <t>Мастера 40 - 44 (04.05.1980)/41</t>
  </si>
  <si>
    <t>1. Доронин Игорь</t>
  </si>
  <si>
    <t>Открытая (04.05.1980)/41</t>
  </si>
  <si>
    <t>2. Гадиев Казбек</t>
  </si>
  <si>
    <t>1. Шапошник Дмитрий</t>
  </si>
  <si>
    <t>2. Чистяков Евгений</t>
  </si>
  <si>
    <t>88,50</t>
  </si>
  <si>
    <t>Юниоры 20 - 23 (16.12.1999)/21</t>
  </si>
  <si>
    <t>1. Хачетлов Кантемир</t>
  </si>
  <si>
    <t>1. Логинов Александр</t>
  </si>
  <si>
    <t>1. Тимофеев Виктор</t>
  </si>
  <si>
    <t>Мастера 40 - 44 (13.07.1979)/42</t>
  </si>
  <si>
    <t>2. Сажин Александр</t>
  </si>
  <si>
    <t>72,50</t>
  </si>
  <si>
    <t>1. Соловьев Евгений</t>
  </si>
  <si>
    <t>69,60</t>
  </si>
  <si>
    <t>Открытая (20.02.1988)/33</t>
  </si>
  <si>
    <t>2. Смирнов Алексей</t>
  </si>
  <si>
    <t>74,60</t>
  </si>
  <si>
    <t>Открытая (11.08.1992)/28</t>
  </si>
  <si>
    <t>1. Клинков Антон</t>
  </si>
  <si>
    <t>37,5</t>
  </si>
  <si>
    <t>Юноши 18 - 19 (20.11.2002)/18</t>
  </si>
  <si>
    <t>1. Хацимов Изнаур</t>
  </si>
  <si>
    <t xml:space="preserve">Беседин Дмитрий </t>
  </si>
  <si>
    <t>66,60</t>
  </si>
  <si>
    <t>Юноши 16 - 17 (27.02.2004)/17</t>
  </si>
  <si>
    <t>1. Ишбаев Ренат</t>
  </si>
  <si>
    <t>58,10</t>
  </si>
  <si>
    <t>Юниоры 20 - 23 (04.04.2001)/20</t>
  </si>
  <si>
    <t>1. Тлупов Темболат</t>
  </si>
  <si>
    <t>12,5</t>
  </si>
  <si>
    <t>10,0</t>
  </si>
  <si>
    <t>СВЕТОГОР ПРО - XI (Пауэрспорт)
Одиночный подъём штанги на бицепс Любители
Краснодар/Краснодарский край 24 - 25 июля 2021 г.</t>
  </si>
  <si>
    <t>50,6072</t>
  </si>
  <si>
    <t>3750,0</t>
  </si>
  <si>
    <t>All</t>
  </si>
  <si>
    <t xml:space="preserve">Атлетизм </t>
  </si>
  <si>
    <t>ВЕСОВАЯ КАТЕГОРИЯ   All</t>
  </si>
  <si>
    <t>Русская становая</t>
  </si>
  <si>
    <t>Атлетизм</t>
  </si>
  <si>
    <t>СВЕТОГОР ПРО - XI (Рус. жим)
Русская станова тяга любители 150 кг.
Краснодар/Краснодарский край 24 - 25 июля 2021 г.</t>
  </si>
  <si>
    <t>68,1431</t>
  </si>
  <si>
    <t>4000,0</t>
  </si>
  <si>
    <t>Скляр Наталья</t>
  </si>
  <si>
    <t>Мастера 50 - 54 (28.01.1967)/54</t>
  </si>
  <si>
    <t>1. Скляр Наталья</t>
  </si>
  <si>
    <t>СВЕТОГОР ПРО - XI (Рус. жим)
Русская станова тяга профессионалы 100 кг.
Краснодар/Краснодарский край 24 - 25 июля 2021 г.</t>
  </si>
  <si>
    <t>44,4938</t>
  </si>
  <si>
    <t>41,5549</t>
  </si>
  <si>
    <t>3100,0</t>
  </si>
  <si>
    <t>119,0476</t>
  </si>
  <si>
    <t>8000,0</t>
  </si>
  <si>
    <t>89,90</t>
  </si>
  <si>
    <t>31,0</t>
  </si>
  <si>
    <t>2. Клинков Антон</t>
  </si>
  <si>
    <t>Открытая (14.03.1970)/51</t>
  </si>
  <si>
    <t>СВЕТОГОР ПРО - XI (Рус. жим)
Русская станова тяга любители 100 кг.
Краснодар/Краснодарский край 24 - 25 июля 2021 г.</t>
  </si>
  <si>
    <t>40,5109</t>
  </si>
  <si>
    <t>2775,0</t>
  </si>
  <si>
    <t>37,0</t>
  </si>
  <si>
    <t>СВЕТОГОР ПРО - XI (Рус. жим)
Русская станова тяга любители 75 кг.
Краснодар/Краснодарский край 24 - 25 июля 2021 г.</t>
  </si>
  <si>
    <t>50,4587</t>
  </si>
  <si>
    <t>2750,0</t>
  </si>
  <si>
    <t>СВЕТОГОР ПРО - XI (Рус. жим)
Русская станова тяга любители 55 кг.
Краснодар/Краснодарский край 24 - 25 июля 2021 г.</t>
  </si>
  <si>
    <t>10,9135</t>
  </si>
  <si>
    <t>1350,0</t>
  </si>
  <si>
    <t xml:space="preserve">Мастера 70 - 74 </t>
  </si>
  <si>
    <t>Ингушев Черим</t>
  </si>
  <si>
    <t>40,8277</t>
  </si>
  <si>
    <t>3650,0</t>
  </si>
  <si>
    <t>Озроков Инал</t>
  </si>
  <si>
    <t>27,0</t>
  </si>
  <si>
    <t>123,70</t>
  </si>
  <si>
    <t>Мастера 70 - 74 (24.05.1950)/71</t>
  </si>
  <si>
    <t>1. Ингушев Черим</t>
  </si>
  <si>
    <t>73,0</t>
  </si>
  <si>
    <t xml:space="preserve">СК "КБГУ" </t>
  </si>
  <si>
    <t>89,40</t>
  </si>
  <si>
    <t>Юноши 18 - 19 (25.09.2001)/19</t>
  </si>
  <si>
    <t>1. Озроков Инал</t>
  </si>
  <si>
    <t>Подъем на бицепс мн.повт.</t>
  </si>
  <si>
    <t>СВЕТОГОР ПРО - XI (Рус. жим)
Русский бицепс профессионалы 50 кг.
Краснодар/Краснодарский край 24 - 25 июля 2021 г.</t>
  </si>
  <si>
    <t>37,2907</t>
  </si>
  <si>
    <t>2450,0</t>
  </si>
  <si>
    <t>Варитлов Залим</t>
  </si>
  <si>
    <t>39,1034</t>
  </si>
  <si>
    <t>2835,0</t>
  </si>
  <si>
    <t>Масаев Астемир</t>
  </si>
  <si>
    <t>65,70</t>
  </si>
  <si>
    <t>Юноши 18 - 19 (05.07.2002)/19</t>
  </si>
  <si>
    <t>1. Варитлов Залим</t>
  </si>
  <si>
    <t>81,0</t>
  </si>
  <si>
    <t>Юноши 16 - 17 (07.08.2003)/17</t>
  </si>
  <si>
    <t>1. Масаев Астемир</t>
  </si>
  <si>
    <t>СВЕТОГОР ПРО - XI (Рус. жим)
Русский бицепс профессионалы 35 кг.
Краснодар/Краснодарский край 24 - 25 июля 2021 г.</t>
  </si>
  <si>
    <t>100,2024</t>
  </si>
  <si>
    <t>Русский жим</t>
  </si>
  <si>
    <t>СВЕТОГОР ПРО - XI (Рус. жим)
Русский жим любители 75 кг.
Краснодар/Краснодарский край 24 - 25 июля 2021 г.</t>
  </si>
  <si>
    <t>40,2234</t>
  </si>
  <si>
    <t>3600,0</t>
  </si>
  <si>
    <t>48,0</t>
  </si>
  <si>
    <t>2. Прагин Роман</t>
  </si>
  <si>
    <t>СВЕТОГОР ПРО - XI (Рус. жим)
Русский жим профессионалы 75 кг.
Краснодар/Краснодарский край 24 - 25 июля 2021 г.</t>
  </si>
  <si>
    <t>96,4912</t>
  </si>
  <si>
    <t>7150,0</t>
  </si>
  <si>
    <t>СВЕТОГОР ПРО - XI (Рус. жим)
Русский жим профессионалы 55 кг.
Краснодар/Краснодарский край 24 - 25 июля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</si>
</sst>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workbookViewId="0">
      <selection sqref="A1:XFD1048576"/>
    </sheetView>
  </sheetViews>
  <sheetFormatPr defaultRowHeight="12.75" x14ac:dyDescent="0.2"/>
  <cols>
    <col min="1" max="1" width="25.85546875" style="4" bestFit="1" customWidth="1"/>
    <col min="2" max="2" width="27.85546875" style="4" customWidth="1"/>
    <col min="3" max="3" width="16.42578125" style="4" customWidth="1"/>
    <col min="4" max="4" width="6.5703125" style="5" bestFit="1" customWidth="1"/>
    <col min="5" max="5" width="23.7109375" style="4" bestFit="1" customWidth="1"/>
    <col min="6" max="6" width="21.140625" style="4" bestFit="1" customWidth="1"/>
    <col min="7" max="7" width="6.5703125" style="3" bestFit="1" customWidth="1"/>
    <col min="8" max="9" width="2.140625" style="3" bestFit="1" customWidth="1"/>
    <col min="10" max="10" width="4.85546875" style="3" bestFit="1" customWidth="1"/>
    <col min="11" max="13" width="2.140625" style="3" bestFit="1" customWidth="1"/>
    <col min="14" max="14" width="4.85546875" style="3" bestFit="1" customWidth="1"/>
    <col min="15" max="17" width="2.140625" style="3" bestFit="1" customWidth="1"/>
    <col min="18" max="18" width="4.85546875" style="3" bestFit="1" customWidth="1"/>
    <col min="19" max="19" width="5" style="3" bestFit="1" customWidth="1"/>
    <col min="20" max="20" width="10.42578125" style="3" bestFit="1" customWidth="1"/>
    <col min="21" max="21" width="5" style="3" bestFit="1" customWidth="1"/>
    <col min="22" max="22" width="10.42578125" style="3" bestFit="1" customWidth="1"/>
    <col min="23" max="23" width="7.85546875" style="7" bestFit="1" customWidth="1"/>
    <col min="24" max="24" width="8.5703125" style="8" bestFit="1" customWidth="1"/>
    <col min="25" max="25" width="23" style="4" bestFit="1" customWidth="1"/>
    <col min="26" max="16384" width="9.140625" style="3"/>
  </cols>
  <sheetData>
    <row r="1" spans="1:25" s="2" customFormat="1" ht="15" customHeight="1" x14ac:dyDescent="0.2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6"/>
    </row>
    <row r="2" spans="1:25" s="2" customFormat="1" ht="66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</row>
    <row r="3" spans="1:25" s="1" customFormat="1" ht="12.75" customHeight="1" x14ac:dyDescent="0.2">
      <c r="A3" s="50" t="s">
        <v>0</v>
      </c>
      <c r="B3" s="52" t="s">
        <v>7</v>
      </c>
      <c r="C3" s="52" t="s">
        <v>11</v>
      </c>
      <c r="D3" s="40" t="s">
        <v>6</v>
      </c>
      <c r="E3" s="39" t="s">
        <v>4</v>
      </c>
      <c r="F3" s="39" t="s">
        <v>8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40" t="s">
        <v>1</v>
      </c>
      <c r="X3" s="40" t="s">
        <v>3</v>
      </c>
      <c r="Y3" s="42" t="s">
        <v>2</v>
      </c>
    </row>
    <row r="4" spans="1:25" s="1" customFormat="1" ht="21" customHeight="1" thickBot="1" x14ac:dyDescent="0.25">
      <c r="A4" s="51"/>
      <c r="B4" s="53"/>
      <c r="C4" s="53"/>
      <c r="D4" s="41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9">
        <v>1</v>
      </c>
      <c r="L4" s="9">
        <v>2</v>
      </c>
      <c r="M4" s="9">
        <v>3</v>
      </c>
      <c r="N4" s="9" t="s">
        <v>5</v>
      </c>
      <c r="O4" s="9">
        <v>1</v>
      </c>
      <c r="P4" s="9">
        <v>2</v>
      </c>
      <c r="Q4" s="9">
        <v>3</v>
      </c>
      <c r="R4" s="9" t="s">
        <v>5</v>
      </c>
      <c r="S4" s="9" t="s">
        <v>9</v>
      </c>
      <c r="T4" s="9" t="s">
        <v>10</v>
      </c>
      <c r="U4" s="9" t="s">
        <v>9</v>
      </c>
      <c r="V4" s="9" t="s">
        <v>10</v>
      </c>
      <c r="W4" s="41"/>
      <c r="X4" s="41"/>
      <c r="Y4" s="43"/>
    </row>
    <row r="5" spans="1:25" x14ac:dyDescent="0.2">
      <c r="G5" s="6"/>
    </row>
  </sheetData>
  <mergeCells count="15">
    <mergeCell ref="A1:Y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T3"/>
    <mergeCell ref="U3:V3"/>
    <mergeCell ref="W3:W4"/>
    <mergeCell ref="X3:X4"/>
    <mergeCell ref="Y3:Y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10" width="5.5703125" style="3" customWidth="1"/>
    <col min="11" max="11" width="7.85546875" style="15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56" t="s">
        <v>481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13</v>
      </c>
      <c r="E3" s="39" t="s">
        <v>4</v>
      </c>
      <c r="F3" s="39" t="s">
        <v>8</v>
      </c>
      <c r="G3" s="39" t="s">
        <v>15</v>
      </c>
      <c r="H3" s="39"/>
      <c r="I3" s="39"/>
      <c r="J3" s="39"/>
      <c r="K3" s="39" t="s">
        <v>343</v>
      </c>
      <c r="L3" s="39" t="s">
        <v>3</v>
      </c>
      <c r="M3" s="42" t="s">
        <v>2</v>
      </c>
    </row>
    <row r="4" spans="1:13" s="1" customFormat="1" ht="21" customHeight="1" thickBot="1" x14ac:dyDescent="0.25">
      <c r="A4" s="51"/>
      <c r="B4" s="53"/>
      <c r="C4" s="53"/>
      <c r="D4" s="53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53"/>
      <c r="L4" s="53"/>
      <c r="M4" s="43"/>
    </row>
    <row r="5" spans="1:13" ht="15" x14ac:dyDescent="0.2">
      <c r="A5" s="54" t="s">
        <v>174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1" t="s">
        <v>483</v>
      </c>
      <c r="B6" s="11" t="s">
        <v>484</v>
      </c>
      <c r="C6" s="11" t="s">
        <v>485</v>
      </c>
      <c r="D6" s="11" t="str">
        <f>"0,5885"</f>
        <v>0,5885</v>
      </c>
      <c r="E6" s="11" t="s">
        <v>486</v>
      </c>
      <c r="F6" s="11" t="s">
        <v>319</v>
      </c>
      <c r="G6" s="12" t="s">
        <v>26</v>
      </c>
      <c r="H6" s="13" t="s">
        <v>32</v>
      </c>
      <c r="I6" s="12" t="s">
        <v>32</v>
      </c>
      <c r="J6" s="13" t="s">
        <v>228</v>
      </c>
      <c r="K6" s="16" t="str">
        <f>"270,0"</f>
        <v>270,0</v>
      </c>
      <c r="L6" s="17" t="str">
        <f>"158,8950"</f>
        <v>158,8950</v>
      </c>
      <c r="M6" s="11" t="s">
        <v>33</v>
      </c>
    </row>
    <row r="8" spans="1:13" ht="15" x14ac:dyDescent="0.2">
      <c r="E8" s="14" t="s">
        <v>34</v>
      </c>
    </row>
    <row r="9" spans="1:13" ht="15" x14ac:dyDescent="0.2">
      <c r="E9" s="14" t="s">
        <v>35</v>
      </c>
    </row>
    <row r="10" spans="1:13" ht="15" x14ac:dyDescent="0.2">
      <c r="E10" s="14" t="s">
        <v>36</v>
      </c>
    </row>
    <row r="11" spans="1:13" ht="15" x14ac:dyDescent="0.2">
      <c r="E11" s="14" t="s">
        <v>37</v>
      </c>
    </row>
    <row r="12" spans="1:13" ht="15" x14ac:dyDescent="0.2">
      <c r="E12" s="14" t="s">
        <v>37</v>
      </c>
    </row>
    <row r="13" spans="1:13" ht="15" x14ac:dyDescent="0.2">
      <c r="E13" s="14" t="s">
        <v>38</v>
      </c>
    </row>
    <row r="14" spans="1:13" ht="15" x14ac:dyDescent="0.2">
      <c r="E14" s="14"/>
    </row>
    <row r="16" spans="1:13" ht="18" x14ac:dyDescent="0.25">
      <c r="A16" s="18" t="s">
        <v>39</v>
      </c>
      <c r="B16" s="18"/>
    </row>
    <row r="17" spans="1:5" ht="15" x14ac:dyDescent="0.2">
      <c r="A17" s="19" t="s">
        <v>40</v>
      </c>
      <c r="B17" s="19"/>
    </row>
    <row r="18" spans="1:5" ht="14.25" x14ac:dyDescent="0.2">
      <c r="A18" s="21"/>
      <c r="B18" s="22" t="s">
        <v>41</v>
      </c>
    </row>
    <row r="19" spans="1:5" ht="15" x14ac:dyDescent="0.2">
      <c r="A19" s="23" t="s">
        <v>42</v>
      </c>
      <c r="B19" s="23" t="s">
        <v>43</v>
      </c>
      <c r="C19" s="23" t="s">
        <v>44</v>
      </c>
      <c r="D19" s="23" t="s">
        <v>341</v>
      </c>
      <c r="E19" s="23" t="s">
        <v>46</v>
      </c>
    </row>
    <row r="20" spans="1:5" x14ac:dyDescent="0.2">
      <c r="A20" s="20" t="s">
        <v>482</v>
      </c>
      <c r="B20" s="4" t="s">
        <v>41</v>
      </c>
      <c r="C20" s="4" t="s">
        <v>266</v>
      </c>
      <c r="D20" s="4" t="s">
        <v>32</v>
      </c>
      <c r="E20" s="15" t="s">
        <v>487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6" style="4" bestFit="1" customWidth="1"/>
    <col min="7" max="9" width="5.5703125" style="3" customWidth="1"/>
    <col min="10" max="10" width="4.85546875" style="3" customWidth="1"/>
    <col min="11" max="11" width="7.85546875" style="15" bestFit="1" customWidth="1"/>
    <col min="12" max="12" width="8.5703125" style="2" bestFit="1" customWidth="1"/>
    <col min="13" max="13" width="12.42578125" style="4" bestFit="1" customWidth="1"/>
    <col min="14" max="16384" width="9.140625" style="3"/>
  </cols>
  <sheetData>
    <row r="1" spans="1:13" s="2" customFormat="1" ht="29.1" customHeight="1" x14ac:dyDescent="0.2">
      <c r="A1" s="56" t="s">
        <v>472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13</v>
      </c>
      <c r="E3" s="39" t="s">
        <v>4</v>
      </c>
      <c r="F3" s="39" t="s">
        <v>8</v>
      </c>
      <c r="G3" s="39" t="s">
        <v>15</v>
      </c>
      <c r="H3" s="39"/>
      <c r="I3" s="39"/>
      <c r="J3" s="39"/>
      <c r="K3" s="39" t="s">
        <v>343</v>
      </c>
      <c r="L3" s="39" t="s">
        <v>3</v>
      </c>
      <c r="M3" s="42" t="s">
        <v>2</v>
      </c>
    </row>
    <row r="4" spans="1:13" s="1" customFormat="1" ht="21" customHeight="1" thickBot="1" x14ac:dyDescent="0.25">
      <c r="A4" s="51"/>
      <c r="B4" s="53"/>
      <c r="C4" s="53"/>
      <c r="D4" s="53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53"/>
      <c r="L4" s="53"/>
      <c r="M4" s="43"/>
    </row>
    <row r="5" spans="1:13" ht="15" x14ac:dyDescent="0.2">
      <c r="A5" s="54" t="s">
        <v>174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1" t="s">
        <v>474</v>
      </c>
      <c r="B6" s="11" t="s">
        <v>475</v>
      </c>
      <c r="C6" s="11" t="s">
        <v>476</v>
      </c>
      <c r="D6" s="11" t="str">
        <f>"0,5865"</f>
        <v>0,5865</v>
      </c>
      <c r="E6" s="11" t="s">
        <v>477</v>
      </c>
      <c r="F6" s="11" t="s">
        <v>478</v>
      </c>
      <c r="G6" s="12" t="s">
        <v>183</v>
      </c>
      <c r="H6" s="13" t="s">
        <v>142</v>
      </c>
      <c r="I6" s="13" t="s">
        <v>131</v>
      </c>
      <c r="J6" s="13"/>
      <c r="K6" s="16" t="str">
        <f>"180,0"</f>
        <v>180,0</v>
      </c>
      <c r="L6" s="17" t="str">
        <f>"173,6626"</f>
        <v>173,6626</v>
      </c>
      <c r="M6" s="11" t="s">
        <v>479</v>
      </c>
    </row>
    <row r="8" spans="1:13" ht="15" x14ac:dyDescent="0.2">
      <c r="E8" s="14" t="s">
        <v>34</v>
      </c>
    </row>
    <row r="9" spans="1:13" ht="15" x14ac:dyDescent="0.2">
      <c r="E9" s="14" t="s">
        <v>35</v>
      </c>
    </row>
    <row r="10" spans="1:13" ht="15" x14ac:dyDescent="0.2">
      <c r="E10" s="14" t="s">
        <v>36</v>
      </c>
    </row>
    <row r="11" spans="1:13" ht="15" x14ac:dyDescent="0.2">
      <c r="E11" s="14" t="s">
        <v>37</v>
      </c>
    </row>
    <row r="12" spans="1:13" ht="15" x14ac:dyDescent="0.2">
      <c r="E12" s="14" t="s">
        <v>37</v>
      </c>
    </row>
    <row r="13" spans="1:13" ht="15" x14ac:dyDescent="0.2">
      <c r="E13" s="14" t="s">
        <v>38</v>
      </c>
    </row>
    <row r="14" spans="1:13" ht="15" x14ac:dyDescent="0.2">
      <c r="E14" s="14"/>
    </row>
    <row r="16" spans="1:13" ht="18" x14ac:dyDescent="0.25">
      <c r="A16" s="18" t="s">
        <v>39</v>
      </c>
      <c r="B16" s="18"/>
    </row>
    <row r="17" spans="1:5" ht="15" x14ac:dyDescent="0.2">
      <c r="A17" s="19" t="s">
        <v>40</v>
      </c>
      <c r="B17" s="19"/>
    </row>
    <row r="18" spans="1:5" ht="14.25" x14ac:dyDescent="0.2">
      <c r="A18" s="21"/>
      <c r="B18" s="22" t="s">
        <v>251</v>
      </c>
    </row>
    <row r="19" spans="1:5" ht="15" x14ac:dyDescent="0.2">
      <c r="A19" s="23" t="s">
        <v>42</v>
      </c>
      <c r="B19" s="23" t="s">
        <v>43</v>
      </c>
      <c r="C19" s="23" t="s">
        <v>44</v>
      </c>
      <c r="D19" s="23" t="s">
        <v>341</v>
      </c>
      <c r="E19" s="23" t="s">
        <v>46</v>
      </c>
    </row>
    <row r="20" spans="1:5" x14ac:dyDescent="0.2">
      <c r="A20" s="20" t="s">
        <v>473</v>
      </c>
      <c r="B20" s="4" t="s">
        <v>301</v>
      </c>
      <c r="C20" s="4" t="s">
        <v>266</v>
      </c>
      <c r="D20" s="4" t="s">
        <v>183</v>
      </c>
      <c r="E20" s="15" t="s">
        <v>480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15" bestFit="1" customWidth="1"/>
    <col min="12" max="12" width="6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56" t="s">
        <v>467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13</v>
      </c>
      <c r="E3" s="39" t="s">
        <v>4</v>
      </c>
      <c r="F3" s="39" t="s">
        <v>8</v>
      </c>
      <c r="G3" s="39" t="s">
        <v>15</v>
      </c>
      <c r="H3" s="39"/>
      <c r="I3" s="39"/>
      <c r="J3" s="39"/>
      <c r="K3" s="39" t="s">
        <v>343</v>
      </c>
      <c r="L3" s="39" t="s">
        <v>3</v>
      </c>
      <c r="M3" s="42" t="s">
        <v>2</v>
      </c>
    </row>
    <row r="4" spans="1:13" s="1" customFormat="1" ht="21" customHeight="1" thickBot="1" x14ac:dyDescent="0.25">
      <c r="A4" s="51"/>
      <c r="B4" s="53"/>
      <c r="C4" s="53"/>
      <c r="D4" s="53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53"/>
      <c r="L4" s="53"/>
      <c r="M4" s="43"/>
    </row>
    <row r="5" spans="1:13" ht="15" x14ac:dyDescent="0.2">
      <c r="A5" s="54" t="s">
        <v>208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1" t="s">
        <v>468</v>
      </c>
      <c r="B6" s="11" t="s">
        <v>469</v>
      </c>
      <c r="C6" s="11" t="s">
        <v>470</v>
      </c>
      <c r="D6" s="11" t="str">
        <f>"0,5608"</f>
        <v>0,5608</v>
      </c>
      <c r="E6" s="11" t="s">
        <v>471</v>
      </c>
      <c r="F6" s="11" t="s">
        <v>319</v>
      </c>
      <c r="G6" s="13" t="s">
        <v>84</v>
      </c>
      <c r="H6" s="13" t="s">
        <v>84</v>
      </c>
      <c r="I6" s="13" t="s">
        <v>84</v>
      </c>
      <c r="J6" s="13"/>
      <c r="K6" s="16" t="str">
        <f>"0.00"</f>
        <v>0.00</v>
      </c>
      <c r="L6" s="17" t="str">
        <f>"0,0000"</f>
        <v>0,0000</v>
      </c>
      <c r="M6" s="11" t="s">
        <v>33</v>
      </c>
    </row>
    <row r="8" spans="1:13" ht="15" x14ac:dyDescent="0.2">
      <c r="E8" s="14" t="s">
        <v>34</v>
      </c>
    </row>
    <row r="9" spans="1:13" ht="15" x14ac:dyDescent="0.2">
      <c r="E9" s="14" t="s">
        <v>35</v>
      </c>
    </row>
    <row r="10" spans="1:13" ht="15" x14ac:dyDescent="0.2">
      <c r="E10" s="14" t="s">
        <v>36</v>
      </c>
    </row>
    <row r="11" spans="1:13" ht="15" x14ac:dyDescent="0.2">
      <c r="E11" s="14" t="s">
        <v>37</v>
      </c>
    </row>
    <row r="12" spans="1:13" ht="15" x14ac:dyDescent="0.2">
      <c r="E12" s="14" t="s">
        <v>37</v>
      </c>
    </row>
    <row r="13" spans="1:13" ht="15" x14ac:dyDescent="0.2">
      <c r="E13" s="14" t="s">
        <v>38</v>
      </c>
    </row>
    <row r="14" spans="1:13" ht="15" x14ac:dyDescent="0.2">
      <c r="E14" s="14"/>
    </row>
    <row r="16" spans="1:13" ht="18" x14ac:dyDescent="0.25">
      <c r="A16" s="18" t="s">
        <v>39</v>
      </c>
      <c r="B16" s="18"/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5.140625" style="4" bestFit="1" customWidth="1"/>
    <col min="6" max="6" width="38.28515625" style="4" bestFit="1" customWidth="1"/>
    <col min="7" max="9" width="5.5703125" style="3" customWidth="1"/>
    <col min="10" max="10" width="4.85546875" style="3" customWidth="1"/>
    <col min="11" max="11" width="7.85546875" style="15" bestFit="1" customWidth="1"/>
    <col min="12" max="12" width="8.5703125" style="2" bestFit="1" customWidth="1"/>
    <col min="13" max="13" width="21" style="4" bestFit="1" customWidth="1"/>
    <col min="14" max="16384" width="9.140625" style="3"/>
  </cols>
  <sheetData>
    <row r="1" spans="1:13" s="2" customFormat="1" ht="29.1" customHeight="1" x14ac:dyDescent="0.2">
      <c r="A1" s="56" t="s">
        <v>345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13</v>
      </c>
      <c r="E3" s="39" t="s">
        <v>4</v>
      </c>
      <c r="F3" s="39" t="s">
        <v>8</v>
      </c>
      <c r="G3" s="39" t="s">
        <v>15</v>
      </c>
      <c r="H3" s="39"/>
      <c r="I3" s="39"/>
      <c r="J3" s="39"/>
      <c r="K3" s="39" t="s">
        <v>343</v>
      </c>
      <c r="L3" s="39" t="s">
        <v>3</v>
      </c>
      <c r="M3" s="42" t="s">
        <v>2</v>
      </c>
    </row>
    <row r="4" spans="1:13" s="1" customFormat="1" ht="21" customHeight="1" thickBot="1" x14ac:dyDescent="0.25">
      <c r="A4" s="51"/>
      <c r="B4" s="53"/>
      <c r="C4" s="53"/>
      <c r="D4" s="53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53"/>
      <c r="L4" s="53"/>
      <c r="M4" s="43"/>
    </row>
    <row r="5" spans="1:13" ht="15" x14ac:dyDescent="0.2">
      <c r="A5" s="54" t="s">
        <v>346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1" t="s">
        <v>348</v>
      </c>
      <c r="B6" s="11" t="s">
        <v>349</v>
      </c>
      <c r="C6" s="11" t="s">
        <v>350</v>
      </c>
      <c r="D6" s="11" t="str">
        <f>"1,0575"</f>
        <v>1,0575</v>
      </c>
      <c r="E6" s="11" t="s">
        <v>351</v>
      </c>
      <c r="F6" s="11" t="s">
        <v>352</v>
      </c>
      <c r="G6" s="12" t="s">
        <v>73</v>
      </c>
      <c r="H6" s="13" t="s">
        <v>85</v>
      </c>
      <c r="I6" s="13" t="s">
        <v>85</v>
      </c>
      <c r="J6" s="13"/>
      <c r="K6" s="16" t="str">
        <f>"50,0"</f>
        <v>50,0</v>
      </c>
      <c r="L6" s="17" t="str">
        <f>"52,8750"</f>
        <v>52,8750</v>
      </c>
      <c r="M6" s="11" t="s">
        <v>353</v>
      </c>
    </row>
    <row r="8" spans="1:13" ht="15" x14ac:dyDescent="0.2">
      <c r="A8" s="57" t="s">
        <v>51</v>
      </c>
      <c r="B8" s="58"/>
      <c r="C8" s="58"/>
      <c r="D8" s="58"/>
      <c r="E8" s="58"/>
      <c r="F8" s="58"/>
      <c r="G8" s="58"/>
      <c r="H8" s="58"/>
      <c r="I8" s="58"/>
      <c r="J8" s="58"/>
    </row>
    <row r="9" spans="1:13" x14ac:dyDescent="0.2">
      <c r="A9" s="11" t="s">
        <v>355</v>
      </c>
      <c r="B9" s="11" t="s">
        <v>356</v>
      </c>
      <c r="C9" s="11" t="s">
        <v>357</v>
      </c>
      <c r="D9" s="11" t="str">
        <f>"0,9708"</f>
        <v>0,9708</v>
      </c>
      <c r="E9" s="11" t="s">
        <v>358</v>
      </c>
      <c r="F9" s="11" t="s">
        <v>319</v>
      </c>
      <c r="G9" s="13" t="s">
        <v>359</v>
      </c>
      <c r="H9" s="12" t="s">
        <v>359</v>
      </c>
      <c r="I9" s="12" t="s">
        <v>62</v>
      </c>
      <c r="J9" s="13"/>
      <c r="K9" s="16" t="str">
        <f>"45,0"</f>
        <v>45,0</v>
      </c>
      <c r="L9" s="17" t="str">
        <f>"43,6882"</f>
        <v>43,6882</v>
      </c>
      <c r="M9" s="11" t="s">
        <v>360</v>
      </c>
    </row>
    <row r="11" spans="1:13" ht="15" x14ac:dyDescent="0.2">
      <c r="A11" s="57" t="s">
        <v>108</v>
      </c>
      <c r="B11" s="58"/>
      <c r="C11" s="58"/>
      <c r="D11" s="58"/>
      <c r="E11" s="58"/>
      <c r="F11" s="58"/>
      <c r="G11" s="58"/>
      <c r="H11" s="58"/>
      <c r="I11" s="58"/>
      <c r="J11" s="58"/>
    </row>
    <row r="12" spans="1:13" x14ac:dyDescent="0.2">
      <c r="A12" s="11" t="s">
        <v>362</v>
      </c>
      <c r="B12" s="11" t="s">
        <v>363</v>
      </c>
      <c r="C12" s="11" t="s">
        <v>364</v>
      </c>
      <c r="D12" s="11" t="str">
        <f>"0,7984"</f>
        <v>0,7984</v>
      </c>
      <c r="E12" s="11" t="s">
        <v>365</v>
      </c>
      <c r="F12" s="11" t="s">
        <v>199</v>
      </c>
      <c r="G12" s="12" t="s">
        <v>58</v>
      </c>
      <c r="H12" s="12" t="s">
        <v>366</v>
      </c>
      <c r="I12" s="13" t="s">
        <v>59</v>
      </c>
      <c r="J12" s="13"/>
      <c r="K12" s="16" t="str">
        <f>"72,5"</f>
        <v>72,5</v>
      </c>
      <c r="L12" s="17" t="str">
        <f>"60,6662"</f>
        <v>60,6662</v>
      </c>
      <c r="M12" s="11" t="s">
        <v>367</v>
      </c>
    </row>
    <row r="14" spans="1:13" ht="15" x14ac:dyDescent="0.2">
      <c r="A14" s="57" t="s">
        <v>65</v>
      </c>
      <c r="B14" s="58"/>
      <c r="C14" s="58"/>
      <c r="D14" s="58"/>
      <c r="E14" s="58"/>
      <c r="F14" s="58"/>
      <c r="G14" s="58"/>
      <c r="H14" s="58"/>
      <c r="I14" s="58"/>
      <c r="J14" s="58"/>
    </row>
    <row r="15" spans="1:13" x14ac:dyDescent="0.2">
      <c r="A15" s="11" t="s">
        <v>78</v>
      </c>
      <c r="B15" s="11" t="s">
        <v>79</v>
      </c>
      <c r="C15" s="11" t="s">
        <v>80</v>
      </c>
      <c r="D15" s="11" t="str">
        <f>"0,7701"</f>
        <v>0,7701</v>
      </c>
      <c r="E15" s="11" t="s">
        <v>81</v>
      </c>
      <c r="F15" s="11" t="s">
        <v>82</v>
      </c>
      <c r="G15" s="12" t="s">
        <v>73</v>
      </c>
      <c r="H15" s="12" t="s">
        <v>85</v>
      </c>
      <c r="I15" s="12" t="s">
        <v>86</v>
      </c>
      <c r="J15" s="13"/>
      <c r="K15" s="16" t="str">
        <f>"62,5"</f>
        <v>62,5</v>
      </c>
      <c r="L15" s="17" t="str">
        <f>"48,1312"</f>
        <v>48,1312</v>
      </c>
      <c r="M15" s="11" t="s">
        <v>89</v>
      </c>
    </row>
    <row r="17" spans="1:13" ht="15" x14ac:dyDescent="0.2">
      <c r="A17" s="57" t="s">
        <v>51</v>
      </c>
      <c r="B17" s="58"/>
      <c r="C17" s="58"/>
      <c r="D17" s="58"/>
      <c r="E17" s="58"/>
      <c r="F17" s="58"/>
      <c r="G17" s="58"/>
      <c r="H17" s="58"/>
      <c r="I17" s="58"/>
      <c r="J17" s="58"/>
    </row>
    <row r="18" spans="1:13" x14ac:dyDescent="0.2">
      <c r="A18" s="11" t="s">
        <v>91</v>
      </c>
      <c r="B18" s="11" t="s">
        <v>92</v>
      </c>
      <c r="C18" s="11" t="s">
        <v>93</v>
      </c>
      <c r="D18" s="11" t="str">
        <f>"1,3133"</f>
        <v>1,3133</v>
      </c>
      <c r="E18" s="11" t="s">
        <v>81</v>
      </c>
      <c r="F18" s="11" t="s">
        <v>82</v>
      </c>
      <c r="G18" s="12" t="s">
        <v>95</v>
      </c>
      <c r="H18" s="12" t="s">
        <v>96</v>
      </c>
      <c r="I18" s="13" t="s">
        <v>97</v>
      </c>
      <c r="J18" s="13"/>
      <c r="K18" s="16" t="str">
        <f>"30,0"</f>
        <v>30,0</v>
      </c>
      <c r="L18" s="17" t="str">
        <f>"48,4608"</f>
        <v>48,4608</v>
      </c>
      <c r="M18" s="11" t="s">
        <v>89</v>
      </c>
    </row>
    <row r="20" spans="1:13" ht="15" x14ac:dyDescent="0.2">
      <c r="A20" s="57" t="s">
        <v>368</v>
      </c>
      <c r="B20" s="58"/>
      <c r="C20" s="58"/>
      <c r="D20" s="58"/>
      <c r="E20" s="58"/>
      <c r="F20" s="58"/>
      <c r="G20" s="58"/>
      <c r="H20" s="58"/>
      <c r="I20" s="58"/>
      <c r="J20" s="58"/>
    </row>
    <row r="21" spans="1:13" x14ac:dyDescent="0.2">
      <c r="A21" s="11" t="s">
        <v>370</v>
      </c>
      <c r="B21" s="11" t="s">
        <v>371</v>
      </c>
      <c r="C21" s="11" t="s">
        <v>372</v>
      </c>
      <c r="D21" s="11" t="str">
        <f>"0,8853"</f>
        <v>0,8853</v>
      </c>
      <c r="E21" s="11" t="s">
        <v>373</v>
      </c>
      <c r="F21" s="11" t="s">
        <v>374</v>
      </c>
      <c r="G21" s="12" t="s">
        <v>107</v>
      </c>
      <c r="H21" s="12" t="s">
        <v>58</v>
      </c>
      <c r="I21" s="12" t="s">
        <v>366</v>
      </c>
      <c r="J21" s="13"/>
      <c r="K21" s="16" t="str">
        <f>"72,5"</f>
        <v>72,5</v>
      </c>
      <c r="L21" s="17" t="str">
        <f>"78,9466"</f>
        <v>78,9466</v>
      </c>
      <c r="M21" s="11" t="s">
        <v>375</v>
      </c>
    </row>
    <row r="23" spans="1:13" ht="15" x14ac:dyDescent="0.2">
      <c r="A23" s="57" t="s">
        <v>108</v>
      </c>
      <c r="B23" s="58"/>
      <c r="C23" s="58"/>
      <c r="D23" s="58"/>
      <c r="E23" s="58"/>
      <c r="F23" s="58"/>
      <c r="G23" s="58"/>
      <c r="H23" s="58"/>
      <c r="I23" s="58"/>
      <c r="J23" s="58"/>
    </row>
    <row r="24" spans="1:13" x14ac:dyDescent="0.2">
      <c r="A24" s="11" t="s">
        <v>377</v>
      </c>
      <c r="B24" s="11" t="s">
        <v>135</v>
      </c>
      <c r="C24" s="11" t="s">
        <v>378</v>
      </c>
      <c r="D24" s="11" t="str">
        <f>"0,7258"</f>
        <v>0,7258</v>
      </c>
      <c r="E24" s="11" t="s">
        <v>379</v>
      </c>
      <c r="F24" s="11" t="s">
        <v>147</v>
      </c>
      <c r="G24" s="12" t="s">
        <v>74</v>
      </c>
      <c r="H24" s="13" t="s">
        <v>75</v>
      </c>
      <c r="I24" s="13" t="s">
        <v>75</v>
      </c>
      <c r="J24" s="13"/>
      <c r="K24" s="16" t="str">
        <f>"100,0"</f>
        <v>100,0</v>
      </c>
      <c r="L24" s="17" t="str">
        <f>"74,7574"</f>
        <v>74,7574</v>
      </c>
      <c r="M24" s="11" t="s">
        <v>144</v>
      </c>
    </row>
    <row r="26" spans="1:13" ht="15" x14ac:dyDescent="0.2">
      <c r="A26" s="57" t="s">
        <v>65</v>
      </c>
      <c r="B26" s="58"/>
      <c r="C26" s="58"/>
      <c r="D26" s="58"/>
      <c r="E26" s="58"/>
      <c r="F26" s="58"/>
      <c r="G26" s="58"/>
      <c r="H26" s="58"/>
      <c r="I26" s="58"/>
      <c r="J26" s="58"/>
    </row>
    <row r="27" spans="1:13" x14ac:dyDescent="0.2">
      <c r="A27" s="24" t="s">
        <v>381</v>
      </c>
      <c r="B27" s="24" t="s">
        <v>382</v>
      </c>
      <c r="C27" s="24" t="s">
        <v>383</v>
      </c>
      <c r="D27" s="24" t="str">
        <f>"0,7155"</f>
        <v>0,7155</v>
      </c>
      <c r="E27" s="24" t="s">
        <v>384</v>
      </c>
      <c r="F27" s="24" t="s">
        <v>385</v>
      </c>
      <c r="G27" s="25" t="s">
        <v>85</v>
      </c>
      <c r="H27" s="25" t="s">
        <v>118</v>
      </c>
      <c r="I27" s="26" t="s">
        <v>107</v>
      </c>
      <c r="J27" s="26"/>
      <c r="K27" s="33" t="str">
        <f>"60,0"</f>
        <v>60,0</v>
      </c>
      <c r="L27" s="34" t="str">
        <f>"50,6574"</f>
        <v>50,6574</v>
      </c>
      <c r="M27" s="24" t="s">
        <v>386</v>
      </c>
    </row>
    <row r="28" spans="1:13" x14ac:dyDescent="0.2">
      <c r="A28" s="30" t="s">
        <v>388</v>
      </c>
      <c r="B28" s="30" t="s">
        <v>389</v>
      </c>
      <c r="C28" s="30" t="s">
        <v>390</v>
      </c>
      <c r="D28" s="30" t="str">
        <f>"0,6659"</f>
        <v>0,6659</v>
      </c>
      <c r="E28" s="30" t="s">
        <v>391</v>
      </c>
      <c r="F28" s="30" t="s">
        <v>352</v>
      </c>
      <c r="G28" s="31" t="s">
        <v>140</v>
      </c>
      <c r="H28" s="32" t="s">
        <v>141</v>
      </c>
      <c r="I28" s="31" t="s">
        <v>141</v>
      </c>
      <c r="J28" s="32"/>
      <c r="K28" s="37" t="str">
        <f>"137,5"</f>
        <v>137,5</v>
      </c>
      <c r="L28" s="38" t="str">
        <f>"91,5612"</f>
        <v>91,5612</v>
      </c>
      <c r="M28" s="30" t="s">
        <v>392</v>
      </c>
    </row>
    <row r="29" spans="1:13" x14ac:dyDescent="0.2">
      <c r="A29" s="30" t="s">
        <v>393</v>
      </c>
      <c r="B29" s="30" t="s">
        <v>135</v>
      </c>
      <c r="C29" s="30" t="s">
        <v>136</v>
      </c>
      <c r="D29" s="30" t="str">
        <f>"0,6645"</f>
        <v>0,6645</v>
      </c>
      <c r="E29" s="30" t="s">
        <v>137</v>
      </c>
      <c r="F29" s="30" t="s">
        <v>138</v>
      </c>
      <c r="G29" s="31" t="s">
        <v>139</v>
      </c>
      <c r="H29" s="31" t="s">
        <v>140</v>
      </c>
      <c r="I29" s="32" t="s">
        <v>141</v>
      </c>
      <c r="J29" s="32"/>
      <c r="K29" s="37" t="str">
        <f>"130,0"</f>
        <v>130,0</v>
      </c>
      <c r="L29" s="38" t="str">
        <f>"88,9765"</f>
        <v>88,9765</v>
      </c>
      <c r="M29" s="30" t="s">
        <v>144</v>
      </c>
    </row>
    <row r="30" spans="1:13" x14ac:dyDescent="0.2">
      <c r="A30" s="27" t="s">
        <v>395</v>
      </c>
      <c r="B30" s="27" t="s">
        <v>396</v>
      </c>
      <c r="C30" s="27" t="s">
        <v>397</v>
      </c>
      <c r="D30" s="27" t="str">
        <f>"0,6716"</f>
        <v>0,6716</v>
      </c>
      <c r="E30" s="27" t="s">
        <v>398</v>
      </c>
      <c r="F30" s="27" t="s">
        <v>319</v>
      </c>
      <c r="G30" s="28" t="s">
        <v>399</v>
      </c>
      <c r="H30" s="28" t="s">
        <v>400</v>
      </c>
      <c r="I30" s="29" t="s">
        <v>159</v>
      </c>
      <c r="J30" s="29"/>
      <c r="K30" s="35" t="str">
        <f>"102,5"</f>
        <v>102,5</v>
      </c>
      <c r="L30" s="36" t="str">
        <f>"143,7358"</f>
        <v>143,7358</v>
      </c>
      <c r="M30" s="27" t="s">
        <v>401</v>
      </c>
    </row>
    <row r="32" spans="1:13" ht="15" x14ac:dyDescent="0.2">
      <c r="A32" s="57" t="s">
        <v>151</v>
      </c>
      <c r="B32" s="58"/>
      <c r="C32" s="58"/>
      <c r="D32" s="58"/>
      <c r="E32" s="58"/>
      <c r="F32" s="58"/>
      <c r="G32" s="58"/>
      <c r="H32" s="58"/>
      <c r="I32" s="58"/>
      <c r="J32" s="58"/>
    </row>
    <row r="33" spans="1:13" x14ac:dyDescent="0.2">
      <c r="A33" s="24" t="s">
        <v>403</v>
      </c>
      <c r="B33" s="24" t="s">
        <v>404</v>
      </c>
      <c r="C33" s="24" t="s">
        <v>405</v>
      </c>
      <c r="D33" s="24" t="str">
        <f>"0,6329"</f>
        <v>0,6329</v>
      </c>
      <c r="E33" s="24" t="s">
        <v>406</v>
      </c>
      <c r="F33" s="24" t="s">
        <v>319</v>
      </c>
      <c r="G33" s="25" t="s">
        <v>140</v>
      </c>
      <c r="H33" s="25" t="s">
        <v>87</v>
      </c>
      <c r="I33" s="26" t="s">
        <v>141</v>
      </c>
      <c r="J33" s="26"/>
      <c r="K33" s="33" t="str">
        <f>"135,0"</f>
        <v>135,0</v>
      </c>
      <c r="L33" s="34" t="str">
        <f>"85,4415"</f>
        <v>85,4415</v>
      </c>
      <c r="M33" s="24" t="s">
        <v>407</v>
      </c>
    </row>
    <row r="34" spans="1:13" x14ac:dyDescent="0.2">
      <c r="A34" s="30" t="s">
        <v>409</v>
      </c>
      <c r="B34" s="30" t="s">
        <v>410</v>
      </c>
      <c r="C34" s="30" t="s">
        <v>411</v>
      </c>
      <c r="D34" s="30" t="str">
        <f>"0,6219"</f>
        <v>0,6219</v>
      </c>
      <c r="E34" s="30" t="s">
        <v>412</v>
      </c>
      <c r="F34" s="30" t="s">
        <v>413</v>
      </c>
      <c r="G34" s="31" t="s">
        <v>83</v>
      </c>
      <c r="H34" s="32" t="s">
        <v>140</v>
      </c>
      <c r="I34" s="32" t="s">
        <v>140</v>
      </c>
      <c r="J34" s="32"/>
      <c r="K34" s="37" t="str">
        <f>"115,0"</f>
        <v>115,0</v>
      </c>
      <c r="L34" s="38" t="str">
        <f>"71,5185"</f>
        <v>71,5185</v>
      </c>
      <c r="M34" s="30" t="s">
        <v>33</v>
      </c>
    </row>
    <row r="35" spans="1:13" x14ac:dyDescent="0.2">
      <c r="A35" s="30" t="s">
        <v>415</v>
      </c>
      <c r="B35" s="30" t="s">
        <v>416</v>
      </c>
      <c r="C35" s="30" t="s">
        <v>417</v>
      </c>
      <c r="D35" s="30" t="str">
        <f>"0,6295"</f>
        <v>0,6295</v>
      </c>
      <c r="E35" s="30" t="s">
        <v>418</v>
      </c>
      <c r="F35" s="30" t="s">
        <v>319</v>
      </c>
      <c r="G35" s="31" t="s">
        <v>75</v>
      </c>
      <c r="H35" s="32" t="s">
        <v>83</v>
      </c>
      <c r="I35" s="31" t="s">
        <v>83</v>
      </c>
      <c r="J35" s="32"/>
      <c r="K35" s="37" t="str">
        <f>"115,0"</f>
        <v>115,0</v>
      </c>
      <c r="L35" s="38" t="str">
        <f>"73,6956"</f>
        <v>73,6956</v>
      </c>
      <c r="M35" s="30" t="s">
        <v>419</v>
      </c>
    </row>
    <row r="36" spans="1:13" x14ac:dyDescent="0.2">
      <c r="A36" s="27" t="s">
        <v>421</v>
      </c>
      <c r="B36" s="27" t="s">
        <v>422</v>
      </c>
      <c r="C36" s="27" t="s">
        <v>423</v>
      </c>
      <c r="D36" s="27" t="str">
        <f>"0,6467"</f>
        <v>0,6467</v>
      </c>
      <c r="E36" s="27" t="s">
        <v>424</v>
      </c>
      <c r="F36" s="27" t="s">
        <v>319</v>
      </c>
      <c r="G36" s="28" t="s">
        <v>159</v>
      </c>
      <c r="H36" s="28" t="s">
        <v>75</v>
      </c>
      <c r="I36" s="28" t="s">
        <v>160</v>
      </c>
      <c r="J36" s="29"/>
      <c r="K36" s="35" t="str">
        <f>"112,5"</f>
        <v>112,5</v>
      </c>
      <c r="L36" s="36" t="str">
        <f>"72,7538"</f>
        <v>72,7538</v>
      </c>
      <c r="M36" s="27" t="s">
        <v>425</v>
      </c>
    </row>
    <row r="38" spans="1:13" ht="15" x14ac:dyDescent="0.2">
      <c r="A38" s="57" t="s">
        <v>174</v>
      </c>
      <c r="B38" s="58"/>
      <c r="C38" s="58"/>
      <c r="D38" s="58"/>
      <c r="E38" s="58"/>
      <c r="F38" s="58"/>
      <c r="G38" s="58"/>
      <c r="H38" s="58"/>
      <c r="I38" s="58"/>
      <c r="J38" s="58"/>
    </row>
    <row r="39" spans="1:13" x14ac:dyDescent="0.2">
      <c r="A39" s="24" t="s">
        <v>427</v>
      </c>
      <c r="B39" s="24" t="s">
        <v>428</v>
      </c>
      <c r="C39" s="24" t="s">
        <v>429</v>
      </c>
      <c r="D39" s="24" t="str">
        <f>"0,6050"</f>
        <v>0,6050</v>
      </c>
      <c r="E39" s="24" t="s">
        <v>384</v>
      </c>
      <c r="F39" s="24" t="s">
        <v>385</v>
      </c>
      <c r="G39" s="25" t="s">
        <v>85</v>
      </c>
      <c r="H39" s="26" t="s">
        <v>86</v>
      </c>
      <c r="I39" s="25" t="s">
        <v>107</v>
      </c>
      <c r="J39" s="26"/>
      <c r="K39" s="33" t="str">
        <f>"65,0"</f>
        <v>65,0</v>
      </c>
      <c r="L39" s="34" t="str">
        <f>"46,4035"</f>
        <v>46,4035</v>
      </c>
      <c r="M39" s="24" t="s">
        <v>386</v>
      </c>
    </row>
    <row r="40" spans="1:13" x14ac:dyDescent="0.2">
      <c r="A40" s="30" t="s">
        <v>195</v>
      </c>
      <c r="B40" s="30" t="s">
        <v>196</v>
      </c>
      <c r="C40" s="30" t="s">
        <v>197</v>
      </c>
      <c r="D40" s="30" t="str">
        <f>"0,5910"</f>
        <v>0,5910</v>
      </c>
      <c r="E40" s="30" t="s">
        <v>198</v>
      </c>
      <c r="F40" s="30" t="s">
        <v>199</v>
      </c>
      <c r="G40" s="31" t="s">
        <v>142</v>
      </c>
      <c r="H40" s="32" t="s">
        <v>200</v>
      </c>
      <c r="I40" s="32" t="s">
        <v>201</v>
      </c>
      <c r="J40" s="32"/>
      <c r="K40" s="37" t="str">
        <f>"190,0"</f>
        <v>190,0</v>
      </c>
      <c r="L40" s="38" t="str">
        <f>"112,2900"</f>
        <v>112,2900</v>
      </c>
      <c r="M40" s="30" t="s">
        <v>33</v>
      </c>
    </row>
    <row r="41" spans="1:13" x14ac:dyDescent="0.2">
      <c r="A41" s="30" t="s">
        <v>431</v>
      </c>
      <c r="B41" s="30" t="s">
        <v>432</v>
      </c>
      <c r="C41" s="30" t="s">
        <v>433</v>
      </c>
      <c r="D41" s="30" t="str">
        <f>"0,5853"</f>
        <v>0,5853</v>
      </c>
      <c r="E41" s="30" t="s">
        <v>56</v>
      </c>
      <c r="F41" s="30" t="s">
        <v>57</v>
      </c>
      <c r="G41" s="32" t="s">
        <v>140</v>
      </c>
      <c r="H41" s="31" t="s">
        <v>140</v>
      </c>
      <c r="I41" s="31" t="s">
        <v>87</v>
      </c>
      <c r="J41" s="32"/>
      <c r="K41" s="37" t="str">
        <f>"135,0"</f>
        <v>135,0</v>
      </c>
      <c r="L41" s="38" t="str">
        <f>"79,2526"</f>
        <v>79,2526</v>
      </c>
      <c r="M41" s="30" t="s">
        <v>64</v>
      </c>
    </row>
    <row r="42" spans="1:13" x14ac:dyDescent="0.2">
      <c r="A42" s="27" t="s">
        <v>203</v>
      </c>
      <c r="B42" s="27" t="s">
        <v>204</v>
      </c>
      <c r="C42" s="27" t="s">
        <v>205</v>
      </c>
      <c r="D42" s="27" t="str">
        <f>"0,5861"</f>
        <v>0,5861</v>
      </c>
      <c r="E42" s="27" t="s">
        <v>206</v>
      </c>
      <c r="F42" s="27" t="s">
        <v>199</v>
      </c>
      <c r="G42" s="28" t="s">
        <v>84</v>
      </c>
      <c r="H42" s="29" t="s">
        <v>173</v>
      </c>
      <c r="I42" s="28" t="s">
        <v>173</v>
      </c>
      <c r="J42" s="29"/>
      <c r="K42" s="35" t="str">
        <f>"125,0"</f>
        <v>125,0</v>
      </c>
      <c r="L42" s="36" t="str">
        <f>"132,6051"</f>
        <v>132,6051</v>
      </c>
      <c r="M42" s="27" t="s">
        <v>207</v>
      </c>
    </row>
    <row r="44" spans="1:13" ht="15" x14ac:dyDescent="0.2">
      <c r="A44" s="57" t="s">
        <v>208</v>
      </c>
      <c r="B44" s="58"/>
      <c r="C44" s="58"/>
      <c r="D44" s="58"/>
      <c r="E44" s="58"/>
      <c r="F44" s="58"/>
      <c r="G44" s="58"/>
      <c r="H44" s="58"/>
      <c r="I44" s="58"/>
      <c r="J44" s="58"/>
    </row>
    <row r="45" spans="1:13" x14ac:dyDescent="0.2">
      <c r="A45" s="11" t="s">
        <v>435</v>
      </c>
      <c r="B45" s="11" t="s">
        <v>436</v>
      </c>
      <c r="C45" s="11" t="s">
        <v>212</v>
      </c>
      <c r="D45" s="11" t="str">
        <f>"0,5540"</f>
        <v>0,5540</v>
      </c>
      <c r="E45" s="11" t="s">
        <v>123</v>
      </c>
      <c r="F45" s="11" t="s">
        <v>319</v>
      </c>
      <c r="G45" s="13" t="s">
        <v>158</v>
      </c>
      <c r="H45" s="12" t="s">
        <v>320</v>
      </c>
      <c r="I45" s="13" t="s">
        <v>28</v>
      </c>
      <c r="J45" s="13"/>
      <c r="K45" s="16" t="str">
        <f>"162,5"</f>
        <v>162,5</v>
      </c>
      <c r="L45" s="17" t="str">
        <f>"90,9253"</f>
        <v>90,9253</v>
      </c>
      <c r="M45" s="11" t="s">
        <v>437</v>
      </c>
    </row>
    <row r="47" spans="1:13" ht="15" x14ac:dyDescent="0.2">
      <c r="A47" s="57" t="s">
        <v>17</v>
      </c>
      <c r="B47" s="58"/>
      <c r="C47" s="58"/>
      <c r="D47" s="58"/>
      <c r="E47" s="58"/>
      <c r="F47" s="58"/>
      <c r="G47" s="58"/>
      <c r="H47" s="58"/>
      <c r="I47" s="58"/>
      <c r="J47" s="58"/>
    </row>
    <row r="48" spans="1:13" x14ac:dyDescent="0.2">
      <c r="A48" s="11" t="s">
        <v>439</v>
      </c>
      <c r="B48" s="11" t="s">
        <v>440</v>
      </c>
      <c r="C48" s="11" t="s">
        <v>226</v>
      </c>
      <c r="D48" s="11" t="str">
        <f>"0,5377"</f>
        <v>0,5377</v>
      </c>
      <c r="E48" s="11" t="s">
        <v>351</v>
      </c>
      <c r="F48" s="11" t="s">
        <v>352</v>
      </c>
      <c r="G48" s="12" t="s">
        <v>158</v>
      </c>
      <c r="H48" s="12" t="s">
        <v>332</v>
      </c>
      <c r="I48" s="13"/>
      <c r="J48" s="13"/>
      <c r="K48" s="16" t="str">
        <f>"165,0"</f>
        <v>165,0</v>
      </c>
      <c r="L48" s="17" t="str">
        <f>"90,3175"</f>
        <v>90,3175</v>
      </c>
      <c r="M48" s="11" t="s">
        <v>441</v>
      </c>
    </row>
    <row r="50" spans="1:5" ht="15" x14ac:dyDescent="0.2">
      <c r="E50" s="14" t="s">
        <v>34</v>
      </c>
    </row>
    <row r="51" spans="1:5" ht="15" x14ac:dyDescent="0.2">
      <c r="E51" s="14" t="s">
        <v>35</v>
      </c>
    </row>
    <row r="52" spans="1:5" ht="15" x14ac:dyDescent="0.2">
      <c r="E52" s="14" t="s">
        <v>36</v>
      </c>
    </row>
    <row r="53" spans="1:5" ht="15" x14ac:dyDescent="0.2">
      <c r="E53" s="14" t="s">
        <v>37</v>
      </c>
    </row>
    <row r="54" spans="1:5" ht="15" x14ac:dyDescent="0.2">
      <c r="E54" s="14" t="s">
        <v>37</v>
      </c>
    </row>
    <row r="55" spans="1:5" ht="15" x14ac:dyDescent="0.2">
      <c r="E55" s="14" t="s">
        <v>38</v>
      </c>
    </row>
    <row r="56" spans="1:5" ht="15" x14ac:dyDescent="0.2">
      <c r="E56" s="14"/>
    </row>
    <row r="58" spans="1:5" ht="18" x14ac:dyDescent="0.25">
      <c r="A58" s="18" t="s">
        <v>39</v>
      </c>
      <c r="B58" s="18"/>
    </row>
    <row r="59" spans="1:5" ht="15" x14ac:dyDescent="0.2">
      <c r="A59" s="19" t="s">
        <v>246</v>
      </c>
      <c r="B59" s="19"/>
    </row>
    <row r="60" spans="1:5" ht="14.25" x14ac:dyDescent="0.2">
      <c r="A60" s="21"/>
      <c r="B60" s="22" t="s">
        <v>41</v>
      </c>
    </row>
    <row r="61" spans="1:5" ht="15" x14ac:dyDescent="0.2">
      <c r="A61" s="23" t="s">
        <v>42</v>
      </c>
      <c r="B61" s="23" t="s">
        <v>43</v>
      </c>
      <c r="C61" s="23" t="s">
        <v>44</v>
      </c>
      <c r="D61" s="23" t="s">
        <v>341</v>
      </c>
      <c r="E61" s="23" t="s">
        <v>46</v>
      </c>
    </row>
    <row r="62" spans="1:5" x14ac:dyDescent="0.2">
      <c r="A62" s="20" t="s">
        <v>347</v>
      </c>
      <c r="B62" s="4" t="s">
        <v>41</v>
      </c>
      <c r="C62" s="4" t="s">
        <v>442</v>
      </c>
      <c r="D62" s="4" t="s">
        <v>73</v>
      </c>
      <c r="E62" s="15" t="s">
        <v>443</v>
      </c>
    </row>
    <row r="63" spans="1:5" x14ac:dyDescent="0.2">
      <c r="A63" s="20" t="s">
        <v>354</v>
      </c>
      <c r="B63" s="4" t="s">
        <v>41</v>
      </c>
      <c r="C63" s="4" t="s">
        <v>247</v>
      </c>
      <c r="D63" s="4" t="s">
        <v>62</v>
      </c>
      <c r="E63" s="15" t="s">
        <v>444</v>
      </c>
    </row>
    <row r="65" spans="1:5" ht="14.25" x14ac:dyDescent="0.2">
      <c r="A65" s="21"/>
      <c r="B65" s="22" t="s">
        <v>251</v>
      </c>
    </row>
    <row r="66" spans="1:5" ht="15" x14ac:dyDescent="0.2">
      <c r="A66" s="23" t="s">
        <v>42</v>
      </c>
      <c r="B66" s="23" t="s">
        <v>43</v>
      </c>
      <c r="C66" s="23" t="s">
        <v>44</v>
      </c>
      <c r="D66" s="23" t="s">
        <v>341</v>
      </c>
      <c r="E66" s="23" t="s">
        <v>46</v>
      </c>
    </row>
    <row r="67" spans="1:5" x14ac:dyDescent="0.2">
      <c r="A67" s="20" t="s">
        <v>361</v>
      </c>
      <c r="B67" s="4" t="s">
        <v>306</v>
      </c>
      <c r="C67" s="4" t="s">
        <v>263</v>
      </c>
      <c r="D67" s="4" t="s">
        <v>366</v>
      </c>
      <c r="E67" s="15" t="s">
        <v>445</v>
      </c>
    </row>
    <row r="68" spans="1:5" x14ac:dyDescent="0.2">
      <c r="A68" s="20" t="s">
        <v>77</v>
      </c>
      <c r="B68" s="4" t="s">
        <v>252</v>
      </c>
      <c r="C68" s="4" t="s">
        <v>249</v>
      </c>
      <c r="D68" s="4" t="s">
        <v>86</v>
      </c>
      <c r="E68" s="15" t="s">
        <v>446</v>
      </c>
    </row>
    <row r="71" spans="1:5" ht="15" x14ac:dyDescent="0.2">
      <c r="A71" s="19" t="s">
        <v>40</v>
      </c>
      <c r="B71" s="19"/>
    </row>
    <row r="72" spans="1:5" ht="14.25" x14ac:dyDescent="0.2">
      <c r="A72" s="21"/>
      <c r="B72" s="22" t="s">
        <v>255</v>
      </c>
    </row>
    <row r="73" spans="1:5" ht="15" x14ac:dyDescent="0.2">
      <c r="A73" s="23" t="s">
        <v>42</v>
      </c>
      <c r="B73" s="23" t="s">
        <v>43</v>
      </c>
      <c r="C73" s="23" t="s">
        <v>44</v>
      </c>
      <c r="D73" s="23" t="s">
        <v>341</v>
      </c>
      <c r="E73" s="23" t="s">
        <v>46</v>
      </c>
    </row>
    <row r="74" spans="1:5" x14ac:dyDescent="0.2">
      <c r="A74" s="20" t="s">
        <v>369</v>
      </c>
      <c r="B74" s="4" t="s">
        <v>447</v>
      </c>
      <c r="C74" s="4" t="s">
        <v>448</v>
      </c>
      <c r="D74" s="4" t="s">
        <v>366</v>
      </c>
      <c r="E74" s="15" t="s">
        <v>449</v>
      </c>
    </row>
    <row r="75" spans="1:5" x14ac:dyDescent="0.2">
      <c r="A75" s="20" t="s">
        <v>380</v>
      </c>
      <c r="B75" s="4" t="s">
        <v>447</v>
      </c>
      <c r="C75" s="4" t="s">
        <v>249</v>
      </c>
      <c r="D75" s="4" t="s">
        <v>118</v>
      </c>
      <c r="E75" s="15" t="s">
        <v>450</v>
      </c>
    </row>
    <row r="76" spans="1:5" x14ac:dyDescent="0.2">
      <c r="A76" s="20" t="s">
        <v>90</v>
      </c>
      <c r="B76" s="4" t="s">
        <v>277</v>
      </c>
      <c r="C76" s="4" t="s">
        <v>247</v>
      </c>
      <c r="D76" s="4" t="s">
        <v>96</v>
      </c>
      <c r="E76" s="15" t="s">
        <v>451</v>
      </c>
    </row>
    <row r="77" spans="1:5" x14ac:dyDescent="0.2">
      <c r="A77" s="20" t="s">
        <v>426</v>
      </c>
      <c r="B77" s="4" t="s">
        <v>447</v>
      </c>
      <c r="C77" s="4" t="s">
        <v>266</v>
      </c>
      <c r="D77" s="4" t="s">
        <v>107</v>
      </c>
      <c r="E77" s="15" t="s">
        <v>452</v>
      </c>
    </row>
    <row r="79" spans="1:5" ht="14.25" x14ac:dyDescent="0.2">
      <c r="A79" s="21"/>
      <c r="B79" s="22" t="s">
        <v>283</v>
      </c>
    </row>
    <row r="80" spans="1:5" ht="15" x14ac:dyDescent="0.2">
      <c r="A80" s="23" t="s">
        <v>42</v>
      </c>
      <c r="B80" s="23" t="s">
        <v>43</v>
      </c>
      <c r="C80" s="23" t="s">
        <v>44</v>
      </c>
      <c r="D80" s="23" t="s">
        <v>341</v>
      </c>
      <c r="E80" s="23" t="s">
        <v>46</v>
      </c>
    </row>
    <row r="81" spans="1:5" x14ac:dyDescent="0.2">
      <c r="A81" s="20" t="s">
        <v>387</v>
      </c>
      <c r="B81" s="4" t="s">
        <v>284</v>
      </c>
      <c r="C81" s="4" t="s">
        <v>249</v>
      </c>
      <c r="D81" s="4" t="s">
        <v>141</v>
      </c>
      <c r="E81" s="15" t="s">
        <v>453</v>
      </c>
    </row>
    <row r="82" spans="1:5" x14ac:dyDescent="0.2">
      <c r="A82" s="20" t="s">
        <v>434</v>
      </c>
      <c r="B82" s="4" t="s">
        <v>284</v>
      </c>
      <c r="C82" s="4" t="s">
        <v>271</v>
      </c>
      <c r="D82" s="4" t="s">
        <v>320</v>
      </c>
      <c r="E82" s="15" t="s">
        <v>454</v>
      </c>
    </row>
    <row r="83" spans="1:5" x14ac:dyDescent="0.2">
      <c r="A83" s="20" t="s">
        <v>133</v>
      </c>
      <c r="B83" s="4" t="s">
        <v>284</v>
      </c>
      <c r="C83" s="4" t="s">
        <v>249</v>
      </c>
      <c r="D83" s="4" t="s">
        <v>140</v>
      </c>
      <c r="E83" s="15" t="s">
        <v>455</v>
      </c>
    </row>
    <row r="84" spans="1:5" x14ac:dyDescent="0.2">
      <c r="A84" s="20" t="s">
        <v>133</v>
      </c>
      <c r="B84" s="4" t="s">
        <v>284</v>
      </c>
      <c r="C84" s="4" t="s">
        <v>249</v>
      </c>
      <c r="D84" s="4" t="s">
        <v>140</v>
      </c>
      <c r="E84" s="15" t="s">
        <v>455</v>
      </c>
    </row>
    <row r="85" spans="1:5" x14ac:dyDescent="0.2">
      <c r="A85" s="20" t="s">
        <v>376</v>
      </c>
      <c r="B85" s="4" t="s">
        <v>284</v>
      </c>
      <c r="C85" s="4" t="s">
        <v>263</v>
      </c>
      <c r="D85" s="4" t="s">
        <v>74</v>
      </c>
      <c r="E85" s="15" t="s">
        <v>456</v>
      </c>
    </row>
    <row r="87" spans="1:5" ht="14.25" x14ac:dyDescent="0.2">
      <c r="A87" s="21"/>
      <c r="B87" s="22" t="s">
        <v>41</v>
      </c>
    </row>
    <row r="88" spans="1:5" ht="15" x14ac:dyDescent="0.2">
      <c r="A88" s="23" t="s">
        <v>42</v>
      </c>
      <c r="B88" s="23" t="s">
        <v>43</v>
      </c>
      <c r="C88" s="23" t="s">
        <v>44</v>
      </c>
      <c r="D88" s="23" t="s">
        <v>341</v>
      </c>
      <c r="E88" s="23" t="s">
        <v>46</v>
      </c>
    </row>
    <row r="89" spans="1:5" x14ac:dyDescent="0.2">
      <c r="A89" s="20" t="s">
        <v>194</v>
      </c>
      <c r="B89" s="4" t="s">
        <v>41</v>
      </c>
      <c r="C89" s="4" t="s">
        <v>266</v>
      </c>
      <c r="D89" s="4" t="s">
        <v>142</v>
      </c>
      <c r="E89" s="15" t="s">
        <v>457</v>
      </c>
    </row>
    <row r="90" spans="1:5" x14ac:dyDescent="0.2">
      <c r="A90" s="20" t="s">
        <v>402</v>
      </c>
      <c r="B90" s="4" t="s">
        <v>41</v>
      </c>
      <c r="C90" s="4" t="s">
        <v>257</v>
      </c>
      <c r="D90" s="4" t="s">
        <v>87</v>
      </c>
      <c r="E90" s="15" t="s">
        <v>458</v>
      </c>
    </row>
    <row r="91" spans="1:5" x14ac:dyDescent="0.2">
      <c r="A91" s="20" t="s">
        <v>408</v>
      </c>
      <c r="B91" s="4" t="s">
        <v>41</v>
      </c>
      <c r="C91" s="4" t="s">
        <v>257</v>
      </c>
      <c r="D91" s="4" t="s">
        <v>83</v>
      </c>
      <c r="E91" s="15" t="s">
        <v>459</v>
      </c>
    </row>
    <row r="93" spans="1:5" ht="14.25" x14ac:dyDescent="0.2">
      <c r="A93" s="21"/>
      <c r="B93" s="22" t="s">
        <v>251</v>
      </c>
    </row>
    <row r="94" spans="1:5" ht="15" x14ac:dyDescent="0.2">
      <c r="A94" s="23" t="s">
        <v>42</v>
      </c>
      <c r="B94" s="23" t="s">
        <v>43</v>
      </c>
      <c r="C94" s="23" t="s">
        <v>44</v>
      </c>
      <c r="D94" s="23" t="s">
        <v>341</v>
      </c>
      <c r="E94" s="23" t="s">
        <v>46</v>
      </c>
    </row>
    <row r="95" spans="1:5" x14ac:dyDescent="0.2">
      <c r="A95" s="20" t="s">
        <v>394</v>
      </c>
      <c r="B95" s="4" t="s">
        <v>460</v>
      </c>
      <c r="C95" s="4" t="s">
        <v>249</v>
      </c>
      <c r="D95" s="4" t="s">
        <v>400</v>
      </c>
      <c r="E95" s="15" t="s">
        <v>461</v>
      </c>
    </row>
    <row r="96" spans="1:5" x14ac:dyDescent="0.2">
      <c r="A96" s="20" t="s">
        <v>202</v>
      </c>
      <c r="B96" s="4" t="s">
        <v>301</v>
      </c>
      <c r="C96" s="4" t="s">
        <v>266</v>
      </c>
      <c r="D96" s="4" t="s">
        <v>173</v>
      </c>
      <c r="E96" s="15" t="s">
        <v>462</v>
      </c>
    </row>
    <row r="97" spans="1:5" x14ac:dyDescent="0.2">
      <c r="A97" s="20" t="s">
        <v>438</v>
      </c>
      <c r="B97" s="4" t="s">
        <v>252</v>
      </c>
      <c r="C97" s="4" t="s">
        <v>47</v>
      </c>
      <c r="D97" s="4" t="s">
        <v>332</v>
      </c>
      <c r="E97" s="15" t="s">
        <v>463</v>
      </c>
    </row>
    <row r="98" spans="1:5" x14ac:dyDescent="0.2">
      <c r="A98" s="20" t="s">
        <v>430</v>
      </c>
      <c r="B98" s="4" t="s">
        <v>252</v>
      </c>
      <c r="C98" s="4" t="s">
        <v>266</v>
      </c>
      <c r="D98" s="4" t="s">
        <v>87</v>
      </c>
      <c r="E98" s="15" t="s">
        <v>464</v>
      </c>
    </row>
    <row r="99" spans="1:5" x14ac:dyDescent="0.2">
      <c r="A99" s="20" t="s">
        <v>414</v>
      </c>
      <c r="B99" s="4" t="s">
        <v>252</v>
      </c>
      <c r="C99" s="4" t="s">
        <v>257</v>
      </c>
      <c r="D99" s="4" t="s">
        <v>83</v>
      </c>
      <c r="E99" s="15" t="s">
        <v>465</v>
      </c>
    </row>
    <row r="100" spans="1:5" x14ac:dyDescent="0.2">
      <c r="A100" s="20" t="s">
        <v>420</v>
      </c>
      <c r="B100" s="4" t="s">
        <v>252</v>
      </c>
      <c r="C100" s="4" t="s">
        <v>257</v>
      </c>
      <c r="D100" s="4" t="s">
        <v>160</v>
      </c>
      <c r="E100" s="15" t="s">
        <v>466</v>
      </c>
    </row>
  </sheetData>
  <mergeCells count="23">
    <mergeCell ref="A1:M2"/>
    <mergeCell ref="A3:A4"/>
    <mergeCell ref="B3:B4"/>
    <mergeCell ref="C3:C4"/>
    <mergeCell ref="D3:D4"/>
    <mergeCell ref="E3:E4"/>
    <mergeCell ref="F3:F4"/>
    <mergeCell ref="G3:J3"/>
    <mergeCell ref="A23:J23"/>
    <mergeCell ref="K3:K4"/>
    <mergeCell ref="L3:L4"/>
    <mergeCell ref="M3:M4"/>
    <mergeCell ref="A5:J5"/>
    <mergeCell ref="A8:J8"/>
    <mergeCell ref="A11:J11"/>
    <mergeCell ref="A14:J14"/>
    <mergeCell ref="A17:J17"/>
    <mergeCell ref="A20:J20"/>
    <mergeCell ref="A26:J26"/>
    <mergeCell ref="A32:J32"/>
    <mergeCell ref="A38:J38"/>
    <mergeCell ref="A44:J44"/>
    <mergeCell ref="A47:J4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6.5703125" style="4" bestFit="1" customWidth="1"/>
    <col min="5" max="5" width="22.7109375" style="4" bestFit="1" customWidth="1"/>
    <col min="6" max="6" width="17.28515625" style="4" bestFit="1" customWidth="1"/>
    <col min="7" max="9" width="2.140625" style="3" customWidth="1"/>
    <col min="10" max="10" width="4.85546875" style="3" customWidth="1"/>
    <col min="11" max="11" width="7.85546875" style="15" bestFit="1" customWidth="1"/>
    <col min="12" max="12" width="6.42578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56" t="s">
        <v>344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39"/>
      <c r="E3" s="39" t="s">
        <v>4</v>
      </c>
      <c r="F3" s="39" t="s">
        <v>8</v>
      </c>
      <c r="G3" s="39"/>
      <c r="H3" s="39"/>
      <c r="I3" s="39"/>
      <c r="J3" s="39"/>
      <c r="K3" s="39" t="s">
        <v>343</v>
      </c>
      <c r="L3" s="39" t="s">
        <v>3</v>
      </c>
      <c r="M3" s="42" t="s">
        <v>2</v>
      </c>
    </row>
    <row r="4" spans="1:13" s="1" customFormat="1" ht="21" customHeight="1" thickBot="1" x14ac:dyDescent="0.25">
      <c r="A4" s="51"/>
      <c r="B4" s="53"/>
      <c r="C4" s="53"/>
      <c r="D4" s="53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53"/>
      <c r="L4" s="53"/>
      <c r="M4" s="43"/>
    </row>
    <row r="6" spans="1:13" ht="15" x14ac:dyDescent="0.2">
      <c r="E6" s="14" t="s">
        <v>34</v>
      </c>
    </row>
    <row r="7" spans="1:13" ht="15" x14ac:dyDescent="0.2">
      <c r="E7" s="14" t="s">
        <v>35</v>
      </c>
    </row>
    <row r="8" spans="1:13" ht="15" x14ac:dyDescent="0.2">
      <c r="E8" s="14" t="s">
        <v>36</v>
      </c>
    </row>
    <row r="9" spans="1:13" ht="15" x14ac:dyDescent="0.2">
      <c r="E9" s="14" t="s">
        <v>37</v>
      </c>
    </row>
    <row r="10" spans="1:13" ht="15" x14ac:dyDescent="0.2">
      <c r="E10" s="14" t="s">
        <v>37</v>
      </c>
    </row>
    <row r="11" spans="1:13" ht="15" x14ac:dyDescent="0.2">
      <c r="E11" s="14" t="s">
        <v>38</v>
      </c>
    </row>
    <row r="12" spans="1:13" ht="15" x14ac:dyDescent="0.2">
      <c r="E12" s="14"/>
    </row>
    <row r="14" spans="1:13" ht="18" x14ac:dyDescent="0.25">
      <c r="A14" s="18" t="s">
        <v>39</v>
      </c>
      <c r="B14" s="18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7.28515625" style="4" bestFit="1" customWidth="1"/>
    <col min="7" max="9" width="5.5703125" style="3" customWidth="1"/>
    <col min="10" max="10" width="4.85546875" style="3" customWidth="1"/>
    <col min="11" max="11" width="7.85546875" style="15" bestFit="1" customWidth="1"/>
    <col min="12" max="12" width="8.5703125" style="2" bestFit="1" customWidth="1"/>
    <col min="13" max="13" width="13.5703125" style="4" bestFit="1" customWidth="1"/>
    <col min="14" max="16384" width="9.140625" style="3"/>
  </cols>
  <sheetData>
    <row r="1" spans="1:13" s="2" customFormat="1" ht="29.1" customHeight="1" x14ac:dyDescent="0.2">
      <c r="A1" s="56" t="s">
        <v>340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13</v>
      </c>
      <c r="E3" s="39" t="s">
        <v>4</v>
      </c>
      <c r="F3" s="39" t="s">
        <v>8</v>
      </c>
      <c r="G3" s="39" t="s">
        <v>15</v>
      </c>
      <c r="H3" s="39"/>
      <c r="I3" s="39"/>
      <c r="J3" s="39"/>
      <c r="K3" s="39" t="s">
        <v>343</v>
      </c>
      <c r="L3" s="39" t="s">
        <v>3</v>
      </c>
      <c r="M3" s="42" t="s">
        <v>2</v>
      </c>
    </row>
    <row r="4" spans="1:13" s="1" customFormat="1" ht="21" customHeight="1" thickBot="1" x14ac:dyDescent="0.25">
      <c r="A4" s="51"/>
      <c r="B4" s="53"/>
      <c r="C4" s="53"/>
      <c r="D4" s="53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53"/>
      <c r="L4" s="53"/>
      <c r="M4" s="43"/>
    </row>
    <row r="5" spans="1:13" ht="15" x14ac:dyDescent="0.2">
      <c r="A5" s="54" t="s">
        <v>174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1" t="s">
        <v>203</v>
      </c>
      <c r="B6" s="11" t="s">
        <v>204</v>
      </c>
      <c r="C6" s="11" t="s">
        <v>205</v>
      </c>
      <c r="D6" s="11" t="str">
        <f>"0,5861"</f>
        <v>0,5861</v>
      </c>
      <c r="E6" s="11" t="s">
        <v>206</v>
      </c>
      <c r="F6" s="11" t="s">
        <v>199</v>
      </c>
      <c r="G6" s="12" t="s">
        <v>75</v>
      </c>
      <c r="H6" s="13" t="s">
        <v>83</v>
      </c>
      <c r="I6" s="13" t="s">
        <v>83</v>
      </c>
      <c r="J6" s="13"/>
      <c r="K6" s="16" t="str">
        <f>"110,0"</f>
        <v>110,0</v>
      </c>
      <c r="L6" s="17" t="str">
        <f>"116,6925"</f>
        <v>116,6925</v>
      </c>
      <c r="M6" s="11" t="s">
        <v>207</v>
      </c>
    </row>
    <row r="8" spans="1:13" ht="15" x14ac:dyDescent="0.2">
      <c r="E8" s="14" t="s">
        <v>34</v>
      </c>
    </row>
    <row r="9" spans="1:13" ht="15" x14ac:dyDescent="0.2">
      <c r="E9" s="14" t="s">
        <v>35</v>
      </c>
    </row>
    <row r="10" spans="1:13" ht="15" x14ac:dyDescent="0.2">
      <c r="E10" s="14" t="s">
        <v>36</v>
      </c>
    </row>
    <row r="11" spans="1:13" ht="15" x14ac:dyDescent="0.2">
      <c r="E11" s="14" t="s">
        <v>37</v>
      </c>
    </row>
    <row r="12" spans="1:13" ht="15" x14ac:dyDescent="0.2">
      <c r="E12" s="14" t="s">
        <v>37</v>
      </c>
    </row>
    <row r="13" spans="1:13" ht="15" x14ac:dyDescent="0.2">
      <c r="E13" s="14" t="s">
        <v>38</v>
      </c>
    </row>
    <row r="14" spans="1:13" ht="15" x14ac:dyDescent="0.2">
      <c r="E14" s="14"/>
    </row>
    <row r="16" spans="1:13" ht="18" x14ac:dyDescent="0.25">
      <c r="A16" s="18" t="s">
        <v>39</v>
      </c>
      <c r="B16" s="18"/>
    </row>
    <row r="17" spans="1:5" ht="15" x14ac:dyDescent="0.2">
      <c r="A17" s="19" t="s">
        <v>40</v>
      </c>
      <c r="B17" s="19"/>
    </row>
    <row r="18" spans="1:5" ht="14.25" x14ac:dyDescent="0.2">
      <c r="A18" s="21"/>
      <c r="B18" s="22" t="s">
        <v>251</v>
      </c>
    </row>
    <row r="19" spans="1:5" ht="15" x14ac:dyDescent="0.2">
      <c r="A19" s="23" t="s">
        <v>42</v>
      </c>
      <c r="B19" s="23" t="s">
        <v>43</v>
      </c>
      <c r="C19" s="23" t="s">
        <v>44</v>
      </c>
      <c r="D19" s="23" t="s">
        <v>341</v>
      </c>
      <c r="E19" s="23" t="s">
        <v>46</v>
      </c>
    </row>
    <row r="20" spans="1:5" x14ac:dyDescent="0.2">
      <c r="A20" s="20" t="s">
        <v>202</v>
      </c>
      <c r="B20" s="4" t="s">
        <v>301</v>
      </c>
      <c r="C20" s="4" t="s">
        <v>266</v>
      </c>
      <c r="D20" s="4" t="s">
        <v>75</v>
      </c>
      <c r="E20" s="15" t="s">
        <v>342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0.1406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5" bestFit="1" customWidth="1"/>
    <col min="20" max="20" width="8.5703125" style="2" bestFit="1" customWidth="1"/>
    <col min="21" max="21" width="18.7109375" style="4" bestFit="1" customWidth="1"/>
    <col min="22" max="16384" width="9.140625" style="3"/>
  </cols>
  <sheetData>
    <row r="1" spans="1:21" s="2" customFormat="1" ht="29.1" customHeight="1" x14ac:dyDescent="0.2">
      <c r="A1" s="56" t="s">
        <v>308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13</v>
      </c>
      <c r="E3" s="39" t="s">
        <v>4</v>
      </c>
      <c r="F3" s="39" t="s">
        <v>8</v>
      </c>
      <c r="G3" s="39" t="s">
        <v>14</v>
      </c>
      <c r="H3" s="39"/>
      <c r="I3" s="39"/>
      <c r="J3" s="39"/>
      <c r="K3" s="39" t="s">
        <v>15</v>
      </c>
      <c r="L3" s="39"/>
      <c r="M3" s="39"/>
      <c r="N3" s="39"/>
      <c r="O3" s="39" t="s">
        <v>16</v>
      </c>
      <c r="P3" s="39"/>
      <c r="Q3" s="39"/>
      <c r="R3" s="39"/>
      <c r="S3" s="39" t="s">
        <v>1</v>
      </c>
      <c r="T3" s="39" t="s">
        <v>3</v>
      </c>
      <c r="U3" s="42" t="s">
        <v>2</v>
      </c>
    </row>
    <row r="4" spans="1:21" s="1" customFormat="1" ht="21" customHeight="1" thickBot="1" x14ac:dyDescent="0.25">
      <c r="A4" s="51"/>
      <c r="B4" s="53"/>
      <c r="C4" s="53"/>
      <c r="D4" s="53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9">
        <v>1</v>
      </c>
      <c r="L4" s="9">
        <v>2</v>
      </c>
      <c r="M4" s="9">
        <v>3</v>
      </c>
      <c r="N4" s="9" t="s">
        <v>5</v>
      </c>
      <c r="O4" s="9">
        <v>1</v>
      </c>
      <c r="P4" s="9">
        <v>2</v>
      </c>
      <c r="Q4" s="9">
        <v>3</v>
      </c>
      <c r="R4" s="9" t="s">
        <v>5</v>
      </c>
      <c r="S4" s="53"/>
      <c r="T4" s="53"/>
      <c r="U4" s="43"/>
    </row>
    <row r="5" spans="1:21" ht="15" x14ac:dyDescent="0.2">
      <c r="A5" s="54" t="s">
        <v>51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21" x14ac:dyDescent="0.2">
      <c r="A6" s="11" t="s">
        <v>310</v>
      </c>
      <c r="B6" s="11" t="s">
        <v>311</v>
      </c>
      <c r="C6" s="11" t="s">
        <v>312</v>
      </c>
      <c r="D6" s="11" t="str">
        <f>"1,3133"</f>
        <v>1,3133</v>
      </c>
      <c r="E6" s="11" t="s">
        <v>81</v>
      </c>
      <c r="F6" s="11" t="s">
        <v>82</v>
      </c>
      <c r="G6" s="12" t="s">
        <v>61</v>
      </c>
      <c r="H6" s="12" t="s">
        <v>62</v>
      </c>
      <c r="I6" s="12" t="s">
        <v>73</v>
      </c>
      <c r="J6" s="13"/>
      <c r="K6" s="12" t="s">
        <v>313</v>
      </c>
      <c r="L6" s="12" t="s">
        <v>95</v>
      </c>
      <c r="M6" s="12" t="s">
        <v>314</v>
      </c>
      <c r="N6" s="13"/>
      <c r="O6" s="12" t="s">
        <v>61</v>
      </c>
      <c r="P6" s="12" t="s">
        <v>62</v>
      </c>
      <c r="Q6" s="12" t="s">
        <v>73</v>
      </c>
      <c r="R6" s="13"/>
      <c r="S6" s="16" t="str">
        <f>"127,5"</f>
        <v>127,5</v>
      </c>
      <c r="T6" s="17" t="str">
        <f>"205,9583"</f>
        <v>205,9583</v>
      </c>
      <c r="U6" s="11" t="s">
        <v>89</v>
      </c>
    </row>
    <row r="8" spans="1:21" ht="15" x14ac:dyDescent="0.2">
      <c r="A8" s="57" t="s">
        <v>174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21" x14ac:dyDescent="0.2">
      <c r="A9" s="11" t="s">
        <v>316</v>
      </c>
      <c r="B9" s="11" t="s">
        <v>317</v>
      </c>
      <c r="C9" s="11" t="s">
        <v>187</v>
      </c>
      <c r="D9" s="11" t="str">
        <f>"0,5930"</f>
        <v>0,5930</v>
      </c>
      <c r="E9" s="11" t="s">
        <v>318</v>
      </c>
      <c r="F9" s="11" t="s">
        <v>319</v>
      </c>
      <c r="G9" s="12" t="s">
        <v>24</v>
      </c>
      <c r="H9" s="12" t="s">
        <v>30</v>
      </c>
      <c r="I9" s="12" t="s">
        <v>25</v>
      </c>
      <c r="J9" s="13"/>
      <c r="K9" s="12" t="s">
        <v>88</v>
      </c>
      <c r="L9" s="12" t="s">
        <v>27</v>
      </c>
      <c r="M9" s="12" t="s">
        <v>320</v>
      </c>
      <c r="N9" s="13"/>
      <c r="O9" s="12" t="s">
        <v>26</v>
      </c>
      <c r="P9" s="12" t="s">
        <v>228</v>
      </c>
      <c r="Q9" s="12" t="s">
        <v>229</v>
      </c>
      <c r="R9" s="13"/>
      <c r="S9" s="16" t="str">
        <f>"707,5"</f>
        <v>707,5</v>
      </c>
      <c r="T9" s="17" t="str">
        <f>"419,5475"</f>
        <v>419,5475</v>
      </c>
      <c r="U9" s="11" t="s">
        <v>321</v>
      </c>
    </row>
    <row r="11" spans="1:21" ht="15" x14ac:dyDescent="0.2">
      <c r="A11" s="57" t="s">
        <v>208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spans="1:21" x14ac:dyDescent="0.2">
      <c r="A12" s="11" t="s">
        <v>323</v>
      </c>
      <c r="B12" s="11" t="s">
        <v>324</v>
      </c>
      <c r="C12" s="11" t="s">
        <v>212</v>
      </c>
      <c r="D12" s="11" t="str">
        <f>"0,5540"</f>
        <v>0,5540</v>
      </c>
      <c r="E12" s="11" t="s">
        <v>325</v>
      </c>
      <c r="F12" s="11" t="s">
        <v>319</v>
      </c>
      <c r="G12" s="12" t="s">
        <v>183</v>
      </c>
      <c r="H12" s="12" t="s">
        <v>143</v>
      </c>
      <c r="I12" s="12" t="s">
        <v>188</v>
      </c>
      <c r="J12" s="13"/>
      <c r="K12" s="12" t="s">
        <v>140</v>
      </c>
      <c r="L12" s="12" t="s">
        <v>113</v>
      </c>
      <c r="M12" s="12" t="s">
        <v>124</v>
      </c>
      <c r="N12" s="13"/>
      <c r="O12" s="12" t="s">
        <v>189</v>
      </c>
      <c r="P12" s="12" t="s">
        <v>192</v>
      </c>
      <c r="Q12" s="12" t="s">
        <v>26</v>
      </c>
      <c r="R12" s="13"/>
      <c r="S12" s="16" t="str">
        <f>"620,0"</f>
        <v>620,0</v>
      </c>
      <c r="T12" s="17" t="str">
        <f>"349,6627"</f>
        <v>349,6627</v>
      </c>
      <c r="U12" s="11" t="s">
        <v>33</v>
      </c>
    </row>
    <row r="14" spans="1:21" ht="15" x14ac:dyDescent="0.2">
      <c r="A14" s="57" t="s">
        <v>17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21" x14ac:dyDescent="0.2">
      <c r="A15" s="11" t="s">
        <v>327</v>
      </c>
      <c r="B15" s="11" t="s">
        <v>328</v>
      </c>
      <c r="C15" s="11" t="s">
        <v>329</v>
      </c>
      <c r="D15" s="11" t="str">
        <f>"0,5517"</f>
        <v>0,5517</v>
      </c>
      <c r="E15" s="11" t="s">
        <v>330</v>
      </c>
      <c r="F15" s="11" t="s">
        <v>331</v>
      </c>
      <c r="G15" s="12" t="s">
        <v>143</v>
      </c>
      <c r="H15" s="12" t="s">
        <v>188</v>
      </c>
      <c r="I15" s="13" t="s">
        <v>189</v>
      </c>
      <c r="J15" s="13"/>
      <c r="K15" s="12" t="s">
        <v>124</v>
      </c>
      <c r="L15" s="12" t="s">
        <v>158</v>
      </c>
      <c r="M15" s="12" t="s">
        <v>332</v>
      </c>
      <c r="N15" s="13"/>
      <c r="O15" s="12" t="s">
        <v>24</v>
      </c>
      <c r="P15" s="12" t="s">
        <v>240</v>
      </c>
      <c r="Q15" s="12" t="s">
        <v>31</v>
      </c>
      <c r="R15" s="13"/>
      <c r="S15" s="16" t="str">
        <f>"640,0"</f>
        <v>640,0</v>
      </c>
      <c r="T15" s="17" t="str">
        <f>"353,0880"</f>
        <v>353,0880</v>
      </c>
      <c r="U15" s="11" t="s">
        <v>333</v>
      </c>
    </row>
    <row r="17" spans="1:5" ht="15" x14ac:dyDescent="0.2">
      <c r="E17" s="14" t="s">
        <v>34</v>
      </c>
    </row>
    <row r="18" spans="1:5" ht="15" x14ac:dyDescent="0.2">
      <c r="E18" s="14" t="s">
        <v>35</v>
      </c>
    </row>
    <row r="19" spans="1:5" ht="15" x14ac:dyDescent="0.2">
      <c r="E19" s="14" t="s">
        <v>36</v>
      </c>
    </row>
    <row r="20" spans="1:5" ht="15" x14ac:dyDescent="0.2">
      <c r="E20" s="14" t="s">
        <v>37</v>
      </c>
    </row>
    <row r="21" spans="1:5" ht="15" x14ac:dyDescent="0.2">
      <c r="E21" s="14" t="s">
        <v>37</v>
      </c>
    </row>
    <row r="22" spans="1:5" ht="15" x14ac:dyDescent="0.2">
      <c r="E22" s="14" t="s">
        <v>38</v>
      </c>
    </row>
    <row r="23" spans="1:5" ht="15" x14ac:dyDescent="0.2">
      <c r="E23" s="14"/>
    </row>
    <row r="25" spans="1:5" ht="18" x14ac:dyDescent="0.25">
      <c r="A25" s="18" t="s">
        <v>39</v>
      </c>
      <c r="B25" s="18"/>
    </row>
    <row r="26" spans="1:5" ht="15" x14ac:dyDescent="0.2">
      <c r="A26" s="19" t="s">
        <v>40</v>
      </c>
      <c r="B26" s="19"/>
    </row>
    <row r="27" spans="1:5" ht="14.25" x14ac:dyDescent="0.2">
      <c r="A27" s="21"/>
      <c r="B27" s="22" t="s">
        <v>255</v>
      </c>
    </row>
    <row r="28" spans="1:5" ht="15" x14ac:dyDescent="0.2">
      <c r="A28" s="23" t="s">
        <v>42</v>
      </c>
      <c r="B28" s="23" t="s">
        <v>43</v>
      </c>
      <c r="C28" s="23" t="s">
        <v>44</v>
      </c>
      <c r="D28" s="23" t="s">
        <v>45</v>
      </c>
      <c r="E28" s="23" t="s">
        <v>46</v>
      </c>
    </row>
    <row r="29" spans="1:5" x14ac:dyDescent="0.2">
      <c r="A29" s="20" t="s">
        <v>309</v>
      </c>
      <c r="B29" s="4" t="s">
        <v>277</v>
      </c>
      <c r="C29" s="4" t="s">
        <v>247</v>
      </c>
      <c r="D29" s="4" t="s">
        <v>190</v>
      </c>
      <c r="E29" s="15" t="s">
        <v>334</v>
      </c>
    </row>
    <row r="31" spans="1:5" ht="14.25" x14ac:dyDescent="0.2">
      <c r="A31" s="21"/>
      <c r="B31" s="22" t="s">
        <v>41</v>
      </c>
    </row>
    <row r="32" spans="1:5" ht="15" x14ac:dyDescent="0.2">
      <c r="A32" s="23" t="s">
        <v>42</v>
      </c>
      <c r="B32" s="23" t="s">
        <v>43</v>
      </c>
      <c r="C32" s="23" t="s">
        <v>44</v>
      </c>
      <c r="D32" s="23" t="s">
        <v>45</v>
      </c>
      <c r="E32" s="23" t="s">
        <v>46</v>
      </c>
    </row>
    <row r="33" spans="1:5" x14ac:dyDescent="0.2">
      <c r="A33" s="20" t="s">
        <v>315</v>
      </c>
      <c r="B33" s="4" t="s">
        <v>41</v>
      </c>
      <c r="C33" s="4" t="s">
        <v>266</v>
      </c>
      <c r="D33" s="4" t="s">
        <v>335</v>
      </c>
      <c r="E33" s="15" t="s">
        <v>336</v>
      </c>
    </row>
    <row r="34" spans="1:5" x14ac:dyDescent="0.2">
      <c r="A34" s="20" t="s">
        <v>326</v>
      </c>
      <c r="B34" s="4" t="s">
        <v>41</v>
      </c>
      <c r="C34" s="4" t="s">
        <v>47</v>
      </c>
      <c r="D34" s="4" t="s">
        <v>290</v>
      </c>
      <c r="E34" s="15" t="s">
        <v>337</v>
      </c>
    </row>
    <row r="36" spans="1:5" ht="14.25" x14ac:dyDescent="0.2">
      <c r="A36" s="21"/>
      <c r="B36" s="22" t="s">
        <v>251</v>
      </c>
    </row>
    <row r="37" spans="1:5" ht="15" x14ac:dyDescent="0.2">
      <c r="A37" s="23" t="s">
        <v>42</v>
      </c>
      <c r="B37" s="23" t="s">
        <v>43</v>
      </c>
      <c r="C37" s="23" t="s">
        <v>44</v>
      </c>
      <c r="D37" s="23" t="s">
        <v>45</v>
      </c>
      <c r="E37" s="23" t="s">
        <v>46</v>
      </c>
    </row>
    <row r="38" spans="1:5" x14ac:dyDescent="0.2">
      <c r="A38" s="20" t="s">
        <v>322</v>
      </c>
      <c r="B38" s="4" t="s">
        <v>252</v>
      </c>
      <c r="C38" s="4" t="s">
        <v>271</v>
      </c>
      <c r="D38" s="4" t="s">
        <v>338</v>
      </c>
      <c r="E38" s="15" t="s">
        <v>339</v>
      </c>
    </row>
  </sheetData>
  <mergeCells count="17"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4:R14"/>
    <mergeCell ref="S3:S4"/>
    <mergeCell ref="T3:T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9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5.140625" style="4" bestFit="1" customWidth="1"/>
    <col min="6" max="6" width="38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5" bestFit="1" customWidth="1"/>
    <col min="20" max="20" width="8.5703125" style="2" bestFit="1" customWidth="1"/>
    <col min="21" max="21" width="26.42578125" style="4" bestFit="1" customWidth="1"/>
    <col min="22" max="16384" width="9.140625" style="3"/>
  </cols>
  <sheetData>
    <row r="1" spans="1:21" s="2" customFormat="1" ht="29.1" customHeight="1" x14ac:dyDescent="0.2">
      <c r="A1" s="56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13</v>
      </c>
      <c r="E3" s="39" t="s">
        <v>4</v>
      </c>
      <c r="F3" s="39" t="s">
        <v>8</v>
      </c>
      <c r="G3" s="39" t="s">
        <v>14</v>
      </c>
      <c r="H3" s="39"/>
      <c r="I3" s="39"/>
      <c r="J3" s="39"/>
      <c r="K3" s="39" t="s">
        <v>15</v>
      </c>
      <c r="L3" s="39"/>
      <c r="M3" s="39"/>
      <c r="N3" s="39"/>
      <c r="O3" s="39" t="s">
        <v>16</v>
      </c>
      <c r="P3" s="39"/>
      <c r="Q3" s="39"/>
      <c r="R3" s="39"/>
      <c r="S3" s="39" t="s">
        <v>1</v>
      </c>
      <c r="T3" s="39" t="s">
        <v>3</v>
      </c>
      <c r="U3" s="42" t="s">
        <v>2</v>
      </c>
    </row>
    <row r="4" spans="1:21" s="1" customFormat="1" ht="21" customHeight="1" thickBot="1" x14ac:dyDescent="0.25">
      <c r="A4" s="51"/>
      <c r="B4" s="53"/>
      <c r="C4" s="53"/>
      <c r="D4" s="53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9">
        <v>1</v>
      </c>
      <c r="L4" s="9">
        <v>2</v>
      </c>
      <c r="M4" s="9">
        <v>3</v>
      </c>
      <c r="N4" s="9" t="s">
        <v>5</v>
      </c>
      <c r="O4" s="9">
        <v>1</v>
      </c>
      <c r="P4" s="9">
        <v>2</v>
      </c>
      <c r="Q4" s="9">
        <v>3</v>
      </c>
      <c r="R4" s="9" t="s">
        <v>5</v>
      </c>
      <c r="S4" s="53"/>
      <c r="T4" s="53"/>
      <c r="U4" s="43"/>
    </row>
    <row r="5" spans="1:21" ht="15" x14ac:dyDescent="0.2">
      <c r="A5" s="54" t="s">
        <v>51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21" x14ac:dyDescent="0.2">
      <c r="A6" s="11" t="s">
        <v>53</v>
      </c>
      <c r="B6" s="11" t="s">
        <v>54</v>
      </c>
      <c r="C6" s="11" t="s">
        <v>55</v>
      </c>
      <c r="D6" s="11" t="str">
        <f>"0,9693"</f>
        <v>0,9693</v>
      </c>
      <c r="E6" s="11" t="s">
        <v>56</v>
      </c>
      <c r="F6" s="11" t="s">
        <v>57</v>
      </c>
      <c r="G6" s="12" t="s">
        <v>58</v>
      </c>
      <c r="H6" s="13" t="s">
        <v>59</v>
      </c>
      <c r="I6" s="12" t="s">
        <v>59</v>
      </c>
      <c r="J6" s="13"/>
      <c r="K6" s="12" t="s">
        <v>60</v>
      </c>
      <c r="L6" s="12" t="s">
        <v>61</v>
      </c>
      <c r="M6" s="13" t="s">
        <v>62</v>
      </c>
      <c r="N6" s="13"/>
      <c r="O6" s="12" t="s">
        <v>59</v>
      </c>
      <c r="P6" s="13" t="s">
        <v>63</v>
      </c>
      <c r="Q6" s="13"/>
      <c r="R6" s="13"/>
      <c r="S6" s="16" t="str">
        <f>"190,0"</f>
        <v>190,0</v>
      </c>
      <c r="T6" s="17" t="str">
        <f>"184,1765"</f>
        <v>184,1765</v>
      </c>
      <c r="U6" s="11" t="s">
        <v>64</v>
      </c>
    </row>
    <row r="8" spans="1:21" ht="15" x14ac:dyDescent="0.2">
      <c r="A8" s="57" t="s">
        <v>65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21" x14ac:dyDescent="0.2">
      <c r="A9" s="24" t="s">
        <v>67</v>
      </c>
      <c r="B9" s="24" t="s">
        <v>68</v>
      </c>
      <c r="C9" s="24" t="s">
        <v>69</v>
      </c>
      <c r="D9" s="24" t="str">
        <f>"0,7383"</f>
        <v>0,7383</v>
      </c>
      <c r="E9" s="24" t="s">
        <v>70</v>
      </c>
      <c r="F9" s="24" t="s">
        <v>71</v>
      </c>
      <c r="G9" s="25" t="s">
        <v>63</v>
      </c>
      <c r="H9" s="25" t="s">
        <v>72</v>
      </c>
      <c r="I9" s="26"/>
      <c r="J9" s="26"/>
      <c r="K9" s="25" t="s">
        <v>62</v>
      </c>
      <c r="L9" s="26" t="s">
        <v>73</v>
      </c>
      <c r="M9" s="26"/>
      <c r="N9" s="26"/>
      <c r="O9" s="25" t="s">
        <v>74</v>
      </c>
      <c r="P9" s="26" t="s">
        <v>75</v>
      </c>
      <c r="Q9" s="25" t="s">
        <v>75</v>
      </c>
      <c r="R9" s="26"/>
      <c r="S9" s="33" t="str">
        <f>"245,0"</f>
        <v>245,0</v>
      </c>
      <c r="T9" s="34" t="str">
        <f>"180,8835"</f>
        <v>180,8835</v>
      </c>
      <c r="U9" s="24" t="s">
        <v>76</v>
      </c>
    </row>
    <row r="10" spans="1:21" x14ac:dyDescent="0.2">
      <c r="A10" s="27" t="s">
        <v>78</v>
      </c>
      <c r="B10" s="27" t="s">
        <v>79</v>
      </c>
      <c r="C10" s="27" t="s">
        <v>80</v>
      </c>
      <c r="D10" s="27" t="str">
        <f>"0,7701"</f>
        <v>0,7701</v>
      </c>
      <c r="E10" s="27" t="s">
        <v>81</v>
      </c>
      <c r="F10" s="27" t="s">
        <v>82</v>
      </c>
      <c r="G10" s="28" t="s">
        <v>75</v>
      </c>
      <c r="H10" s="28" t="s">
        <v>83</v>
      </c>
      <c r="I10" s="28" t="s">
        <v>84</v>
      </c>
      <c r="J10" s="29"/>
      <c r="K10" s="28" t="s">
        <v>73</v>
      </c>
      <c r="L10" s="28" t="s">
        <v>85</v>
      </c>
      <c r="M10" s="28" t="s">
        <v>86</v>
      </c>
      <c r="N10" s="29"/>
      <c r="O10" s="28" t="s">
        <v>84</v>
      </c>
      <c r="P10" s="28" t="s">
        <v>87</v>
      </c>
      <c r="Q10" s="28" t="s">
        <v>88</v>
      </c>
      <c r="R10" s="29"/>
      <c r="S10" s="35" t="str">
        <f>"327,5"</f>
        <v>327,5</v>
      </c>
      <c r="T10" s="36" t="str">
        <f>"252,2077"</f>
        <v>252,2077</v>
      </c>
      <c r="U10" s="27" t="s">
        <v>89</v>
      </c>
    </row>
    <row r="12" spans="1:21" ht="15" x14ac:dyDescent="0.2">
      <c r="A12" s="57" t="s">
        <v>51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</row>
    <row r="13" spans="1:21" x14ac:dyDescent="0.2">
      <c r="A13" s="11" t="s">
        <v>91</v>
      </c>
      <c r="B13" s="11" t="s">
        <v>92</v>
      </c>
      <c r="C13" s="11" t="s">
        <v>93</v>
      </c>
      <c r="D13" s="11" t="str">
        <f>"1,3133"</f>
        <v>1,3133</v>
      </c>
      <c r="E13" s="11" t="s">
        <v>81</v>
      </c>
      <c r="F13" s="11" t="s">
        <v>82</v>
      </c>
      <c r="G13" s="12" t="s">
        <v>61</v>
      </c>
      <c r="H13" s="12" t="s">
        <v>73</v>
      </c>
      <c r="I13" s="12" t="s">
        <v>94</v>
      </c>
      <c r="J13" s="13"/>
      <c r="K13" s="12" t="s">
        <v>95</v>
      </c>
      <c r="L13" s="12" t="s">
        <v>96</v>
      </c>
      <c r="M13" s="13" t="s">
        <v>97</v>
      </c>
      <c r="N13" s="13"/>
      <c r="O13" s="12" t="s">
        <v>62</v>
      </c>
      <c r="P13" s="12" t="s">
        <v>94</v>
      </c>
      <c r="Q13" s="12" t="s">
        <v>98</v>
      </c>
      <c r="R13" s="13"/>
      <c r="S13" s="16" t="str">
        <f>"140,0"</f>
        <v>140,0</v>
      </c>
      <c r="T13" s="17" t="str">
        <f>"226,1503"</f>
        <v>226,1503</v>
      </c>
      <c r="U13" s="11" t="s">
        <v>89</v>
      </c>
    </row>
    <row r="15" spans="1:21" ht="15" x14ac:dyDescent="0.2">
      <c r="A15" s="57" t="s">
        <v>99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spans="1:21" x14ac:dyDescent="0.2">
      <c r="A16" s="11" t="s">
        <v>101</v>
      </c>
      <c r="B16" s="11" t="s">
        <v>102</v>
      </c>
      <c r="C16" s="11" t="s">
        <v>103</v>
      </c>
      <c r="D16" s="11" t="str">
        <f>"0,8242"</f>
        <v>0,8242</v>
      </c>
      <c r="E16" s="11" t="s">
        <v>104</v>
      </c>
      <c r="F16" s="11" t="s">
        <v>105</v>
      </c>
      <c r="G16" s="13" t="s">
        <v>106</v>
      </c>
      <c r="H16" s="13" t="s">
        <v>106</v>
      </c>
      <c r="I16" s="12" t="s">
        <v>106</v>
      </c>
      <c r="J16" s="13"/>
      <c r="K16" s="12" t="s">
        <v>107</v>
      </c>
      <c r="L16" s="13" t="s">
        <v>58</v>
      </c>
      <c r="M16" s="13" t="s">
        <v>58</v>
      </c>
      <c r="N16" s="13"/>
      <c r="O16" s="12" t="s">
        <v>83</v>
      </c>
      <c r="P16" s="13" t="s">
        <v>84</v>
      </c>
      <c r="Q16" s="13" t="s">
        <v>84</v>
      </c>
      <c r="R16" s="13"/>
      <c r="S16" s="16" t="str">
        <f>"275,0"</f>
        <v>275,0</v>
      </c>
      <c r="T16" s="17" t="str">
        <f>"244,7874"</f>
        <v>244,7874</v>
      </c>
      <c r="U16" s="11" t="s">
        <v>33</v>
      </c>
    </row>
    <row r="18" spans="1:21" ht="15" x14ac:dyDescent="0.2">
      <c r="A18" s="57" t="s">
        <v>108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</row>
    <row r="19" spans="1:21" x14ac:dyDescent="0.2">
      <c r="A19" s="24" t="s">
        <v>110</v>
      </c>
      <c r="B19" s="24" t="s">
        <v>111</v>
      </c>
      <c r="C19" s="24" t="s">
        <v>112</v>
      </c>
      <c r="D19" s="24" t="str">
        <f>"0,7717"</f>
        <v>0,7717</v>
      </c>
      <c r="E19" s="24" t="s">
        <v>70</v>
      </c>
      <c r="F19" s="24" t="s">
        <v>71</v>
      </c>
      <c r="G19" s="25" t="s">
        <v>74</v>
      </c>
      <c r="H19" s="26" t="s">
        <v>84</v>
      </c>
      <c r="I19" s="26"/>
      <c r="J19" s="26"/>
      <c r="K19" s="25" t="s">
        <v>58</v>
      </c>
      <c r="L19" s="25" t="s">
        <v>59</v>
      </c>
      <c r="M19" s="25" t="s">
        <v>63</v>
      </c>
      <c r="N19" s="26"/>
      <c r="O19" s="25" t="s">
        <v>75</v>
      </c>
      <c r="P19" s="25" t="s">
        <v>84</v>
      </c>
      <c r="Q19" s="25" t="s">
        <v>113</v>
      </c>
      <c r="R19" s="26"/>
      <c r="S19" s="33" t="str">
        <f>"320,0"</f>
        <v>320,0</v>
      </c>
      <c r="T19" s="34" t="str">
        <f>"279,0467"</f>
        <v>279,0467</v>
      </c>
      <c r="U19" s="24" t="s">
        <v>76</v>
      </c>
    </row>
    <row r="20" spans="1:21" x14ac:dyDescent="0.2">
      <c r="A20" s="27" t="s">
        <v>115</v>
      </c>
      <c r="B20" s="27" t="s">
        <v>116</v>
      </c>
      <c r="C20" s="27" t="s">
        <v>117</v>
      </c>
      <c r="D20" s="27" t="str">
        <f>"0,7802"</f>
        <v>0,7802</v>
      </c>
      <c r="E20" s="27" t="s">
        <v>70</v>
      </c>
      <c r="F20" s="27" t="s">
        <v>71</v>
      </c>
      <c r="G20" s="28" t="s">
        <v>63</v>
      </c>
      <c r="H20" s="29" t="s">
        <v>72</v>
      </c>
      <c r="I20" s="29"/>
      <c r="J20" s="29"/>
      <c r="K20" s="28" t="s">
        <v>73</v>
      </c>
      <c r="L20" s="28" t="s">
        <v>118</v>
      </c>
      <c r="M20" s="29" t="s">
        <v>107</v>
      </c>
      <c r="N20" s="29"/>
      <c r="O20" s="28" t="s">
        <v>118</v>
      </c>
      <c r="P20" s="29"/>
      <c r="Q20" s="29"/>
      <c r="R20" s="29"/>
      <c r="S20" s="35" t="str">
        <f>"200,0"</f>
        <v>200,0</v>
      </c>
      <c r="T20" s="36" t="str">
        <f>"184,1272"</f>
        <v>184,1272</v>
      </c>
      <c r="U20" s="27" t="s">
        <v>76</v>
      </c>
    </row>
    <row r="22" spans="1:21" ht="15" x14ac:dyDescent="0.2">
      <c r="A22" s="57" t="s">
        <v>65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</row>
    <row r="23" spans="1:21" x14ac:dyDescent="0.2">
      <c r="A23" s="24" t="s">
        <v>120</v>
      </c>
      <c r="B23" s="24" t="s">
        <v>121</v>
      </c>
      <c r="C23" s="24" t="s">
        <v>122</v>
      </c>
      <c r="D23" s="24" t="str">
        <f>"0,6767"</f>
        <v>0,6767</v>
      </c>
      <c r="E23" s="24" t="s">
        <v>123</v>
      </c>
      <c r="F23" s="24" t="s">
        <v>71</v>
      </c>
      <c r="G23" s="25" t="s">
        <v>74</v>
      </c>
      <c r="H23" s="25" t="s">
        <v>84</v>
      </c>
      <c r="I23" s="26"/>
      <c r="J23" s="26"/>
      <c r="K23" s="25" t="s">
        <v>118</v>
      </c>
      <c r="L23" s="26" t="s">
        <v>107</v>
      </c>
      <c r="M23" s="26" t="s">
        <v>58</v>
      </c>
      <c r="N23" s="26"/>
      <c r="O23" s="25" t="s">
        <v>84</v>
      </c>
      <c r="P23" s="25" t="s">
        <v>113</v>
      </c>
      <c r="Q23" s="25" t="s">
        <v>124</v>
      </c>
      <c r="R23" s="26"/>
      <c r="S23" s="33" t="str">
        <f>"330,0"</f>
        <v>330,0</v>
      </c>
      <c r="T23" s="34" t="str">
        <f>"252,3414"</f>
        <v>252,3414</v>
      </c>
      <c r="U23" s="24" t="s">
        <v>76</v>
      </c>
    </row>
    <row r="24" spans="1:21" x14ac:dyDescent="0.2">
      <c r="A24" s="30" t="s">
        <v>126</v>
      </c>
      <c r="B24" s="30" t="s">
        <v>127</v>
      </c>
      <c r="C24" s="30" t="s">
        <v>128</v>
      </c>
      <c r="D24" s="30" t="str">
        <f>"0,6708"</f>
        <v>0,6708</v>
      </c>
      <c r="E24" s="30" t="s">
        <v>123</v>
      </c>
      <c r="F24" s="30" t="s">
        <v>129</v>
      </c>
      <c r="G24" s="31" t="s">
        <v>113</v>
      </c>
      <c r="H24" s="32" t="s">
        <v>124</v>
      </c>
      <c r="I24" s="32" t="s">
        <v>124</v>
      </c>
      <c r="J24" s="32"/>
      <c r="K24" s="31" t="s">
        <v>107</v>
      </c>
      <c r="L24" s="31" t="s">
        <v>63</v>
      </c>
      <c r="M24" s="31" t="s">
        <v>72</v>
      </c>
      <c r="N24" s="32"/>
      <c r="O24" s="31" t="s">
        <v>124</v>
      </c>
      <c r="P24" s="31" t="s">
        <v>130</v>
      </c>
      <c r="Q24" s="31" t="s">
        <v>131</v>
      </c>
      <c r="R24" s="32"/>
      <c r="S24" s="37" t="str">
        <f>"435,0"</f>
        <v>435,0</v>
      </c>
      <c r="T24" s="38" t="str">
        <f>"303,4699"</f>
        <v>303,4699</v>
      </c>
      <c r="U24" s="30" t="s">
        <v>132</v>
      </c>
    </row>
    <row r="25" spans="1:21" x14ac:dyDescent="0.2">
      <c r="A25" s="30" t="s">
        <v>134</v>
      </c>
      <c r="B25" s="30" t="s">
        <v>135</v>
      </c>
      <c r="C25" s="30" t="s">
        <v>136</v>
      </c>
      <c r="D25" s="30" t="str">
        <f>"0,6645"</f>
        <v>0,6645</v>
      </c>
      <c r="E25" s="30" t="s">
        <v>137</v>
      </c>
      <c r="F25" s="30" t="s">
        <v>138</v>
      </c>
      <c r="G25" s="31" t="s">
        <v>113</v>
      </c>
      <c r="H25" s="32" t="s">
        <v>124</v>
      </c>
      <c r="I25" s="32" t="s">
        <v>124</v>
      </c>
      <c r="J25" s="32"/>
      <c r="K25" s="31" t="s">
        <v>139</v>
      </c>
      <c r="L25" s="31" t="s">
        <v>140</v>
      </c>
      <c r="M25" s="32" t="s">
        <v>141</v>
      </c>
      <c r="N25" s="32"/>
      <c r="O25" s="31" t="s">
        <v>130</v>
      </c>
      <c r="P25" s="31" t="s">
        <v>142</v>
      </c>
      <c r="Q25" s="32" t="s">
        <v>143</v>
      </c>
      <c r="R25" s="32"/>
      <c r="S25" s="37" t="str">
        <f>"460,0"</f>
        <v>460,0</v>
      </c>
      <c r="T25" s="38" t="str">
        <f>"314,8401"</f>
        <v>314,8401</v>
      </c>
      <c r="U25" s="30" t="s">
        <v>144</v>
      </c>
    </row>
    <row r="26" spans="1:21" x14ac:dyDescent="0.2">
      <c r="A26" s="30" t="s">
        <v>145</v>
      </c>
      <c r="B26" s="30" t="s">
        <v>146</v>
      </c>
      <c r="C26" s="30" t="s">
        <v>136</v>
      </c>
      <c r="D26" s="30" t="str">
        <f>"0,6645"</f>
        <v>0,6645</v>
      </c>
      <c r="E26" s="30" t="s">
        <v>137</v>
      </c>
      <c r="F26" s="30" t="s">
        <v>147</v>
      </c>
      <c r="G26" s="32" t="s">
        <v>84</v>
      </c>
      <c r="H26" s="31" t="s">
        <v>84</v>
      </c>
      <c r="I26" s="32" t="s">
        <v>140</v>
      </c>
      <c r="J26" s="32"/>
      <c r="K26" s="32" t="s">
        <v>106</v>
      </c>
      <c r="L26" s="32" t="s">
        <v>106</v>
      </c>
      <c r="M26" s="32" t="s">
        <v>106</v>
      </c>
      <c r="N26" s="32"/>
      <c r="O26" s="32" t="s">
        <v>74</v>
      </c>
      <c r="P26" s="32"/>
      <c r="Q26" s="32"/>
      <c r="R26" s="32"/>
      <c r="S26" s="37" t="str">
        <f>"0.00"</f>
        <v>0.00</v>
      </c>
      <c r="T26" s="38" t="str">
        <f>"0,0000"</f>
        <v>0,0000</v>
      </c>
      <c r="U26" s="30" t="s">
        <v>144</v>
      </c>
    </row>
    <row r="27" spans="1:21" x14ac:dyDescent="0.2">
      <c r="A27" s="27" t="s">
        <v>148</v>
      </c>
      <c r="B27" s="27" t="s">
        <v>149</v>
      </c>
      <c r="C27" s="27" t="s">
        <v>150</v>
      </c>
      <c r="D27" s="27" t="str">
        <f>"0,6745"</f>
        <v>0,6745</v>
      </c>
      <c r="E27" s="27" t="s">
        <v>56</v>
      </c>
      <c r="F27" s="27" t="s">
        <v>57</v>
      </c>
      <c r="G27" s="29" t="s">
        <v>28</v>
      </c>
      <c r="H27" s="29" t="s">
        <v>28</v>
      </c>
      <c r="I27" s="29" t="s">
        <v>28</v>
      </c>
      <c r="J27" s="29"/>
      <c r="K27" s="29" t="s">
        <v>84</v>
      </c>
      <c r="L27" s="29"/>
      <c r="M27" s="29"/>
      <c r="N27" s="29"/>
      <c r="O27" s="29" t="s">
        <v>142</v>
      </c>
      <c r="P27" s="29"/>
      <c r="Q27" s="29"/>
      <c r="R27" s="29"/>
      <c r="S27" s="35" t="str">
        <f>"0.00"</f>
        <v>0.00</v>
      </c>
      <c r="T27" s="36" t="str">
        <f>"0,0000"</f>
        <v>0,0000</v>
      </c>
      <c r="U27" s="27" t="s">
        <v>64</v>
      </c>
    </row>
    <row r="29" spans="1:21" ht="15" x14ac:dyDescent="0.2">
      <c r="A29" s="57" t="s">
        <v>151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</row>
    <row r="30" spans="1:21" x14ac:dyDescent="0.2">
      <c r="A30" s="24" t="s">
        <v>153</v>
      </c>
      <c r="B30" s="24" t="s">
        <v>154</v>
      </c>
      <c r="C30" s="24" t="s">
        <v>155</v>
      </c>
      <c r="D30" s="24" t="str">
        <f>"0,6214"</f>
        <v>0,6214</v>
      </c>
      <c r="E30" s="24" t="s">
        <v>156</v>
      </c>
      <c r="F30" s="24" t="s">
        <v>157</v>
      </c>
      <c r="G30" s="25" t="s">
        <v>88</v>
      </c>
      <c r="H30" s="25" t="s">
        <v>27</v>
      </c>
      <c r="I30" s="25" t="s">
        <v>158</v>
      </c>
      <c r="J30" s="26"/>
      <c r="K30" s="25" t="s">
        <v>159</v>
      </c>
      <c r="L30" s="25" t="s">
        <v>160</v>
      </c>
      <c r="M30" s="25" t="s">
        <v>83</v>
      </c>
      <c r="N30" s="26"/>
      <c r="O30" s="25" t="s">
        <v>142</v>
      </c>
      <c r="P30" s="25" t="s">
        <v>131</v>
      </c>
      <c r="Q30" s="26" t="s">
        <v>161</v>
      </c>
      <c r="R30" s="26"/>
      <c r="S30" s="33" t="str">
        <f>"480,0"</f>
        <v>480,0</v>
      </c>
      <c r="T30" s="34" t="str">
        <f>"316,1683"</f>
        <v>316,1683</v>
      </c>
      <c r="U30" s="24" t="s">
        <v>162</v>
      </c>
    </row>
    <row r="31" spans="1:21" x14ac:dyDescent="0.2">
      <c r="A31" s="30" t="s">
        <v>164</v>
      </c>
      <c r="B31" s="30" t="s">
        <v>165</v>
      </c>
      <c r="C31" s="30" t="s">
        <v>166</v>
      </c>
      <c r="D31" s="30" t="str">
        <f>"0,6230"</f>
        <v>0,6230</v>
      </c>
      <c r="E31" s="30" t="s">
        <v>70</v>
      </c>
      <c r="F31" s="30" t="s">
        <v>71</v>
      </c>
      <c r="G31" s="32" t="s">
        <v>113</v>
      </c>
      <c r="H31" s="31" t="s">
        <v>113</v>
      </c>
      <c r="I31" s="32" t="s">
        <v>124</v>
      </c>
      <c r="J31" s="32"/>
      <c r="K31" s="31" t="s">
        <v>59</v>
      </c>
      <c r="L31" s="32" t="s">
        <v>167</v>
      </c>
      <c r="M31" s="32"/>
      <c r="N31" s="32"/>
      <c r="O31" s="31" t="s">
        <v>28</v>
      </c>
      <c r="P31" s="31" t="s">
        <v>130</v>
      </c>
      <c r="Q31" s="32" t="s">
        <v>168</v>
      </c>
      <c r="R31" s="32"/>
      <c r="S31" s="37" t="str">
        <f>"390,0"</f>
        <v>390,0</v>
      </c>
      <c r="T31" s="38" t="str">
        <f>"242,9700"</f>
        <v>242,9700</v>
      </c>
      <c r="U31" s="30" t="s">
        <v>76</v>
      </c>
    </row>
    <row r="32" spans="1:21" x14ac:dyDescent="0.2">
      <c r="A32" s="27" t="s">
        <v>170</v>
      </c>
      <c r="B32" s="27" t="s">
        <v>171</v>
      </c>
      <c r="C32" s="27" t="s">
        <v>172</v>
      </c>
      <c r="D32" s="27" t="str">
        <f>"0,6193"</f>
        <v>0,6193</v>
      </c>
      <c r="E32" s="27" t="s">
        <v>70</v>
      </c>
      <c r="F32" s="27" t="s">
        <v>71</v>
      </c>
      <c r="G32" s="28" t="s">
        <v>124</v>
      </c>
      <c r="H32" s="29" t="s">
        <v>158</v>
      </c>
      <c r="I32" s="28" t="s">
        <v>158</v>
      </c>
      <c r="J32" s="29"/>
      <c r="K32" s="28" t="s">
        <v>173</v>
      </c>
      <c r="L32" s="29" t="s">
        <v>87</v>
      </c>
      <c r="M32" s="29" t="s">
        <v>113</v>
      </c>
      <c r="N32" s="29"/>
      <c r="O32" s="28" t="s">
        <v>158</v>
      </c>
      <c r="P32" s="28" t="s">
        <v>28</v>
      </c>
      <c r="Q32" s="28" t="s">
        <v>168</v>
      </c>
      <c r="R32" s="29"/>
      <c r="S32" s="35" t="str">
        <f>"470,0"</f>
        <v>470,0</v>
      </c>
      <c r="T32" s="36" t="str">
        <f>"526,8385"</f>
        <v>526,8385</v>
      </c>
      <c r="U32" s="27" t="s">
        <v>76</v>
      </c>
    </row>
    <row r="34" spans="1:21" ht="15" x14ac:dyDescent="0.2">
      <c r="A34" s="57" t="s">
        <v>174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</row>
    <row r="35" spans="1:21" x14ac:dyDescent="0.2">
      <c r="A35" s="24" t="s">
        <v>176</v>
      </c>
      <c r="B35" s="24" t="s">
        <v>177</v>
      </c>
      <c r="C35" s="24" t="s">
        <v>178</v>
      </c>
      <c r="D35" s="24" t="str">
        <f>"0,6013"</f>
        <v>0,6013</v>
      </c>
      <c r="E35" s="24" t="s">
        <v>70</v>
      </c>
      <c r="F35" s="24" t="s">
        <v>71</v>
      </c>
      <c r="G35" s="25" t="s">
        <v>167</v>
      </c>
      <c r="H35" s="25" t="s">
        <v>72</v>
      </c>
      <c r="I35" s="25" t="s">
        <v>74</v>
      </c>
      <c r="J35" s="26"/>
      <c r="K35" s="25" t="s">
        <v>62</v>
      </c>
      <c r="L35" s="25" t="s">
        <v>73</v>
      </c>
      <c r="M35" s="26" t="s">
        <v>85</v>
      </c>
      <c r="N35" s="26"/>
      <c r="O35" s="25" t="s">
        <v>72</v>
      </c>
      <c r="P35" s="25" t="s">
        <v>74</v>
      </c>
      <c r="Q35" s="25" t="s">
        <v>75</v>
      </c>
      <c r="R35" s="26"/>
      <c r="S35" s="33" t="str">
        <f>"260,0"</f>
        <v>260,0</v>
      </c>
      <c r="T35" s="34" t="str">
        <f>"192,2957"</f>
        <v>192,2957</v>
      </c>
      <c r="U35" s="24" t="s">
        <v>76</v>
      </c>
    </row>
    <row r="36" spans="1:21" x14ac:dyDescent="0.2">
      <c r="A36" s="30" t="s">
        <v>180</v>
      </c>
      <c r="B36" s="30" t="s">
        <v>181</v>
      </c>
      <c r="C36" s="30" t="s">
        <v>182</v>
      </c>
      <c r="D36" s="30" t="str">
        <f>"0,6122"</f>
        <v>0,6122</v>
      </c>
      <c r="E36" s="30" t="s">
        <v>70</v>
      </c>
      <c r="F36" s="30" t="s">
        <v>71</v>
      </c>
      <c r="G36" s="32" t="s">
        <v>140</v>
      </c>
      <c r="H36" s="31" t="s">
        <v>113</v>
      </c>
      <c r="I36" s="32" t="s">
        <v>158</v>
      </c>
      <c r="J36" s="32"/>
      <c r="K36" s="31" t="s">
        <v>63</v>
      </c>
      <c r="L36" s="32" t="s">
        <v>72</v>
      </c>
      <c r="M36" s="32" t="s">
        <v>72</v>
      </c>
      <c r="N36" s="32"/>
      <c r="O36" s="31" t="s">
        <v>113</v>
      </c>
      <c r="P36" s="31" t="s">
        <v>158</v>
      </c>
      <c r="Q36" s="31" t="s">
        <v>183</v>
      </c>
      <c r="R36" s="32"/>
      <c r="S36" s="37" t="str">
        <f>"400,0"</f>
        <v>400,0</v>
      </c>
      <c r="T36" s="38" t="str">
        <f>"254,6752"</f>
        <v>254,6752</v>
      </c>
      <c r="U36" s="30" t="s">
        <v>76</v>
      </c>
    </row>
    <row r="37" spans="1:21" x14ac:dyDescent="0.2">
      <c r="A37" s="30" t="s">
        <v>185</v>
      </c>
      <c r="B37" s="30" t="s">
        <v>186</v>
      </c>
      <c r="C37" s="30" t="s">
        <v>187</v>
      </c>
      <c r="D37" s="30" t="str">
        <f>"0,5930"</f>
        <v>0,5930</v>
      </c>
      <c r="E37" s="30" t="s">
        <v>70</v>
      </c>
      <c r="F37" s="30" t="s">
        <v>71</v>
      </c>
      <c r="G37" s="31" t="s">
        <v>143</v>
      </c>
      <c r="H37" s="31" t="s">
        <v>188</v>
      </c>
      <c r="I37" s="31" t="s">
        <v>189</v>
      </c>
      <c r="J37" s="32"/>
      <c r="K37" s="31" t="s">
        <v>84</v>
      </c>
      <c r="L37" s="32" t="s">
        <v>190</v>
      </c>
      <c r="M37" s="32" t="s">
        <v>190</v>
      </c>
      <c r="N37" s="32"/>
      <c r="O37" s="31" t="s">
        <v>191</v>
      </c>
      <c r="P37" s="31" t="s">
        <v>192</v>
      </c>
      <c r="Q37" s="32" t="s">
        <v>193</v>
      </c>
      <c r="R37" s="32"/>
      <c r="S37" s="37" t="str">
        <f>"580,0"</f>
        <v>580,0</v>
      </c>
      <c r="T37" s="38" t="str">
        <f>"354,2582"</f>
        <v>354,2582</v>
      </c>
      <c r="U37" s="30" t="s">
        <v>76</v>
      </c>
    </row>
    <row r="38" spans="1:21" x14ac:dyDescent="0.2">
      <c r="A38" s="30" t="s">
        <v>195</v>
      </c>
      <c r="B38" s="30" t="s">
        <v>196</v>
      </c>
      <c r="C38" s="30" t="s">
        <v>197</v>
      </c>
      <c r="D38" s="30" t="str">
        <f>"0,5910"</f>
        <v>0,5910</v>
      </c>
      <c r="E38" s="30" t="s">
        <v>198</v>
      </c>
      <c r="F38" s="30" t="s">
        <v>199</v>
      </c>
      <c r="G38" s="31" t="s">
        <v>63</v>
      </c>
      <c r="H38" s="31" t="s">
        <v>74</v>
      </c>
      <c r="I38" s="31" t="s">
        <v>75</v>
      </c>
      <c r="J38" s="32"/>
      <c r="K38" s="31" t="s">
        <v>142</v>
      </c>
      <c r="L38" s="32" t="s">
        <v>200</v>
      </c>
      <c r="M38" s="32" t="s">
        <v>201</v>
      </c>
      <c r="N38" s="32"/>
      <c r="O38" s="31" t="s">
        <v>74</v>
      </c>
      <c r="P38" s="31" t="s">
        <v>84</v>
      </c>
      <c r="Q38" s="31" t="s">
        <v>113</v>
      </c>
      <c r="R38" s="32"/>
      <c r="S38" s="37" t="str">
        <f>"440,0"</f>
        <v>440,0</v>
      </c>
      <c r="T38" s="38" t="str">
        <f>"260,0400"</f>
        <v>260,0400</v>
      </c>
      <c r="U38" s="30" t="s">
        <v>33</v>
      </c>
    </row>
    <row r="39" spans="1:21" x14ac:dyDescent="0.2">
      <c r="A39" s="27" t="s">
        <v>203</v>
      </c>
      <c r="B39" s="27" t="s">
        <v>204</v>
      </c>
      <c r="C39" s="27" t="s">
        <v>205</v>
      </c>
      <c r="D39" s="27" t="str">
        <f>"0,5861"</f>
        <v>0,5861</v>
      </c>
      <c r="E39" s="27" t="s">
        <v>206</v>
      </c>
      <c r="F39" s="27" t="s">
        <v>199</v>
      </c>
      <c r="G39" s="28" t="s">
        <v>63</v>
      </c>
      <c r="H39" s="28" t="s">
        <v>72</v>
      </c>
      <c r="I39" s="29"/>
      <c r="J39" s="29"/>
      <c r="K39" s="28" t="s">
        <v>84</v>
      </c>
      <c r="L39" s="29" t="s">
        <v>173</v>
      </c>
      <c r="M39" s="28" t="s">
        <v>173</v>
      </c>
      <c r="N39" s="29"/>
      <c r="O39" s="28" t="s">
        <v>63</v>
      </c>
      <c r="P39" s="29"/>
      <c r="Q39" s="29"/>
      <c r="R39" s="29"/>
      <c r="S39" s="35" t="str">
        <f>"295,0"</f>
        <v>295,0</v>
      </c>
      <c r="T39" s="36" t="str">
        <f>"312,9481"</f>
        <v>312,9481</v>
      </c>
      <c r="U39" s="27" t="s">
        <v>207</v>
      </c>
    </row>
    <row r="41" spans="1:21" ht="15" x14ac:dyDescent="0.2">
      <c r="A41" s="57" t="s">
        <v>208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</row>
    <row r="42" spans="1:21" x14ac:dyDescent="0.2">
      <c r="A42" s="24" t="s">
        <v>210</v>
      </c>
      <c r="B42" s="24" t="s">
        <v>211</v>
      </c>
      <c r="C42" s="24" t="s">
        <v>212</v>
      </c>
      <c r="D42" s="24" t="str">
        <f>"0,5540"</f>
        <v>0,5540</v>
      </c>
      <c r="E42" s="24" t="s">
        <v>70</v>
      </c>
      <c r="F42" s="24" t="s">
        <v>71</v>
      </c>
      <c r="G42" s="25" t="s">
        <v>113</v>
      </c>
      <c r="H42" s="26" t="s">
        <v>124</v>
      </c>
      <c r="I42" s="26" t="s">
        <v>124</v>
      </c>
      <c r="J42" s="26"/>
      <c r="K42" s="25" t="s">
        <v>63</v>
      </c>
      <c r="L42" s="26" t="s">
        <v>72</v>
      </c>
      <c r="M42" s="26"/>
      <c r="N42" s="26"/>
      <c r="O42" s="25" t="s">
        <v>183</v>
      </c>
      <c r="P42" s="25" t="s">
        <v>143</v>
      </c>
      <c r="Q42" s="26" t="s">
        <v>188</v>
      </c>
      <c r="R42" s="26"/>
      <c r="S42" s="33" t="str">
        <f>"420,0"</f>
        <v>420,0</v>
      </c>
      <c r="T42" s="34" t="str">
        <f>"251,2944"</f>
        <v>251,2944</v>
      </c>
      <c r="U42" s="24" t="s">
        <v>76</v>
      </c>
    </row>
    <row r="43" spans="1:21" x14ac:dyDescent="0.2">
      <c r="A43" s="30" t="s">
        <v>214</v>
      </c>
      <c r="B43" s="30" t="s">
        <v>215</v>
      </c>
      <c r="C43" s="30" t="s">
        <v>216</v>
      </c>
      <c r="D43" s="30" t="str">
        <f>"0,5586"</f>
        <v>0,5586</v>
      </c>
      <c r="E43" s="30" t="s">
        <v>217</v>
      </c>
      <c r="F43" s="30" t="s">
        <v>57</v>
      </c>
      <c r="G43" s="32" t="s">
        <v>183</v>
      </c>
      <c r="H43" s="31" t="s">
        <v>183</v>
      </c>
      <c r="I43" s="31" t="s">
        <v>143</v>
      </c>
      <c r="J43" s="32"/>
      <c r="K43" s="31" t="s">
        <v>159</v>
      </c>
      <c r="L43" s="31" t="s">
        <v>75</v>
      </c>
      <c r="M43" s="31" t="s">
        <v>83</v>
      </c>
      <c r="N43" s="32"/>
      <c r="O43" s="31" t="s">
        <v>183</v>
      </c>
      <c r="P43" s="31" t="s">
        <v>142</v>
      </c>
      <c r="Q43" s="32" t="s">
        <v>143</v>
      </c>
      <c r="R43" s="32"/>
      <c r="S43" s="37" t="str">
        <f>"505,0"</f>
        <v>505,0</v>
      </c>
      <c r="T43" s="38" t="str">
        <f>"282,0930"</f>
        <v>282,0930</v>
      </c>
      <c r="U43" s="30" t="s">
        <v>218</v>
      </c>
    </row>
    <row r="44" spans="1:21" x14ac:dyDescent="0.2">
      <c r="A44" s="27" t="s">
        <v>220</v>
      </c>
      <c r="B44" s="27" t="s">
        <v>221</v>
      </c>
      <c r="C44" s="27" t="s">
        <v>222</v>
      </c>
      <c r="D44" s="27" t="str">
        <f>"0,5624"</f>
        <v>0,5624</v>
      </c>
      <c r="E44" s="27" t="s">
        <v>70</v>
      </c>
      <c r="F44" s="27" t="s">
        <v>71</v>
      </c>
      <c r="G44" s="28" t="s">
        <v>84</v>
      </c>
      <c r="H44" s="28" t="s">
        <v>140</v>
      </c>
      <c r="I44" s="28" t="s">
        <v>113</v>
      </c>
      <c r="J44" s="29"/>
      <c r="K44" s="28" t="s">
        <v>74</v>
      </c>
      <c r="L44" s="28" t="s">
        <v>75</v>
      </c>
      <c r="M44" s="29" t="s">
        <v>84</v>
      </c>
      <c r="N44" s="29"/>
      <c r="O44" s="28" t="s">
        <v>113</v>
      </c>
      <c r="P44" s="28" t="s">
        <v>158</v>
      </c>
      <c r="Q44" s="28" t="s">
        <v>28</v>
      </c>
      <c r="R44" s="29"/>
      <c r="S44" s="35" t="str">
        <f>"420,0"</f>
        <v>420,0</v>
      </c>
      <c r="T44" s="36" t="str">
        <f>"263,8443"</f>
        <v>263,8443</v>
      </c>
      <c r="U44" s="27" t="s">
        <v>76</v>
      </c>
    </row>
    <row r="46" spans="1:21" ht="15" x14ac:dyDescent="0.2">
      <c r="A46" s="57" t="s">
        <v>17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</row>
    <row r="47" spans="1:21" x14ac:dyDescent="0.2">
      <c r="A47" s="11" t="s">
        <v>224</v>
      </c>
      <c r="B47" s="11" t="s">
        <v>225</v>
      </c>
      <c r="C47" s="11" t="s">
        <v>226</v>
      </c>
      <c r="D47" s="11" t="str">
        <f>"0,5377"</f>
        <v>0,5377</v>
      </c>
      <c r="E47" s="11" t="s">
        <v>70</v>
      </c>
      <c r="F47" s="11" t="s">
        <v>71</v>
      </c>
      <c r="G47" s="12" t="s">
        <v>143</v>
      </c>
      <c r="H47" s="12" t="s">
        <v>188</v>
      </c>
      <c r="I47" s="12" t="s">
        <v>227</v>
      </c>
      <c r="J47" s="13"/>
      <c r="K47" s="12" t="s">
        <v>183</v>
      </c>
      <c r="L47" s="12" t="s">
        <v>142</v>
      </c>
      <c r="M47" s="12" t="s">
        <v>200</v>
      </c>
      <c r="N47" s="13"/>
      <c r="O47" s="12" t="s">
        <v>228</v>
      </c>
      <c r="P47" s="12" t="s">
        <v>229</v>
      </c>
      <c r="Q47" s="13" t="s">
        <v>230</v>
      </c>
      <c r="R47" s="13"/>
      <c r="S47" s="16" t="str">
        <f>"700,0"</f>
        <v>700,0</v>
      </c>
      <c r="T47" s="17" t="str">
        <f>"376,3900"</f>
        <v>376,3900</v>
      </c>
      <c r="U47" s="11" t="s">
        <v>76</v>
      </c>
    </row>
    <row r="49" spans="1:21" ht="15" x14ac:dyDescent="0.2">
      <c r="A49" s="57" t="s">
        <v>231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</row>
    <row r="50" spans="1:21" x14ac:dyDescent="0.2">
      <c r="A50" s="24" t="s">
        <v>233</v>
      </c>
      <c r="B50" s="24" t="s">
        <v>234</v>
      </c>
      <c r="C50" s="24" t="s">
        <v>235</v>
      </c>
      <c r="D50" s="24" t="str">
        <f>"0,5259"</f>
        <v>0,5259</v>
      </c>
      <c r="E50" s="24" t="s">
        <v>156</v>
      </c>
      <c r="F50" s="24" t="s">
        <v>129</v>
      </c>
      <c r="G50" s="25" t="s">
        <v>58</v>
      </c>
      <c r="H50" s="26" t="s">
        <v>167</v>
      </c>
      <c r="I50" s="26" t="s">
        <v>74</v>
      </c>
      <c r="J50" s="26"/>
      <c r="K50" s="25" t="s">
        <v>58</v>
      </c>
      <c r="L50" s="25" t="s">
        <v>63</v>
      </c>
      <c r="M50" s="25" t="s">
        <v>72</v>
      </c>
      <c r="N50" s="26"/>
      <c r="O50" s="25" t="s">
        <v>140</v>
      </c>
      <c r="P50" s="25" t="s">
        <v>113</v>
      </c>
      <c r="Q50" s="26" t="s">
        <v>158</v>
      </c>
      <c r="R50" s="26"/>
      <c r="S50" s="33" t="str">
        <f>"300,0"</f>
        <v>300,0</v>
      </c>
      <c r="T50" s="34" t="str">
        <f>"167,2362"</f>
        <v>167,2362</v>
      </c>
      <c r="U50" s="24" t="s">
        <v>162</v>
      </c>
    </row>
    <row r="51" spans="1:21" x14ac:dyDescent="0.2">
      <c r="A51" s="27" t="s">
        <v>237</v>
      </c>
      <c r="B51" s="27" t="s">
        <v>238</v>
      </c>
      <c r="C51" s="27" t="s">
        <v>239</v>
      </c>
      <c r="D51" s="27" t="str">
        <f>"0,5246"</f>
        <v>0,5246</v>
      </c>
      <c r="E51" s="27" t="s">
        <v>70</v>
      </c>
      <c r="F51" s="27" t="s">
        <v>71</v>
      </c>
      <c r="G51" s="28" t="s">
        <v>188</v>
      </c>
      <c r="H51" s="29" t="s">
        <v>191</v>
      </c>
      <c r="I51" s="28" t="s">
        <v>191</v>
      </c>
      <c r="J51" s="29"/>
      <c r="K51" s="28" t="s">
        <v>113</v>
      </c>
      <c r="L51" s="28" t="s">
        <v>124</v>
      </c>
      <c r="M51" s="28" t="s">
        <v>158</v>
      </c>
      <c r="N51" s="29"/>
      <c r="O51" s="28" t="s">
        <v>189</v>
      </c>
      <c r="P51" s="28" t="s">
        <v>192</v>
      </c>
      <c r="Q51" s="28" t="s">
        <v>240</v>
      </c>
      <c r="R51" s="29"/>
      <c r="S51" s="35" t="str">
        <f>"640,0"</f>
        <v>640,0</v>
      </c>
      <c r="T51" s="36" t="str">
        <f>"335,7440"</f>
        <v>335,7440</v>
      </c>
      <c r="U51" s="27" t="s">
        <v>76</v>
      </c>
    </row>
    <row r="53" spans="1:21" ht="15" x14ac:dyDescent="0.2">
      <c r="A53" s="57" t="s">
        <v>241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</row>
    <row r="54" spans="1:21" x14ac:dyDescent="0.2">
      <c r="A54" s="11" t="s">
        <v>243</v>
      </c>
      <c r="B54" s="11" t="s">
        <v>244</v>
      </c>
      <c r="C54" s="11" t="s">
        <v>245</v>
      </c>
      <c r="D54" s="11" t="str">
        <f>"0,5150"</f>
        <v>0,5150</v>
      </c>
      <c r="E54" s="11" t="s">
        <v>70</v>
      </c>
      <c r="F54" s="11" t="s">
        <v>71</v>
      </c>
      <c r="G54" s="12" t="s">
        <v>183</v>
      </c>
      <c r="H54" s="12" t="s">
        <v>142</v>
      </c>
      <c r="I54" s="13" t="s">
        <v>143</v>
      </c>
      <c r="J54" s="13"/>
      <c r="K54" s="12" t="s">
        <v>158</v>
      </c>
      <c r="L54" s="12" t="s">
        <v>28</v>
      </c>
      <c r="M54" s="13" t="s">
        <v>130</v>
      </c>
      <c r="N54" s="13"/>
      <c r="O54" s="12" t="s">
        <v>143</v>
      </c>
      <c r="P54" s="12" t="s">
        <v>227</v>
      </c>
      <c r="Q54" s="13" t="s">
        <v>191</v>
      </c>
      <c r="R54" s="13"/>
      <c r="S54" s="16" t="str">
        <f>"575,0"</f>
        <v>575,0</v>
      </c>
      <c r="T54" s="17" t="str">
        <f>"296,1250"</f>
        <v>296,1250</v>
      </c>
      <c r="U54" s="11" t="s">
        <v>76</v>
      </c>
    </row>
    <row r="56" spans="1:21" ht="15" x14ac:dyDescent="0.2">
      <c r="E56" s="14" t="s">
        <v>34</v>
      </c>
    </row>
    <row r="57" spans="1:21" ht="15" x14ac:dyDescent="0.2">
      <c r="E57" s="14" t="s">
        <v>35</v>
      </c>
    </row>
    <row r="58" spans="1:21" ht="15" x14ac:dyDescent="0.2">
      <c r="E58" s="14" t="s">
        <v>36</v>
      </c>
    </row>
    <row r="59" spans="1:21" ht="15" x14ac:dyDescent="0.2">
      <c r="E59" s="14" t="s">
        <v>37</v>
      </c>
    </row>
    <row r="60" spans="1:21" ht="15" x14ac:dyDescent="0.2">
      <c r="E60" s="14" t="s">
        <v>37</v>
      </c>
    </row>
    <row r="61" spans="1:21" ht="15" x14ac:dyDescent="0.2">
      <c r="E61" s="14" t="s">
        <v>38</v>
      </c>
    </row>
    <row r="62" spans="1:21" ht="15" x14ac:dyDescent="0.2">
      <c r="E62" s="14"/>
    </row>
    <row r="64" spans="1:21" ht="18" x14ac:dyDescent="0.25">
      <c r="A64" s="18" t="s">
        <v>39</v>
      </c>
      <c r="B64" s="18"/>
    </row>
    <row r="65" spans="1:5" ht="15" x14ac:dyDescent="0.2">
      <c r="A65" s="19" t="s">
        <v>246</v>
      </c>
      <c r="B65" s="19"/>
    </row>
    <row r="66" spans="1:5" ht="14.25" x14ac:dyDescent="0.2">
      <c r="A66" s="21"/>
      <c r="B66" s="22" t="s">
        <v>41</v>
      </c>
    </row>
    <row r="67" spans="1:5" ht="15" x14ac:dyDescent="0.2">
      <c r="A67" s="23" t="s">
        <v>42</v>
      </c>
      <c r="B67" s="23" t="s">
        <v>43</v>
      </c>
      <c r="C67" s="23" t="s">
        <v>44</v>
      </c>
      <c r="D67" s="23" t="s">
        <v>45</v>
      </c>
      <c r="E67" s="23" t="s">
        <v>46</v>
      </c>
    </row>
    <row r="68" spans="1:5" x14ac:dyDescent="0.2">
      <c r="A68" s="20" t="s">
        <v>52</v>
      </c>
      <c r="B68" s="4" t="s">
        <v>41</v>
      </c>
      <c r="C68" s="4" t="s">
        <v>247</v>
      </c>
      <c r="D68" s="4" t="s">
        <v>142</v>
      </c>
      <c r="E68" s="15" t="s">
        <v>248</v>
      </c>
    </row>
    <row r="69" spans="1:5" x14ac:dyDescent="0.2">
      <c r="A69" s="20" t="s">
        <v>66</v>
      </c>
      <c r="B69" s="4" t="s">
        <v>41</v>
      </c>
      <c r="C69" s="4" t="s">
        <v>249</v>
      </c>
      <c r="D69" s="4" t="s">
        <v>30</v>
      </c>
      <c r="E69" s="15" t="s">
        <v>250</v>
      </c>
    </row>
    <row r="71" spans="1:5" ht="14.25" x14ac:dyDescent="0.2">
      <c r="A71" s="21"/>
      <c r="B71" s="22" t="s">
        <v>251</v>
      </c>
    </row>
    <row r="72" spans="1:5" ht="15" x14ac:dyDescent="0.2">
      <c r="A72" s="23" t="s">
        <v>42</v>
      </c>
      <c r="B72" s="23" t="s">
        <v>43</v>
      </c>
      <c r="C72" s="23" t="s">
        <v>44</v>
      </c>
      <c r="D72" s="23" t="s">
        <v>45</v>
      </c>
      <c r="E72" s="23" t="s">
        <v>46</v>
      </c>
    </row>
    <row r="73" spans="1:5" x14ac:dyDescent="0.2">
      <c r="A73" s="20" t="s">
        <v>77</v>
      </c>
      <c r="B73" s="4" t="s">
        <v>252</v>
      </c>
      <c r="C73" s="4" t="s">
        <v>249</v>
      </c>
      <c r="D73" s="4" t="s">
        <v>253</v>
      </c>
      <c r="E73" s="15" t="s">
        <v>254</v>
      </c>
    </row>
    <row r="76" spans="1:5" ht="15" x14ac:dyDescent="0.2">
      <c r="A76" s="19" t="s">
        <v>40</v>
      </c>
      <c r="B76" s="19"/>
    </row>
    <row r="77" spans="1:5" ht="14.25" x14ac:dyDescent="0.2">
      <c r="A77" s="21"/>
      <c r="B77" s="22" t="s">
        <v>255</v>
      </c>
    </row>
    <row r="78" spans="1:5" ht="15" x14ac:dyDescent="0.2">
      <c r="A78" s="23" t="s">
        <v>42</v>
      </c>
      <c r="B78" s="23" t="s">
        <v>43</v>
      </c>
      <c r="C78" s="23" t="s">
        <v>44</v>
      </c>
      <c r="D78" s="23" t="s">
        <v>45</v>
      </c>
      <c r="E78" s="23" t="s">
        <v>46</v>
      </c>
    </row>
    <row r="79" spans="1:5" x14ac:dyDescent="0.2">
      <c r="A79" s="20" t="s">
        <v>152</v>
      </c>
      <c r="B79" s="4" t="s">
        <v>256</v>
      </c>
      <c r="C79" s="4" t="s">
        <v>257</v>
      </c>
      <c r="D79" s="4" t="s">
        <v>258</v>
      </c>
      <c r="E79" s="15" t="s">
        <v>259</v>
      </c>
    </row>
    <row r="80" spans="1:5" x14ac:dyDescent="0.2">
      <c r="A80" s="20" t="s">
        <v>125</v>
      </c>
      <c r="B80" s="4" t="s">
        <v>256</v>
      </c>
      <c r="C80" s="4" t="s">
        <v>249</v>
      </c>
      <c r="D80" s="4" t="s">
        <v>260</v>
      </c>
      <c r="E80" s="15" t="s">
        <v>261</v>
      </c>
    </row>
    <row r="81" spans="1:5" x14ac:dyDescent="0.2">
      <c r="A81" s="20" t="s">
        <v>109</v>
      </c>
      <c r="B81" s="4" t="s">
        <v>262</v>
      </c>
      <c r="C81" s="4" t="s">
        <v>263</v>
      </c>
      <c r="D81" s="4" t="s">
        <v>264</v>
      </c>
      <c r="E81" s="15" t="s">
        <v>265</v>
      </c>
    </row>
    <row r="82" spans="1:5" x14ac:dyDescent="0.2">
      <c r="A82" s="20" t="s">
        <v>179</v>
      </c>
      <c r="B82" s="4" t="s">
        <v>256</v>
      </c>
      <c r="C82" s="4" t="s">
        <v>266</v>
      </c>
      <c r="D82" s="4" t="s">
        <v>267</v>
      </c>
      <c r="E82" s="15" t="s">
        <v>268</v>
      </c>
    </row>
    <row r="83" spans="1:5" x14ac:dyDescent="0.2">
      <c r="A83" s="20" t="s">
        <v>119</v>
      </c>
      <c r="B83" s="4" t="s">
        <v>262</v>
      </c>
      <c r="C83" s="4" t="s">
        <v>249</v>
      </c>
      <c r="D83" s="4" t="s">
        <v>269</v>
      </c>
      <c r="E83" s="15" t="s">
        <v>270</v>
      </c>
    </row>
    <row r="84" spans="1:5" x14ac:dyDescent="0.2">
      <c r="A84" s="20" t="s">
        <v>209</v>
      </c>
      <c r="B84" s="4" t="s">
        <v>262</v>
      </c>
      <c r="C84" s="4" t="s">
        <v>271</v>
      </c>
      <c r="D84" s="4" t="s">
        <v>272</v>
      </c>
      <c r="E84" s="15" t="s">
        <v>273</v>
      </c>
    </row>
    <row r="85" spans="1:5" x14ac:dyDescent="0.2">
      <c r="A85" s="20" t="s">
        <v>100</v>
      </c>
      <c r="B85" s="4" t="s">
        <v>262</v>
      </c>
      <c r="C85" s="4" t="s">
        <v>274</v>
      </c>
      <c r="D85" s="4" t="s">
        <v>275</v>
      </c>
      <c r="E85" s="15" t="s">
        <v>276</v>
      </c>
    </row>
    <row r="86" spans="1:5" x14ac:dyDescent="0.2">
      <c r="A86" s="20" t="s">
        <v>90</v>
      </c>
      <c r="B86" s="4" t="s">
        <v>277</v>
      </c>
      <c r="C86" s="4" t="s">
        <v>247</v>
      </c>
      <c r="D86" s="4" t="s">
        <v>113</v>
      </c>
      <c r="E86" s="15" t="s">
        <v>278</v>
      </c>
    </row>
    <row r="87" spans="1:5" x14ac:dyDescent="0.2">
      <c r="A87" s="20" t="s">
        <v>175</v>
      </c>
      <c r="B87" s="4" t="s">
        <v>277</v>
      </c>
      <c r="C87" s="4" t="s">
        <v>266</v>
      </c>
      <c r="D87" s="4" t="s">
        <v>26</v>
      </c>
      <c r="E87" s="15" t="s">
        <v>279</v>
      </c>
    </row>
    <row r="88" spans="1:5" x14ac:dyDescent="0.2">
      <c r="A88" s="20" t="s">
        <v>114</v>
      </c>
      <c r="B88" s="4" t="s">
        <v>262</v>
      </c>
      <c r="C88" s="4" t="s">
        <v>263</v>
      </c>
      <c r="D88" s="4" t="s">
        <v>143</v>
      </c>
      <c r="E88" s="15" t="s">
        <v>280</v>
      </c>
    </row>
    <row r="89" spans="1:5" x14ac:dyDescent="0.2">
      <c r="A89" s="20" t="s">
        <v>232</v>
      </c>
      <c r="B89" s="4" t="s">
        <v>256</v>
      </c>
      <c r="C89" s="4" t="s">
        <v>281</v>
      </c>
      <c r="D89" s="4" t="s">
        <v>230</v>
      </c>
      <c r="E89" s="15" t="s">
        <v>282</v>
      </c>
    </row>
    <row r="91" spans="1:5" ht="14.25" x14ac:dyDescent="0.2">
      <c r="A91" s="21"/>
      <c r="B91" s="22" t="s">
        <v>283</v>
      </c>
    </row>
    <row r="92" spans="1:5" ht="15" x14ac:dyDescent="0.2">
      <c r="A92" s="23" t="s">
        <v>42</v>
      </c>
      <c r="B92" s="23" t="s">
        <v>43</v>
      </c>
      <c r="C92" s="23" t="s">
        <v>44</v>
      </c>
      <c r="D92" s="23" t="s">
        <v>45</v>
      </c>
      <c r="E92" s="23" t="s">
        <v>46</v>
      </c>
    </row>
    <row r="93" spans="1:5" x14ac:dyDescent="0.2">
      <c r="A93" s="20" t="s">
        <v>184</v>
      </c>
      <c r="B93" s="4" t="s">
        <v>284</v>
      </c>
      <c r="C93" s="4" t="s">
        <v>266</v>
      </c>
      <c r="D93" s="4" t="s">
        <v>285</v>
      </c>
      <c r="E93" s="15" t="s">
        <v>286</v>
      </c>
    </row>
    <row r="94" spans="1:5" x14ac:dyDescent="0.2">
      <c r="A94" s="20" t="s">
        <v>133</v>
      </c>
      <c r="B94" s="4" t="s">
        <v>284</v>
      </c>
      <c r="C94" s="4" t="s">
        <v>249</v>
      </c>
      <c r="D94" s="4" t="s">
        <v>287</v>
      </c>
      <c r="E94" s="15" t="s">
        <v>288</v>
      </c>
    </row>
    <row r="96" spans="1:5" ht="14.25" x14ac:dyDescent="0.2">
      <c r="A96" s="21"/>
      <c r="B96" s="22" t="s">
        <v>41</v>
      </c>
    </row>
    <row r="97" spans="1:5" ht="15" x14ac:dyDescent="0.2">
      <c r="A97" s="23" t="s">
        <v>42</v>
      </c>
      <c r="B97" s="23" t="s">
        <v>43</v>
      </c>
      <c r="C97" s="23" t="s">
        <v>44</v>
      </c>
      <c r="D97" s="23" t="s">
        <v>45</v>
      </c>
      <c r="E97" s="23" t="s">
        <v>46</v>
      </c>
    </row>
    <row r="98" spans="1:5" x14ac:dyDescent="0.2">
      <c r="A98" s="20" t="s">
        <v>223</v>
      </c>
      <c r="B98" s="4" t="s">
        <v>41</v>
      </c>
      <c r="C98" s="4" t="s">
        <v>47</v>
      </c>
      <c r="D98" s="4" t="s">
        <v>48</v>
      </c>
      <c r="E98" s="15" t="s">
        <v>289</v>
      </c>
    </row>
    <row r="99" spans="1:5" x14ac:dyDescent="0.2">
      <c r="A99" s="20" t="s">
        <v>236</v>
      </c>
      <c r="B99" s="4" t="s">
        <v>41</v>
      </c>
      <c r="C99" s="4" t="s">
        <v>281</v>
      </c>
      <c r="D99" s="4" t="s">
        <v>290</v>
      </c>
      <c r="E99" s="15" t="s">
        <v>291</v>
      </c>
    </row>
    <row r="100" spans="1:5" x14ac:dyDescent="0.2">
      <c r="A100" s="20" t="s">
        <v>242</v>
      </c>
      <c r="B100" s="4" t="s">
        <v>41</v>
      </c>
      <c r="C100" s="4" t="s">
        <v>292</v>
      </c>
      <c r="D100" s="4" t="s">
        <v>293</v>
      </c>
      <c r="E100" s="15" t="s">
        <v>294</v>
      </c>
    </row>
    <row r="101" spans="1:5" x14ac:dyDescent="0.2">
      <c r="A101" s="20" t="s">
        <v>213</v>
      </c>
      <c r="B101" s="4" t="s">
        <v>41</v>
      </c>
      <c r="C101" s="4" t="s">
        <v>271</v>
      </c>
      <c r="D101" s="4" t="s">
        <v>295</v>
      </c>
      <c r="E101" s="15" t="s">
        <v>296</v>
      </c>
    </row>
    <row r="102" spans="1:5" x14ac:dyDescent="0.2">
      <c r="A102" s="20" t="s">
        <v>194</v>
      </c>
      <c r="B102" s="4" t="s">
        <v>41</v>
      </c>
      <c r="C102" s="4" t="s">
        <v>266</v>
      </c>
      <c r="D102" s="4" t="s">
        <v>297</v>
      </c>
      <c r="E102" s="15" t="s">
        <v>298</v>
      </c>
    </row>
    <row r="103" spans="1:5" x14ac:dyDescent="0.2">
      <c r="A103" s="20" t="s">
        <v>163</v>
      </c>
      <c r="B103" s="4" t="s">
        <v>41</v>
      </c>
      <c r="C103" s="4" t="s">
        <v>257</v>
      </c>
      <c r="D103" s="4" t="s">
        <v>299</v>
      </c>
      <c r="E103" s="15" t="s">
        <v>300</v>
      </c>
    </row>
    <row r="105" spans="1:5" ht="14.25" x14ac:dyDescent="0.2">
      <c r="A105" s="21"/>
      <c r="B105" s="22" t="s">
        <v>251</v>
      </c>
    </row>
    <row r="106" spans="1:5" ht="15" x14ac:dyDescent="0.2">
      <c r="A106" s="23" t="s">
        <v>42</v>
      </c>
      <c r="B106" s="23" t="s">
        <v>43</v>
      </c>
      <c r="C106" s="23" t="s">
        <v>44</v>
      </c>
      <c r="D106" s="23" t="s">
        <v>45</v>
      </c>
      <c r="E106" s="23" t="s">
        <v>46</v>
      </c>
    </row>
    <row r="107" spans="1:5" x14ac:dyDescent="0.2">
      <c r="A107" s="20" t="s">
        <v>169</v>
      </c>
      <c r="B107" s="4" t="s">
        <v>301</v>
      </c>
      <c r="C107" s="4" t="s">
        <v>257</v>
      </c>
      <c r="D107" s="4" t="s">
        <v>302</v>
      </c>
      <c r="E107" s="15" t="s">
        <v>303</v>
      </c>
    </row>
    <row r="108" spans="1:5" x14ac:dyDescent="0.2">
      <c r="A108" s="20" t="s">
        <v>202</v>
      </c>
      <c r="B108" s="4" t="s">
        <v>301</v>
      </c>
      <c r="C108" s="4" t="s">
        <v>266</v>
      </c>
      <c r="D108" s="4" t="s">
        <v>304</v>
      </c>
      <c r="E108" s="15" t="s">
        <v>305</v>
      </c>
    </row>
    <row r="109" spans="1:5" x14ac:dyDescent="0.2">
      <c r="A109" s="20" t="s">
        <v>219</v>
      </c>
      <c r="B109" s="4" t="s">
        <v>306</v>
      </c>
      <c r="C109" s="4" t="s">
        <v>271</v>
      </c>
      <c r="D109" s="4" t="s">
        <v>272</v>
      </c>
      <c r="E109" s="15" t="s">
        <v>307</v>
      </c>
    </row>
  </sheetData>
  <mergeCells count="25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29:R29"/>
    <mergeCell ref="S3:S4"/>
    <mergeCell ref="T3:T4"/>
    <mergeCell ref="U3:U4"/>
    <mergeCell ref="A5:R5"/>
    <mergeCell ref="A8:R8"/>
    <mergeCell ref="A12:R12"/>
    <mergeCell ref="A15:R15"/>
    <mergeCell ref="A18:R18"/>
    <mergeCell ref="A22:R22"/>
    <mergeCell ref="A34:R34"/>
    <mergeCell ref="A41:R41"/>
    <mergeCell ref="A46:R46"/>
    <mergeCell ref="A49:R49"/>
    <mergeCell ref="A53:R5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3.425781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5" bestFit="1" customWidth="1"/>
    <col min="20" max="20" width="8.5703125" style="2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56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13</v>
      </c>
      <c r="E3" s="39" t="s">
        <v>4</v>
      </c>
      <c r="F3" s="39" t="s">
        <v>8</v>
      </c>
      <c r="G3" s="39" t="s">
        <v>14</v>
      </c>
      <c r="H3" s="39"/>
      <c r="I3" s="39"/>
      <c r="J3" s="39"/>
      <c r="K3" s="39" t="s">
        <v>15</v>
      </c>
      <c r="L3" s="39"/>
      <c r="M3" s="39"/>
      <c r="N3" s="39"/>
      <c r="O3" s="39" t="s">
        <v>16</v>
      </c>
      <c r="P3" s="39"/>
      <c r="Q3" s="39"/>
      <c r="R3" s="39"/>
      <c r="S3" s="39" t="s">
        <v>1</v>
      </c>
      <c r="T3" s="39" t="s">
        <v>3</v>
      </c>
      <c r="U3" s="42" t="s">
        <v>2</v>
      </c>
    </row>
    <row r="4" spans="1:21" s="1" customFormat="1" ht="21" customHeight="1" thickBot="1" x14ac:dyDescent="0.25">
      <c r="A4" s="51"/>
      <c r="B4" s="53"/>
      <c r="C4" s="53"/>
      <c r="D4" s="53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9">
        <v>1</v>
      </c>
      <c r="L4" s="9">
        <v>2</v>
      </c>
      <c r="M4" s="9">
        <v>3</v>
      </c>
      <c r="N4" s="9" t="s">
        <v>5</v>
      </c>
      <c r="O4" s="9">
        <v>1</v>
      </c>
      <c r="P4" s="9">
        <v>2</v>
      </c>
      <c r="Q4" s="9">
        <v>3</v>
      </c>
      <c r="R4" s="9" t="s">
        <v>5</v>
      </c>
      <c r="S4" s="53"/>
      <c r="T4" s="53"/>
      <c r="U4" s="43"/>
    </row>
    <row r="5" spans="1:21" ht="15" x14ac:dyDescent="0.2">
      <c r="A5" s="54" t="s">
        <v>17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21" x14ac:dyDescent="0.2">
      <c r="A6" s="11" t="s">
        <v>19</v>
      </c>
      <c r="B6" s="11" t="s">
        <v>20</v>
      </c>
      <c r="C6" s="11" t="s">
        <v>21</v>
      </c>
      <c r="D6" s="11" t="str">
        <f>"0,5411"</f>
        <v>0,5411</v>
      </c>
      <c r="E6" s="11" t="s">
        <v>22</v>
      </c>
      <c r="F6" s="11" t="s">
        <v>23</v>
      </c>
      <c r="G6" s="12" t="s">
        <v>24</v>
      </c>
      <c r="H6" s="12" t="s">
        <v>25</v>
      </c>
      <c r="I6" s="12" t="s">
        <v>26</v>
      </c>
      <c r="J6" s="13"/>
      <c r="K6" s="12" t="s">
        <v>27</v>
      </c>
      <c r="L6" s="12" t="s">
        <v>28</v>
      </c>
      <c r="M6" s="13" t="s">
        <v>29</v>
      </c>
      <c r="N6" s="13"/>
      <c r="O6" s="12" t="s">
        <v>30</v>
      </c>
      <c r="P6" s="12" t="s">
        <v>31</v>
      </c>
      <c r="Q6" s="12" t="s">
        <v>32</v>
      </c>
      <c r="R6" s="13"/>
      <c r="S6" s="16" t="str">
        <f>"700,0"</f>
        <v>700,0</v>
      </c>
      <c r="T6" s="17" t="str">
        <f>"378,7700"</f>
        <v>378,7700</v>
      </c>
      <c r="U6" s="11" t="s">
        <v>33</v>
      </c>
    </row>
    <row r="8" spans="1:21" ht="15" x14ac:dyDescent="0.2">
      <c r="E8" s="14" t="s">
        <v>34</v>
      </c>
    </row>
    <row r="9" spans="1:21" ht="15" x14ac:dyDescent="0.2">
      <c r="E9" s="14" t="s">
        <v>35</v>
      </c>
    </row>
    <row r="10" spans="1:21" ht="15" x14ac:dyDescent="0.2">
      <c r="E10" s="14" t="s">
        <v>36</v>
      </c>
    </row>
    <row r="11" spans="1:21" ht="15" x14ac:dyDescent="0.2">
      <c r="E11" s="14" t="s">
        <v>37</v>
      </c>
    </row>
    <row r="12" spans="1:21" ht="15" x14ac:dyDescent="0.2">
      <c r="E12" s="14" t="s">
        <v>37</v>
      </c>
    </row>
    <row r="13" spans="1:21" ht="15" x14ac:dyDescent="0.2">
      <c r="E13" s="14" t="s">
        <v>38</v>
      </c>
    </row>
    <row r="14" spans="1:21" ht="15" x14ac:dyDescent="0.2">
      <c r="E14" s="14"/>
    </row>
    <row r="16" spans="1:21" ht="18" x14ac:dyDescent="0.25">
      <c r="A16" s="18" t="s">
        <v>39</v>
      </c>
      <c r="B16" s="18"/>
    </row>
    <row r="17" spans="1:5" ht="15" x14ac:dyDescent="0.2">
      <c r="A17" s="19" t="s">
        <v>40</v>
      </c>
      <c r="B17" s="19"/>
    </row>
    <row r="18" spans="1:5" ht="14.25" x14ac:dyDescent="0.2">
      <c r="A18" s="21"/>
      <c r="B18" s="22" t="s">
        <v>41</v>
      </c>
    </row>
    <row r="19" spans="1:5" ht="15" x14ac:dyDescent="0.2">
      <c r="A19" s="23" t="s">
        <v>42</v>
      </c>
      <c r="B19" s="23" t="s">
        <v>43</v>
      </c>
      <c r="C19" s="23" t="s">
        <v>44</v>
      </c>
      <c r="D19" s="23" t="s">
        <v>45</v>
      </c>
      <c r="E19" s="23" t="s">
        <v>46</v>
      </c>
    </row>
    <row r="20" spans="1:5" x14ac:dyDescent="0.2">
      <c r="A20" s="20" t="s">
        <v>18</v>
      </c>
      <c r="B20" s="4" t="s">
        <v>41</v>
      </c>
      <c r="C20" s="4" t="s">
        <v>47</v>
      </c>
      <c r="D20" s="4" t="s">
        <v>48</v>
      </c>
      <c r="E20" s="15" t="s">
        <v>49</v>
      </c>
    </row>
  </sheetData>
  <mergeCells count="14">
    <mergeCell ref="A5:R5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7.28515625" style="4" bestFit="1" customWidth="1"/>
    <col min="7" max="7" width="5" style="3" customWidth="1"/>
    <col min="8" max="8" width="10.42578125" style="3" customWidth="1"/>
    <col min="9" max="9" width="7.85546875" style="15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56" t="s">
        <v>653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1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652</v>
      </c>
      <c r="E3" s="39" t="s">
        <v>4</v>
      </c>
      <c r="F3" s="39" t="s">
        <v>8</v>
      </c>
      <c r="G3" s="39" t="s">
        <v>651</v>
      </c>
      <c r="H3" s="39"/>
      <c r="I3" s="39" t="s">
        <v>650</v>
      </c>
      <c r="J3" s="39" t="s">
        <v>3</v>
      </c>
      <c r="K3" s="42" t="s">
        <v>2</v>
      </c>
    </row>
    <row r="4" spans="1:11" s="1" customFormat="1" ht="21" customHeight="1" thickBot="1" x14ac:dyDescent="0.25">
      <c r="A4" s="51"/>
      <c r="B4" s="53"/>
      <c r="C4" s="53"/>
      <c r="D4" s="53"/>
      <c r="E4" s="53"/>
      <c r="F4" s="53"/>
      <c r="G4" s="10" t="s">
        <v>9</v>
      </c>
      <c r="H4" s="10" t="s">
        <v>10</v>
      </c>
      <c r="I4" s="53"/>
      <c r="J4" s="53"/>
      <c r="K4" s="43"/>
    </row>
    <row r="5" spans="1:11" ht="15" x14ac:dyDescent="0.2">
      <c r="A5" s="54" t="s">
        <v>174</v>
      </c>
      <c r="B5" s="55"/>
      <c r="C5" s="55"/>
      <c r="D5" s="55"/>
      <c r="E5" s="55"/>
      <c r="F5" s="55"/>
      <c r="G5" s="55"/>
      <c r="H5" s="55"/>
    </row>
    <row r="6" spans="1:11" x14ac:dyDescent="0.2">
      <c r="A6" s="11" t="s">
        <v>649</v>
      </c>
      <c r="B6" s="11" t="s">
        <v>648</v>
      </c>
      <c r="C6" s="11" t="s">
        <v>647</v>
      </c>
      <c r="D6" s="11" t="str">
        <f>"0,7177"</f>
        <v>0,7177</v>
      </c>
      <c r="E6" s="11" t="s">
        <v>646</v>
      </c>
      <c r="F6" s="11" t="s">
        <v>199</v>
      </c>
      <c r="G6" s="12" t="s">
        <v>72</v>
      </c>
      <c r="H6" s="12" t="s">
        <v>645</v>
      </c>
      <c r="I6" s="16" t="str">
        <f>"2070,0"</f>
        <v>2070,0</v>
      </c>
      <c r="J6" s="17" t="str">
        <f>"1485,6390"</f>
        <v>1485,6390</v>
      </c>
      <c r="K6" s="11" t="s">
        <v>33</v>
      </c>
    </row>
    <row r="8" spans="1:11" ht="15" x14ac:dyDescent="0.2">
      <c r="E8" s="14" t="s">
        <v>34</v>
      </c>
    </row>
    <row r="9" spans="1:11" ht="15" x14ac:dyDescent="0.2">
      <c r="E9" s="14" t="s">
        <v>35</v>
      </c>
    </row>
    <row r="10" spans="1:11" ht="15" x14ac:dyDescent="0.2">
      <c r="E10" s="14" t="s">
        <v>36</v>
      </c>
    </row>
    <row r="11" spans="1:11" ht="15" x14ac:dyDescent="0.2">
      <c r="E11" s="14" t="s">
        <v>37</v>
      </c>
    </row>
    <row r="12" spans="1:11" ht="15" x14ac:dyDescent="0.2">
      <c r="E12" s="14" t="s">
        <v>37</v>
      </c>
    </row>
    <row r="13" spans="1:11" ht="15" x14ac:dyDescent="0.2">
      <c r="E13" s="14" t="s">
        <v>38</v>
      </c>
    </row>
    <row r="14" spans="1:11" ht="15" x14ac:dyDescent="0.2">
      <c r="E14" s="14"/>
    </row>
    <row r="16" spans="1:11" ht="18" x14ac:dyDescent="0.25">
      <c r="A16" s="18" t="s">
        <v>39</v>
      </c>
      <c r="B16" s="18"/>
    </row>
    <row r="17" spans="1:5" ht="15" x14ac:dyDescent="0.2">
      <c r="A17" s="19" t="s">
        <v>40</v>
      </c>
      <c r="B17" s="19"/>
    </row>
    <row r="18" spans="1:5" ht="14.25" x14ac:dyDescent="0.2">
      <c r="A18" s="21"/>
      <c r="B18" s="22" t="s">
        <v>41</v>
      </c>
    </row>
    <row r="19" spans="1:5" ht="15" x14ac:dyDescent="0.2">
      <c r="A19" s="23" t="s">
        <v>42</v>
      </c>
      <c r="B19" s="23" t="s">
        <v>43</v>
      </c>
      <c r="C19" s="23" t="s">
        <v>44</v>
      </c>
      <c r="D19" s="23" t="s">
        <v>341</v>
      </c>
      <c r="E19" s="23" t="s">
        <v>644</v>
      </c>
    </row>
    <row r="20" spans="1:5" x14ac:dyDescent="0.2">
      <c r="A20" s="20" t="s">
        <v>643</v>
      </c>
      <c r="B20" s="4" t="s">
        <v>41</v>
      </c>
      <c r="C20" s="4" t="s">
        <v>266</v>
      </c>
      <c r="D20" s="4" t="s">
        <v>642</v>
      </c>
      <c r="E20" s="15" t="s">
        <v>641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sqref="A1:Q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15" bestFit="1" customWidth="1"/>
    <col min="16" max="16" width="8.5703125" style="2" bestFit="1" customWidth="1"/>
    <col min="17" max="17" width="11.7109375" style="4" bestFit="1" customWidth="1"/>
    <col min="18" max="16384" width="9.140625" style="3"/>
  </cols>
  <sheetData>
    <row r="1" spans="1:17" s="2" customFormat="1" ht="29.1" customHeight="1" x14ac:dyDescent="0.2">
      <c r="A1" s="56" t="s">
        <v>631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</row>
    <row r="2" spans="1:17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13</v>
      </c>
      <c r="E3" s="39" t="s">
        <v>4</v>
      </c>
      <c r="F3" s="39" t="s">
        <v>8</v>
      </c>
      <c r="G3" s="39" t="s">
        <v>15</v>
      </c>
      <c r="H3" s="39"/>
      <c r="I3" s="39"/>
      <c r="J3" s="39"/>
      <c r="K3" s="39" t="s">
        <v>16</v>
      </c>
      <c r="L3" s="39"/>
      <c r="M3" s="39"/>
      <c r="N3" s="39"/>
      <c r="O3" s="39" t="s">
        <v>1</v>
      </c>
      <c r="P3" s="39" t="s">
        <v>3</v>
      </c>
      <c r="Q3" s="42" t="s">
        <v>2</v>
      </c>
    </row>
    <row r="4" spans="1:17" s="1" customFormat="1" ht="21" customHeight="1" thickBot="1" x14ac:dyDescent="0.25">
      <c r="A4" s="51"/>
      <c r="B4" s="53"/>
      <c r="C4" s="53"/>
      <c r="D4" s="53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9">
        <v>1</v>
      </c>
      <c r="L4" s="9">
        <v>2</v>
      </c>
      <c r="M4" s="9">
        <v>3</v>
      </c>
      <c r="N4" s="9" t="s">
        <v>5</v>
      </c>
      <c r="O4" s="53"/>
      <c r="P4" s="53"/>
      <c r="Q4" s="43"/>
    </row>
    <row r="5" spans="1:17" ht="15" x14ac:dyDescent="0.2">
      <c r="A5" s="54" t="s">
        <v>17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7" x14ac:dyDescent="0.2">
      <c r="A6" s="11" t="s">
        <v>633</v>
      </c>
      <c r="B6" s="11" t="s">
        <v>634</v>
      </c>
      <c r="C6" s="11" t="s">
        <v>635</v>
      </c>
      <c r="D6" s="11" t="str">
        <f>"0,5402"</f>
        <v>0,5402</v>
      </c>
      <c r="E6" s="11" t="s">
        <v>636</v>
      </c>
      <c r="F6" s="11" t="s">
        <v>319</v>
      </c>
      <c r="G6" s="12" t="s">
        <v>332</v>
      </c>
      <c r="H6" s="12" t="s">
        <v>130</v>
      </c>
      <c r="I6" s="12" t="s">
        <v>183</v>
      </c>
      <c r="J6" s="13"/>
      <c r="K6" s="12" t="s">
        <v>240</v>
      </c>
      <c r="L6" s="12" t="s">
        <v>26</v>
      </c>
      <c r="M6" s="12" t="s">
        <v>32</v>
      </c>
      <c r="N6" s="13"/>
      <c r="O6" s="16" t="str">
        <f>"450,0"</f>
        <v>450,0</v>
      </c>
      <c r="P6" s="17" t="str">
        <f>"335,4642"</f>
        <v>335,4642</v>
      </c>
      <c r="Q6" s="11" t="s">
        <v>637</v>
      </c>
    </row>
    <row r="8" spans="1:17" ht="15" x14ac:dyDescent="0.2">
      <c r="E8" s="14" t="s">
        <v>34</v>
      </c>
    </row>
    <row r="9" spans="1:17" ht="15" x14ac:dyDescent="0.2">
      <c r="E9" s="14" t="s">
        <v>35</v>
      </c>
    </row>
    <row r="10" spans="1:17" ht="15" x14ac:dyDescent="0.2">
      <c r="E10" s="14" t="s">
        <v>36</v>
      </c>
    </row>
    <row r="11" spans="1:17" ht="15" x14ac:dyDescent="0.2">
      <c r="E11" s="14" t="s">
        <v>37</v>
      </c>
    </row>
    <row r="12" spans="1:17" ht="15" x14ac:dyDescent="0.2">
      <c r="E12" s="14" t="s">
        <v>37</v>
      </c>
    </row>
    <row r="13" spans="1:17" ht="15" x14ac:dyDescent="0.2">
      <c r="E13" s="14" t="s">
        <v>38</v>
      </c>
    </row>
    <row r="14" spans="1:17" ht="15" x14ac:dyDescent="0.2">
      <c r="E14" s="14"/>
    </row>
    <row r="16" spans="1:17" ht="18" x14ac:dyDescent="0.25">
      <c r="A16" s="18" t="s">
        <v>39</v>
      </c>
      <c r="B16" s="18"/>
    </row>
    <row r="17" spans="1:5" ht="15" x14ac:dyDescent="0.2">
      <c r="A17" s="19" t="s">
        <v>40</v>
      </c>
      <c r="B17" s="19"/>
    </row>
    <row r="18" spans="1:5" ht="14.25" x14ac:dyDescent="0.2">
      <c r="A18" s="21"/>
      <c r="B18" s="22" t="s">
        <v>251</v>
      </c>
    </row>
    <row r="19" spans="1:5" ht="15" x14ac:dyDescent="0.2">
      <c r="A19" s="23" t="s">
        <v>42</v>
      </c>
      <c r="B19" s="23" t="s">
        <v>43</v>
      </c>
      <c r="C19" s="23" t="s">
        <v>44</v>
      </c>
      <c r="D19" s="23" t="s">
        <v>45</v>
      </c>
      <c r="E19" s="23" t="s">
        <v>46</v>
      </c>
    </row>
    <row r="20" spans="1:5" x14ac:dyDescent="0.2">
      <c r="A20" s="20" t="s">
        <v>632</v>
      </c>
      <c r="B20" s="4" t="s">
        <v>638</v>
      </c>
      <c r="C20" s="4" t="s">
        <v>47</v>
      </c>
      <c r="D20" s="4" t="s">
        <v>639</v>
      </c>
      <c r="E20" s="15" t="s">
        <v>640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7" width="5" style="3" customWidth="1"/>
    <col min="8" max="8" width="10.42578125" style="3" customWidth="1"/>
    <col min="9" max="9" width="7.85546875" style="15" bestFit="1" customWidth="1"/>
    <col min="10" max="10" width="9.5703125" style="2" bestFit="1" customWidth="1"/>
    <col min="11" max="11" width="11.7109375" style="4" bestFit="1" customWidth="1"/>
    <col min="12" max="16384" width="9.140625" style="3"/>
  </cols>
  <sheetData>
    <row r="1" spans="1:11" s="2" customFormat="1" ht="29.1" customHeight="1" x14ac:dyDescent="0.2">
      <c r="A1" s="56" t="s">
        <v>662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1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652</v>
      </c>
      <c r="E3" s="39" t="s">
        <v>4</v>
      </c>
      <c r="F3" s="39" t="s">
        <v>8</v>
      </c>
      <c r="G3" s="39" t="s">
        <v>661</v>
      </c>
      <c r="H3" s="39"/>
      <c r="I3" s="39" t="s">
        <v>650</v>
      </c>
      <c r="J3" s="39" t="s">
        <v>3</v>
      </c>
      <c r="K3" s="42" t="s">
        <v>2</v>
      </c>
    </row>
    <row r="4" spans="1:11" s="1" customFormat="1" ht="21" customHeight="1" thickBot="1" x14ac:dyDescent="0.25">
      <c r="A4" s="51"/>
      <c r="B4" s="53"/>
      <c r="C4" s="53"/>
      <c r="D4" s="53"/>
      <c r="E4" s="53"/>
      <c r="F4" s="53"/>
      <c r="G4" s="10" t="s">
        <v>9</v>
      </c>
      <c r="H4" s="10" t="s">
        <v>10</v>
      </c>
      <c r="I4" s="53"/>
      <c r="J4" s="53"/>
      <c r="K4" s="43"/>
    </row>
    <row r="5" spans="1:11" ht="15" x14ac:dyDescent="0.2">
      <c r="A5" s="54" t="s">
        <v>99</v>
      </c>
      <c r="B5" s="55"/>
      <c r="C5" s="55"/>
      <c r="D5" s="55"/>
      <c r="E5" s="55"/>
      <c r="F5" s="55"/>
      <c r="G5" s="55"/>
      <c r="H5" s="55"/>
    </row>
    <row r="6" spans="1:11" x14ac:dyDescent="0.2">
      <c r="A6" s="11" t="s">
        <v>660</v>
      </c>
      <c r="B6" s="11" t="s">
        <v>659</v>
      </c>
      <c r="C6" s="11" t="s">
        <v>658</v>
      </c>
      <c r="D6" s="11" t="str">
        <f>"0,9259"</f>
        <v>0,9259</v>
      </c>
      <c r="E6" s="11" t="s">
        <v>636</v>
      </c>
      <c r="F6" s="11" t="s">
        <v>319</v>
      </c>
      <c r="G6" s="12" t="s">
        <v>118</v>
      </c>
      <c r="H6" s="12" t="s">
        <v>657</v>
      </c>
      <c r="I6" s="16" t="str">
        <f>"2580,0"</f>
        <v>2580,0</v>
      </c>
      <c r="J6" s="17" t="str">
        <f>"2388,8220"</f>
        <v>2388,8220</v>
      </c>
      <c r="K6" s="11" t="s">
        <v>637</v>
      </c>
    </row>
    <row r="8" spans="1:11" ht="15" x14ac:dyDescent="0.2">
      <c r="E8" s="14" t="s">
        <v>34</v>
      </c>
    </row>
    <row r="9" spans="1:11" ht="15" x14ac:dyDescent="0.2">
      <c r="E9" s="14" t="s">
        <v>35</v>
      </c>
    </row>
    <row r="10" spans="1:11" ht="15" x14ac:dyDescent="0.2">
      <c r="E10" s="14" t="s">
        <v>36</v>
      </c>
    </row>
    <row r="11" spans="1:11" ht="15" x14ac:dyDescent="0.2">
      <c r="E11" s="14" t="s">
        <v>37</v>
      </c>
    </row>
    <row r="12" spans="1:11" ht="15" x14ac:dyDescent="0.2">
      <c r="E12" s="14" t="s">
        <v>37</v>
      </c>
    </row>
    <row r="13" spans="1:11" ht="15" x14ac:dyDescent="0.2">
      <c r="E13" s="14" t="s">
        <v>38</v>
      </c>
    </row>
    <row r="14" spans="1:11" ht="15" x14ac:dyDescent="0.2">
      <c r="E14" s="14"/>
    </row>
    <row r="16" spans="1:11" ht="18" x14ac:dyDescent="0.25">
      <c r="A16" s="18" t="s">
        <v>39</v>
      </c>
      <c r="B16" s="18"/>
    </row>
    <row r="17" spans="1:5" ht="15" x14ac:dyDescent="0.2">
      <c r="A17" s="19" t="s">
        <v>246</v>
      </c>
      <c r="B17" s="19"/>
    </row>
    <row r="18" spans="1:5" ht="14.25" x14ac:dyDescent="0.2">
      <c r="A18" s="21"/>
      <c r="B18" s="22" t="s">
        <v>41</v>
      </c>
    </row>
    <row r="19" spans="1:5" ht="15" x14ac:dyDescent="0.2">
      <c r="A19" s="23" t="s">
        <v>42</v>
      </c>
      <c r="B19" s="23" t="s">
        <v>43</v>
      </c>
      <c r="C19" s="23" t="s">
        <v>44</v>
      </c>
      <c r="D19" s="23" t="s">
        <v>341</v>
      </c>
      <c r="E19" s="23" t="s">
        <v>644</v>
      </c>
    </row>
    <row r="20" spans="1:5" x14ac:dyDescent="0.2">
      <c r="A20" s="20" t="s">
        <v>656</v>
      </c>
      <c r="B20" s="4" t="s">
        <v>41</v>
      </c>
      <c r="C20" s="4" t="s">
        <v>274</v>
      </c>
      <c r="D20" s="4" t="s">
        <v>655</v>
      </c>
      <c r="E20" s="15" t="s">
        <v>654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7" width="5" style="3" customWidth="1"/>
    <col min="8" max="8" width="10.42578125" style="3" customWidth="1"/>
    <col min="9" max="9" width="7.85546875" style="15" bestFit="1" customWidth="1"/>
    <col min="10" max="10" width="9.5703125" style="2" bestFit="1" customWidth="1"/>
    <col min="11" max="11" width="16.5703125" style="4" bestFit="1" customWidth="1"/>
    <col min="12" max="16384" width="9.140625" style="3"/>
  </cols>
  <sheetData>
    <row r="1" spans="1:11" s="2" customFormat="1" ht="29.1" customHeight="1" x14ac:dyDescent="0.2">
      <c r="A1" s="56" t="s">
        <v>682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1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652</v>
      </c>
      <c r="E3" s="39" t="s">
        <v>4</v>
      </c>
      <c r="F3" s="39" t="s">
        <v>8</v>
      </c>
      <c r="G3" s="39" t="s">
        <v>681</v>
      </c>
      <c r="H3" s="39"/>
      <c r="I3" s="39" t="s">
        <v>650</v>
      </c>
      <c r="J3" s="39" t="s">
        <v>3</v>
      </c>
      <c r="K3" s="42" t="s">
        <v>2</v>
      </c>
    </row>
    <row r="4" spans="1:11" s="1" customFormat="1" ht="21" customHeight="1" thickBot="1" x14ac:dyDescent="0.25">
      <c r="A4" s="51"/>
      <c r="B4" s="53"/>
      <c r="C4" s="53"/>
      <c r="D4" s="53"/>
      <c r="E4" s="53"/>
      <c r="F4" s="53"/>
      <c r="G4" s="10" t="s">
        <v>9</v>
      </c>
      <c r="H4" s="10" t="s">
        <v>10</v>
      </c>
      <c r="I4" s="53"/>
      <c r="J4" s="53"/>
      <c r="K4" s="43"/>
    </row>
    <row r="5" spans="1:11" ht="15" x14ac:dyDescent="0.2">
      <c r="A5" s="54" t="s">
        <v>65</v>
      </c>
      <c r="B5" s="55"/>
      <c r="C5" s="55"/>
      <c r="D5" s="55"/>
      <c r="E5" s="55"/>
      <c r="F5" s="55"/>
      <c r="G5" s="55"/>
      <c r="H5" s="55"/>
    </row>
    <row r="6" spans="1:11" x14ac:dyDescent="0.2">
      <c r="A6" s="11" t="s">
        <v>680</v>
      </c>
      <c r="B6" s="11" t="s">
        <v>679</v>
      </c>
      <c r="C6" s="11" t="s">
        <v>128</v>
      </c>
      <c r="D6" s="11" t="str">
        <f>"0,7966"</f>
        <v>0,7966</v>
      </c>
      <c r="E6" s="11" t="s">
        <v>678</v>
      </c>
      <c r="F6" s="11" t="s">
        <v>677</v>
      </c>
      <c r="G6" s="12" t="s">
        <v>59</v>
      </c>
      <c r="H6" s="12" t="s">
        <v>676</v>
      </c>
      <c r="I6" s="16" t="str">
        <f>"7425,0"</f>
        <v>7425,0</v>
      </c>
      <c r="J6" s="17" t="str">
        <f>"5914,7549"</f>
        <v>5914,7549</v>
      </c>
      <c r="K6" s="11" t="s">
        <v>675</v>
      </c>
    </row>
    <row r="8" spans="1:11" ht="15" x14ac:dyDescent="0.2">
      <c r="A8" s="57" t="s">
        <v>208</v>
      </c>
      <c r="B8" s="58"/>
      <c r="C8" s="58"/>
      <c r="D8" s="58"/>
      <c r="E8" s="58"/>
      <c r="F8" s="58"/>
      <c r="G8" s="58"/>
      <c r="H8" s="58"/>
    </row>
    <row r="9" spans="1:11" x14ac:dyDescent="0.2">
      <c r="A9" s="11" t="s">
        <v>674</v>
      </c>
      <c r="B9" s="11" t="s">
        <v>673</v>
      </c>
      <c r="C9" s="11" t="s">
        <v>672</v>
      </c>
      <c r="D9" s="11" t="str">
        <f>"0,7018"</f>
        <v>0,7018</v>
      </c>
      <c r="E9" s="11" t="s">
        <v>671</v>
      </c>
      <c r="F9" s="11" t="s">
        <v>670</v>
      </c>
      <c r="G9" s="12" t="s">
        <v>106</v>
      </c>
      <c r="H9" s="12" t="s">
        <v>669</v>
      </c>
      <c r="I9" s="16" t="str">
        <f>"1520,0"</f>
        <v>1520,0</v>
      </c>
      <c r="J9" s="17" t="str">
        <f>"1066,7360"</f>
        <v>1066,7360</v>
      </c>
      <c r="K9" s="11" t="s">
        <v>33</v>
      </c>
    </row>
    <row r="11" spans="1:11" ht="15" x14ac:dyDescent="0.2">
      <c r="E11" s="14" t="s">
        <v>34</v>
      </c>
    </row>
    <row r="12" spans="1:11" ht="15" x14ac:dyDescent="0.2">
      <c r="E12" s="14" t="s">
        <v>35</v>
      </c>
    </row>
    <row r="13" spans="1:11" ht="15" x14ac:dyDescent="0.2">
      <c r="E13" s="14" t="s">
        <v>36</v>
      </c>
    </row>
    <row r="14" spans="1:11" ht="15" x14ac:dyDescent="0.2">
      <c r="E14" s="14" t="s">
        <v>37</v>
      </c>
    </row>
    <row r="15" spans="1:11" ht="15" x14ac:dyDescent="0.2">
      <c r="E15" s="14" t="s">
        <v>37</v>
      </c>
    </row>
    <row r="16" spans="1:11" ht="15" x14ac:dyDescent="0.2">
      <c r="E16" s="14" t="s">
        <v>38</v>
      </c>
    </row>
    <row r="17" spans="1:5" ht="15" x14ac:dyDescent="0.2">
      <c r="E17" s="14"/>
    </row>
    <row r="19" spans="1:5" ht="18" x14ac:dyDescent="0.25">
      <c r="A19" s="18" t="s">
        <v>39</v>
      </c>
      <c r="B19" s="18"/>
    </row>
    <row r="20" spans="1:5" ht="15" x14ac:dyDescent="0.2">
      <c r="A20" s="19" t="s">
        <v>40</v>
      </c>
      <c r="B20" s="19"/>
    </row>
    <row r="21" spans="1:5" ht="14.25" x14ac:dyDescent="0.2">
      <c r="A21" s="21"/>
      <c r="B21" s="22" t="s">
        <v>41</v>
      </c>
    </row>
    <row r="22" spans="1:5" ht="15" x14ac:dyDescent="0.2">
      <c r="A22" s="23" t="s">
        <v>42</v>
      </c>
      <c r="B22" s="23" t="s">
        <v>43</v>
      </c>
      <c r="C22" s="23" t="s">
        <v>44</v>
      </c>
      <c r="D22" s="23" t="s">
        <v>341</v>
      </c>
      <c r="E22" s="23" t="s">
        <v>644</v>
      </c>
    </row>
    <row r="23" spans="1:5" x14ac:dyDescent="0.2">
      <c r="A23" s="20" t="s">
        <v>668</v>
      </c>
      <c r="B23" s="4" t="s">
        <v>41</v>
      </c>
      <c r="C23" s="4" t="s">
        <v>249</v>
      </c>
      <c r="D23" s="4" t="s">
        <v>667</v>
      </c>
      <c r="E23" s="15" t="s">
        <v>666</v>
      </c>
    </row>
    <row r="24" spans="1:5" x14ac:dyDescent="0.2">
      <c r="A24" s="20" t="s">
        <v>665</v>
      </c>
      <c r="B24" s="4" t="s">
        <v>41</v>
      </c>
      <c r="C24" s="4" t="s">
        <v>271</v>
      </c>
      <c r="D24" s="4" t="s">
        <v>664</v>
      </c>
      <c r="E24" s="15" t="s">
        <v>663</v>
      </c>
    </row>
  </sheetData>
  <mergeCells count="13">
    <mergeCell ref="A8:H8"/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8.28515625" style="4" bestFit="1" customWidth="1"/>
    <col min="7" max="7" width="5" style="3" customWidth="1"/>
    <col min="8" max="8" width="10.42578125" style="3" customWidth="1"/>
    <col min="9" max="9" width="7.85546875" style="15" bestFit="1" customWidth="1"/>
    <col min="10" max="10" width="9.5703125" style="2" bestFit="1" customWidth="1"/>
    <col min="11" max="11" width="18.7109375" style="4" bestFit="1" customWidth="1"/>
    <col min="12" max="16384" width="9.140625" style="3"/>
  </cols>
  <sheetData>
    <row r="1" spans="1:11" s="2" customFormat="1" ht="29.1" customHeight="1" x14ac:dyDescent="0.2">
      <c r="A1" s="56" t="s">
        <v>690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1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652</v>
      </c>
      <c r="E3" s="39" t="s">
        <v>4</v>
      </c>
      <c r="F3" s="39" t="s">
        <v>8</v>
      </c>
      <c r="G3" s="39" t="s">
        <v>681</v>
      </c>
      <c r="H3" s="39"/>
      <c r="I3" s="39" t="s">
        <v>650</v>
      </c>
      <c r="J3" s="39" t="s">
        <v>3</v>
      </c>
      <c r="K3" s="42" t="s">
        <v>2</v>
      </c>
    </row>
    <row r="4" spans="1:11" s="1" customFormat="1" ht="21" customHeight="1" thickBot="1" x14ac:dyDescent="0.25">
      <c r="A4" s="51"/>
      <c r="B4" s="53"/>
      <c r="C4" s="53"/>
      <c r="D4" s="53"/>
      <c r="E4" s="53"/>
      <c r="F4" s="53"/>
      <c r="G4" s="10" t="s">
        <v>9</v>
      </c>
      <c r="H4" s="10" t="s">
        <v>10</v>
      </c>
      <c r="I4" s="53"/>
      <c r="J4" s="53"/>
      <c r="K4" s="43"/>
    </row>
    <row r="5" spans="1:11" ht="15" x14ac:dyDescent="0.2">
      <c r="A5" s="54" t="s">
        <v>51</v>
      </c>
      <c r="B5" s="55"/>
      <c r="C5" s="55"/>
      <c r="D5" s="55"/>
      <c r="E5" s="55"/>
      <c r="F5" s="55"/>
      <c r="G5" s="55"/>
      <c r="H5" s="55"/>
    </row>
    <row r="6" spans="1:11" x14ac:dyDescent="0.2">
      <c r="A6" s="11" t="s">
        <v>91</v>
      </c>
      <c r="B6" s="11" t="s">
        <v>92</v>
      </c>
      <c r="C6" s="11" t="s">
        <v>93</v>
      </c>
      <c r="D6" s="11" t="str">
        <f>"1,7162"</f>
        <v>1,7162</v>
      </c>
      <c r="E6" s="11" t="s">
        <v>81</v>
      </c>
      <c r="F6" s="11" t="s">
        <v>82</v>
      </c>
      <c r="G6" s="12" t="s">
        <v>689</v>
      </c>
      <c r="H6" s="12" t="s">
        <v>688</v>
      </c>
      <c r="I6" s="16" t="str">
        <f>"1242,5"</f>
        <v>1242,5</v>
      </c>
      <c r="J6" s="17" t="str">
        <f>"2132,3785"</f>
        <v>2132,3785</v>
      </c>
      <c r="K6" s="11" t="s">
        <v>89</v>
      </c>
    </row>
    <row r="8" spans="1:11" ht="15" x14ac:dyDescent="0.2">
      <c r="A8" s="57" t="s">
        <v>174</v>
      </c>
      <c r="B8" s="58"/>
      <c r="C8" s="58"/>
      <c r="D8" s="58"/>
      <c r="E8" s="58"/>
      <c r="F8" s="58"/>
      <c r="G8" s="58"/>
      <c r="H8" s="58"/>
    </row>
    <row r="9" spans="1:11" x14ac:dyDescent="0.2">
      <c r="A9" s="11" t="s">
        <v>427</v>
      </c>
      <c r="B9" s="11" t="s">
        <v>428</v>
      </c>
      <c r="C9" s="11" t="s">
        <v>429</v>
      </c>
      <c r="D9" s="11" t="str">
        <f>"0,7522"</f>
        <v>0,7522</v>
      </c>
      <c r="E9" s="11" t="s">
        <v>384</v>
      </c>
      <c r="F9" s="11" t="s">
        <v>385</v>
      </c>
      <c r="G9" s="12" t="s">
        <v>62</v>
      </c>
      <c r="H9" s="12" t="s">
        <v>687</v>
      </c>
      <c r="I9" s="16" t="str">
        <f>"855,0"</f>
        <v>855,0</v>
      </c>
      <c r="J9" s="17" t="str">
        <f>"643,1310"</f>
        <v>643,1310</v>
      </c>
      <c r="K9" s="11" t="s">
        <v>386</v>
      </c>
    </row>
    <row r="11" spans="1:11" ht="15" x14ac:dyDescent="0.2">
      <c r="E11" s="14" t="s">
        <v>34</v>
      </c>
    </row>
    <row r="12" spans="1:11" ht="15" x14ac:dyDescent="0.2">
      <c r="E12" s="14" t="s">
        <v>35</v>
      </c>
    </row>
    <row r="13" spans="1:11" ht="15" x14ac:dyDescent="0.2">
      <c r="E13" s="14" t="s">
        <v>36</v>
      </c>
    </row>
    <row r="14" spans="1:11" ht="15" x14ac:dyDescent="0.2">
      <c r="E14" s="14" t="s">
        <v>37</v>
      </c>
    </row>
    <row r="15" spans="1:11" ht="15" x14ac:dyDescent="0.2">
      <c r="E15" s="14" t="s">
        <v>37</v>
      </c>
    </row>
    <row r="16" spans="1:11" ht="15" x14ac:dyDescent="0.2">
      <c r="E16" s="14" t="s">
        <v>38</v>
      </c>
    </row>
    <row r="17" spans="1:5" ht="15" x14ac:dyDescent="0.2">
      <c r="E17" s="14"/>
    </row>
    <row r="19" spans="1:5" ht="18" x14ac:dyDescent="0.25">
      <c r="A19" s="18" t="s">
        <v>39</v>
      </c>
      <c r="B19" s="18"/>
    </row>
    <row r="20" spans="1:5" ht="15" x14ac:dyDescent="0.2">
      <c r="A20" s="19" t="s">
        <v>40</v>
      </c>
      <c r="B20" s="19"/>
    </row>
    <row r="21" spans="1:5" ht="14.25" x14ac:dyDescent="0.2">
      <c r="A21" s="21"/>
      <c r="B21" s="22" t="s">
        <v>255</v>
      </c>
    </row>
    <row r="22" spans="1:5" ht="15" x14ac:dyDescent="0.2">
      <c r="A22" s="23" t="s">
        <v>42</v>
      </c>
      <c r="B22" s="23" t="s">
        <v>43</v>
      </c>
      <c r="C22" s="23" t="s">
        <v>44</v>
      </c>
      <c r="D22" s="23" t="s">
        <v>341</v>
      </c>
      <c r="E22" s="23" t="s">
        <v>644</v>
      </c>
    </row>
    <row r="23" spans="1:5" x14ac:dyDescent="0.2">
      <c r="A23" s="20" t="s">
        <v>90</v>
      </c>
      <c r="B23" s="4" t="s">
        <v>277</v>
      </c>
      <c r="C23" s="4" t="s">
        <v>247</v>
      </c>
      <c r="D23" s="4" t="s">
        <v>686</v>
      </c>
      <c r="E23" s="15" t="s">
        <v>685</v>
      </c>
    </row>
    <row r="24" spans="1:5" x14ac:dyDescent="0.2">
      <c r="A24" s="20" t="s">
        <v>426</v>
      </c>
      <c r="B24" s="4" t="s">
        <v>447</v>
      </c>
      <c r="C24" s="4" t="s">
        <v>266</v>
      </c>
      <c r="D24" s="4" t="s">
        <v>684</v>
      </c>
      <c r="E24" s="15" t="s">
        <v>683</v>
      </c>
    </row>
  </sheetData>
  <mergeCells count="13">
    <mergeCell ref="A8:H8"/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7" width="5" style="3" customWidth="1"/>
    <col min="8" max="8" width="10.42578125" style="3" customWidth="1"/>
    <col min="9" max="9" width="7.85546875" style="15" bestFit="1" customWidth="1"/>
    <col min="10" max="10" width="9.5703125" style="2" bestFit="1" customWidth="1"/>
    <col min="11" max="11" width="16.5703125" style="4" bestFit="1" customWidth="1"/>
    <col min="12" max="16384" width="9.140625" style="3"/>
  </cols>
  <sheetData>
    <row r="1" spans="1:11" s="2" customFormat="1" ht="29.1" customHeight="1" x14ac:dyDescent="0.2">
      <c r="A1" s="56" t="s">
        <v>696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1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652</v>
      </c>
      <c r="E3" s="39" t="s">
        <v>4</v>
      </c>
      <c r="F3" s="39" t="s">
        <v>8</v>
      </c>
      <c r="G3" s="39" t="s">
        <v>681</v>
      </c>
      <c r="H3" s="39"/>
      <c r="I3" s="39" t="s">
        <v>650</v>
      </c>
      <c r="J3" s="39" t="s">
        <v>3</v>
      </c>
      <c r="K3" s="42" t="s">
        <v>2</v>
      </c>
    </row>
    <row r="4" spans="1:11" s="1" customFormat="1" ht="21" customHeight="1" thickBot="1" x14ac:dyDescent="0.25">
      <c r="A4" s="51"/>
      <c r="B4" s="53"/>
      <c r="C4" s="53"/>
      <c r="D4" s="53"/>
      <c r="E4" s="53"/>
      <c r="F4" s="53"/>
      <c r="G4" s="10" t="s">
        <v>9</v>
      </c>
      <c r="H4" s="10" t="s">
        <v>10</v>
      </c>
      <c r="I4" s="53"/>
      <c r="J4" s="53"/>
      <c r="K4" s="43"/>
    </row>
    <row r="5" spans="1:11" ht="15" x14ac:dyDescent="0.2">
      <c r="A5" s="54" t="s">
        <v>65</v>
      </c>
      <c r="B5" s="55"/>
      <c r="C5" s="55"/>
      <c r="D5" s="55"/>
      <c r="E5" s="55"/>
      <c r="F5" s="55"/>
      <c r="G5" s="55"/>
      <c r="H5" s="55"/>
    </row>
    <row r="6" spans="1:11" x14ac:dyDescent="0.2">
      <c r="A6" s="24" t="s">
        <v>680</v>
      </c>
      <c r="B6" s="24" t="s">
        <v>679</v>
      </c>
      <c r="C6" s="24" t="s">
        <v>128</v>
      </c>
      <c r="D6" s="24" t="str">
        <f>"0,7966"</f>
        <v>0,7966</v>
      </c>
      <c r="E6" s="24" t="s">
        <v>678</v>
      </c>
      <c r="F6" s="24" t="s">
        <v>677</v>
      </c>
      <c r="G6" s="25" t="s">
        <v>59</v>
      </c>
      <c r="H6" s="25" t="s">
        <v>676</v>
      </c>
      <c r="I6" s="33" t="str">
        <f>"7425,0"</f>
        <v>7425,0</v>
      </c>
      <c r="J6" s="34" t="str">
        <f>"5914,7549"</f>
        <v>5914,7549</v>
      </c>
      <c r="K6" s="24" t="s">
        <v>675</v>
      </c>
    </row>
    <row r="7" spans="1:11" x14ac:dyDescent="0.2">
      <c r="A7" s="27" t="s">
        <v>395</v>
      </c>
      <c r="B7" s="27" t="s">
        <v>396</v>
      </c>
      <c r="C7" s="27" t="s">
        <v>397</v>
      </c>
      <c r="D7" s="27" t="str">
        <f>"0,7977"</f>
        <v>0,7977</v>
      </c>
      <c r="E7" s="27" t="s">
        <v>398</v>
      </c>
      <c r="F7" s="27" t="s">
        <v>319</v>
      </c>
      <c r="G7" s="28" t="s">
        <v>59</v>
      </c>
      <c r="H7" s="28" t="s">
        <v>695</v>
      </c>
      <c r="I7" s="35" t="str">
        <f>"900,0"</f>
        <v>900,0</v>
      </c>
      <c r="J7" s="36" t="str">
        <f>"717,9300"</f>
        <v>717,9300</v>
      </c>
      <c r="K7" s="27" t="s">
        <v>401</v>
      </c>
    </row>
    <row r="9" spans="1:11" ht="15" x14ac:dyDescent="0.2">
      <c r="A9" s="57" t="s">
        <v>151</v>
      </c>
      <c r="B9" s="58"/>
      <c r="C9" s="58"/>
      <c r="D9" s="58"/>
      <c r="E9" s="58"/>
      <c r="F9" s="58"/>
      <c r="G9" s="58"/>
      <c r="H9" s="58"/>
    </row>
    <row r="10" spans="1:11" x14ac:dyDescent="0.2">
      <c r="A10" s="11" t="s">
        <v>694</v>
      </c>
      <c r="B10" s="11" t="s">
        <v>422</v>
      </c>
      <c r="C10" s="11" t="s">
        <v>423</v>
      </c>
      <c r="D10" s="11" t="str">
        <f>"0,8031"</f>
        <v>0,8031</v>
      </c>
      <c r="E10" s="11" t="s">
        <v>424</v>
      </c>
      <c r="F10" s="11" t="s">
        <v>319</v>
      </c>
      <c r="G10" s="12" t="s">
        <v>63</v>
      </c>
      <c r="H10" s="12" t="s">
        <v>693</v>
      </c>
      <c r="I10" s="16" t="str">
        <f>"0.00"</f>
        <v>0.00</v>
      </c>
      <c r="J10" s="17" t="str">
        <f>"0,0000"</f>
        <v>0,0000</v>
      </c>
      <c r="K10" s="11" t="s">
        <v>425</v>
      </c>
    </row>
    <row r="12" spans="1:11" ht="15" x14ac:dyDescent="0.2">
      <c r="E12" s="14" t="s">
        <v>34</v>
      </c>
    </row>
    <row r="13" spans="1:11" ht="15" x14ac:dyDescent="0.2">
      <c r="E13" s="14" t="s">
        <v>35</v>
      </c>
    </row>
    <row r="14" spans="1:11" ht="15" x14ac:dyDescent="0.2">
      <c r="E14" s="14" t="s">
        <v>36</v>
      </c>
    </row>
    <row r="15" spans="1:11" ht="15" x14ac:dyDescent="0.2">
      <c r="E15" s="14" t="s">
        <v>37</v>
      </c>
    </row>
    <row r="16" spans="1:11" ht="15" x14ac:dyDescent="0.2">
      <c r="E16" s="14" t="s">
        <v>37</v>
      </c>
    </row>
    <row r="17" spans="1:5" ht="15" x14ac:dyDescent="0.2">
      <c r="E17" s="14" t="s">
        <v>38</v>
      </c>
    </row>
    <row r="18" spans="1:5" ht="15" x14ac:dyDescent="0.2">
      <c r="E18" s="14"/>
    </row>
    <row r="20" spans="1:5" ht="18" x14ac:dyDescent="0.25">
      <c r="A20" s="18" t="s">
        <v>39</v>
      </c>
      <c r="B20" s="18"/>
    </row>
    <row r="21" spans="1:5" ht="15" x14ac:dyDescent="0.2">
      <c r="A21" s="19" t="s">
        <v>40</v>
      </c>
      <c r="B21" s="19"/>
    </row>
    <row r="22" spans="1:5" ht="14.25" x14ac:dyDescent="0.2">
      <c r="A22" s="21"/>
      <c r="B22" s="22" t="s">
        <v>41</v>
      </c>
    </row>
    <row r="23" spans="1:5" ht="15" x14ac:dyDescent="0.2">
      <c r="A23" s="23" t="s">
        <v>42</v>
      </c>
      <c r="B23" s="23" t="s">
        <v>43</v>
      </c>
      <c r="C23" s="23" t="s">
        <v>44</v>
      </c>
      <c r="D23" s="23" t="s">
        <v>341</v>
      </c>
      <c r="E23" s="23" t="s">
        <v>644</v>
      </c>
    </row>
    <row r="24" spans="1:5" x14ac:dyDescent="0.2">
      <c r="A24" s="20" t="s">
        <v>668</v>
      </c>
      <c r="B24" s="4" t="s">
        <v>41</v>
      </c>
      <c r="C24" s="4" t="s">
        <v>249</v>
      </c>
      <c r="D24" s="4" t="s">
        <v>667</v>
      </c>
      <c r="E24" s="15" t="s">
        <v>666</v>
      </c>
    </row>
    <row r="26" spans="1:5" ht="14.25" x14ac:dyDescent="0.2">
      <c r="A26" s="21"/>
      <c r="B26" s="22" t="s">
        <v>251</v>
      </c>
    </row>
    <row r="27" spans="1:5" ht="15" x14ac:dyDescent="0.2">
      <c r="A27" s="23" t="s">
        <v>42</v>
      </c>
      <c r="B27" s="23" t="s">
        <v>43</v>
      </c>
      <c r="C27" s="23" t="s">
        <v>44</v>
      </c>
      <c r="D27" s="23" t="s">
        <v>341</v>
      </c>
      <c r="E27" s="23" t="s">
        <v>644</v>
      </c>
    </row>
    <row r="28" spans="1:5" x14ac:dyDescent="0.2">
      <c r="A28" s="20" t="s">
        <v>394</v>
      </c>
      <c r="B28" s="4" t="s">
        <v>460</v>
      </c>
      <c r="C28" s="4" t="s">
        <v>249</v>
      </c>
      <c r="D28" s="4" t="s">
        <v>692</v>
      </c>
      <c r="E28" s="15" t="s">
        <v>691</v>
      </c>
    </row>
  </sheetData>
  <mergeCells count="13">
    <mergeCell ref="A5:H5"/>
    <mergeCell ref="A9:H9"/>
    <mergeCell ref="D3:D4"/>
    <mergeCell ref="I3:I4"/>
    <mergeCell ref="J3:J4"/>
    <mergeCell ref="A1:K2"/>
    <mergeCell ref="A3:A4"/>
    <mergeCell ref="B3:B4"/>
    <mergeCell ref="C3:C4"/>
    <mergeCell ref="K3:K4"/>
    <mergeCell ref="F3:F4"/>
    <mergeCell ref="E3:E4"/>
    <mergeCell ref="G3:H3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17.28515625" style="4" bestFit="1" customWidth="1"/>
    <col min="7" max="7" width="4.5703125" style="3" customWidth="1"/>
    <col min="8" max="9" width="5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5" width="7.85546875" style="15" bestFit="1" customWidth="1"/>
    <col min="16" max="16" width="8.5703125" style="2" bestFit="1" customWidth="1"/>
    <col min="17" max="17" width="8.85546875" style="4" bestFit="1" customWidth="1"/>
    <col min="18" max="16384" width="9.140625" style="3"/>
  </cols>
  <sheetData>
    <row r="1" spans="1:17" s="2" customFormat="1" ht="29.1" customHeight="1" x14ac:dyDescent="0.2">
      <c r="A1" s="56" t="s">
        <v>700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</row>
    <row r="2" spans="1:17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13</v>
      </c>
      <c r="E3" s="39" t="s">
        <v>4</v>
      </c>
      <c r="F3" s="39" t="s">
        <v>8</v>
      </c>
      <c r="G3" s="39" t="s">
        <v>699</v>
      </c>
      <c r="H3" s="39"/>
      <c r="I3" s="39"/>
      <c r="J3" s="39"/>
      <c r="K3" s="39" t="s">
        <v>698</v>
      </c>
      <c r="L3" s="39"/>
      <c r="M3" s="39"/>
      <c r="N3" s="39"/>
      <c r="O3" s="39" t="s">
        <v>1</v>
      </c>
      <c r="P3" s="39" t="s">
        <v>3</v>
      </c>
      <c r="Q3" s="42" t="s">
        <v>2</v>
      </c>
    </row>
    <row r="4" spans="1:17" s="1" customFormat="1" ht="21" customHeight="1" thickBot="1" x14ac:dyDescent="0.25">
      <c r="A4" s="51"/>
      <c r="B4" s="53"/>
      <c r="C4" s="53"/>
      <c r="D4" s="53"/>
      <c r="E4" s="53"/>
      <c r="F4" s="53"/>
      <c r="G4" s="10">
        <v>1</v>
      </c>
      <c r="H4" s="10">
        <v>2</v>
      </c>
      <c r="I4" s="10">
        <v>3</v>
      </c>
      <c r="J4" s="10" t="s">
        <v>5</v>
      </c>
      <c r="K4" s="10">
        <v>1</v>
      </c>
      <c r="L4" s="10">
        <v>2</v>
      </c>
      <c r="M4" s="10">
        <v>3</v>
      </c>
      <c r="N4" s="10" t="s">
        <v>5</v>
      </c>
      <c r="O4" s="53"/>
      <c r="P4" s="53"/>
      <c r="Q4" s="43"/>
    </row>
    <row r="5" spans="1:17" ht="15" x14ac:dyDescent="0.2">
      <c r="A5" s="54" t="s">
        <v>174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7" x14ac:dyDescent="0.2">
      <c r="A6" s="11" t="s">
        <v>195</v>
      </c>
      <c r="B6" s="11" t="s">
        <v>196</v>
      </c>
      <c r="C6" s="11" t="s">
        <v>197</v>
      </c>
      <c r="D6" s="11" t="str">
        <f>"0,5910"</f>
        <v>0,5910</v>
      </c>
      <c r="E6" s="11" t="s">
        <v>198</v>
      </c>
      <c r="F6" s="11" t="s">
        <v>199</v>
      </c>
      <c r="G6" s="12" t="s">
        <v>106</v>
      </c>
      <c r="H6" s="12" t="s">
        <v>74</v>
      </c>
      <c r="I6" s="12" t="s">
        <v>159</v>
      </c>
      <c r="J6" s="13"/>
      <c r="K6" s="12" t="s">
        <v>58</v>
      </c>
      <c r="L6" s="12" t="s">
        <v>59</v>
      </c>
      <c r="M6" s="13" t="s">
        <v>63</v>
      </c>
      <c r="N6" s="13"/>
      <c r="O6" s="16" t="str">
        <f>"180,0"</f>
        <v>180,0</v>
      </c>
      <c r="P6" s="17" t="str">
        <f>"106,3800"</f>
        <v>106,3800</v>
      </c>
      <c r="Q6" s="11" t="s">
        <v>33</v>
      </c>
    </row>
    <row r="8" spans="1:17" ht="15" x14ac:dyDescent="0.2">
      <c r="E8" s="14" t="s">
        <v>34</v>
      </c>
    </row>
    <row r="9" spans="1:17" ht="15" x14ac:dyDescent="0.2">
      <c r="E9" s="14" t="s">
        <v>35</v>
      </c>
    </row>
    <row r="10" spans="1:17" ht="15" x14ac:dyDescent="0.2">
      <c r="E10" s="14" t="s">
        <v>36</v>
      </c>
    </row>
    <row r="11" spans="1:17" ht="15" x14ac:dyDescent="0.2">
      <c r="E11" s="14" t="s">
        <v>37</v>
      </c>
    </row>
    <row r="12" spans="1:17" ht="15" x14ac:dyDescent="0.2">
      <c r="E12" s="14" t="s">
        <v>37</v>
      </c>
    </row>
    <row r="13" spans="1:17" ht="15" x14ac:dyDescent="0.2">
      <c r="E13" s="14" t="s">
        <v>38</v>
      </c>
    </row>
    <row r="14" spans="1:17" ht="15" x14ac:dyDescent="0.2">
      <c r="E14" s="14"/>
    </row>
    <row r="16" spans="1:17" ht="18" x14ac:dyDescent="0.25">
      <c r="A16" s="18" t="s">
        <v>39</v>
      </c>
      <c r="B16" s="18"/>
    </row>
    <row r="17" spans="1:5" ht="15" x14ac:dyDescent="0.2">
      <c r="A17" s="19" t="s">
        <v>40</v>
      </c>
      <c r="B17" s="19"/>
    </row>
    <row r="18" spans="1:5" ht="14.25" x14ac:dyDescent="0.2">
      <c r="A18" s="21"/>
      <c r="B18" s="22" t="s">
        <v>41</v>
      </c>
    </row>
    <row r="19" spans="1:5" ht="15" x14ac:dyDescent="0.2">
      <c r="A19" s="23" t="s">
        <v>42</v>
      </c>
      <c r="B19" s="23" t="s">
        <v>43</v>
      </c>
      <c r="C19" s="23" t="s">
        <v>44</v>
      </c>
      <c r="D19" s="23" t="s">
        <v>45</v>
      </c>
      <c r="E19" s="23" t="s">
        <v>46</v>
      </c>
    </row>
    <row r="20" spans="1:5" x14ac:dyDescent="0.2">
      <c r="A20" s="20" t="s">
        <v>194</v>
      </c>
      <c r="B20" s="4" t="s">
        <v>41</v>
      </c>
      <c r="C20" s="4" t="s">
        <v>266</v>
      </c>
      <c r="D20" s="4" t="s">
        <v>183</v>
      </c>
      <c r="E20" s="15" t="s">
        <v>697</v>
      </c>
    </row>
  </sheetData>
  <mergeCells count="13">
    <mergeCell ref="F3:F4"/>
    <mergeCell ref="G3:J3"/>
    <mergeCell ref="K3:N3"/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7.28515625" style="4" bestFit="1" customWidth="1"/>
    <col min="7" max="9" width="4.5703125" style="3" customWidth="1"/>
    <col min="10" max="10" width="4.85546875" style="3" customWidth="1"/>
    <col min="11" max="11" width="7.85546875" style="15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56" t="s">
        <v>707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13</v>
      </c>
      <c r="E3" s="39" t="s">
        <v>4</v>
      </c>
      <c r="F3" s="39" t="s">
        <v>8</v>
      </c>
      <c r="G3" s="39" t="s">
        <v>698</v>
      </c>
      <c r="H3" s="39"/>
      <c r="I3" s="39"/>
      <c r="J3" s="39"/>
      <c r="K3" s="39" t="s">
        <v>343</v>
      </c>
      <c r="L3" s="39" t="s">
        <v>3</v>
      </c>
      <c r="M3" s="42" t="s">
        <v>2</v>
      </c>
    </row>
    <row r="4" spans="1:13" s="1" customFormat="1" ht="21" customHeight="1" thickBot="1" x14ac:dyDescent="0.25">
      <c r="A4" s="51"/>
      <c r="B4" s="53"/>
      <c r="C4" s="53"/>
      <c r="D4" s="53"/>
      <c r="E4" s="53"/>
      <c r="F4" s="53"/>
      <c r="G4" s="10">
        <v>1</v>
      </c>
      <c r="H4" s="10">
        <v>2</v>
      </c>
      <c r="I4" s="10">
        <v>3</v>
      </c>
      <c r="J4" s="10" t="s">
        <v>5</v>
      </c>
      <c r="K4" s="53"/>
      <c r="L4" s="53"/>
      <c r="M4" s="43"/>
    </row>
    <row r="5" spans="1:13" ht="15" x14ac:dyDescent="0.2">
      <c r="A5" s="54" t="s">
        <v>208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1" t="s">
        <v>706</v>
      </c>
      <c r="B6" s="11" t="s">
        <v>705</v>
      </c>
      <c r="C6" s="11" t="s">
        <v>704</v>
      </c>
      <c r="D6" s="11" t="str">
        <f>"0,5672"</f>
        <v>0,5672</v>
      </c>
      <c r="E6" s="11" t="s">
        <v>123</v>
      </c>
      <c r="F6" s="11" t="s">
        <v>703</v>
      </c>
      <c r="G6" s="12" t="s">
        <v>107</v>
      </c>
      <c r="H6" s="12" t="s">
        <v>58</v>
      </c>
      <c r="I6" s="12" t="s">
        <v>59</v>
      </c>
      <c r="J6" s="13"/>
      <c r="K6" s="16" t="str">
        <f>"75,0"</f>
        <v>75,0</v>
      </c>
      <c r="L6" s="17" t="str">
        <f>"42,5400"</f>
        <v>42,5400</v>
      </c>
      <c r="M6" s="11" t="s">
        <v>33</v>
      </c>
    </row>
    <row r="8" spans="1:13" ht="15" x14ac:dyDescent="0.2">
      <c r="E8" s="14" t="s">
        <v>34</v>
      </c>
    </row>
    <row r="9" spans="1:13" ht="15" x14ac:dyDescent="0.2">
      <c r="E9" s="14" t="s">
        <v>35</v>
      </c>
    </row>
    <row r="10" spans="1:13" ht="15" x14ac:dyDescent="0.2">
      <c r="E10" s="14" t="s">
        <v>36</v>
      </c>
    </row>
    <row r="11" spans="1:13" ht="15" x14ac:dyDescent="0.2">
      <c r="E11" s="14" t="s">
        <v>37</v>
      </c>
    </row>
    <row r="12" spans="1:13" ht="15" x14ac:dyDescent="0.2">
      <c r="E12" s="14" t="s">
        <v>37</v>
      </c>
    </row>
    <row r="13" spans="1:13" ht="15" x14ac:dyDescent="0.2">
      <c r="E13" s="14" t="s">
        <v>38</v>
      </c>
    </row>
    <row r="14" spans="1:13" ht="15" x14ac:dyDescent="0.2">
      <c r="E14" s="14"/>
    </row>
    <row r="16" spans="1:13" ht="18" x14ac:dyDescent="0.25">
      <c r="A16" s="18" t="s">
        <v>39</v>
      </c>
      <c r="B16" s="18"/>
    </row>
    <row r="17" spans="1:5" ht="15" x14ac:dyDescent="0.2">
      <c r="A17" s="19" t="s">
        <v>40</v>
      </c>
      <c r="B17" s="19"/>
    </row>
    <row r="18" spans="1:5" ht="14.25" x14ac:dyDescent="0.2">
      <c r="A18" s="21"/>
      <c r="B18" s="22" t="s">
        <v>41</v>
      </c>
    </row>
    <row r="19" spans="1:5" ht="15" x14ac:dyDescent="0.2">
      <c r="A19" s="23" t="s">
        <v>42</v>
      </c>
      <c r="B19" s="23" t="s">
        <v>43</v>
      </c>
      <c r="C19" s="23" t="s">
        <v>44</v>
      </c>
      <c r="D19" s="23" t="s">
        <v>341</v>
      </c>
      <c r="E19" s="23" t="s">
        <v>46</v>
      </c>
    </row>
    <row r="20" spans="1:5" x14ac:dyDescent="0.2">
      <c r="A20" s="20" t="s">
        <v>702</v>
      </c>
      <c r="B20" s="4" t="s">
        <v>41</v>
      </c>
      <c r="C20" s="4" t="s">
        <v>271</v>
      </c>
      <c r="D20" s="4" t="s">
        <v>59</v>
      </c>
      <c r="E20" s="15" t="s">
        <v>701</v>
      </c>
    </row>
  </sheetData>
  <mergeCells count="12">
    <mergeCell ref="F3:F4"/>
    <mergeCell ref="G3:J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tabSelected="1"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5.140625" style="4" bestFit="1" customWidth="1"/>
    <col min="6" max="6" width="38.7109375" style="4" bestFit="1" customWidth="1"/>
    <col min="7" max="9" width="4.5703125" style="3" customWidth="1"/>
    <col min="10" max="10" width="4.85546875" style="3" customWidth="1"/>
    <col min="11" max="11" width="7.85546875" style="15" bestFit="1" customWidth="1"/>
    <col min="12" max="12" width="7.5703125" style="2" bestFit="1" customWidth="1"/>
    <col min="13" max="13" width="26.42578125" style="4" bestFit="1" customWidth="1"/>
    <col min="14" max="16384" width="9.140625" style="3"/>
  </cols>
  <sheetData>
    <row r="1" spans="1:13" s="2" customFormat="1" ht="29.1" customHeight="1" x14ac:dyDescent="0.2">
      <c r="A1" s="56" t="s">
        <v>783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13</v>
      </c>
      <c r="E3" s="39" t="s">
        <v>4</v>
      </c>
      <c r="F3" s="39" t="s">
        <v>8</v>
      </c>
      <c r="G3" s="39" t="s">
        <v>698</v>
      </c>
      <c r="H3" s="39"/>
      <c r="I3" s="39"/>
      <c r="J3" s="39"/>
      <c r="K3" s="39" t="s">
        <v>343</v>
      </c>
      <c r="L3" s="39" t="s">
        <v>3</v>
      </c>
      <c r="M3" s="42" t="s">
        <v>2</v>
      </c>
    </row>
    <row r="4" spans="1:13" s="1" customFormat="1" ht="21" customHeight="1" thickBot="1" x14ac:dyDescent="0.25">
      <c r="A4" s="51"/>
      <c r="B4" s="53"/>
      <c r="C4" s="53"/>
      <c r="D4" s="53"/>
      <c r="E4" s="53"/>
      <c r="F4" s="53"/>
      <c r="G4" s="10">
        <v>1</v>
      </c>
      <c r="H4" s="10">
        <v>2</v>
      </c>
      <c r="I4" s="10">
        <v>3</v>
      </c>
      <c r="J4" s="10" t="s">
        <v>5</v>
      </c>
      <c r="K4" s="53"/>
      <c r="L4" s="53"/>
      <c r="M4" s="43"/>
    </row>
    <row r="5" spans="1:13" ht="15" x14ac:dyDescent="0.2">
      <c r="A5" s="54" t="s">
        <v>51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1" t="s">
        <v>53</v>
      </c>
      <c r="B6" s="11" t="s">
        <v>54</v>
      </c>
      <c r="C6" s="11" t="s">
        <v>55</v>
      </c>
      <c r="D6" s="11" t="str">
        <f>"0,9693"</f>
        <v>0,9693</v>
      </c>
      <c r="E6" s="11" t="s">
        <v>56</v>
      </c>
      <c r="F6" s="11" t="s">
        <v>57</v>
      </c>
      <c r="G6" s="12" t="s">
        <v>745</v>
      </c>
      <c r="H6" s="13" t="s">
        <v>95</v>
      </c>
      <c r="I6" s="13" t="s">
        <v>95</v>
      </c>
      <c r="J6" s="13"/>
      <c r="K6" s="16" t="str">
        <f>"20,0"</f>
        <v>20,0</v>
      </c>
      <c r="L6" s="17" t="str">
        <f>"19,3870"</f>
        <v>19,3870</v>
      </c>
      <c r="M6" s="11" t="s">
        <v>64</v>
      </c>
    </row>
    <row r="8" spans="1:13" ht="15" x14ac:dyDescent="0.2">
      <c r="A8" s="57" t="s">
        <v>65</v>
      </c>
      <c r="B8" s="58"/>
      <c r="C8" s="58"/>
      <c r="D8" s="58"/>
      <c r="E8" s="58"/>
      <c r="F8" s="58"/>
      <c r="G8" s="58"/>
      <c r="H8" s="58"/>
      <c r="I8" s="58"/>
      <c r="J8" s="58"/>
    </row>
    <row r="9" spans="1:13" x14ac:dyDescent="0.2">
      <c r="A9" s="11" t="s">
        <v>78</v>
      </c>
      <c r="B9" s="11" t="s">
        <v>79</v>
      </c>
      <c r="C9" s="11" t="s">
        <v>80</v>
      </c>
      <c r="D9" s="11" t="str">
        <f>"0,7701"</f>
        <v>0,7701</v>
      </c>
      <c r="E9" s="11" t="s">
        <v>81</v>
      </c>
      <c r="F9" s="11" t="s">
        <v>82</v>
      </c>
      <c r="G9" s="12" t="s">
        <v>95</v>
      </c>
      <c r="H9" s="12" t="s">
        <v>97</v>
      </c>
      <c r="I9" s="12" t="s">
        <v>61</v>
      </c>
      <c r="J9" s="13"/>
      <c r="K9" s="16" t="str">
        <f>"40,0"</f>
        <v>40,0</v>
      </c>
      <c r="L9" s="17" t="str">
        <f>"30,8040"</f>
        <v>30,8040</v>
      </c>
      <c r="M9" s="11" t="s">
        <v>89</v>
      </c>
    </row>
    <row r="11" spans="1:13" ht="15" x14ac:dyDescent="0.2">
      <c r="A11" s="57" t="s">
        <v>51</v>
      </c>
      <c r="B11" s="58"/>
      <c r="C11" s="58"/>
      <c r="D11" s="58"/>
      <c r="E11" s="58"/>
      <c r="F11" s="58"/>
      <c r="G11" s="58"/>
      <c r="H11" s="58"/>
      <c r="I11" s="58"/>
      <c r="J11" s="58"/>
    </row>
    <row r="12" spans="1:13" x14ac:dyDescent="0.2">
      <c r="A12" s="11" t="s">
        <v>91</v>
      </c>
      <c r="B12" s="11" t="s">
        <v>92</v>
      </c>
      <c r="C12" s="11" t="s">
        <v>93</v>
      </c>
      <c r="D12" s="11" t="str">
        <f>"1,3133"</f>
        <v>1,3133</v>
      </c>
      <c r="E12" s="11" t="s">
        <v>81</v>
      </c>
      <c r="F12" s="11" t="s">
        <v>82</v>
      </c>
      <c r="G12" s="12" t="s">
        <v>782</v>
      </c>
      <c r="H12" s="12" t="s">
        <v>781</v>
      </c>
      <c r="I12" s="12" t="s">
        <v>734</v>
      </c>
      <c r="J12" s="13"/>
      <c r="K12" s="16" t="str">
        <f>"15,0"</f>
        <v>15,0</v>
      </c>
      <c r="L12" s="17" t="str">
        <f>"24,2304"</f>
        <v>24,2304</v>
      </c>
      <c r="M12" s="11" t="s">
        <v>89</v>
      </c>
    </row>
    <row r="14" spans="1:13" ht="15" x14ac:dyDescent="0.2">
      <c r="A14" s="57" t="s">
        <v>99</v>
      </c>
      <c r="B14" s="58"/>
      <c r="C14" s="58"/>
      <c r="D14" s="58"/>
      <c r="E14" s="58"/>
      <c r="F14" s="58"/>
      <c r="G14" s="58"/>
      <c r="H14" s="58"/>
      <c r="I14" s="58"/>
      <c r="J14" s="58"/>
    </row>
    <row r="15" spans="1:13" x14ac:dyDescent="0.2">
      <c r="A15" s="11" t="s">
        <v>780</v>
      </c>
      <c r="B15" s="11" t="s">
        <v>779</v>
      </c>
      <c r="C15" s="11" t="s">
        <v>778</v>
      </c>
      <c r="D15" s="11" t="str">
        <f>"0,8406"</f>
        <v>0,8406</v>
      </c>
      <c r="E15" s="11" t="s">
        <v>123</v>
      </c>
      <c r="F15" s="11" t="s">
        <v>157</v>
      </c>
      <c r="G15" s="12" t="s">
        <v>61</v>
      </c>
      <c r="H15" s="12" t="s">
        <v>62</v>
      </c>
      <c r="I15" s="12" t="s">
        <v>719</v>
      </c>
      <c r="J15" s="13"/>
      <c r="K15" s="16" t="str">
        <f>"47,5"</f>
        <v>47,5</v>
      </c>
      <c r="L15" s="17" t="str">
        <f>"41,1264"</f>
        <v>41,1264</v>
      </c>
      <c r="M15" s="11" t="s">
        <v>132</v>
      </c>
    </row>
    <row r="17" spans="1:13" ht="15" x14ac:dyDescent="0.2">
      <c r="A17" s="57" t="s">
        <v>108</v>
      </c>
      <c r="B17" s="58"/>
      <c r="C17" s="58"/>
      <c r="D17" s="58"/>
      <c r="E17" s="58"/>
      <c r="F17" s="58"/>
      <c r="G17" s="58"/>
      <c r="H17" s="58"/>
      <c r="I17" s="58"/>
      <c r="J17" s="58"/>
    </row>
    <row r="18" spans="1:13" x14ac:dyDescent="0.2">
      <c r="A18" s="24" t="s">
        <v>777</v>
      </c>
      <c r="B18" s="24" t="s">
        <v>776</v>
      </c>
      <c r="C18" s="24" t="s">
        <v>775</v>
      </c>
      <c r="D18" s="24" t="str">
        <f>"0,7347"</f>
        <v>0,7347</v>
      </c>
      <c r="E18" s="24" t="s">
        <v>123</v>
      </c>
      <c r="F18" s="24" t="s">
        <v>352</v>
      </c>
      <c r="G18" s="25" t="s">
        <v>62</v>
      </c>
      <c r="H18" s="25" t="s">
        <v>73</v>
      </c>
      <c r="I18" s="26" t="s">
        <v>85</v>
      </c>
      <c r="J18" s="26"/>
      <c r="K18" s="33" t="str">
        <f>"50,0"</f>
        <v>50,0</v>
      </c>
      <c r="L18" s="34" t="str">
        <f>"39,6738"</f>
        <v>39,6738</v>
      </c>
      <c r="M18" s="24" t="s">
        <v>774</v>
      </c>
    </row>
    <row r="19" spans="1:13" x14ac:dyDescent="0.2">
      <c r="A19" s="27" t="s">
        <v>773</v>
      </c>
      <c r="B19" s="27" t="s">
        <v>772</v>
      </c>
      <c r="C19" s="27" t="s">
        <v>378</v>
      </c>
      <c r="D19" s="27" t="str">
        <f>"0,7258"</f>
        <v>0,7258</v>
      </c>
      <c r="E19" s="27" t="s">
        <v>156</v>
      </c>
      <c r="F19" s="27" t="s">
        <v>157</v>
      </c>
      <c r="G19" s="28" t="s">
        <v>359</v>
      </c>
      <c r="H19" s="28" t="s">
        <v>73</v>
      </c>
      <c r="I19" s="28" t="s">
        <v>86</v>
      </c>
      <c r="J19" s="29"/>
      <c r="K19" s="35" t="str">
        <f>"62,5"</f>
        <v>62,5</v>
      </c>
      <c r="L19" s="36" t="str">
        <f>"48,0842"</f>
        <v>48,0842</v>
      </c>
      <c r="M19" s="27" t="s">
        <v>162</v>
      </c>
    </row>
    <row r="21" spans="1:13" ht="15" x14ac:dyDescent="0.2">
      <c r="A21" s="57" t="s">
        <v>65</v>
      </c>
      <c r="B21" s="58"/>
      <c r="C21" s="58"/>
      <c r="D21" s="58"/>
      <c r="E21" s="58"/>
      <c r="F21" s="58"/>
      <c r="G21" s="58"/>
      <c r="H21" s="58"/>
      <c r="I21" s="58"/>
      <c r="J21" s="58"/>
    </row>
    <row r="22" spans="1:13" x14ac:dyDescent="0.2">
      <c r="A22" s="24" t="s">
        <v>381</v>
      </c>
      <c r="B22" s="24" t="s">
        <v>382</v>
      </c>
      <c r="C22" s="24" t="s">
        <v>383</v>
      </c>
      <c r="D22" s="24" t="str">
        <f>"0,7155"</f>
        <v>0,7155</v>
      </c>
      <c r="E22" s="24" t="s">
        <v>384</v>
      </c>
      <c r="F22" s="24" t="s">
        <v>385</v>
      </c>
      <c r="G22" s="25" t="s">
        <v>771</v>
      </c>
      <c r="H22" s="25" t="s">
        <v>61</v>
      </c>
      <c r="I22" s="25" t="s">
        <v>359</v>
      </c>
      <c r="J22" s="26"/>
      <c r="K22" s="33" t="str">
        <f>"42,5"</f>
        <v>42,5</v>
      </c>
      <c r="L22" s="34" t="str">
        <f>"35,8823"</f>
        <v>35,8823</v>
      </c>
      <c r="M22" s="24" t="s">
        <v>386</v>
      </c>
    </row>
    <row r="23" spans="1:13" x14ac:dyDescent="0.2">
      <c r="A23" s="30" t="s">
        <v>126</v>
      </c>
      <c r="B23" s="30" t="s">
        <v>127</v>
      </c>
      <c r="C23" s="30" t="s">
        <v>128</v>
      </c>
      <c r="D23" s="30" t="str">
        <f>"0,6708"</f>
        <v>0,6708</v>
      </c>
      <c r="E23" s="30" t="s">
        <v>123</v>
      </c>
      <c r="F23" s="30" t="s">
        <v>129</v>
      </c>
      <c r="G23" s="31" t="s">
        <v>73</v>
      </c>
      <c r="H23" s="31" t="s">
        <v>85</v>
      </c>
      <c r="I23" s="31" t="s">
        <v>118</v>
      </c>
      <c r="J23" s="32"/>
      <c r="K23" s="37" t="str">
        <f>"60,0"</f>
        <v>60,0</v>
      </c>
      <c r="L23" s="38" t="str">
        <f>"41,8579"</f>
        <v>41,8579</v>
      </c>
      <c r="M23" s="30" t="s">
        <v>132</v>
      </c>
    </row>
    <row r="24" spans="1:13" x14ac:dyDescent="0.2">
      <c r="A24" s="30" t="s">
        <v>770</v>
      </c>
      <c r="B24" s="30" t="s">
        <v>769</v>
      </c>
      <c r="C24" s="30" t="s">
        <v>768</v>
      </c>
      <c r="D24" s="30" t="str">
        <f>"0,6673"</f>
        <v>0,6673</v>
      </c>
      <c r="E24" s="30" t="s">
        <v>515</v>
      </c>
      <c r="F24" s="30" t="s">
        <v>319</v>
      </c>
      <c r="G24" s="31" t="s">
        <v>73</v>
      </c>
      <c r="H24" s="31" t="s">
        <v>85</v>
      </c>
      <c r="I24" s="31" t="s">
        <v>118</v>
      </c>
      <c r="J24" s="32"/>
      <c r="K24" s="37" t="str">
        <f>"60,0"</f>
        <v>60,0</v>
      </c>
      <c r="L24" s="38" t="str">
        <f>"40,0380"</f>
        <v>40,0380</v>
      </c>
      <c r="M24" s="30" t="s">
        <v>516</v>
      </c>
    </row>
    <row r="25" spans="1:13" x14ac:dyDescent="0.2">
      <c r="A25" s="30" t="s">
        <v>767</v>
      </c>
      <c r="B25" s="30" t="s">
        <v>766</v>
      </c>
      <c r="C25" s="30" t="s">
        <v>765</v>
      </c>
      <c r="D25" s="30" t="str">
        <f>"0,7066"</f>
        <v>0,7066</v>
      </c>
      <c r="E25" s="30" t="s">
        <v>56</v>
      </c>
      <c r="F25" s="30" t="s">
        <v>57</v>
      </c>
      <c r="G25" s="31" t="s">
        <v>719</v>
      </c>
      <c r="H25" s="32" t="s">
        <v>85</v>
      </c>
      <c r="I25" s="32" t="s">
        <v>85</v>
      </c>
      <c r="J25" s="32"/>
      <c r="K25" s="37" t="str">
        <f>"47,5"</f>
        <v>47,5</v>
      </c>
      <c r="L25" s="38" t="str">
        <f>"33,5635"</f>
        <v>33,5635</v>
      </c>
      <c r="M25" s="30" t="s">
        <v>64</v>
      </c>
    </row>
    <row r="26" spans="1:13" x14ac:dyDescent="0.2">
      <c r="A26" s="30" t="s">
        <v>764</v>
      </c>
      <c r="B26" s="30" t="s">
        <v>149</v>
      </c>
      <c r="C26" s="30" t="s">
        <v>763</v>
      </c>
      <c r="D26" s="30" t="str">
        <f>"0,6828"</f>
        <v>0,6828</v>
      </c>
      <c r="E26" s="30" t="s">
        <v>56</v>
      </c>
      <c r="F26" s="30" t="s">
        <v>57</v>
      </c>
      <c r="G26" s="31" t="s">
        <v>73</v>
      </c>
      <c r="H26" s="31" t="s">
        <v>85</v>
      </c>
      <c r="I26" s="31" t="s">
        <v>107</v>
      </c>
      <c r="J26" s="32"/>
      <c r="K26" s="37" t="str">
        <f>"65,0"</f>
        <v>65,0</v>
      </c>
      <c r="L26" s="38" t="str">
        <f>"44,5151"</f>
        <v>44,5151</v>
      </c>
      <c r="M26" s="30" t="s">
        <v>64</v>
      </c>
    </row>
    <row r="27" spans="1:13" x14ac:dyDescent="0.2">
      <c r="A27" s="27" t="s">
        <v>762</v>
      </c>
      <c r="B27" s="27" t="s">
        <v>761</v>
      </c>
      <c r="C27" s="27" t="s">
        <v>122</v>
      </c>
      <c r="D27" s="27" t="str">
        <f>"0,6767"</f>
        <v>0,6767</v>
      </c>
      <c r="E27" s="27" t="s">
        <v>351</v>
      </c>
      <c r="F27" s="27" t="s">
        <v>352</v>
      </c>
      <c r="G27" s="28" t="s">
        <v>85</v>
      </c>
      <c r="H27" s="28" t="s">
        <v>118</v>
      </c>
      <c r="I27" s="28" t="s">
        <v>107</v>
      </c>
      <c r="J27" s="29"/>
      <c r="K27" s="35" t="str">
        <f>"65,0"</f>
        <v>65,0</v>
      </c>
      <c r="L27" s="36" t="str">
        <f>"44,3814"</f>
        <v>44,3814</v>
      </c>
      <c r="M27" s="27" t="s">
        <v>33</v>
      </c>
    </row>
    <row r="29" spans="1:13" ht="15" x14ac:dyDescent="0.2">
      <c r="A29" s="57" t="s">
        <v>151</v>
      </c>
      <c r="B29" s="58"/>
      <c r="C29" s="58"/>
      <c r="D29" s="58"/>
      <c r="E29" s="58"/>
      <c r="F29" s="58"/>
      <c r="G29" s="58"/>
      <c r="H29" s="58"/>
      <c r="I29" s="58"/>
      <c r="J29" s="58"/>
    </row>
    <row r="30" spans="1:13" x14ac:dyDescent="0.2">
      <c r="A30" s="24" t="s">
        <v>153</v>
      </c>
      <c r="B30" s="24" t="s">
        <v>154</v>
      </c>
      <c r="C30" s="24" t="s">
        <v>155</v>
      </c>
      <c r="D30" s="24" t="str">
        <f>"0,6214"</f>
        <v>0,6214</v>
      </c>
      <c r="E30" s="24" t="s">
        <v>156</v>
      </c>
      <c r="F30" s="24" t="s">
        <v>157</v>
      </c>
      <c r="G30" s="25" t="s">
        <v>73</v>
      </c>
      <c r="H30" s="25" t="s">
        <v>98</v>
      </c>
      <c r="I30" s="25" t="s">
        <v>107</v>
      </c>
      <c r="J30" s="26"/>
      <c r="K30" s="33" t="str">
        <f>"65,0"</f>
        <v>65,0</v>
      </c>
      <c r="L30" s="34" t="str">
        <f>"42,8145"</f>
        <v>42,8145</v>
      </c>
      <c r="M30" s="24" t="s">
        <v>162</v>
      </c>
    </row>
    <row r="31" spans="1:13" x14ac:dyDescent="0.2">
      <c r="A31" s="30" t="s">
        <v>760</v>
      </c>
      <c r="B31" s="30" t="s">
        <v>410</v>
      </c>
      <c r="C31" s="30" t="s">
        <v>411</v>
      </c>
      <c r="D31" s="30" t="str">
        <f>"0,6219"</f>
        <v>0,6219</v>
      </c>
      <c r="E31" s="30" t="s">
        <v>412</v>
      </c>
      <c r="F31" s="30" t="s">
        <v>413</v>
      </c>
      <c r="G31" s="31" t="s">
        <v>98</v>
      </c>
      <c r="H31" s="31" t="s">
        <v>107</v>
      </c>
      <c r="I31" s="32" t="s">
        <v>58</v>
      </c>
      <c r="J31" s="32"/>
      <c r="K31" s="37" t="str">
        <f>"65,0"</f>
        <v>65,0</v>
      </c>
      <c r="L31" s="38" t="str">
        <f>"40,4235"</f>
        <v>40,4235</v>
      </c>
      <c r="M31" s="30" t="s">
        <v>33</v>
      </c>
    </row>
    <row r="32" spans="1:13" x14ac:dyDescent="0.2">
      <c r="A32" s="27" t="s">
        <v>759</v>
      </c>
      <c r="B32" s="27" t="s">
        <v>422</v>
      </c>
      <c r="C32" s="27" t="s">
        <v>423</v>
      </c>
      <c r="D32" s="27" t="str">
        <f>"0,6467"</f>
        <v>0,6467</v>
      </c>
      <c r="E32" s="27" t="s">
        <v>424</v>
      </c>
      <c r="F32" s="27" t="s">
        <v>319</v>
      </c>
      <c r="G32" s="28" t="s">
        <v>94</v>
      </c>
      <c r="H32" s="28" t="s">
        <v>85</v>
      </c>
      <c r="I32" s="28" t="s">
        <v>98</v>
      </c>
      <c r="J32" s="29"/>
      <c r="K32" s="35" t="str">
        <f>"57,5"</f>
        <v>57,5</v>
      </c>
      <c r="L32" s="36" t="str">
        <f>"37,1853"</f>
        <v>37,1853</v>
      </c>
      <c r="M32" s="27" t="s">
        <v>425</v>
      </c>
    </row>
    <row r="34" spans="1:13" ht="15" x14ac:dyDescent="0.2">
      <c r="A34" s="57" t="s">
        <v>174</v>
      </c>
      <c r="B34" s="58"/>
      <c r="C34" s="58"/>
      <c r="D34" s="58"/>
      <c r="E34" s="58"/>
      <c r="F34" s="58"/>
      <c r="G34" s="58"/>
      <c r="H34" s="58"/>
      <c r="I34" s="58"/>
      <c r="J34" s="58"/>
    </row>
    <row r="35" spans="1:13" x14ac:dyDescent="0.2">
      <c r="A35" s="24" t="s">
        <v>758</v>
      </c>
      <c r="B35" s="24" t="s">
        <v>757</v>
      </c>
      <c r="C35" s="24" t="s">
        <v>756</v>
      </c>
      <c r="D35" s="24" t="str">
        <f>"0,5914"</f>
        <v>0,5914</v>
      </c>
      <c r="E35" s="24" t="s">
        <v>123</v>
      </c>
      <c r="F35" s="24" t="s">
        <v>157</v>
      </c>
      <c r="G35" s="25" t="s">
        <v>98</v>
      </c>
      <c r="H35" s="25" t="s">
        <v>107</v>
      </c>
      <c r="I35" s="26"/>
      <c r="J35" s="26"/>
      <c r="K35" s="33" t="str">
        <f>"65,0"</f>
        <v>65,0</v>
      </c>
      <c r="L35" s="34" t="str">
        <f>"39,2098"</f>
        <v>39,2098</v>
      </c>
      <c r="M35" s="24" t="s">
        <v>132</v>
      </c>
    </row>
    <row r="36" spans="1:13" x14ac:dyDescent="0.2">
      <c r="A36" s="30" t="s">
        <v>195</v>
      </c>
      <c r="B36" s="30" t="s">
        <v>196</v>
      </c>
      <c r="C36" s="30" t="s">
        <v>197</v>
      </c>
      <c r="D36" s="30" t="str">
        <f>"0,5910"</f>
        <v>0,5910</v>
      </c>
      <c r="E36" s="30" t="s">
        <v>198</v>
      </c>
      <c r="F36" s="30" t="s">
        <v>199</v>
      </c>
      <c r="G36" s="31" t="s">
        <v>58</v>
      </c>
      <c r="H36" s="31" t="s">
        <v>59</v>
      </c>
      <c r="I36" s="32" t="s">
        <v>63</v>
      </c>
      <c r="J36" s="32"/>
      <c r="K36" s="37" t="str">
        <f>"75,0"</f>
        <v>75,0</v>
      </c>
      <c r="L36" s="38" t="str">
        <f>"44,3250"</f>
        <v>44,3250</v>
      </c>
      <c r="M36" s="30" t="s">
        <v>33</v>
      </c>
    </row>
    <row r="37" spans="1:13" x14ac:dyDescent="0.2">
      <c r="A37" s="30" t="s">
        <v>755</v>
      </c>
      <c r="B37" s="30" t="s">
        <v>559</v>
      </c>
      <c r="C37" s="30" t="s">
        <v>560</v>
      </c>
      <c r="D37" s="30" t="str">
        <f>"0,5939"</f>
        <v>0,5939</v>
      </c>
      <c r="E37" s="30" t="s">
        <v>561</v>
      </c>
      <c r="F37" s="30" t="s">
        <v>546</v>
      </c>
      <c r="G37" s="31" t="s">
        <v>107</v>
      </c>
      <c r="H37" s="31" t="s">
        <v>58</v>
      </c>
      <c r="I37" s="31" t="s">
        <v>366</v>
      </c>
      <c r="J37" s="32"/>
      <c r="K37" s="37" t="str">
        <f>"72,5"</f>
        <v>72,5</v>
      </c>
      <c r="L37" s="38" t="str">
        <f>"43,0578"</f>
        <v>43,0578</v>
      </c>
      <c r="M37" s="30" t="s">
        <v>33</v>
      </c>
    </row>
    <row r="38" spans="1:13" x14ac:dyDescent="0.2">
      <c r="A38" s="30" t="s">
        <v>754</v>
      </c>
      <c r="B38" s="30" t="s">
        <v>564</v>
      </c>
      <c r="C38" s="30" t="s">
        <v>205</v>
      </c>
      <c r="D38" s="30" t="str">
        <f>"0,5861"</f>
        <v>0,5861</v>
      </c>
      <c r="E38" s="30" t="s">
        <v>81</v>
      </c>
      <c r="F38" s="30" t="s">
        <v>82</v>
      </c>
      <c r="G38" s="31" t="s">
        <v>85</v>
      </c>
      <c r="H38" s="32" t="s">
        <v>118</v>
      </c>
      <c r="I38" s="31" t="s">
        <v>118</v>
      </c>
      <c r="J38" s="32"/>
      <c r="K38" s="37" t="str">
        <f>"60,0"</f>
        <v>60,0</v>
      </c>
      <c r="L38" s="38" t="str">
        <f>"35,2715"</f>
        <v>35,2715</v>
      </c>
      <c r="M38" s="30" t="s">
        <v>565</v>
      </c>
    </row>
    <row r="39" spans="1:13" x14ac:dyDescent="0.2">
      <c r="A39" s="30" t="s">
        <v>753</v>
      </c>
      <c r="B39" s="30" t="s">
        <v>432</v>
      </c>
      <c r="C39" s="30" t="s">
        <v>433</v>
      </c>
      <c r="D39" s="30" t="str">
        <f>"0,5853"</f>
        <v>0,5853</v>
      </c>
      <c r="E39" s="30" t="s">
        <v>123</v>
      </c>
      <c r="F39" s="30" t="s">
        <v>57</v>
      </c>
      <c r="G39" s="31" t="s">
        <v>98</v>
      </c>
      <c r="H39" s="32" t="s">
        <v>86</v>
      </c>
      <c r="I39" s="32" t="s">
        <v>86</v>
      </c>
      <c r="J39" s="32"/>
      <c r="K39" s="37" t="str">
        <f>"57,5"</f>
        <v>57,5</v>
      </c>
      <c r="L39" s="38" t="str">
        <f>"33,7557"</f>
        <v>33,7557</v>
      </c>
      <c r="M39" s="30" t="s">
        <v>64</v>
      </c>
    </row>
    <row r="40" spans="1:13" x14ac:dyDescent="0.2">
      <c r="A40" s="27" t="s">
        <v>203</v>
      </c>
      <c r="B40" s="27" t="s">
        <v>204</v>
      </c>
      <c r="C40" s="27" t="s">
        <v>205</v>
      </c>
      <c r="D40" s="27" t="str">
        <f>"0,5861"</f>
        <v>0,5861</v>
      </c>
      <c r="E40" s="27" t="s">
        <v>206</v>
      </c>
      <c r="F40" s="27" t="s">
        <v>199</v>
      </c>
      <c r="G40" s="28" t="s">
        <v>94</v>
      </c>
      <c r="H40" s="29" t="s">
        <v>86</v>
      </c>
      <c r="I40" s="29" t="s">
        <v>86</v>
      </c>
      <c r="J40" s="29"/>
      <c r="K40" s="35" t="str">
        <f>"52,5"</f>
        <v>52,5</v>
      </c>
      <c r="L40" s="36" t="str">
        <f>"55,6942"</f>
        <v>55,6942</v>
      </c>
      <c r="M40" s="27" t="s">
        <v>207</v>
      </c>
    </row>
    <row r="42" spans="1:13" ht="15" x14ac:dyDescent="0.2">
      <c r="A42" s="57" t="s">
        <v>208</v>
      </c>
      <c r="B42" s="58"/>
      <c r="C42" s="58"/>
      <c r="D42" s="58"/>
      <c r="E42" s="58"/>
      <c r="F42" s="58"/>
      <c r="G42" s="58"/>
      <c r="H42" s="58"/>
      <c r="I42" s="58"/>
      <c r="J42" s="58"/>
    </row>
    <row r="43" spans="1:13" x14ac:dyDescent="0.2">
      <c r="A43" s="11" t="s">
        <v>435</v>
      </c>
      <c r="B43" s="11" t="s">
        <v>436</v>
      </c>
      <c r="C43" s="11" t="s">
        <v>212</v>
      </c>
      <c r="D43" s="11" t="str">
        <f>"0,5540"</f>
        <v>0,5540</v>
      </c>
      <c r="E43" s="11" t="s">
        <v>123</v>
      </c>
      <c r="F43" s="11" t="s">
        <v>319</v>
      </c>
      <c r="G43" s="12" t="s">
        <v>58</v>
      </c>
      <c r="H43" s="12" t="s">
        <v>59</v>
      </c>
      <c r="I43" s="12" t="s">
        <v>732</v>
      </c>
      <c r="J43" s="13"/>
      <c r="K43" s="16" t="str">
        <f>"82,5"</f>
        <v>82,5</v>
      </c>
      <c r="L43" s="17" t="str">
        <f>"46,1621"</f>
        <v>46,1621</v>
      </c>
      <c r="M43" s="11" t="s">
        <v>437</v>
      </c>
    </row>
    <row r="45" spans="1:13" ht="15" x14ac:dyDescent="0.2">
      <c r="A45" s="57" t="s">
        <v>17</v>
      </c>
      <c r="B45" s="58"/>
      <c r="C45" s="58"/>
      <c r="D45" s="58"/>
      <c r="E45" s="58"/>
      <c r="F45" s="58"/>
      <c r="G45" s="58"/>
      <c r="H45" s="58"/>
      <c r="I45" s="58"/>
      <c r="J45" s="58"/>
    </row>
    <row r="46" spans="1:13" x14ac:dyDescent="0.2">
      <c r="A46" s="24" t="s">
        <v>751</v>
      </c>
      <c r="B46" s="24" t="s">
        <v>752</v>
      </c>
      <c r="C46" s="24" t="s">
        <v>749</v>
      </c>
      <c r="D46" s="24" t="str">
        <f>"0,5408"</f>
        <v>0,5408</v>
      </c>
      <c r="E46" s="24" t="s">
        <v>748</v>
      </c>
      <c r="F46" s="24" t="s">
        <v>747</v>
      </c>
      <c r="G46" s="25" t="s">
        <v>59</v>
      </c>
      <c r="H46" s="26" t="s">
        <v>167</v>
      </c>
      <c r="I46" s="26" t="s">
        <v>167</v>
      </c>
      <c r="J46" s="26"/>
      <c r="K46" s="33" t="str">
        <f>"75,0"</f>
        <v>75,0</v>
      </c>
      <c r="L46" s="34" t="str">
        <f>"40,5600"</f>
        <v>40,5600</v>
      </c>
      <c r="M46" s="24" t="s">
        <v>746</v>
      </c>
    </row>
    <row r="47" spans="1:13" x14ac:dyDescent="0.2">
      <c r="A47" s="27" t="s">
        <v>751</v>
      </c>
      <c r="B47" s="27" t="s">
        <v>750</v>
      </c>
      <c r="C47" s="27" t="s">
        <v>749</v>
      </c>
      <c r="D47" s="27" t="str">
        <f>"0,5408"</f>
        <v>0,5408</v>
      </c>
      <c r="E47" s="27" t="s">
        <v>748</v>
      </c>
      <c r="F47" s="27" t="s">
        <v>747</v>
      </c>
      <c r="G47" s="28" t="s">
        <v>59</v>
      </c>
      <c r="H47" s="29" t="s">
        <v>167</v>
      </c>
      <c r="I47" s="29" t="s">
        <v>167</v>
      </c>
      <c r="J47" s="29"/>
      <c r="K47" s="35" t="str">
        <f>"75,0"</f>
        <v>75,0</v>
      </c>
      <c r="L47" s="36" t="str">
        <f>"40,6817"</f>
        <v>40,6817</v>
      </c>
      <c r="M47" s="27" t="s">
        <v>746</v>
      </c>
    </row>
    <row r="49" spans="1:13" ht="15" x14ac:dyDescent="0.2">
      <c r="A49" s="57" t="s">
        <v>231</v>
      </c>
      <c r="B49" s="58"/>
      <c r="C49" s="58"/>
      <c r="D49" s="58"/>
      <c r="E49" s="58"/>
      <c r="F49" s="58"/>
      <c r="G49" s="58"/>
      <c r="H49" s="58"/>
      <c r="I49" s="58"/>
      <c r="J49" s="58"/>
    </row>
    <row r="50" spans="1:13" x14ac:dyDescent="0.2">
      <c r="A50" s="11" t="s">
        <v>233</v>
      </c>
      <c r="B50" s="11" t="s">
        <v>234</v>
      </c>
      <c r="C50" s="11" t="s">
        <v>235</v>
      </c>
      <c r="D50" s="11" t="str">
        <f>"0,5259"</f>
        <v>0,5259</v>
      </c>
      <c r="E50" s="11" t="s">
        <v>156</v>
      </c>
      <c r="F50" s="11" t="s">
        <v>129</v>
      </c>
      <c r="G50" s="12" t="s">
        <v>60</v>
      </c>
      <c r="H50" s="12" t="s">
        <v>62</v>
      </c>
      <c r="I50" s="13" t="s">
        <v>73</v>
      </c>
      <c r="J50" s="13"/>
      <c r="K50" s="16" t="str">
        <f>"45,0"</f>
        <v>45,0</v>
      </c>
      <c r="L50" s="17" t="str">
        <f>"25,0854"</f>
        <v>25,0854</v>
      </c>
      <c r="M50" s="11" t="s">
        <v>162</v>
      </c>
    </row>
    <row r="52" spans="1:13" ht="15" x14ac:dyDescent="0.2">
      <c r="E52" s="14" t="s">
        <v>34</v>
      </c>
    </row>
    <row r="53" spans="1:13" ht="15" x14ac:dyDescent="0.2">
      <c r="E53" s="14" t="s">
        <v>35</v>
      </c>
    </row>
    <row r="54" spans="1:13" ht="15" x14ac:dyDescent="0.2">
      <c r="E54" s="14" t="s">
        <v>36</v>
      </c>
    </row>
    <row r="55" spans="1:13" ht="15" x14ac:dyDescent="0.2">
      <c r="E55" s="14" t="s">
        <v>37</v>
      </c>
    </row>
    <row r="56" spans="1:13" ht="15" x14ac:dyDescent="0.2">
      <c r="E56" s="14" t="s">
        <v>37</v>
      </c>
    </row>
    <row r="57" spans="1:13" ht="15" x14ac:dyDescent="0.2">
      <c r="E57" s="14" t="s">
        <v>38</v>
      </c>
    </row>
    <row r="58" spans="1:13" ht="15" x14ac:dyDescent="0.2">
      <c r="E58" s="14"/>
    </row>
    <row r="60" spans="1:13" ht="18" x14ac:dyDescent="0.25">
      <c r="A60" s="18" t="s">
        <v>39</v>
      </c>
      <c r="B60" s="18"/>
    </row>
    <row r="61" spans="1:13" ht="15" x14ac:dyDescent="0.2">
      <c r="A61" s="19" t="s">
        <v>246</v>
      </c>
      <c r="B61" s="19"/>
    </row>
    <row r="62" spans="1:13" ht="14.25" x14ac:dyDescent="0.2">
      <c r="A62" s="21"/>
      <c r="B62" s="22" t="s">
        <v>41</v>
      </c>
    </row>
    <row r="63" spans="1:13" ht="15" x14ac:dyDescent="0.2">
      <c r="A63" s="23" t="s">
        <v>42</v>
      </c>
      <c r="B63" s="23" t="s">
        <v>43</v>
      </c>
      <c r="C63" s="23" t="s">
        <v>44</v>
      </c>
      <c r="D63" s="23" t="s">
        <v>341</v>
      </c>
      <c r="E63" s="23" t="s">
        <v>46</v>
      </c>
    </row>
    <row r="64" spans="1:13" x14ac:dyDescent="0.2">
      <c r="A64" s="20" t="s">
        <v>52</v>
      </c>
      <c r="B64" s="4" t="s">
        <v>41</v>
      </c>
      <c r="C64" s="4" t="s">
        <v>247</v>
      </c>
      <c r="D64" s="4" t="s">
        <v>745</v>
      </c>
      <c r="E64" s="15" t="s">
        <v>744</v>
      </c>
    </row>
    <row r="66" spans="1:5" ht="14.25" x14ac:dyDescent="0.2">
      <c r="A66" s="21"/>
      <c r="B66" s="22" t="s">
        <v>251</v>
      </c>
    </row>
    <row r="67" spans="1:5" ht="15" x14ac:dyDescent="0.2">
      <c r="A67" s="23" t="s">
        <v>42</v>
      </c>
      <c r="B67" s="23" t="s">
        <v>43</v>
      </c>
      <c r="C67" s="23" t="s">
        <v>44</v>
      </c>
      <c r="D67" s="23" t="s">
        <v>341</v>
      </c>
      <c r="E67" s="23" t="s">
        <v>46</v>
      </c>
    </row>
    <row r="68" spans="1:5" x14ac:dyDescent="0.2">
      <c r="A68" s="20" t="s">
        <v>77</v>
      </c>
      <c r="B68" s="4" t="s">
        <v>252</v>
      </c>
      <c r="C68" s="4" t="s">
        <v>249</v>
      </c>
      <c r="D68" s="4" t="s">
        <v>61</v>
      </c>
      <c r="E68" s="15" t="s">
        <v>743</v>
      </c>
    </row>
    <row r="71" spans="1:5" ht="15" x14ac:dyDescent="0.2">
      <c r="A71" s="19" t="s">
        <v>40</v>
      </c>
      <c r="B71" s="19"/>
    </row>
    <row r="72" spans="1:5" ht="14.25" x14ac:dyDescent="0.2">
      <c r="A72" s="21"/>
      <c r="B72" s="22" t="s">
        <v>255</v>
      </c>
    </row>
    <row r="73" spans="1:5" ht="15" x14ac:dyDescent="0.2">
      <c r="A73" s="23" t="s">
        <v>42</v>
      </c>
      <c r="B73" s="23" t="s">
        <v>43</v>
      </c>
      <c r="C73" s="23" t="s">
        <v>44</v>
      </c>
      <c r="D73" s="23" t="s">
        <v>341</v>
      </c>
      <c r="E73" s="23" t="s">
        <v>46</v>
      </c>
    </row>
    <row r="74" spans="1:5" x14ac:dyDescent="0.2">
      <c r="A74" s="20" t="s">
        <v>742</v>
      </c>
      <c r="B74" s="4" t="s">
        <v>256</v>
      </c>
      <c r="C74" s="4" t="s">
        <v>263</v>
      </c>
      <c r="D74" s="4" t="s">
        <v>86</v>
      </c>
      <c r="E74" s="15" t="s">
        <v>741</v>
      </c>
    </row>
    <row r="75" spans="1:5" x14ac:dyDescent="0.2">
      <c r="A75" s="20" t="s">
        <v>152</v>
      </c>
      <c r="B75" s="4" t="s">
        <v>256</v>
      </c>
      <c r="C75" s="4" t="s">
        <v>257</v>
      </c>
      <c r="D75" s="4" t="s">
        <v>107</v>
      </c>
      <c r="E75" s="15" t="s">
        <v>740</v>
      </c>
    </row>
    <row r="76" spans="1:5" x14ac:dyDescent="0.2">
      <c r="A76" s="20" t="s">
        <v>125</v>
      </c>
      <c r="B76" s="4" t="s">
        <v>256</v>
      </c>
      <c r="C76" s="4" t="s">
        <v>249</v>
      </c>
      <c r="D76" s="4" t="s">
        <v>118</v>
      </c>
      <c r="E76" s="15" t="s">
        <v>739</v>
      </c>
    </row>
    <row r="77" spans="1:5" x14ac:dyDescent="0.2">
      <c r="A77" s="20" t="s">
        <v>738</v>
      </c>
      <c r="B77" s="4" t="s">
        <v>262</v>
      </c>
      <c r="C77" s="4" t="s">
        <v>263</v>
      </c>
      <c r="D77" s="4" t="s">
        <v>73</v>
      </c>
      <c r="E77" s="15" t="s">
        <v>737</v>
      </c>
    </row>
    <row r="78" spans="1:5" x14ac:dyDescent="0.2">
      <c r="A78" s="20" t="s">
        <v>380</v>
      </c>
      <c r="B78" s="4" t="s">
        <v>447</v>
      </c>
      <c r="C78" s="4" t="s">
        <v>249</v>
      </c>
      <c r="D78" s="4" t="s">
        <v>359</v>
      </c>
      <c r="E78" s="15" t="s">
        <v>736</v>
      </c>
    </row>
    <row r="79" spans="1:5" x14ac:dyDescent="0.2">
      <c r="A79" s="20" t="s">
        <v>232</v>
      </c>
      <c r="B79" s="4" t="s">
        <v>256</v>
      </c>
      <c r="C79" s="4" t="s">
        <v>281</v>
      </c>
      <c r="D79" s="4" t="s">
        <v>62</v>
      </c>
      <c r="E79" s="15" t="s">
        <v>735</v>
      </c>
    </row>
    <row r="80" spans="1:5" x14ac:dyDescent="0.2">
      <c r="A80" s="20" t="s">
        <v>90</v>
      </c>
      <c r="B80" s="4" t="s">
        <v>277</v>
      </c>
      <c r="C80" s="4" t="s">
        <v>247</v>
      </c>
      <c r="D80" s="4" t="s">
        <v>734</v>
      </c>
      <c r="E80" s="15" t="s">
        <v>733</v>
      </c>
    </row>
    <row r="82" spans="1:5" ht="14.25" x14ac:dyDescent="0.2">
      <c r="A82" s="21"/>
      <c r="B82" s="22" t="s">
        <v>283</v>
      </c>
    </row>
    <row r="83" spans="1:5" ht="15" x14ac:dyDescent="0.2">
      <c r="A83" s="23" t="s">
        <v>42</v>
      </c>
      <c r="B83" s="23" t="s">
        <v>43</v>
      </c>
      <c r="C83" s="23" t="s">
        <v>44</v>
      </c>
      <c r="D83" s="23" t="s">
        <v>341</v>
      </c>
      <c r="E83" s="23" t="s">
        <v>46</v>
      </c>
    </row>
    <row r="84" spans="1:5" x14ac:dyDescent="0.2">
      <c r="A84" s="20" t="s">
        <v>434</v>
      </c>
      <c r="B84" s="4" t="s">
        <v>284</v>
      </c>
      <c r="C84" s="4" t="s">
        <v>271</v>
      </c>
      <c r="D84" s="4" t="s">
        <v>732</v>
      </c>
      <c r="E84" s="15" t="s">
        <v>731</v>
      </c>
    </row>
    <row r="85" spans="1:5" x14ac:dyDescent="0.2">
      <c r="A85" s="20" t="s">
        <v>730</v>
      </c>
      <c r="B85" s="4" t="s">
        <v>284</v>
      </c>
      <c r="C85" s="4" t="s">
        <v>274</v>
      </c>
      <c r="D85" s="4" t="s">
        <v>719</v>
      </c>
      <c r="E85" s="15" t="s">
        <v>729</v>
      </c>
    </row>
    <row r="86" spans="1:5" x14ac:dyDescent="0.2">
      <c r="A86" s="20" t="s">
        <v>728</v>
      </c>
      <c r="B86" s="4" t="s">
        <v>284</v>
      </c>
      <c r="C86" s="4" t="s">
        <v>266</v>
      </c>
      <c r="D86" s="4" t="s">
        <v>107</v>
      </c>
      <c r="E86" s="15" t="s">
        <v>727</v>
      </c>
    </row>
    <row r="88" spans="1:5" ht="14.25" x14ac:dyDescent="0.2">
      <c r="A88" s="21"/>
      <c r="B88" s="22" t="s">
        <v>41</v>
      </c>
    </row>
    <row r="89" spans="1:5" ht="15" x14ac:dyDescent="0.2">
      <c r="A89" s="23" t="s">
        <v>42</v>
      </c>
      <c r="B89" s="23" t="s">
        <v>43</v>
      </c>
      <c r="C89" s="23" t="s">
        <v>44</v>
      </c>
      <c r="D89" s="23" t="s">
        <v>341</v>
      </c>
      <c r="E89" s="23" t="s">
        <v>46</v>
      </c>
    </row>
    <row r="90" spans="1:5" x14ac:dyDescent="0.2">
      <c r="A90" s="20" t="s">
        <v>194</v>
      </c>
      <c r="B90" s="4" t="s">
        <v>41</v>
      </c>
      <c r="C90" s="4" t="s">
        <v>266</v>
      </c>
      <c r="D90" s="4" t="s">
        <v>59</v>
      </c>
      <c r="E90" s="15" t="s">
        <v>726</v>
      </c>
    </row>
    <row r="91" spans="1:5" x14ac:dyDescent="0.2">
      <c r="A91" s="20" t="s">
        <v>557</v>
      </c>
      <c r="B91" s="4" t="s">
        <v>41</v>
      </c>
      <c r="C91" s="4" t="s">
        <v>266</v>
      </c>
      <c r="D91" s="4" t="s">
        <v>366</v>
      </c>
      <c r="E91" s="15" t="s">
        <v>725</v>
      </c>
    </row>
    <row r="92" spans="1:5" x14ac:dyDescent="0.2">
      <c r="A92" s="20" t="s">
        <v>712</v>
      </c>
      <c r="B92" s="4" t="s">
        <v>41</v>
      </c>
      <c r="C92" s="4" t="s">
        <v>47</v>
      </c>
      <c r="D92" s="4" t="s">
        <v>59</v>
      </c>
      <c r="E92" s="15" t="s">
        <v>724</v>
      </c>
    </row>
    <row r="93" spans="1:5" x14ac:dyDescent="0.2">
      <c r="A93" s="20" t="s">
        <v>408</v>
      </c>
      <c r="B93" s="4" t="s">
        <v>41</v>
      </c>
      <c r="C93" s="4" t="s">
        <v>257</v>
      </c>
      <c r="D93" s="4" t="s">
        <v>107</v>
      </c>
      <c r="E93" s="15" t="s">
        <v>723</v>
      </c>
    </row>
    <row r="94" spans="1:5" x14ac:dyDescent="0.2">
      <c r="A94" s="20" t="s">
        <v>722</v>
      </c>
      <c r="B94" s="4" t="s">
        <v>41</v>
      </c>
      <c r="C94" s="4" t="s">
        <v>249</v>
      </c>
      <c r="D94" s="4" t="s">
        <v>118</v>
      </c>
      <c r="E94" s="15" t="s">
        <v>721</v>
      </c>
    </row>
    <row r="95" spans="1:5" x14ac:dyDescent="0.2">
      <c r="A95" s="20" t="s">
        <v>720</v>
      </c>
      <c r="B95" s="4" t="s">
        <v>41</v>
      </c>
      <c r="C95" s="4" t="s">
        <v>249</v>
      </c>
      <c r="D95" s="4" t="s">
        <v>719</v>
      </c>
      <c r="E95" s="15" t="s">
        <v>718</v>
      </c>
    </row>
    <row r="97" spans="1:5" ht="14.25" x14ac:dyDescent="0.2">
      <c r="A97" s="21"/>
      <c r="B97" s="22" t="s">
        <v>251</v>
      </c>
    </row>
    <row r="98" spans="1:5" ht="15" x14ac:dyDescent="0.2">
      <c r="A98" s="23" t="s">
        <v>42</v>
      </c>
      <c r="B98" s="23" t="s">
        <v>43</v>
      </c>
      <c r="C98" s="23" t="s">
        <v>44</v>
      </c>
      <c r="D98" s="23" t="s">
        <v>341</v>
      </c>
      <c r="E98" s="23" t="s">
        <v>46</v>
      </c>
    </row>
    <row r="99" spans="1:5" x14ac:dyDescent="0.2">
      <c r="A99" s="20" t="s">
        <v>202</v>
      </c>
      <c r="B99" s="4" t="s">
        <v>301</v>
      </c>
      <c r="C99" s="4" t="s">
        <v>266</v>
      </c>
      <c r="D99" s="4" t="s">
        <v>94</v>
      </c>
      <c r="E99" s="15" t="s">
        <v>717</v>
      </c>
    </row>
    <row r="100" spans="1:5" x14ac:dyDescent="0.2">
      <c r="A100" s="20" t="s">
        <v>716</v>
      </c>
      <c r="B100" s="4" t="s">
        <v>252</v>
      </c>
      <c r="C100" s="4" t="s">
        <v>249</v>
      </c>
      <c r="D100" s="4" t="s">
        <v>107</v>
      </c>
      <c r="E100" s="15" t="s">
        <v>715</v>
      </c>
    </row>
    <row r="101" spans="1:5" x14ac:dyDescent="0.2">
      <c r="A101" s="20" t="s">
        <v>714</v>
      </c>
      <c r="B101" s="4" t="s">
        <v>252</v>
      </c>
      <c r="C101" s="4" t="s">
        <v>249</v>
      </c>
      <c r="D101" s="4" t="s">
        <v>107</v>
      </c>
      <c r="E101" s="15" t="s">
        <v>713</v>
      </c>
    </row>
    <row r="102" spans="1:5" x14ac:dyDescent="0.2">
      <c r="A102" s="20" t="s">
        <v>712</v>
      </c>
      <c r="B102" s="4" t="s">
        <v>252</v>
      </c>
      <c r="C102" s="4" t="s">
        <v>47</v>
      </c>
      <c r="D102" s="4" t="s">
        <v>59</v>
      </c>
      <c r="E102" s="15" t="s">
        <v>711</v>
      </c>
    </row>
    <row r="103" spans="1:5" x14ac:dyDescent="0.2">
      <c r="A103" s="20" t="s">
        <v>420</v>
      </c>
      <c r="B103" s="4" t="s">
        <v>252</v>
      </c>
      <c r="C103" s="4" t="s">
        <v>257</v>
      </c>
      <c r="D103" s="4" t="s">
        <v>98</v>
      </c>
      <c r="E103" s="15" t="s">
        <v>710</v>
      </c>
    </row>
    <row r="104" spans="1:5" x14ac:dyDescent="0.2">
      <c r="A104" s="20" t="s">
        <v>562</v>
      </c>
      <c r="B104" s="4" t="s">
        <v>252</v>
      </c>
      <c r="C104" s="4" t="s">
        <v>266</v>
      </c>
      <c r="D104" s="4" t="s">
        <v>118</v>
      </c>
      <c r="E104" s="15" t="s">
        <v>709</v>
      </c>
    </row>
    <row r="105" spans="1:5" x14ac:dyDescent="0.2">
      <c r="A105" s="20" t="s">
        <v>430</v>
      </c>
      <c r="B105" s="4" t="s">
        <v>252</v>
      </c>
      <c r="C105" s="4" t="s">
        <v>266</v>
      </c>
      <c r="D105" s="4" t="s">
        <v>98</v>
      </c>
      <c r="E105" s="15" t="s">
        <v>708</v>
      </c>
    </row>
  </sheetData>
  <mergeCells count="22">
    <mergeCell ref="A21:J21"/>
    <mergeCell ref="A29:J29"/>
    <mergeCell ref="F3:F4"/>
    <mergeCell ref="G3:J3"/>
    <mergeCell ref="A34:J34"/>
    <mergeCell ref="A42:J42"/>
    <mergeCell ref="A45:J45"/>
    <mergeCell ref="A49:J49"/>
    <mergeCell ref="A8:J8"/>
    <mergeCell ref="A11:J11"/>
    <mergeCell ref="A14:J14"/>
    <mergeCell ref="A17:J17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7.710937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8.7109375" style="4" bestFit="1" customWidth="1"/>
    <col min="7" max="7" width="5.5703125" style="3" customWidth="1"/>
    <col min="8" max="8" width="10.42578125" style="3" customWidth="1"/>
    <col min="9" max="9" width="7.85546875" style="15" bestFit="1" customWidth="1"/>
    <col min="10" max="10" width="7.5703125" style="2" bestFit="1" customWidth="1"/>
    <col min="11" max="11" width="26.42578125" style="4" bestFit="1" customWidth="1"/>
    <col min="12" max="16384" width="9.140625" style="3"/>
  </cols>
  <sheetData>
    <row r="1" spans="1:11" s="2" customFormat="1" ht="29.1" customHeight="1" x14ac:dyDescent="0.2">
      <c r="A1" s="56" t="s">
        <v>791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1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790</v>
      </c>
      <c r="E3" s="39" t="s">
        <v>4</v>
      </c>
      <c r="F3" s="39" t="s">
        <v>8</v>
      </c>
      <c r="G3" s="39" t="s">
        <v>789</v>
      </c>
      <c r="H3" s="39"/>
      <c r="I3" s="39" t="s">
        <v>650</v>
      </c>
      <c r="J3" s="39" t="s">
        <v>3</v>
      </c>
      <c r="K3" s="42" t="s">
        <v>2</v>
      </c>
    </row>
    <row r="4" spans="1:11" s="1" customFormat="1" ht="21" customHeight="1" thickBot="1" x14ac:dyDescent="0.25">
      <c r="A4" s="51"/>
      <c r="B4" s="53"/>
      <c r="C4" s="53"/>
      <c r="D4" s="53"/>
      <c r="E4" s="53"/>
      <c r="F4" s="53"/>
      <c r="G4" s="10" t="s">
        <v>9</v>
      </c>
      <c r="H4" s="10" t="s">
        <v>10</v>
      </c>
      <c r="I4" s="53"/>
      <c r="J4" s="53"/>
      <c r="K4" s="43"/>
    </row>
    <row r="5" spans="1:11" ht="15" x14ac:dyDescent="0.2">
      <c r="A5" s="54" t="s">
        <v>788</v>
      </c>
      <c r="B5" s="55"/>
      <c r="C5" s="55"/>
      <c r="D5" s="55"/>
      <c r="E5" s="55"/>
      <c r="F5" s="55"/>
      <c r="G5" s="55"/>
      <c r="H5" s="55"/>
    </row>
    <row r="6" spans="1:11" x14ac:dyDescent="0.2">
      <c r="A6" s="11" t="s">
        <v>126</v>
      </c>
      <c r="B6" s="11" t="s">
        <v>127</v>
      </c>
      <c r="C6" s="11" t="s">
        <v>128</v>
      </c>
      <c r="D6" s="11" t="str">
        <f>"1,0000"</f>
        <v>1,0000</v>
      </c>
      <c r="E6" s="11" t="s">
        <v>123</v>
      </c>
      <c r="F6" s="11" t="s">
        <v>129</v>
      </c>
      <c r="G6" s="12" t="s">
        <v>124</v>
      </c>
      <c r="H6" s="12" t="s">
        <v>95</v>
      </c>
      <c r="I6" s="16" t="str">
        <f>"3750,0"</f>
        <v>3750,0</v>
      </c>
      <c r="J6" s="17" t="str">
        <f>"50,6072"</f>
        <v>50,6072</v>
      </c>
      <c r="K6" s="11" t="s">
        <v>132</v>
      </c>
    </row>
    <row r="8" spans="1:11" ht="15" x14ac:dyDescent="0.2">
      <c r="E8" s="14" t="s">
        <v>34</v>
      </c>
    </row>
    <row r="9" spans="1:11" ht="15" x14ac:dyDescent="0.2">
      <c r="E9" s="14" t="s">
        <v>35</v>
      </c>
    </row>
    <row r="10" spans="1:11" ht="15" x14ac:dyDescent="0.2">
      <c r="E10" s="14" t="s">
        <v>36</v>
      </c>
    </row>
    <row r="11" spans="1:11" ht="15" x14ac:dyDescent="0.2">
      <c r="E11" s="14" t="s">
        <v>37</v>
      </c>
    </row>
    <row r="12" spans="1:11" ht="15" x14ac:dyDescent="0.2">
      <c r="E12" s="14" t="s">
        <v>37</v>
      </c>
    </row>
    <row r="13" spans="1:11" ht="15" x14ac:dyDescent="0.2">
      <c r="E13" s="14" t="s">
        <v>38</v>
      </c>
    </row>
    <row r="14" spans="1:11" ht="15" x14ac:dyDescent="0.2">
      <c r="E14" s="14"/>
    </row>
    <row r="16" spans="1:11" ht="18" x14ac:dyDescent="0.25">
      <c r="A16" s="18" t="s">
        <v>39</v>
      </c>
      <c r="B16" s="18"/>
    </row>
    <row r="17" spans="1:5" ht="15" x14ac:dyDescent="0.2">
      <c r="A17" s="19" t="s">
        <v>40</v>
      </c>
      <c r="B17" s="19"/>
    </row>
    <row r="18" spans="1:5" ht="14.25" x14ac:dyDescent="0.2">
      <c r="A18" s="21"/>
      <c r="B18" s="22" t="s">
        <v>255</v>
      </c>
    </row>
    <row r="19" spans="1:5" ht="15" x14ac:dyDescent="0.2">
      <c r="A19" s="23" t="s">
        <v>42</v>
      </c>
      <c r="B19" s="23" t="s">
        <v>43</v>
      </c>
      <c r="C19" s="23" t="s">
        <v>44</v>
      </c>
      <c r="D19" s="23" t="s">
        <v>341</v>
      </c>
      <c r="E19" s="23" t="s">
        <v>787</v>
      </c>
    </row>
    <row r="20" spans="1:5" x14ac:dyDescent="0.2">
      <c r="A20" s="20" t="s">
        <v>125</v>
      </c>
      <c r="B20" s="4" t="s">
        <v>256</v>
      </c>
      <c r="C20" s="4" t="s">
        <v>786</v>
      </c>
      <c r="D20" s="4" t="s">
        <v>785</v>
      </c>
      <c r="E20" s="15" t="s">
        <v>784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7" width="5.5703125" style="3" customWidth="1"/>
    <col min="8" max="8" width="10.42578125" style="3" customWidth="1"/>
    <col min="9" max="9" width="7.85546875" style="15" bestFit="1" customWidth="1"/>
    <col min="10" max="10" width="7.5703125" style="2" bestFit="1" customWidth="1"/>
    <col min="11" max="11" width="11.7109375" style="4" bestFit="1" customWidth="1"/>
    <col min="12" max="16384" width="9.140625" style="3"/>
  </cols>
  <sheetData>
    <row r="1" spans="1:11" s="2" customFormat="1" ht="29.1" customHeight="1" x14ac:dyDescent="0.2">
      <c r="A1" s="56" t="s">
        <v>797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1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790</v>
      </c>
      <c r="E3" s="39" t="s">
        <v>4</v>
      </c>
      <c r="F3" s="39" t="s">
        <v>8</v>
      </c>
      <c r="G3" s="39" t="s">
        <v>789</v>
      </c>
      <c r="H3" s="39"/>
      <c r="I3" s="39" t="s">
        <v>650</v>
      </c>
      <c r="J3" s="39" t="s">
        <v>3</v>
      </c>
      <c r="K3" s="42" t="s">
        <v>2</v>
      </c>
    </row>
    <row r="4" spans="1:11" s="1" customFormat="1" ht="21" customHeight="1" thickBot="1" x14ac:dyDescent="0.25">
      <c r="A4" s="51"/>
      <c r="B4" s="53"/>
      <c r="C4" s="53"/>
      <c r="D4" s="53"/>
      <c r="E4" s="53"/>
      <c r="F4" s="53"/>
      <c r="G4" s="10" t="s">
        <v>9</v>
      </c>
      <c r="H4" s="10" t="s">
        <v>10</v>
      </c>
      <c r="I4" s="53"/>
      <c r="J4" s="53"/>
      <c r="K4" s="43"/>
    </row>
    <row r="5" spans="1:11" ht="15" x14ac:dyDescent="0.2">
      <c r="A5" s="54" t="s">
        <v>788</v>
      </c>
      <c r="B5" s="55"/>
      <c r="C5" s="55"/>
      <c r="D5" s="55"/>
      <c r="E5" s="55"/>
      <c r="F5" s="55"/>
      <c r="G5" s="55"/>
      <c r="H5" s="55"/>
    </row>
    <row r="6" spans="1:11" x14ac:dyDescent="0.2">
      <c r="A6" s="11" t="s">
        <v>796</v>
      </c>
      <c r="B6" s="11" t="s">
        <v>795</v>
      </c>
      <c r="C6" s="11" t="s">
        <v>658</v>
      </c>
      <c r="D6" s="11" t="str">
        <f>"1,0000"</f>
        <v>1,0000</v>
      </c>
      <c r="E6" s="11" t="s">
        <v>636</v>
      </c>
      <c r="F6" s="11" t="s">
        <v>319</v>
      </c>
      <c r="G6" s="12" t="s">
        <v>74</v>
      </c>
      <c r="H6" s="12" t="s">
        <v>61</v>
      </c>
      <c r="I6" s="16" t="str">
        <f>"4000,0"</f>
        <v>4000,0</v>
      </c>
      <c r="J6" s="17" t="str">
        <f>"68,1431"</f>
        <v>68,1431</v>
      </c>
      <c r="K6" s="11" t="s">
        <v>637</v>
      </c>
    </row>
    <row r="8" spans="1:11" ht="15" x14ac:dyDescent="0.2">
      <c r="E8" s="14" t="s">
        <v>34</v>
      </c>
    </row>
    <row r="9" spans="1:11" ht="15" x14ac:dyDescent="0.2">
      <c r="E9" s="14" t="s">
        <v>35</v>
      </c>
    </row>
    <row r="10" spans="1:11" ht="15" x14ac:dyDescent="0.2">
      <c r="E10" s="14" t="s">
        <v>36</v>
      </c>
    </row>
    <row r="11" spans="1:11" ht="15" x14ac:dyDescent="0.2">
      <c r="E11" s="14" t="s">
        <v>37</v>
      </c>
    </row>
    <row r="12" spans="1:11" ht="15" x14ac:dyDescent="0.2">
      <c r="E12" s="14" t="s">
        <v>37</v>
      </c>
    </row>
    <row r="13" spans="1:11" ht="15" x14ac:dyDescent="0.2">
      <c r="E13" s="14" t="s">
        <v>38</v>
      </c>
    </row>
    <row r="14" spans="1:11" ht="15" x14ac:dyDescent="0.2">
      <c r="E14" s="14"/>
    </row>
    <row r="16" spans="1:11" ht="18" x14ac:dyDescent="0.25">
      <c r="A16" s="18" t="s">
        <v>39</v>
      </c>
      <c r="B16" s="18"/>
    </row>
    <row r="17" spans="1:5" ht="15" x14ac:dyDescent="0.2">
      <c r="A17" s="19" t="s">
        <v>246</v>
      </c>
      <c r="B17" s="19"/>
    </row>
    <row r="18" spans="1:5" ht="14.25" x14ac:dyDescent="0.2">
      <c r="A18" s="21"/>
      <c r="B18" s="22" t="s">
        <v>251</v>
      </c>
    </row>
    <row r="19" spans="1:5" ht="15" x14ac:dyDescent="0.2">
      <c r="A19" s="23" t="s">
        <v>42</v>
      </c>
      <c r="B19" s="23" t="s">
        <v>43</v>
      </c>
      <c r="C19" s="23" t="s">
        <v>44</v>
      </c>
      <c r="D19" s="23" t="s">
        <v>341</v>
      </c>
      <c r="E19" s="23" t="s">
        <v>787</v>
      </c>
    </row>
    <row r="20" spans="1:5" x14ac:dyDescent="0.2">
      <c r="A20" s="20" t="s">
        <v>794</v>
      </c>
      <c r="B20" s="4" t="s">
        <v>596</v>
      </c>
      <c r="C20" s="4" t="s">
        <v>786</v>
      </c>
      <c r="D20" s="4" t="s">
        <v>793</v>
      </c>
      <c r="E20" s="15" t="s">
        <v>792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.5703125" style="4" bestFit="1" customWidth="1"/>
    <col min="7" max="7" width="5.5703125" style="3" customWidth="1"/>
    <col min="8" max="8" width="10.42578125" style="3" customWidth="1"/>
    <col min="9" max="9" width="7.85546875" style="15" bestFit="1" customWidth="1"/>
    <col min="10" max="10" width="8.5703125" style="2" bestFit="1" customWidth="1"/>
    <col min="11" max="11" width="12.5703125" style="4" bestFit="1" customWidth="1"/>
    <col min="12" max="16384" width="9.140625" style="3"/>
  </cols>
  <sheetData>
    <row r="1" spans="1:11" s="2" customFormat="1" ht="29.1" customHeight="1" x14ac:dyDescent="0.2">
      <c r="A1" s="56" t="s">
        <v>807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1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790</v>
      </c>
      <c r="E3" s="39" t="s">
        <v>4</v>
      </c>
      <c r="F3" s="39" t="s">
        <v>8</v>
      </c>
      <c r="G3" s="39" t="s">
        <v>789</v>
      </c>
      <c r="H3" s="39"/>
      <c r="I3" s="39" t="s">
        <v>650</v>
      </c>
      <c r="J3" s="39" t="s">
        <v>3</v>
      </c>
      <c r="K3" s="42" t="s">
        <v>2</v>
      </c>
    </row>
    <row r="4" spans="1:11" s="1" customFormat="1" ht="21" customHeight="1" thickBot="1" x14ac:dyDescent="0.25">
      <c r="A4" s="51"/>
      <c r="B4" s="53"/>
      <c r="C4" s="53"/>
      <c r="D4" s="53"/>
      <c r="E4" s="53"/>
      <c r="F4" s="53"/>
      <c r="G4" s="10" t="s">
        <v>9</v>
      </c>
      <c r="H4" s="10" t="s">
        <v>10</v>
      </c>
      <c r="I4" s="53"/>
      <c r="J4" s="53"/>
      <c r="K4" s="43"/>
    </row>
    <row r="5" spans="1:11" ht="15" x14ac:dyDescent="0.2">
      <c r="A5" s="54" t="s">
        <v>788</v>
      </c>
      <c r="B5" s="55"/>
      <c r="C5" s="55"/>
      <c r="D5" s="55"/>
      <c r="E5" s="55"/>
      <c r="F5" s="55"/>
      <c r="G5" s="55"/>
      <c r="H5" s="55"/>
    </row>
    <row r="6" spans="1:11" x14ac:dyDescent="0.2">
      <c r="A6" s="24" t="s">
        <v>542</v>
      </c>
      <c r="B6" s="24" t="s">
        <v>806</v>
      </c>
      <c r="C6" s="24" t="s">
        <v>544</v>
      </c>
      <c r="D6" s="24" t="str">
        <f>"1,0000"</f>
        <v>1,0000</v>
      </c>
      <c r="E6" s="24" t="s">
        <v>545</v>
      </c>
      <c r="F6" s="24" t="s">
        <v>546</v>
      </c>
      <c r="G6" s="25" t="s">
        <v>74</v>
      </c>
      <c r="H6" s="25" t="s">
        <v>63</v>
      </c>
      <c r="I6" s="33" t="str">
        <f>"8000,0"</f>
        <v>8000,0</v>
      </c>
      <c r="J6" s="34" t="str">
        <f>"119,0476"</f>
        <v>119,0476</v>
      </c>
      <c r="K6" s="24" t="s">
        <v>547</v>
      </c>
    </row>
    <row r="7" spans="1:11" x14ac:dyDescent="0.2">
      <c r="A7" s="30" t="s">
        <v>805</v>
      </c>
      <c r="B7" s="30" t="s">
        <v>769</v>
      </c>
      <c r="C7" s="30" t="s">
        <v>768</v>
      </c>
      <c r="D7" s="30" t="str">
        <f>"1,0000"</f>
        <v>1,0000</v>
      </c>
      <c r="E7" s="30" t="s">
        <v>515</v>
      </c>
      <c r="F7" s="30" t="s">
        <v>319</v>
      </c>
      <c r="G7" s="31" t="s">
        <v>74</v>
      </c>
      <c r="H7" s="31" t="s">
        <v>804</v>
      </c>
      <c r="I7" s="37" t="str">
        <f>"3100,0"</f>
        <v>3100,0</v>
      </c>
      <c r="J7" s="38" t="str">
        <f>"41,5549"</f>
        <v>41,5549</v>
      </c>
      <c r="K7" s="30" t="s">
        <v>516</v>
      </c>
    </row>
    <row r="8" spans="1:11" x14ac:dyDescent="0.2">
      <c r="A8" s="27" t="s">
        <v>754</v>
      </c>
      <c r="B8" s="27" t="s">
        <v>564</v>
      </c>
      <c r="C8" s="27" t="s">
        <v>803</v>
      </c>
      <c r="D8" s="27" t="str">
        <f>"1,0000"</f>
        <v>1,0000</v>
      </c>
      <c r="E8" s="27" t="s">
        <v>81</v>
      </c>
      <c r="F8" s="27" t="s">
        <v>82</v>
      </c>
      <c r="G8" s="28" t="s">
        <v>74</v>
      </c>
      <c r="H8" s="28" t="s">
        <v>61</v>
      </c>
      <c r="I8" s="35" t="str">
        <f>"4000,0"</f>
        <v>4000,0</v>
      </c>
      <c r="J8" s="36" t="str">
        <f>"44,4938"</f>
        <v>44,4938</v>
      </c>
      <c r="K8" s="27" t="s">
        <v>565</v>
      </c>
    </row>
    <row r="10" spans="1:11" ht="15" x14ac:dyDescent="0.2">
      <c r="E10" s="14" t="s">
        <v>34</v>
      </c>
    </row>
    <row r="11" spans="1:11" ht="15" x14ac:dyDescent="0.2">
      <c r="E11" s="14" t="s">
        <v>35</v>
      </c>
    </row>
    <row r="12" spans="1:11" ht="15" x14ac:dyDescent="0.2">
      <c r="E12" s="14" t="s">
        <v>36</v>
      </c>
    </row>
    <row r="13" spans="1:11" ht="15" x14ac:dyDescent="0.2">
      <c r="E13" s="14" t="s">
        <v>37</v>
      </c>
    </row>
    <row r="14" spans="1:11" ht="15" x14ac:dyDescent="0.2">
      <c r="E14" s="14" t="s">
        <v>37</v>
      </c>
    </row>
    <row r="15" spans="1:11" ht="15" x14ac:dyDescent="0.2">
      <c r="E15" s="14" t="s">
        <v>38</v>
      </c>
    </row>
    <row r="16" spans="1:11" ht="15" x14ac:dyDescent="0.2">
      <c r="E16" s="14"/>
    </row>
    <row r="18" spans="1:5" ht="18" x14ac:dyDescent="0.25">
      <c r="A18" s="18" t="s">
        <v>39</v>
      </c>
      <c r="B18" s="18"/>
    </row>
    <row r="19" spans="1:5" ht="15" x14ac:dyDescent="0.2">
      <c r="A19" s="19" t="s">
        <v>40</v>
      </c>
      <c r="B19" s="19"/>
    </row>
    <row r="20" spans="1:5" ht="14.25" x14ac:dyDescent="0.2">
      <c r="A20" s="21"/>
      <c r="B20" s="22" t="s">
        <v>41</v>
      </c>
    </row>
    <row r="21" spans="1:5" ht="15" x14ac:dyDescent="0.2">
      <c r="A21" s="23" t="s">
        <v>42</v>
      </c>
      <c r="B21" s="23" t="s">
        <v>43</v>
      </c>
      <c r="C21" s="23" t="s">
        <v>44</v>
      </c>
      <c r="D21" s="23" t="s">
        <v>341</v>
      </c>
      <c r="E21" s="23" t="s">
        <v>787</v>
      </c>
    </row>
    <row r="22" spans="1:5" x14ac:dyDescent="0.2">
      <c r="A22" s="20" t="s">
        <v>541</v>
      </c>
      <c r="B22" s="4" t="s">
        <v>41</v>
      </c>
      <c r="C22" s="4" t="s">
        <v>786</v>
      </c>
      <c r="D22" s="4" t="s">
        <v>802</v>
      </c>
      <c r="E22" s="15" t="s">
        <v>801</v>
      </c>
    </row>
    <row r="23" spans="1:5" x14ac:dyDescent="0.2">
      <c r="A23" s="20" t="s">
        <v>722</v>
      </c>
      <c r="B23" s="4" t="s">
        <v>41</v>
      </c>
      <c r="C23" s="4" t="s">
        <v>786</v>
      </c>
      <c r="D23" s="4" t="s">
        <v>800</v>
      </c>
      <c r="E23" s="15" t="s">
        <v>799</v>
      </c>
    </row>
    <row r="25" spans="1:5" ht="14.25" x14ac:dyDescent="0.2">
      <c r="A25" s="21"/>
      <c r="B25" s="22" t="s">
        <v>251</v>
      </c>
    </row>
    <row r="26" spans="1:5" ht="15" x14ac:dyDescent="0.2">
      <c r="A26" s="23" t="s">
        <v>42</v>
      </c>
      <c r="B26" s="23" t="s">
        <v>43</v>
      </c>
      <c r="C26" s="23" t="s">
        <v>44</v>
      </c>
      <c r="D26" s="23" t="s">
        <v>341</v>
      </c>
      <c r="E26" s="23" t="s">
        <v>787</v>
      </c>
    </row>
    <row r="27" spans="1:5" x14ac:dyDescent="0.2">
      <c r="A27" s="20" t="s">
        <v>562</v>
      </c>
      <c r="B27" s="4" t="s">
        <v>252</v>
      </c>
      <c r="C27" s="4" t="s">
        <v>786</v>
      </c>
      <c r="D27" s="4" t="s">
        <v>793</v>
      </c>
      <c r="E27" s="15" t="s">
        <v>798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5.7109375" style="4" bestFit="1" customWidth="1"/>
    <col min="7" max="9" width="4.5703125" style="3" customWidth="1"/>
    <col min="10" max="10" width="4.85546875" style="3" customWidth="1"/>
    <col min="11" max="11" width="7.85546875" style="15" bestFit="1" customWidth="1"/>
    <col min="12" max="12" width="7.5703125" style="2" bestFit="1" customWidth="1"/>
    <col min="13" max="13" width="18.7109375" style="4" bestFit="1" customWidth="1"/>
    <col min="14" max="16384" width="9.140625" style="3"/>
  </cols>
  <sheetData>
    <row r="1" spans="1:13" s="2" customFormat="1" ht="29.1" customHeight="1" x14ac:dyDescent="0.2">
      <c r="A1" s="56" t="s">
        <v>630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13</v>
      </c>
      <c r="E3" s="39" t="s">
        <v>4</v>
      </c>
      <c r="F3" s="39" t="s">
        <v>8</v>
      </c>
      <c r="G3" s="39" t="s">
        <v>14</v>
      </c>
      <c r="H3" s="39"/>
      <c r="I3" s="39"/>
      <c r="J3" s="39"/>
      <c r="K3" s="39" t="s">
        <v>343</v>
      </c>
      <c r="L3" s="39" t="s">
        <v>3</v>
      </c>
      <c r="M3" s="42" t="s">
        <v>2</v>
      </c>
    </row>
    <row r="4" spans="1:13" s="1" customFormat="1" ht="21" customHeight="1" thickBot="1" x14ac:dyDescent="0.25">
      <c r="A4" s="51"/>
      <c r="B4" s="53"/>
      <c r="C4" s="53"/>
      <c r="D4" s="53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53"/>
      <c r="L4" s="53"/>
      <c r="M4" s="43"/>
    </row>
    <row r="5" spans="1:13" ht="15" x14ac:dyDescent="0.2">
      <c r="A5" s="54" t="s">
        <v>51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1" t="s">
        <v>310</v>
      </c>
      <c r="B6" s="11" t="s">
        <v>311</v>
      </c>
      <c r="C6" s="11" t="s">
        <v>312</v>
      </c>
      <c r="D6" s="11" t="str">
        <f>"1,3133"</f>
        <v>1,3133</v>
      </c>
      <c r="E6" s="11" t="s">
        <v>81</v>
      </c>
      <c r="F6" s="11" t="s">
        <v>82</v>
      </c>
      <c r="G6" s="12" t="s">
        <v>61</v>
      </c>
      <c r="H6" s="12" t="s">
        <v>62</v>
      </c>
      <c r="I6" s="12" t="s">
        <v>73</v>
      </c>
      <c r="J6" s="13"/>
      <c r="K6" s="16" t="str">
        <f>"50,0"</f>
        <v>50,0</v>
      </c>
      <c r="L6" s="17" t="str">
        <f>"80,7680"</f>
        <v>80,7680</v>
      </c>
      <c r="M6" s="11" t="s">
        <v>89</v>
      </c>
    </row>
    <row r="8" spans="1:13" ht="15" x14ac:dyDescent="0.2">
      <c r="E8" s="14" t="s">
        <v>34</v>
      </c>
    </row>
    <row r="9" spans="1:13" ht="15" x14ac:dyDescent="0.2">
      <c r="E9" s="14" t="s">
        <v>35</v>
      </c>
    </row>
    <row r="10" spans="1:13" ht="15" x14ac:dyDescent="0.2">
      <c r="E10" s="14" t="s">
        <v>36</v>
      </c>
    </row>
    <row r="11" spans="1:13" ht="15" x14ac:dyDescent="0.2">
      <c r="E11" s="14" t="s">
        <v>37</v>
      </c>
    </row>
    <row r="12" spans="1:13" ht="15" x14ac:dyDescent="0.2">
      <c r="E12" s="14" t="s">
        <v>37</v>
      </c>
    </row>
    <row r="13" spans="1:13" ht="15" x14ac:dyDescent="0.2">
      <c r="E13" s="14" t="s">
        <v>38</v>
      </c>
    </row>
    <row r="14" spans="1:13" ht="15" x14ac:dyDescent="0.2">
      <c r="E14" s="14"/>
    </row>
    <row r="16" spans="1:13" ht="18" x14ac:dyDescent="0.25">
      <c r="A16" s="18" t="s">
        <v>39</v>
      </c>
      <c r="B16" s="18"/>
    </row>
    <row r="17" spans="1:5" ht="15" x14ac:dyDescent="0.2">
      <c r="A17" s="19" t="s">
        <v>40</v>
      </c>
      <c r="B17" s="19"/>
    </row>
    <row r="18" spans="1:5" ht="14.25" x14ac:dyDescent="0.2">
      <c r="A18" s="21"/>
      <c r="B18" s="22" t="s">
        <v>255</v>
      </c>
    </row>
    <row r="19" spans="1:5" ht="15" x14ac:dyDescent="0.2">
      <c r="A19" s="23" t="s">
        <v>42</v>
      </c>
      <c r="B19" s="23" t="s">
        <v>43</v>
      </c>
      <c r="C19" s="23" t="s">
        <v>44</v>
      </c>
      <c r="D19" s="23" t="s">
        <v>341</v>
      </c>
      <c r="E19" s="23" t="s">
        <v>46</v>
      </c>
    </row>
    <row r="20" spans="1:5" x14ac:dyDescent="0.2">
      <c r="A20" s="20" t="s">
        <v>309</v>
      </c>
      <c r="B20" s="4" t="s">
        <v>277</v>
      </c>
      <c r="C20" s="4" t="s">
        <v>247</v>
      </c>
      <c r="D20" s="4" t="s">
        <v>73</v>
      </c>
      <c r="E20" s="15" t="s">
        <v>616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5.7109375" style="4" bestFit="1" customWidth="1"/>
    <col min="7" max="7" width="5" style="3" customWidth="1"/>
    <col min="8" max="8" width="10.42578125" style="3" customWidth="1"/>
    <col min="9" max="9" width="7.85546875" style="15" bestFit="1" customWidth="1"/>
    <col min="10" max="10" width="7.5703125" style="2" bestFit="1" customWidth="1"/>
    <col min="11" max="11" width="18.7109375" style="4" bestFit="1" customWidth="1"/>
    <col min="12" max="16384" width="9.140625" style="3"/>
  </cols>
  <sheetData>
    <row r="1" spans="1:11" s="2" customFormat="1" ht="29.1" customHeight="1" x14ac:dyDescent="0.2">
      <c r="A1" s="56" t="s">
        <v>811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1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790</v>
      </c>
      <c r="E3" s="39" t="s">
        <v>4</v>
      </c>
      <c r="F3" s="39" t="s">
        <v>8</v>
      </c>
      <c r="G3" s="39" t="s">
        <v>789</v>
      </c>
      <c r="H3" s="39"/>
      <c r="I3" s="39" t="s">
        <v>650</v>
      </c>
      <c r="J3" s="39" t="s">
        <v>3</v>
      </c>
      <c r="K3" s="42" t="s">
        <v>2</v>
      </c>
    </row>
    <row r="4" spans="1:11" s="1" customFormat="1" ht="21" customHeight="1" thickBot="1" x14ac:dyDescent="0.25">
      <c r="A4" s="51"/>
      <c r="B4" s="53"/>
      <c r="C4" s="53"/>
      <c r="D4" s="53"/>
      <c r="E4" s="53"/>
      <c r="F4" s="53"/>
      <c r="G4" s="10" t="s">
        <v>9</v>
      </c>
      <c r="H4" s="10" t="s">
        <v>10</v>
      </c>
      <c r="I4" s="53"/>
      <c r="J4" s="53"/>
      <c r="K4" s="43"/>
    </row>
    <row r="5" spans="1:11" ht="15" x14ac:dyDescent="0.2">
      <c r="A5" s="54" t="s">
        <v>788</v>
      </c>
      <c r="B5" s="55"/>
      <c r="C5" s="55"/>
      <c r="D5" s="55"/>
      <c r="E5" s="55"/>
      <c r="F5" s="55"/>
      <c r="G5" s="55"/>
      <c r="H5" s="55"/>
    </row>
    <row r="6" spans="1:11" x14ac:dyDescent="0.2">
      <c r="A6" s="11" t="s">
        <v>78</v>
      </c>
      <c r="B6" s="11" t="s">
        <v>79</v>
      </c>
      <c r="C6" s="11" t="s">
        <v>80</v>
      </c>
      <c r="D6" s="11" t="str">
        <f>"1,0000"</f>
        <v>1,0000</v>
      </c>
      <c r="E6" s="11" t="s">
        <v>81</v>
      </c>
      <c r="F6" s="11" t="s">
        <v>82</v>
      </c>
      <c r="G6" s="12" t="s">
        <v>59</v>
      </c>
      <c r="H6" s="12" t="s">
        <v>810</v>
      </c>
      <c r="I6" s="16" t="str">
        <f>"2775,0"</f>
        <v>2775,0</v>
      </c>
      <c r="J6" s="17" t="str">
        <f>"40,5109"</f>
        <v>40,5109</v>
      </c>
      <c r="K6" s="11" t="s">
        <v>89</v>
      </c>
    </row>
    <row r="8" spans="1:11" ht="15" x14ac:dyDescent="0.2">
      <c r="E8" s="14" t="s">
        <v>34</v>
      </c>
    </row>
    <row r="9" spans="1:11" ht="15" x14ac:dyDescent="0.2">
      <c r="E9" s="14" t="s">
        <v>35</v>
      </c>
    </row>
    <row r="10" spans="1:11" ht="15" x14ac:dyDescent="0.2">
      <c r="E10" s="14" t="s">
        <v>36</v>
      </c>
    </row>
    <row r="11" spans="1:11" ht="15" x14ac:dyDescent="0.2">
      <c r="E11" s="14" t="s">
        <v>37</v>
      </c>
    </row>
    <row r="12" spans="1:11" ht="15" x14ac:dyDescent="0.2">
      <c r="E12" s="14" t="s">
        <v>37</v>
      </c>
    </row>
    <row r="13" spans="1:11" ht="15" x14ac:dyDescent="0.2">
      <c r="E13" s="14" t="s">
        <v>38</v>
      </c>
    </row>
    <row r="14" spans="1:11" ht="15" x14ac:dyDescent="0.2">
      <c r="E14" s="14"/>
    </row>
    <row r="16" spans="1:11" ht="18" x14ac:dyDescent="0.25">
      <c r="A16" s="18" t="s">
        <v>39</v>
      </c>
      <c r="B16" s="18"/>
    </row>
    <row r="17" spans="1:5" ht="15" x14ac:dyDescent="0.2">
      <c r="A17" s="19" t="s">
        <v>246</v>
      </c>
      <c r="B17" s="19"/>
    </row>
    <row r="18" spans="1:5" ht="14.25" x14ac:dyDescent="0.2">
      <c r="A18" s="21"/>
      <c r="B18" s="22" t="s">
        <v>251</v>
      </c>
    </row>
    <row r="19" spans="1:5" ht="15" x14ac:dyDescent="0.2">
      <c r="A19" s="23" t="s">
        <v>42</v>
      </c>
      <c r="B19" s="23" t="s">
        <v>43</v>
      </c>
      <c r="C19" s="23" t="s">
        <v>44</v>
      </c>
      <c r="D19" s="23" t="s">
        <v>341</v>
      </c>
      <c r="E19" s="23" t="s">
        <v>787</v>
      </c>
    </row>
    <row r="20" spans="1:5" x14ac:dyDescent="0.2">
      <c r="A20" s="20" t="s">
        <v>77</v>
      </c>
      <c r="B20" s="4" t="s">
        <v>252</v>
      </c>
      <c r="C20" s="4" t="s">
        <v>786</v>
      </c>
      <c r="D20" s="4" t="s">
        <v>809</v>
      </c>
      <c r="E20" s="15" t="s">
        <v>808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7" width="5" style="3" customWidth="1"/>
    <col min="8" max="8" width="10.42578125" style="3" customWidth="1"/>
    <col min="9" max="9" width="7.85546875" style="15" bestFit="1" customWidth="1"/>
    <col min="10" max="10" width="7.5703125" style="2" bestFit="1" customWidth="1"/>
    <col min="11" max="11" width="12.5703125" style="4" bestFit="1" customWidth="1"/>
    <col min="12" max="16384" width="9.140625" style="3"/>
  </cols>
  <sheetData>
    <row r="1" spans="1:11" s="2" customFormat="1" ht="29.1" customHeight="1" x14ac:dyDescent="0.2">
      <c r="A1" s="56" t="s">
        <v>814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1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790</v>
      </c>
      <c r="E3" s="39" t="s">
        <v>4</v>
      </c>
      <c r="F3" s="39" t="s">
        <v>8</v>
      </c>
      <c r="G3" s="39" t="s">
        <v>789</v>
      </c>
      <c r="H3" s="39"/>
      <c r="I3" s="39" t="s">
        <v>650</v>
      </c>
      <c r="J3" s="39" t="s">
        <v>3</v>
      </c>
      <c r="K3" s="42" t="s">
        <v>2</v>
      </c>
    </row>
    <row r="4" spans="1:11" s="1" customFormat="1" ht="21" customHeight="1" thickBot="1" x14ac:dyDescent="0.25">
      <c r="A4" s="51"/>
      <c r="B4" s="53"/>
      <c r="C4" s="53"/>
      <c r="D4" s="53"/>
      <c r="E4" s="53"/>
      <c r="F4" s="53"/>
      <c r="G4" s="10" t="s">
        <v>9</v>
      </c>
      <c r="H4" s="10" t="s">
        <v>10</v>
      </c>
      <c r="I4" s="53"/>
      <c r="J4" s="53"/>
      <c r="K4" s="43"/>
    </row>
    <row r="5" spans="1:11" ht="15" x14ac:dyDescent="0.2">
      <c r="A5" s="54" t="s">
        <v>788</v>
      </c>
      <c r="B5" s="55"/>
      <c r="C5" s="55"/>
      <c r="D5" s="55"/>
      <c r="E5" s="55"/>
      <c r="F5" s="55"/>
      <c r="G5" s="55"/>
      <c r="H5" s="55"/>
    </row>
    <row r="6" spans="1:11" x14ac:dyDescent="0.2">
      <c r="A6" s="11" t="s">
        <v>512</v>
      </c>
      <c r="B6" s="11" t="s">
        <v>513</v>
      </c>
      <c r="C6" s="11" t="s">
        <v>514</v>
      </c>
      <c r="D6" s="11" t="str">
        <f>"1,0000"</f>
        <v>1,0000</v>
      </c>
      <c r="E6" s="11" t="s">
        <v>515</v>
      </c>
      <c r="F6" s="11" t="s">
        <v>319</v>
      </c>
      <c r="G6" s="12" t="s">
        <v>85</v>
      </c>
      <c r="H6" s="12" t="s">
        <v>73</v>
      </c>
      <c r="I6" s="16" t="str">
        <f>"2750,0"</f>
        <v>2750,0</v>
      </c>
      <c r="J6" s="17" t="str">
        <f>"50,4587"</f>
        <v>50,4587</v>
      </c>
      <c r="K6" s="11" t="s">
        <v>516</v>
      </c>
    </row>
    <row r="8" spans="1:11" ht="15" x14ac:dyDescent="0.2">
      <c r="E8" s="14" t="s">
        <v>34</v>
      </c>
    </row>
    <row r="9" spans="1:11" ht="15" x14ac:dyDescent="0.2">
      <c r="E9" s="14" t="s">
        <v>35</v>
      </c>
    </row>
    <row r="10" spans="1:11" ht="15" x14ac:dyDescent="0.2">
      <c r="E10" s="14" t="s">
        <v>36</v>
      </c>
    </row>
    <row r="11" spans="1:11" ht="15" x14ac:dyDescent="0.2">
      <c r="E11" s="14" t="s">
        <v>37</v>
      </c>
    </row>
    <row r="12" spans="1:11" ht="15" x14ac:dyDescent="0.2">
      <c r="E12" s="14" t="s">
        <v>37</v>
      </c>
    </row>
    <row r="13" spans="1:11" ht="15" x14ac:dyDescent="0.2">
      <c r="E13" s="14" t="s">
        <v>38</v>
      </c>
    </row>
    <row r="14" spans="1:11" ht="15" x14ac:dyDescent="0.2">
      <c r="E14" s="14"/>
    </row>
    <row r="16" spans="1:11" ht="18" x14ac:dyDescent="0.25">
      <c r="A16" s="18" t="s">
        <v>39</v>
      </c>
      <c r="B16" s="18"/>
    </row>
    <row r="17" spans="1:5" ht="15" x14ac:dyDescent="0.2">
      <c r="A17" s="19" t="s">
        <v>246</v>
      </c>
      <c r="B17" s="19"/>
    </row>
    <row r="18" spans="1:5" ht="14.25" x14ac:dyDescent="0.2">
      <c r="A18" s="21"/>
      <c r="B18" s="22" t="s">
        <v>41</v>
      </c>
    </row>
    <row r="19" spans="1:5" ht="15" x14ac:dyDescent="0.2">
      <c r="A19" s="23" t="s">
        <v>42</v>
      </c>
      <c r="B19" s="23" t="s">
        <v>43</v>
      </c>
      <c r="C19" s="23" t="s">
        <v>44</v>
      </c>
      <c r="D19" s="23" t="s">
        <v>341</v>
      </c>
      <c r="E19" s="23" t="s">
        <v>787</v>
      </c>
    </row>
    <row r="20" spans="1:5" x14ac:dyDescent="0.2">
      <c r="A20" s="20" t="s">
        <v>511</v>
      </c>
      <c r="B20" s="4" t="s">
        <v>41</v>
      </c>
      <c r="C20" s="4" t="s">
        <v>786</v>
      </c>
      <c r="D20" s="4" t="s">
        <v>813</v>
      </c>
      <c r="E20" s="15" t="s">
        <v>812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7.85546875" style="4" bestFit="1" customWidth="1"/>
    <col min="7" max="7" width="5" style="3" customWidth="1"/>
    <col min="8" max="8" width="10.42578125" style="3" customWidth="1"/>
    <col min="9" max="9" width="7.85546875" style="15" bestFit="1" customWidth="1"/>
    <col min="10" max="10" width="7.5703125" style="2" bestFit="1" customWidth="1"/>
    <col min="11" max="11" width="26.42578125" style="4" bestFit="1" customWidth="1"/>
    <col min="12" max="16384" width="9.140625" style="3"/>
  </cols>
  <sheetData>
    <row r="1" spans="1:11" s="2" customFormat="1" ht="29.1" customHeight="1" x14ac:dyDescent="0.2">
      <c r="A1" s="56" t="s">
        <v>832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1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790</v>
      </c>
      <c r="E3" s="39" t="s">
        <v>4</v>
      </c>
      <c r="F3" s="39" t="s">
        <v>8</v>
      </c>
      <c r="G3" s="39" t="s">
        <v>831</v>
      </c>
      <c r="H3" s="39"/>
      <c r="I3" s="39" t="s">
        <v>650</v>
      </c>
      <c r="J3" s="39" t="s">
        <v>3</v>
      </c>
      <c r="K3" s="42" t="s">
        <v>2</v>
      </c>
    </row>
    <row r="4" spans="1:11" s="1" customFormat="1" ht="21" customHeight="1" thickBot="1" x14ac:dyDescent="0.25">
      <c r="A4" s="51"/>
      <c r="B4" s="53"/>
      <c r="C4" s="53"/>
      <c r="D4" s="53"/>
      <c r="E4" s="53"/>
      <c r="F4" s="53"/>
      <c r="G4" s="10" t="s">
        <v>9</v>
      </c>
      <c r="H4" s="10" t="s">
        <v>10</v>
      </c>
      <c r="I4" s="53"/>
      <c r="J4" s="53"/>
      <c r="K4" s="43"/>
    </row>
    <row r="5" spans="1:11" ht="15" x14ac:dyDescent="0.2">
      <c r="A5" s="54" t="s">
        <v>788</v>
      </c>
      <c r="B5" s="55"/>
      <c r="C5" s="55"/>
      <c r="D5" s="55"/>
      <c r="E5" s="55"/>
      <c r="F5" s="55"/>
      <c r="G5" s="55"/>
      <c r="H5" s="55"/>
    </row>
    <row r="6" spans="1:11" x14ac:dyDescent="0.2">
      <c r="A6" s="24" t="s">
        <v>830</v>
      </c>
      <c r="B6" s="24" t="s">
        <v>829</v>
      </c>
      <c r="C6" s="24" t="s">
        <v>828</v>
      </c>
      <c r="D6" s="24" t="str">
        <f>"1,0000"</f>
        <v>1,0000</v>
      </c>
      <c r="E6" s="24" t="s">
        <v>827</v>
      </c>
      <c r="F6" s="24" t="s">
        <v>157</v>
      </c>
      <c r="G6" s="25" t="s">
        <v>73</v>
      </c>
      <c r="H6" s="25" t="s">
        <v>826</v>
      </c>
      <c r="I6" s="33" t="str">
        <f>"3650,0"</f>
        <v>3650,0</v>
      </c>
      <c r="J6" s="34" t="str">
        <f>"40,8277"</f>
        <v>40,8277</v>
      </c>
      <c r="K6" s="24" t="s">
        <v>132</v>
      </c>
    </row>
    <row r="7" spans="1:11" x14ac:dyDescent="0.2">
      <c r="A7" s="27" t="s">
        <v>825</v>
      </c>
      <c r="B7" s="27" t="s">
        <v>824</v>
      </c>
      <c r="C7" s="27" t="s">
        <v>823</v>
      </c>
      <c r="D7" s="27" t="str">
        <f>"1,0000"</f>
        <v>1,0000</v>
      </c>
      <c r="E7" s="27" t="s">
        <v>123</v>
      </c>
      <c r="F7" s="27" t="s">
        <v>157</v>
      </c>
      <c r="G7" s="28" t="s">
        <v>73</v>
      </c>
      <c r="H7" s="28" t="s">
        <v>822</v>
      </c>
      <c r="I7" s="35" t="str">
        <f>"1350,0"</f>
        <v>1350,0</v>
      </c>
      <c r="J7" s="36" t="str">
        <f>"10,9135"</f>
        <v>10,9135</v>
      </c>
      <c r="K7" s="27" t="s">
        <v>33</v>
      </c>
    </row>
    <row r="9" spans="1:11" ht="15" x14ac:dyDescent="0.2">
      <c r="E9" s="14" t="s">
        <v>34</v>
      </c>
    </row>
    <row r="10" spans="1:11" ht="15" x14ac:dyDescent="0.2">
      <c r="E10" s="14" t="s">
        <v>35</v>
      </c>
    </row>
    <row r="11" spans="1:11" ht="15" x14ac:dyDescent="0.2">
      <c r="E11" s="14" t="s">
        <v>36</v>
      </c>
    </row>
    <row r="12" spans="1:11" ht="15" x14ac:dyDescent="0.2">
      <c r="E12" s="14" t="s">
        <v>37</v>
      </c>
    </row>
    <row r="13" spans="1:11" ht="15" x14ac:dyDescent="0.2">
      <c r="E13" s="14" t="s">
        <v>37</v>
      </c>
    </row>
    <row r="14" spans="1:11" ht="15" x14ac:dyDescent="0.2">
      <c r="E14" s="14" t="s">
        <v>38</v>
      </c>
    </row>
    <row r="15" spans="1:11" ht="15" x14ac:dyDescent="0.2">
      <c r="E15" s="14"/>
    </row>
    <row r="17" spans="1:5" ht="18" x14ac:dyDescent="0.25">
      <c r="A17" s="18" t="s">
        <v>39</v>
      </c>
      <c r="B17" s="18"/>
    </row>
    <row r="18" spans="1:5" ht="15" x14ac:dyDescent="0.2">
      <c r="A18" s="19" t="s">
        <v>40</v>
      </c>
      <c r="B18" s="19"/>
    </row>
    <row r="19" spans="1:5" ht="14.25" x14ac:dyDescent="0.2">
      <c r="A19" s="21"/>
      <c r="B19" s="22" t="s">
        <v>255</v>
      </c>
    </row>
    <row r="20" spans="1:5" ht="15" x14ac:dyDescent="0.2">
      <c r="A20" s="23" t="s">
        <v>42</v>
      </c>
      <c r="B20" s="23" t="s">
        <v>43</v>
      </c>
      <c r="C20" s="23" t="s">
        <v>44</v>
      </c>
      <c r="D20" s="23" t="s">
        <v>341</v>
      </c>
      <c r="E20" s="23" t="s">
        <v>787</v>
      </c>
    </row>
    <row r="21" spans="1:5" x14ac:dyDescent="0.2">
      <c r="A21" s="20" t="s">
        <v>821</v>
      </c>
      <c r="B21" s="4" t="s">
        <v>256</v>
      </c>
      <c r="C21" s="4" t="s">
        <v>786</v>
      </c>
      <c r="D21" s="4" t="s">
        <v>820</v>
      </c>
      <c r="E21" s="15" t="s">
        <v>819</v>
      </c>
    </row>
    <row r="23" spans="1:5" ht="14.25" x14ac:dyDescent="0.2">
      <c r="A23" s="21"/>
      <c r="B23" s="22" t="s">
        <v>251</v>
      </c>
    </row>
    <row r="24" spans="1:5" ht="15" x14ac:dyDescent="0.2">
      <c r="A24" s="23" t="s">
        <v>42</v>
      </c>
      <c r="B24" s="23" t="s">
        <v>43</v>
      </c>
      <c r="C24" s="23" t="s">
        <v>44</v>
      </c>
      <c r="D24" s="23" t="s">
        <v>341</v>
      </c>
      <c r="E24" s="23" t="s">
        <v>787</v>
      </c>
    </row>
    <row r="25" spans="1:5" x14ac:dyDescent="0.2">
      <c r="A25" s="20" t="s">
        <v>818</v>
      </c>
      <c r="B25" s="4" t="s">
        <v>817</v>
      </c>
      <c r="C25" s="4" t="s">
        <v>786</v>
      </c>
      <c r="D25" s="4" t="s">
        <v>816</v>
      </c>
      <c r="E25" s="15" t="s">
        <v>815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7.710937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7.85546875" style="4" bestFit="1" customWidth="1"/>
    <col min="7" max="7" width="5" style="3" customWidth="1"/>
    <col min="8" max="8" width="10.42578125" style="3" customWidth="1"/>
    <col min="9" max="9" width="7.85546875" style="15" bestFit="1" customWidth="1"/>
    <col min="10" max="10" width="7.5703125" style="2" bestFit="1" customWidth="1"/>
    <col min="11" max="11" width="26.42578125" style="4" bestFit="1" customWidth="1"/>
    <col min="12" max="16384" width="9.140625" style="3"/>
  </cols>
  <sheetData>
    <row r="1" spans="1:11" s="2" customFormat="1" ht="29.1" customHeight="1" x14ac:dyDescent="0.2">
      <c r="A1" s="56" t="s">
        <v>845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1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790</v>
      </c>
      <c r="E3" s="39" t="s">
        <v>4</v>
      </c>
      <c r="F3" s="39" t="s">
        <v>8</v>
      </c>
      <c r="G3" s="39" t="s">
        <v>831</v>
      </c>
      <c r="H3" s="39"/>
      <c r="I3" s="39" t="s">
        <v>650</v>
      </c>
      <c r="J3" s="39" t="s">
        <v>3</v>
      </c>
      <c r="K3" s="42" t="s">
        <v>2</v>
      </c>
    </row>
    <row r="4" spans="1:11" s="1" customFormat="1" ht="21" customHeight="1" thickBot="1" x14ac:dyDescent="0.25">
      <c r="A4" s="51"/>
      <c r="B4" s="53"/>
      <c r="C4" s="53"/>
      <c r="D4" s="53"/>
      <c r="E4" s="53"/>
      <c r="F4" s="53"/>
      <c r="G4" s="10" t="s">
        <v>9</v>
      </c>
      <c r="H4" s="10" t="s">
        <v>10</v>
      </c>
      <c r="I4" s="53"/>
      <c r="J4" s="53"/>
      <c r="K4" s="43"/>
    </row>
    <row r="5" spans="1:11" ht="15" x14ac:dyDescent="0.2">
      <c r="A5" s="54" t="s">
        <v>788</v>
      </c>
      <c r="B5" s="55"/>
      <c r="C5" s="55"/>
      <c r="D5" s="55"/>
      <c r="E5" s="55"/>
      <c r="F5" s="55"/>
      <c r="G5" s="55"/>
      <c r="H5" s="55"/>
    </row>
    <row r="6" spans="1:11" x14ac:dyDescent="0.2">
      <c r="A6" s="24" t="s">
        <v>844</v>
      </c>
      <c r="B6" s="24" t="s">
        <v>843</v>
      </c>
      <c r="C6" s="24" t="s">
        <v>763</v>
      </c>
      <c r="D6" s="24" t="str">
        <f>"1,0000"</f>
        <v>1,0000</v>
      </c>
      <c r="E6" s="24" t="s">
        <v>827</v>
      </c>
      <c r="F6" s="24" t="s">
        <v>157</v>
      </c>
      <c r="G6" s="25" t="s">
        <v>60</v>
      </c>
      <c r="H6" s="25" t="s">
        <v>842</v>
      </c>
      <c r="I6" s="33" t="str">
        <f>"2835,0"</f>
        <v>2835,0</v>
      </c>
      <c r="J6" s="34" t="str">
        <f>"39,1034"</f>
        <v>39,1034</v>
      </c>
      <c r="K6" s="24" t="s">
        <v>132</v>
      </c>
    </row>
    <row r="7" spans="1:11" x14ac:dyDescent="0.2">
      <c r="A7" s="27" t="s">
        <v>841</v>
      </c>
      <c r="B7" s="27" t="s">
        <v>840</v>
      </c>
      <c r="C7" s="27" t="s">
        <v>839</v>
      </c>
      <c r="D7" s="27" t="str">
        <f>"1,0000"</f>
        <v>1,0000</v>
      </c>
      <c r="E7" s="27" t="s">
        <v>827</v>
      </c>
      <c r="F7" s="27" t="s">
        <v>157</v>
      </c>
      <c r="G7" s="28" t="s">
        <v>60</v>
      </c>
      <c r="H7" s="28" t="s">
        <v>58</v>
      </c>
      <c r="I7" s="35" t="str">
        <f>"2450,0"</f>
        <v>2450,0</v>
      </c>
      <c r="J7" s="36" t="str">
        <f>"37,2907"</f>
        <v>37,2907</v>
      </c>
      <c r="K7" s="27" t="s">
        <v>132</v>
      </c>
    </row>
    <row r="9" spans="1:11" ht="15" x14ac:dyDescent="0.2">
      <c r="E9" s="14" t="s">
        <v>34</v>
      </c>
    </row>
    <row r="10" spans="1:11" ht="15" x14ac:dyDescent="0.2">
      <c r="E10" s="14" t="s">
        <v>35</v>
      </c>
    </row>
    <row r="11" spans="1:11" ht="15" x14ac:dyDescent="0.2">
      <c r="E11" s="14" t="s">
        <v>36</v>
      </c>
    </row>
    <row r="12" spans="1:11" ht="15" x14ac:dyDescent="0.2">
      <c r="E12" s="14" t="s">
        <v>37</v>
      </c>
    </row>
    <row r="13" spans="1:11" ht="15" x14ac:dyDescent="0.2">
      <c r="E13" s="14" t="s">
        <v>37</v>
      </c>
    </row>
    <row r="14" spans="1:11" ht="15" x14ac:dyDescent="0.2">
      <c r="E14" s="14" t="s">
        <v>38</v>
      </c>
    </row>
    <row r="15" spans="1:11" ht="15" x14ac:dyDescent="0.2">
      <c r="E15" s="14"/>
    </row>
    <row r="17" spans="1:5" ht="18" x14ac:dyDescent="0.25">
      <c r="A17" s="18" t="s">
        <v>39</v>
      </c>
      <c r="B17" s="18"/>
    </row>
    <row r="18" spans="1:5" ht="15" x14ac:dyDescent="0.2">
      <c r="A18" s="19" t="s">
        <v>40</v>
      </c>
      <c r="B18" s="19"/>
    </row>
    <row r="19" spans="1:5" ht="14.25" x14ac:dyDescent="0.2">
      <c r="A19" s="21"/>
      <c r="B19" s="22" t="s">
        <v>255</v>
      </c>
    </row>
    <row r="20" spans="1:5" ht="15" x14ac:dyDescent="0.2">
      <c r="A20" s="23" t="s">
        <v>42</v>
      </c>
      <c r="B20" s="23" t="s">
        <v>43</v>
      </c>
      <c r="C20" s="23" t="s">
        <v>44</v>
      </c>
      <c r="D20" s="23" t="s">
        <v>341</v>
      </c>
      <c r="E20" s="23" t="s">
        <v>787</v>
      </c>
    </row>
    <row r="21" spans="1:5" x14ac:dyDescent="0.2">
      <c r="A21" s="20" t="s">
        <v>838</v>
      </c>
      <c r="B21" s="4" t="s">
        <v>262</v>
      </c>
      <c r="C21" s="4" t="s">
        <v>786</v>
      </c>
      <c r="D21" s="4" t="s">
        <v>837</v>
      </c>
      <c r="E21" s="15" t="s">
        <v>836</v>
      </c>
    </row>
    <row r="22" spans="1:5" x14ac:dyDescent="0.2">
      <c r="A22" s="20" t="s">
        <v>835</v>
      </c>
      <c r="B22" s="4" t="s">
        <v>256</v>
      </c>
      <c r="C22" s="4" t="s">
        <v>786</v>
      </c>
      <c r="D22" s="4" t="s">
        <v>834</v>
      </c>
      <c r="E22" s="15" t="s">
        <v>833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7.28515625" style="4" bestFit="1" customWidth="1"/>
    <col min="7" max="7" width="5" style="3" customWidth="1"/>
    <col min="8" max="8" width="10.42578125" style="3" customWidth="1"/>
    <col min="9" max="9" width="7.85546875" style="15" bestFit="1" customWidth="1"/>
    <col min="10" max="10" width="8.5703125" style="2" bestFit="1" customWidth="1"/>
    <col min="11" max="11" width="16.5703125" style="4" bestFit="1" customWidth="1"/>
    <col min="12" max="16384" width="9.140625" style="3"/>
  </cols>
  <sheetData>
    <row r="1" spans="1:11" s="2" customFormat="1" ht="29.1" customHeight="1" x14ac:dyDescent="0.2">
      <c r="A1" s="56" t="s">
        <v>848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1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790</v>
      </c>
      <c r="E3" s="39" t="s">
        <v>4</v>
      </c>
      <c r="F3" s="39" t="s">
        <v>8</v>
      </c>
      <c r="G3" s="39" t="s">
        <v>847</v>
      </c>
      <c r="H3" s="39"/>
      <c r="I3" s="39" t="s">
        <v>650</v>
      </c>
      <c r="J3" s="39" t="s">
        <v>3</v>
      </c>
      <c r="K3" s="42" t="s">
        <v>2</v>
      </c>
    </row>
    <row r="4" spans="1:11" s="1" customFormat="1" ht="21" customHeight="1" thickBot="1" x14ac:dyDescent="0.25">
      <c r="A4" s="51"/>
      <c r="B4" s="53"/>
      <c r="C4" s="53"/>
      <c r="D4" s="53"/>
      <c r="E4" s="53"/>
      <c r="F4" s="53"/>
      <c r="G4" s="10" t="s">
        <v>9</v>
      </c>
      <c r="H4" s="10" t="s">
        <v>10</v>
      </c>
      <c r="I4" s="53"/>
      <c r="J4" s="53"/>
      <c r="K4" s="43"/>
    </row>
    <row r="5" spans="1:11" ht="15" x14ac:dyDescent="0.2">
      <c r="A5" s="54" t="s">
        <v>788</v>
      </c>
      <c r="B5" s="55"/>
      <c r="C5" s="55"/>
      <c r="D5" s="55"/>
      <c r="E5" s="55"/>
      <c r="F5" s="55"/>
      <c r="G5" s="55"/>
      <c r="H5" s="55"/>
    </row>
    <row r="6" spans="1:11" x14ac:dyDescent="0.2">
      <c r="A6" s="11" t="s">
        <v>680</v>
      </c>
      <c r="B6" s="11" t="s">
        <v>679</v>
      </c>
      <c r="C6" s="11" t="s">
        <v>128</v>
      </c>
      <c r="D6" s="11" t="str">
        <f>"1,0000"</f>
        <v>1,0000</v>
      </c>
      <c r="E6" s="11" t="s">
        <v>678</v>
      </c>
      <c r="F6" s="11" t="s">
        <v>677</v>
      </c>
      <c r="G6" s="12" t="s">
        <v>59</v>
      </c>
      <c r="H6" s="12" t="s">
        <v>676</v>
      </c>
      <c r="I6" s="16" t="str">
        <f>"7425,0"</f>
        <v>7425,0</v>
      </c>
      <c r="J6" s="17" t="str">
        <f>"100,2024"</f>
        <v>100,2024</v>
      </c>
      <c r="K6" s="11" t="s">
        <v>675</v>
      </c>
    </row>
    <row r="8" spans="1:11" ht="15" x14ac:dyDescent="0.2">
      <c r="E8" s="14" t="s">
        <v>34</v>
      </c>
    </row>
    <row r="9" spans="1:11" ht="15" x14ac:dyDescent="0.2">
      <c r="E9" s="14" t="s">
        <v>35</v>
      </c>
    </row>
    <row r="10" spans="1:11" ht="15" x14ac:dyDescent="0.2">
      <c r="E10" s="14" t="s">
        <v>36</v>
      </c>
    </row>
    <row r="11" spans="1:11" ht="15" x14ac:dyDescent="0.2">
      <c r="E11" s="14" t="s">
        <v>37</v>
      </c>
    </row>
    <row r="12" spans="1:11" ht="15" x14ac:dyDescent="0.2">
      <c r="E12" s="14" t="s">
        <v>37</v>
      </c>
    </row>
    <row r="13" spans="1:11" ht="15" x14ac:dyDescent="0.2">
      <c r="E13" s="14" t="s">
        <v>38</v>
      </c>
    </row>
    <row r="14" spans="1:11" ht="15" x14ac:dyDescent="0.2">
      <c r="E14" s="14"/>
    </row>
    <row r="16" spans="1:11" ht="18" x14ac:dyDescent="0.25">
      <c r="A16" s="18" t="s">
        <v>39</v>
      </c>
      <c r="B16" s="18"/>
    </row>
    <row r="17" spans="1:5" ht="15" x14ac:dyDescent="0.2">
      <c r="A17" s="19" t="s">
        <v>40</v>
      </c>
      <c r="B17" s="19"/>
    </row>
    <row r="18" spans="1:5" ht="14.25" x14ac:dyDescent="0.2">
      <c r="A18" s="21"/>
      <c r="B18" s="22" t="s">
        <v>41</v>
      </c>
    </row>
    <row r="19" spans="1:5" ht="15" x14ac:dyDescent="0.2">
      <c r="A19" s="23" t="s">
        <v>42</v>
      </c>
      <c r="B19" s="23" t="s">
        <v>43</v>
      </c>
      <c r="C19" s="23" t="s">
        <v>44</v>
      </c>
      <c r="D19" s="23" t="s">
        <v>341</v>
      </c>
      <c r="E19" s="23" t="s">
        <v>787</v>
      </c>
    </row>
    <row r="20" spans="1:5" x14ac:dyDescent="0.2">
      <c r="A20" s="20" t="s">
        <v>668</v>
      </c>
      <c r="B20" s="4" t="s">
        <v>41</v>
      </c>
      <c r="C20" s="4" t="s">
        <v>786</v>
      </c>
      <c r="D20" s="4" t="s">
        <v>667</v>
      </c>
      <c r="E20" s="15" t="s">
        <v>846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7.28515625" style="4" bestFit="1" customWidth="1"/>
    <col min="7" max="7" width="5" style="3" customWidth="1"/>
    <col min="8" max="8" width="10.42578125" style="3" customWidth="1"/>
    <col min="9" max="9" width="7.85546875" style="15" bestFit="1" customWidth="1"/>
    <col min="10" max="10" width="8.5703125" style="2" bestFit="1" customWidth="1"/>
    <col min="11" max="11" width="16.5703125" style="4" bestFit="1" customWidth="1"/>
    <col min="12" max="16384" width="9.140625" style="3"/>
  </cols>
  <sheetData>
    <row r="1" spans="1:11" s="2" customFormat="1" ht="29.1" customHeight="1" x14ac:dyDescent="0.2">
      <c r="A1" s="56" t="s">
        <v>853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1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790</v>
      </c>
      <c r="E3" s="39" t="s">
        <v>4</v>
      </c>
      <c r="F3" s="39" t="s">
        <v>8</v>
      </c>
      <c r="G3" s="39" t="s">
        <v>847</v>
      </c>
      <c r="H3" s="39"/>
      <c r="I3" s="39" t="s">
        <v>650</v>
      </c>
      <c r="J3" s="39" t="s">
        <v>3</v>
      </c>
      <c r="K3" s="42" t="s">
        <v>2</v>
      </c>
    </row>
    <row r="4" spans="1:11" s="1" customFormat="1" ht="21" customHeight="1" thickBot="1" x14ac:dyDescent="0.25">
      <c r="A4" s="51"/>
      <c r="B4" s="53"/>
      <c r="C4" s="53"/>
      <c r="D4" s="53"/>
      <c r="E4" s="53"/>
      <c r="F4" s="53"/>
      <c r="G4" s="10" t="s">
        <v>9</v>
      </c>
      <c r="H4" s="10" t="s">
        <v>10</v>
      </c>
      <c r="I4" s="53"/>
      <c r="J4" s="53"/>
      <c r="K4" s="43"/>
    </row>
    <row r="5" spans="1:11" ht="15" x14ac:dyDescent="0.2">
      <c r="A5" s="54" t="s">
        <v>788</v>
      </c>
      <c r="B5" s="55"/>
      <c r="C5" s="55"/>
      <c r="D5" s="55"/>
      <c r="E5" s="55"/>
      <c r="F5" s="55"/>
      <c r="G5" s="55"/>
      <c r="H5" s="55"/>
    </row>
    <row r="6" spans="1:11" x14ac:dyDescent="0.2">
      <c r="A6" s="24" t="s">
        <v>680</v>
      </c>
      <c r="B6" s="24" t="s">
        <v>679</v>
      </c>
      <c r="C6" s="24" t="s">
        <v>128</v>
      </c>
      <c r="D6" s="24" t="str">
        <f>"1,0000"</f>
        <v>1,0000</v>
      </c>
      <c r="E6" s="24" t="s">
        <v>678</v>
      </c>
      <c r="F6" s="24" t="s">
        <v>677</v>
      </c>
      <c r="G6" s="25" t="s">
        <v>59</v>
      </c>
      <c r="H6" s="25" t="s">
        <v>676</v>
      </c>
      <c r="I6" s="33" t="str">
        <f>"7425,0"</f>
        <v>7425,0</v>
      </c>
      <c r="J6" s="34" t="str">
        <f>"100,2024"</f>
        <v>100,2024</v>
      </c>
      <c r="K6" s="24" t="s">
        <v>675</v>
      </c>
    </row>
    <row r="7" spans="1:11" x14ac:dyDescent="0.2">
      <c r="A7" s="27" t="s">
        <v>852</v>
      </c>
      <c r="B7" s="27" t="s">
        <v>648</v>
      </c>
      <c r="C7" s="27" t="s">
        <v>647</v>
      </c>
      <c r="D7" s="27" t="str">
        <f>"1,0000"</f>
        <v>1,0000</v>
      </c>
      <c r="E7" s="27" t="s">
        <v>646</v>
      </c>
      <c r="F7" s="27" t="s">
        <v>199</v>
      </c>
      <c r="G7" s="28" t="s">
        <v>59</v>
      </c>
      <c r="H7" s="28" t="s">
        <v>851</v>
      </c>
      <c r="I7" s="35" t="str">
        <f>"3600,0"</f>
        <v>3600,0</v>
      </c>
      <c r="J7" s="36" t="str">
        <f>"40,2234"</f>
        <v>40,2234</v>
      </c>
      <c r="K7" s="27" t="s">
        <v>33</v>
      </c>
    </row>
    <row r="9" spans="1:11" ht="15" x14ac:dyDescent="0.2">
      <c r="E9" s="14" t="s">
        <v>34</v>
      </c>
    </row>
    <row r="10" spans="1:11" ht="15" x14ac:dyDescent="0.2">
      <c r="E10" s="14" t="s">
        <v>35</v>
      </c>
    </row>
    <row r="11" spans="1:11" ht="15" x14ac:dyDescent="0.2">
      <c r="E11" s="14" t="s">
        <v>36</v>
      </c>
    </row>
    <row r="12" spans="1:11" ht="15" x14ac:dyDescent="0.2">
      <c r="E12" s="14" t="s">
        <v>37</v>
      </c>
    </row>
    <row r="13" spans="1:11" ht="15" x14ac:dyDescent="0.2">
      <c r="E13" s="14" t="s">
        <v>37</v>
      </c>
    </row>
    <row r="14" spans="1:11" ht="15" x14ac:dyDescent="0.2">
      <c r="E14" s="14" t="s">
        <v>38</v>
      </c>
    </row>
    <row r="15" spans="1:11" ht="15" x14ac:dyDescent="0.2">
      <c r="E15" s="14"/>
    </row>
    <row r="17" spans="1:5" ht="18" x14ac:dyDescent="0.25">
      <c r="A17" s="18" t="s">
        <v>39</v>
      </c>
      <c r="B17" s="18"/>
    </row>
    <row r="18" spans="1:5" ht="15" x14ac:dyDescent="0.2">
      <c r="A18" s="19" t="s">
        <v>40</v>
      </c>
      <c r="B18" s="19"/>
    </row>
    <row r="19" spans="1:5" ht="14.25" x14ac:dyDescent="0.2">
      <c r="A19" s="21"/>
      <c r="B19" s="22" t="s">
        <v>41</v>
      </c>
    </row>
    <row r="20" spans="1:5" ht="15" x14ac:dyDescent="0.2">
      <c r="A20" s="23" t="s">
        <v>42</v>
      </c>
      <c r="B20" s="23" t="s">
        <v>43</v>
      </c>
      <c r="C20" s="23" t="s">
        <v>44</v>
      </c>
      <c r="D20" s="23" t="s">
        <v>341</v>
      </c>
      <c r="E20" s="23" t="s">
        <v>787</v>
      </c>
    </row>
    <row r="21" spans="1:5" x14ac:dyDescent="0.2">
      <c r="A21" s="20" t="s">
        <v>668</v>
      </c>
      <c r="B21" s="4" t="s">
        <v>41</v>
      </c>
      <c r="C21" s="4" t="s">
        <v>786</v>
      </c>
      <c r="D21" s="4" t="s">
        <v>667</v>
      </c>
      <c r="E21" s="15" t="s">
        <v>846</v>
      </c>
    </row>
    <row r="22" spans="1:5" x14ac:dyDescent="0.2">
      <c r="A22" s="20" t="s">
        <v>643</v>
      </c>
      <c r="B22" s="4" t="s">
        <v>41</v>
      </c>
      <c r="C22" s="4" t="s">
        <v>786</v>
      </c>
      <c r="D22" s="4" t="s">
        <v>850</v>
      </c>
      <c r="E22" s="15" t="s">
        <v>849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7.28515625" style="4" bestFit="1" customWidth="1"/>
    <col min="7" max="7" width="5" style="3" customWidth="1"/>
    <col min="8" max="8" width="10.42578125" style="3" customWidth="1"/>
    <col min="9" max="9" width="7.85546875" style="15" bestFit="1" customWidth="1"/>
    <col min="10" max="10" width="7.5703125" style="2" bestFit="1" customWidth="1"/>
    <col min="11" max="11" width="16.5703125" style="4" bestFit="1" customWidth="1"/>
    <col min="12" max="16384" width="9.140625" style="3"/>
  </cols>
  <sheetData>
    <row r="1" spans="1:11" s="2" customFormat="1" ht="29.1" customHeight="1" x14ac:dyDescent="0.2">
      <c r="A1" s="56" t="s">
        <v>856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1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790</v>
      </c>
      <c r="E3" s="39" t="s">
        <v>4</v>
      </c>
      <c r="F3" s="39" t="s">
        <v>8</v>
      </c>
      <c r="G3" s="39" t="s">
        <v>847</v>
      </c>
      <c r="H3" s="39"/>
      <c r="I3" s="39" t="s">
        <v>650</v>
      </c>
      <c r="J3" s="39" t="s">
        <v>3</v>
      </c>
      <c r="K3" s="42" t="s">
        <v>2</v>
      </c>
    </row>
    <row r="4" spans="1:11" s="1" customFormat="1" ht="21" customHeight="1" thickBot="1" x14ac:dyDescent="0.25">
      <c r="A4" s="51"/>
      <c r="B4" s="53"/>
      <c r="C4" s="53"/>
      <c r="D4" s="53"/>
      <c r="E4" s="53"/>
      <c r="F4" s="53"/>
      <c r="G4" s="10" t="s">
        <v>9</v>
      </c>
      <c r="H4" s="10" t="s">
        <v>10</v>
      </c>
      <c r="I4" s="53"/>
      <c r="J4" s="53"/>
      <c r="K4" s="43"/>
    </row>
    <row r="5" spans="1:11" ht="15" x14ac:dyDescent="0.2">
      <c r="A5" s="54" t="s">
        <v>788</v>
      </c>
      <c r="B5" s="55"/>
      <c r="C5" s="55"/>
      <c r="D5" s="55"/>
      <c r="E5" s="55"/>
      <c r="F5" s="55"/>
      <c r="G5" s="55"/>
      <c r="H5" s="55"/>
    </row>
    <row r="6" spans="1:11" x14ac:dyDescent="0.2">
      <c r="A6" s="11" t="s">
        <v>680</v>
      </c>
      <c r="B6" s="11" t="s">
        <v>679</v>
      </c>
      <c r="C6" s="11" t="s">
        <v>128</v>
      </c>
      <c r="D6" s="11" t="str">
        <f>"1,0000"</f>
        <v>1,0000</v>
      </c>
      <c r="E6" s="11" t="s">
        <v>678</v>
      </c>
      <c r="F6" s="11" t="s">
        <v>677</v>
      </c>
      <c r="G6" s="12" t="s">
        <v>85</v>
      </c>
      <c r="H6" s="12" t="s">
        <v>140</v>
      </c>
      <c r="I6" s="16" t="str">
        <f>"7150,0"</f>
        <v>7150,0</v>
      </c>
      <c r="J6" s="17" t="str">
        <f>"96,4912"</f>
        <v>96,4912</v>
      </c>
      <c r="K6" s="11" t="s">
        <v>675</v>
      </c>
    </row>
    <row r="8" spans="1:11" ht="15" x14ac:dyDescent="0.2">
      <c r="E8" s="14" t="s">
        <v>34</v>
      </c>
    </row>
    <row r="9" spans="1:11" ht="15" x14ac:dyDescent="0.2">
      <c r="E9" s="14" t="s">
        <v>35</v>
      </c>
    </row>
    <row r="10" spans="1:11" ht="15" x14ac:dyDescent="0.2">
      <c r="E10" s="14" t="s">
        <v>36</v>
      </c>
    </row>
    <row r="11" spans="1:11" ht="15" x14ac:dyDescent="0.2">
      <c r="E11" s="14" t="s">
        <v>37</v>
      </c>
    </row>
    <row r="12" spans="1:11" ht="15" x14ac:dyDescent="0.2">
      <c r="E12" s="14" t="s">
        <v>37</v>
      </c>
    </row>
    <row r="13" spans="1:11" ht="15" x14ac:dyDescent="0.2">
      <c r="E13" s="14" t="s">
        <v>38</v>
      </c>
    </row>
    <row r="14" spans="1:11" ht="15" x14ac:dyDescent="0.2">
      <c r="E14" s="14"/>
    </row>
    <row r="16" spans="1:11" ht="18" x14ac:dyDescent="0.25">
      <c r="A16" s="18" t="s">
        <v>39</v>
      </c>
      <c r="B16" s="18"/>
    </row>
    <row r="17" spans="1:5" ht="15" x14ac:dyDescent="0.2">
      <c r="A17" s="19" t="s">
        <v>40</v>
      </c>
      <c r="B17" s="19"/>
    </row>
    <row r="18" spans="1:5" ht="14.25" x14ac:dyDescent="0.2">
      <c r="A18" s="21"/>
      <c r="B18" s="22" t="s">
        <v>41</v>
      </c>
    </row>
    <row r="19" spans="1:5" ht="15" x14ac:dyDescent="0.2">
      <c r="A19" s="23" t="s">
        <v>42</v>
      </c>
      <c r="B19" s="23" t="s">
        <v>43</v>
      </c>
      <c r="C19" s="23" t="s">
        <v>44</v>
      </c>
      <c r="D19" s="23" t="s">
        <v>341</v>
      </c>
      <c r="E19" s="23" t="s">
        <v>787</v>
      </c>
    </row>
    <row r="20" spans="1:5" x14ac:dyDescent="0.2">
      <c r="A20" s="20" t="s">
        <v>668</v>
      </c>
      <c r="B20" s="4" t="s">
        <v>41</v>
      </c>
      <c r="C20" s="4" t="s">
        <v>786</v>
      </c>
      <c r="D20" s="4" t="s">
        <v>855</v>
      </c>
      <c r="E20" s="15" t="s">
        <v>854</v>
      </c>
    </row>
  </sheetData>
  <mergeCells count="12">
    <mergeCell ref="E3:E4"/>
    <mergeCell ref="G3:H3"/>
    <mergeCell ref="A5:H5"/>
    <mergeCell ref="D3:D4"/>
    <mergeCell ref="I3:I4"/>
    <mergeCell ref="J3:J4"/>
    <mergeCell ref="A1:K2"/>
    <mergeCell ref="A3:A4"/>
    <mergeCell ref="B3:B4"/>
    <mergeCell ref="C3:C4"/>
    <mergeCell ref="K3:K4"/>
    <mergeCell ref="F3:F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15" bestFit="1" customWidth="1"/>
    <col min="12" max="12" width="7.5703125" style="2" bestFit="1" customWidth="1"/>
    <col min="13" max="13" width="18.7109375" style="4" bestFit="1" customWidth="1"/>
    <col min="14" max="16384" width="9.140625" style="3"/>
  </cols>
  <sheetData>
    <row r="1" spans="1:13" s="2" customFormat="1" ht="29.1" customHeight="1" x14ac:dyDescent="0.2">
      <c r="A1" s="56" t="s">
        <v>626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13</v>
      </c>
      <c r="E3" s="39" t="s">
        <v>4</v>
      </c>
      <c r="F3" s="39" t="s">
        <v>8</v>
      </c>
      <c r="G3" s="39" t="s">
        <v>14</v>
      </c>
      <c r="H3" s="39"/>
      <c r="I3" s="39"/>
      <c r="J3" s="39"/>
      <c r="K3" s="39" t="s">
        <v>343</v>
      </c>
      <c r="L3" s="39" t="s">
        <v>3</v>
      </c>
      <c r="M3" s="42" t="s">
        <v>2</v>
      </c>
    </row>
    <row r="4" spans="1:13" s="1" customFormat="1" ht="21" customHeight="1" thickBot="1" x14ac:dyDescent="0.25">
      <c r="A4" s="51"/>
      <c r="B4" s="53"/>
      <c r="C4" s="53"/>
      <c r="D4" s="53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53"/>
      <c r="L4" s="53"/>
      <c r="M4" s="43"/>
    </row>
    <row r="5" spans="1:13" ht="15" x14ac:dyDescent="0.2">
      <c r="A5" s="54" t="s">
        <v>51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1" t="s">
        <v>91</v>
      </c>
      <c r="B6" s="11" t="s">
        <v>92</v>
      </c>
      <c r="C6" s="11" t="s">
        <v>93</v>
      </c>
      <c r="D6" s="11" t="str">
        <f>"1,3133"</f>
        <v>1,3133</v>
      </c>
      <c r="E6" s="11" t="s">
        <v>81</v>
      </c>
      <c r="F6" s="11" t="s">
        <v>82</v>
      </c>
      <c r="G6" s="12" t="s">
        <v>61</v>
      </c>
      <c r="H6" s="12" t="s">
        <v>73</v>
      </c>
      <c r="I6" s="12" t="s">
        <v>94</v>
      </c>
      <c r="J6" s="13"/>
      <c r="K6" s="16" t="str">
        <f>"52,5"</f>
        <v>52,5</v>
      </c>
      <c r="L6" s="17" t="str">
        <f>"84,8063"</f>
        <v>84,8063</v>
      </c>
      <c r="M6" s="11" t="s">
        <v>89</v>
      </c>
    </row>
    <row r="8" spans="1:13" ht="15" x14ac:dyDescent="0.2">
      <c r="A8" s="57" t="s">
        <v>65</v>
      </c>
      <c r="B8" s="58"/>
      <c r="C8" s="58"/>
      <c r="D8" s="58"/>
      <c r="E8" s="58"/>
      <c r="F8" s="58"/>
      <c r="G8" s="58"/>
      <c r="H8" s="58"/>
      <c r="I8" s="58"/>
      <c r="J8" s="58"/>
    </row>
    <row r="9" spans="1:13" x14ac:dyDescent="0.2">
      <c r="A9" s="11" t="s">
        <v>549</v>
      </c>
      <c r="B9" s="11" t="s">
        <v>550</v>
      </c>
      <c r="C9" s="11" t="s">
        <v>551</v>
      </c>
      <c r="D9" s="11" t="str">
        <f>"0,6730"</f>
        <v>0,6730</v>
      </c>
      <c r="E9" s="11" t="s">
        <v>515</v>
      </c>
      <c r="F9" s="11" t="s">
        <v>319</v>
      </c>
      <c r="G9" s="12" t="s">
        <v>84</v>
      </c>
      <c r="H9" s="12" t="s">
        <v>140</v>
      </c>
      <c r="I9" s="13" t="s">
        <v>87</v>
      </c>
      <c r="J9" s="13"/>
      <c r="K9" s="16" t="str">
        <f>"130,0"</f>
        <v>130,0</v>
      </c>
      <c r="L9" s="17" t="str">
        <f>"87,4900"</f>
        <v>87,4900</v>
      </c>
      <c r="M9" s="11" t="s">
        <v>516</v>
      </c>
    </row>
    <row r="11" spans="1:13" ht="15" x14ac:dyDescent="0.2">
      <c r="A11" s="57" t="s">
        <v>174</v>
      </c>
      <c r="B11" s="58"/>
      <c r="C11" s="58"/>
      <c r="D11" s="58"/>
      <c r="E11" s="58"/>
      <c r="F11" s="58"/>
      <c r="G11" s="58"/>
      <c r="H11" s="58"/>
      <c r="I11" s="58"/>
      <c r="J11" s="58"/>
    </row>
    <row r="12" spans="1:13" x14ac:dyDescent="0.2">
      <c r="A12" s="11" t="s">
        <v>627</v>
      </c>
      <c r="B12" s="11" t="s">
        <v>564</v>
      </c>
      <c r="C12" s="11" t="s">
        <v>205</v>
      </c>
      <c r="D12" s="11" t="str">
        <f>"0,5861"</f>
        <v>0,5861</v>
      </c>
      <c r="E12" s="11" t="s">
        <v>81</v>
      </c>
      <c r="F12" s="11" t="s">
        <v>82</v>
      </c>
      <c r="G12" s="13" t="s">
        <v>87</v>
      </c>
      <c r="H12" s="13" t="s">
        <v>87</v>
      </c>
      <c r="I12" s="13" t="s">
        <v>87</v>
      </c>
      <c r="J12" s="13"/>
      <c r="K12" s="16" t="str">
        <f>"0.00"</f>
        <v>0.00</v>
      </c>
      <c r="L12" s="17" t="str">
        <f>"0,0000"</f>
        <v>0,0000</v>
      </c>
      <c r="M12" s="11" t="s">
        <v>565</v>
      </c>
    </row>
    <row r="14" spans="1:13" ht="15" x14ac:dyDescent="0.2">
      <c r="E14" s="14" t="s">
        <v>34</v>
      </c>
    </row>
    <row r="15" spans="1:13" ht="15" x14ac:dyDescent="0.2">
      <c r="E15" s="14" t="s">
        <v>35</v>
      </c>
    </row>
    <row r="16" spans="1:13" ht="15" x14ac:dyDescent="0.2">
      <c r="E16" s="14" t="s">
        <v>36</v>
      </c>
    </row>
    <row r="17" spans="1:5" ht="15" x14ac:dyDescent="0.2">
      <c r="E17" s="14" t="s">
        <v>37</v>
      </c>
    </row>
    <row r="18" spans="1:5" ht="15" x14ac:dyDescent="0.2">
      <c r="E18" s="14" t="s">
        <v>37</v>
      </c>
    </row>
    <row r="19" spans="1:5" ht="15" x14ac:dyDescent="0.2">
      <c r="E19" s="14" t="s">
        <v>38</v>
      </c>
    </row>
    <row r="20" spans="1:5" ht="15" x14ac:dyDescent="0.2">
      <c r="E20" s="14"/>
    </row>
    <row r="22" spans="1:5" ht="18" x14ac:dyDescent="0.25">
      <c r="A22" s="18" t="s">
        <v>39</v>
      </c>
      <c r="B22" s="18"/>
    </row>
    <row r="23" spans="1:5" ht="15" x14ac:dyDescent="0.2">
      <c r="A23" s="19" t="s">
        <v>40</v>
      </c>
      <c r="B23" s="19"/>
    </row>
    <row r="24" spans="1:5" ht="14.25" x14ac:dyDescent="0.2">
      <c r="A24" s="21"/>
      <c r="B24" s="22" t="s">
        <v>255</v>
      </c>
    </row>
    <row r="25" spans="1:5" ht="15" x14ac:dyDescent="0.2">
      <c r="A25" s="23" t="s">
        <v>42</v>
      </c>
      <c r="B25" s="23" t="s">
        <v>43</v>
      </c>
      <c r="C25" s="23" t="s">
        <v>44</v>
      </c>
      <c r="D25" s="23" t="s">
        <v>341</v>
      </c>
      <c r="E25" s="23" t="s">
        <v>46</v>
      </c>
    </row>
    <row r="26" spans="1:5" x14ac:dyDescent="0.2">
      <c r="A26" s="20" t="s">
        <v>90</v>
      </c>
      <c r="B26" s="4" t="s">
        <v>277</v>
      </c>
      <c r="C26" s="4" t="s">
        <v>247</v>
      </c>
      <c r="D26" s="4" t="s">
        <v>94</v>
      </c>
      <c r="E26" s="15" t="s">
        <v>628</v>
      </c>
    </row>
    <row r="28" spans="1:5" ht="14.25" x14ac:dyDescent="0.2">
      <c r="A28" s="21"/>
      <c r="B28" s="22" t="s">
        <v>41</v>
      </c>
    </row>
    <row r="29" spans="1:5" ht="15" x14ac:dyDescent="0.2">
      <c r="A29" s="23" t="s">
        <v>42</v>
      </c>
      <c r="B29" s="23" t="s">
        <v>43</v>
      </c>
      <c r="C29" s="23" t="s">
        <v>44</v>
      </c>
      <c r="D29" s="23" t="s">
        <v>341</v>
      </c>
      <c r="E29" s="23" t="s">
        <v>46</v>
      </c>
    </row>
    <row r="30" spans="1:5" x14ac:dyDescent="0.2">
      <c r="A30" s="20" t="s">
        <v>548</v>
      </c>
      <c r="B30" s="4" t="s">
        <v>41</v>
      </c>
      <c r="C30" s="4" t="s">
        <v>249</v>
      </c>
      <c r="D30" s="4" t="s">
        <v>140</v>
      </c>
      <c r="E30" s="15" t="s">
        <v>629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K3:K4"/>
    <mergeCell ref="L3:L4"/>
    <mergeCell ref="M3:M4"/>
    <mergeCell ref="A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42578125" style="4" bestFit="1" customWidth="1"/>
    <col min="7" max="9" width="5.5703125" style="3" customWidth="1"/>
    <col min="10" max="10" width="4.85546875" style="3" customWidth="1"/>
    <col min="11" max="11" width="7.85546875" style="15" bestFit="1" customWidth="1"/>
    <col min="12" max="12" width="8.5703125" style="2" bestFit="1" customWidth="1"/>
    <col min="13" max="13" width="15.28515625" style="4" bestFit="1" customWidth="1"/>
    <col min="14" max="16384" width="9.140625" style="3"/>
  </cols>
  <sheetData>
    <row r="1" spans="1:13" s="2" customFormat="1" ht="29.1" customHeight="1" x14ac:dyDescent="0.2">
      <c r="A1" s="56" t="s">
        <v>621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13</v>
      </c>
      <c r="E3" s="39" t="s">
        <v>4</v>
      </c>
      <c r="F3" s="39" t="s">
        <v>8</v>
      </c>
      <c r="G3" s="39" t="s">
        <v>16</v>
      </c>
      <c r="H3" s="39"/>
      <c r="I3" s="39"/>
      <c r="J3" s="39"/>
      <c r="K3" s="39" t="s">
        <v>343</v>
      </c>
      <c r="L3" s="39" t="s">
        <v>3</v>
      </c>
      <c r="M3" s="42" t="s">
        <v>2</v>
      </c>
    </row>
    <row r="4" spans="1:13" s="1" customFormat="1" ht="21" customHeight="1" thickBot="1" x14ac:dyDescent="0.25">
      <c r="A4" s="51"/>
      <c r="B4" s="53"/>
      <c r="C4" s="53"/>
      <c r="D4" s="53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53"/>
      <c r="L4" s="53"/>
      <c r="M4" s="43"/>
    </row>
    <row r="5" spans="1:13" ht="15" x14ac:dyDescent="0.2">
      <c r="A5" s="54" t="s">
        <v>99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1" t="s">
        <v>623</v>
      </c>
      <c r="B6" s="11" t="s">
        <v>624</v>
      </c>
      <c r="C6" s="11" t="s">
        <v>520</v>
      </c>
      <c r="D6" s="11" t="str">
        <f>"0,8731"</f>
        <v>0,8731</v>
      </c>
      <c r="E6" s="11" t="s">
        <v>521</v>
      </c>
      <c r="F6" s="11" t="s">
        <v>374</v>
      </c>
      <c r="G6" s="12" t="s">
        <v>83</v>
      </c>
      <c r="H6" s="12" t="s">
        <v>139</v>
      </c>
      <c r="I6" s="12" t="s">
        <v>190</v>
      </c>
      <c r="J6" s="13"/>
      <c r="K6" s="16" t="str">
        <f>"127,5"</f>
        <v>127,5</v>
      </c>
      <c r="L6" s="17" t="str">
        <f>"111,3266"</f>
        <v>111,3266</v>
      </c>
      <c r="M6" s="11" t="s">
        <v>375</v>
      </c>
    </row>
    <row r="8" spans="1:13" ht="15" x14ac:dyDescent="0.2">
      <c r="E8" s="14" t="s">
        <v>34</v>
      </c>
    </row>
    <row r="9" spans="1:13" ht="15" x14ac:dyDescent="0.2">
      <c r="E9" s="14" t="s">
        <v>35</v>
      </c>
    </row>
    <row r="10" spans="1:13" ht="15" x14ac:dyDescent="0.2">
      <c r="E10" s="14" t="s">
        <v>36</v>
      </c>
    </row>
    <row r="11" spans="1:13" ht="15" x14ac:dyDescent="0.2">
      <c r="E11" s="14" t="s">
        <v>37</v>
      </c>
    </row>
    <row r="12" spans="1:13" ht="15" x14ac:dyDescent="0.2">
      <c r="E12" s="14" t="s">
        <v>37</v>
      </c>
    </row>
    <row r="13" spans="1:13" ht="15" x14ac:dyDescent="0.2">
      <c r="E13" s="14" t="s">
        <v>38</v>
      </c>
    </row>
    <row r="14" spans="1:13" ht="15" x14ac:dyDescent="0.2">
      <c r="E14" s="14"/>
    </row>
    <row r="16" spans="1:13" ht="18" x14ac:dyDescent="0.25">
      <c r="A16" s="18" t="s">
        <v>39</v>
      </c>
      <c r="B16" s="18"/>
    </row>
    <row r="17" spans="1:5" ht="15" x14ac:dyDescent="0.2">
      <c r="A17" s="19" t="s">
        <v>246</v>
      </c>
      <c r="B17" s="19"/>
    </row>
    <row r="18" spans="1:5" ht="14.25" x14ac:dyDescent="0.2">
      <c r="A18" s="21"/>
      <c r="B18" s="22" t="s">
        <v>41</v>
      </c>
    </row>
    <row r="19" spans="1:5" ht="15" x14ac:dyDescent="0.2">
      <c r="A19" s="23" t="s">
        <v>42</v>
      </c>
      <c r="B19" s="23" t="s">
        <v>43</v>
      </c>
      <c r="C19" s="23" t="s">
        <v>44</v>
      </c>
      <c r="D19" s="23" t="s">
        <v>341</v>
      </c>
      <c r="E19" s="23" t="s">
        <v>46</v>
      </c>
    </row>
    <row r="20" spans="1:5" x14ac:dyDescent="0.2">
      <c r="A20" s="20" t="s">
        <v>622</v>
      </c>
      <c r="B20" s="4" t="s">
        <v>41</v>
      </c>
      <c r="C20" s="4" t="s">
        <v>274</v>
      </c>
      <c r="D20" s="4" t="s">
        <v>190</v>
      </c>
      <c r="E20" s="15" t="s">
        <v>625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15" bestFit="1" customWidth="1"/>
    <col min="12" max="12" width="8.5703125" style="2" bestFit="1" customWidth="1"/>
    <col min="13" max="13" width="18.7109375" style="4" bestFit="1" customWidth="1"/>
    <col min="14" max="16384" width="9.140625" style="3"/>
  </cols>
  <sheetData>
    <row r="1" spans="1:13" s="2" customFormat="1" ht="29.1" customHeight="1" x14ac:dyDescent="0.2">
      <c r="A1" s="56" t="s">
        <v>601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13</v>
      </c>
      <c r="E3" s="39" t="s">
        <v>4</v>
      </c>
      <c r="F3" s="39" t="s">
        <v>8</v>
      </c>
      <c r="G3" s="39" t="s">
        <v>16</v>
      </c>
      <c r="H3" s="39"/>
      <c r="I3" s="39"/>
      <c r="J3" s="39"/>
      <c r="K3" s="39" t="s">
        <v>343</v>
      </c>
      <c r="L3" s="39" t="s">
        <v>3</v>
      </c>
      <c r="M3" s="42" t="s">
        <v>2</v>
      </c>
    </row>
    <row r="4" spans="1:13" s="1" customFormat="1" ht="21" customHeight="1" thickBot="1" x14ac:dyDescent="0.25">
      <c r="A4" s="51"/>
      <c r="B4" s="53"/>
      <c r="C4" s="53"/>
      <c r="D4" s="53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53"/>
      <c r="L4" s="53"/>
      <c r="M4" s="43"/>
    </row>
    <row r="5" spans="1:13" ht="15" x14ac:dyDescent="0.2">
      <c r="A5" s="54" t="s">
        <v>51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1" t="s">
        <v>310</v>
      </c>
      <c r="B6" s="11" t="s">
        <v>311</v>
      </c>
      <c r="C6" s="11" t="s">
        <v>312</v>
      </c>
      <c r="D6" s="11" t="str">
        <f>"1,3133"</f>
        <v>1,3133</v>
      </c>
      <c r="E6" s="11" t="s">
        <v>81</v>
      </c>
      <c r="F6" s="11" t="s">
        <v>82</v>
      </c>
      <c r="G6" s="12" t="s">
        <v>61</v>
      </c>
      <c r="H6" s="12" t="s">
        <v>62</v>
      </c>
      <c r="I6" s="12" t="s">
        <v>73</v>
      </c>
      <c r="J6" s="13"/>
      <c r="K6" s="16" t="str">
        <f>"50,0"</f>
        <v>50,0</v>
      </c>
      <c r="L6" s="17" t="str">
        <f>"80,7680"</f>
        <v>80,7680</v>
      </c>
      <c r="M6" s="11" t="s">
        <v>89</v>
      </c>
    </row>
    <row r="8" spans="1:13" ht="15" x14ac:dyDescent="0.2">
      <c r="A8" s="57" t="s">
        <v>174</v>
      </c>
      <c r="B8" s="58"/>
      <c r="C8" s="58"/>
      <c r="D8" s="58"/>
      <c r="E8" s="58"/>
      <c r="F8" s="58"/>
      <c r="G8" s="58"/>
      <c r="H8" s="58"/>
      <c r="I8" s="58"/>
      <c r="J8" s="58"/>
    </row>
    <row r="9" spans="1:13" x14ac:dyDescent="0.2">
      <c r="A9" s="11" t="s">
        <v>316</v>
      </c>
      <c r="B9" s="11" t="s">
        <v>317</v>
      </c>
      <c r="C9" s="11" t="s">
        <v>187</v>
      </c>
      <c r="D9" s="11" t="str">
        <f>"0,5930"</f>
        <v>0,5930</v>
      </c>
      <c r="E9" s="11" t="s">
        <v>318</v>
      </c>
      <c r="F9" s="11" t="s">
        <v>319</v>
      </c>
      <c r="G9" s="12" t="s">
        <v>26</v>
      </c>
      <c r="H9" s="12" t="s">
        <v>228</v>
      </c>
      <c r="I9" s="12" t="s">
        <v>229</v>
      </c>
      <c r="J9" s="13"/>
      <c r="K9" s="16" t="str">
        <f>"290,0"</f>
        <v>290,0</v>
      </c>
      <c r="L9" s="17" t="str">
        <f>"171,9700"</f>
        <v>171,9700</v>
      </c>
      <c r="M9" s="11" t="s">
        <v>321</v>
      </c>
    </row>
    <row r="11" spans="1:13" ht="15" x14ac:dyDescent="0.2">
      <c r="A11" s="57" t="s">
        <v>208</v>
      </c>
      <c r="B11" s="58"/>
      <c r="C11" s="58"/>
      <c r="D11" s="58"/>
      <c r="E11" s="58"/>
      <c r="F11" s="58"/>
      <c r="G11" s="58"/>
      <c r="H11" s="58"/>
      <c r="I11" s="58"/>
      <c r="J11" s="58"/>
    </row>
    <row r="12" spans="1:13" x14ac:dyDescent="0.2">
      <c r="A12" s="24" t="s">
        <v>603</v>
      </c>
      <c r="B12" s="24" t="s">
        <v>604</v>
      </c>
      <c r="C12" s="24" t="s">
        <v>605</v>
      </c>
      <c r="D12" s="24" t="str">
        <f>"0,5772"</f>
        <v>0,5772</v>
      </c>
      <c r="E12" s="24" t="s">
        <v>606</v>
      </c>
      <c r="F12" s="24" t="s">
        <v>319</v>
      </c>
      <c r="G12" s="25" t="s">
        <v>183</v>
      </c>
      <c r="H12" s="25" t="s">
        <v>142</v>
      </c>
      <c r="I12" s="26" t="s">
        <v>143</v>
      </c>
      <c r="J12" s="26"/>
      <c r="K12" s="33" t="str">
        <f>"190,0"</f>
        <v>190,0</v>
      </c>
      <c r="L12" s="34" t="str">
        <f>"109,6680"</f>
        <v>109,6680</v>
      </c>
      <c r="M12" s="24" t="s">
        <v>321</v>
      </c>
    </row>
    <row r="13" spans="1:13" x14ac:dyDescent="0.2">
      <c r="A13" s="27" t="s">
        <v>608</v>
      </c>
      <c r="B13" s="27" t="s">
        <v>609</v>
      </c>
      <c r="C13" s="27" t="s">
        <v>212</v>
      </c>
      <c r="D13" s="27" t="str">
        <f>"0,5540"</f>
        <v>0,5540</v>
      </c>
      <c r="E13" s="27" t="s">
        <v>610</v>
      </c>
      <c r="F13" s="27" t="s">
        <v>147</v>
      </c>
      <c r="G13" s="28" t="s">
        <v>24</v>
      </c>
      <c r="H13" s="28" t="s">
        <v>30</v>
      </c>
      <c r="I13" s="29" t="s">
        <v>611</v>
      </c>
      <c r="J13" s="29"/>
      <c r="K13" s="35" t="str">
        <f>"245,0"</f>
        <v>245,0</v>
      </c>
      <c r="L13" s="36" t="str">
        <f>"223,2759"</f>
        <v>223,2759</v>
      </c>
      <c r="M13" s="27" t="s">
        <v>33</v>
      </c>
    </row>
    <row r="15" spans="1:13" ht="15" x14ac:dyDescent="0.2">
      <c r="A15" s="57" t="s">
        <v>17</v>
      </c>
      <c r="B15" s="58"/>
      <c r="C15" s="58"/>
      <c r="D15" s="58"/>
      <c r="E15" s="58"/>
      <c r="F15" s="58"/>
      <c r="G15" s="58"/>
      <c r="H15" s="58"/>
      <c r="I15" s="58"/>
      <c r="J15" s="58"/>
    </row>
    <row r="16" spans="1:13" x14ac:dyDescent="0.2">
      <c r="A16" s="11" t="s">
        <v>613</v>
      </c>
      <c r="B16" s="11" t="s">
        <v>614</v>
      </c>
      <c r="C16" s="11" t="s">
        <v>615</v>
      </c>
      <c r="D16" s="11" t="str">
        <f>"0,5382"</f>
        <v>0,5382</v>
      </c>
      <c r="E16" s="11" t="s">
        <v>521</v>
      </c>
      <c r="F16" s="11" t="s">
        <v>374</v>
      </c>
      <c r="G16" s="12" t="s">
        <v>26</v>
      </c>
      <c r="H16" s="12" t="s">
        <v>228</v>
      </c>
      <c r="I16" s="13" t="s">
        <v>230</v>
      </c>
      <c r="J16" s="13"/>
      <c r="K16" s="16" t="str">
        <f>"280,0"</f>
        <v>280,0</v>
      </c>
      <c r="L16" s="17" t="str">
        <f>"150,6960"</f>
        <v>150,6960</v>
      </c>
      <c r="M16" s="11" t="s">
        <v>33</v>
      </c>
    </row>
    <row r="18" spans="1:5" ht="15" x14ac:dyDescent="0.2">
      <c r="E18" s="14" t="s">
        <v>34</v>
      </c>
    </row>
    <row r="19" spans="1:5" ht="15" x14ac:dyDescent="0.2">
      <c r="E19" s="14" t="s">
        <v>35</v>
      </c>
    </row>
    <row r="20" spans="1:5" ht="15" x14ac:dyDescent="0.2">
      <c r="E20" s="14" t="s">
        <v>36</v>
      </c>
    </row>
    <row r="21" spans="1:5" ht="15" x14ac:dyDescent="0.2">
      <c r="E21" s="14" t="s">
        <v>37</v>
      </c>
    </row>
    <row r="22" spans="1:5" ht="15" x14ac:dyDescent="0.2">
      <c r="E22" s="14" t="s">
        <v>37</v>
      </c>
    </row>
    <row r="23" spans="1:5" ht="15" x14ac:dyDescent="0.2">
      <c r="E23" s="14" t="s">
        <v>38</v>
      </c>
    </row>
    <row r="24" spans="1:5" ht="15" x14ac:dyDescent="0.2">
      <c r="E24" s="14"/>
    </row>
    <row r="26" spans="1:5" ht="18" x14ac:dyDescent="0.25">
      <c r="A26" s="18" t="s">
        <v>39</v>
      </c>
      <c r="B26" s="18"/>
    </row>
    <row r="27" spans="1:5" ht="15" x14ac:dyDescent="0.2">
      <c r="A27" s="19" t="s">
        <v>40</v>
      </c>
      <c r="B27" s="19"/>
    </row>
    <row r="28" spans="1:5" ht="14.25" x14ac:dyDescent="0.2">
      <c r="A28" s="21"/>
      <c r="B28" s="22" t="s">
        <v>255</v>
      </c>
    </row>
    <row r="29" spans="1:5" ht="15" x14ac:dyDescent="0.2">
      <c r="A29" s="23" t="s">
        <v>42</v>
      </c>
      <c r="B29" s="23" t="s">
        <v>43</v>
      </c>
      <c r="C29" s="23" t="s">
        <v>44</v>
      </c>
      <c r="D29" s="23" t="s">
        <v>341</v>
      </c>
      <c r="E29" s="23" t="s">
        <v>46</v>
      </c>
    </row>
    <row r="30" spans="1:5" x14ac:dyDescent="0.2">
      <c r="A30" s="20" t="s">
        <v>309</v>
      </c>
      <c r="B30" s="4" t="s">
        <v>277</v>
      </c>
      <c r="C30" s="4" t="s">
        <v>247</v>
      </c>
      <c r="D30" s="4" t="s">
        <v>73</v>
      </c>
      <c r="E30" s="15" t="s">
        <v>616</v>
      </c>
    </row>
    <row r="32" spans="1:5" ht="14.25" x14ac:dyDescent="0.2">
      <c r="A32" s="21"/>
      <c r="B32" s="22" t="s">
        <v>41</v>
      </c>
    </row>
    <row r="33" spans="1:5" ht="15" x14ac:dyDescent="0.2">
      <c r="A33" s="23" t="s">
        <v>42</v>
      </c>
      <c r="B33" s="23" t="s">
        <v>43</v>
      </c>
      <c r="C33" s="23" t="s">
        <v>44</v>
      </c>
      <c r="D33" s="23" t="s">
        <v>341</v>
      </c>
      <c r="E33" s="23" t="s">
        <v>46</v>
      </c>
    </row>
    <row r="34" spans="1:5" x14ac:dyDescent="0.2">
      <c r="A34" s="20" t="s">
        <v>315</v>
      </c>
      <c r="B34" s="4" t="s">
        <v>41</v>
      </c>
      <c r="C34" s="4" t="s">
        <v>266</v>
      </c>
      <c r="D34" s="4" t="s">
        <v>229</v>
      </c>
      <c r="E34" s="15" t="s">
        <v>617</v>
      </c>
    </row>
    <row r="35" spans="1:5" x14ac:dyDescent="0.2">
      <c r="A35" s="20" t="s">
        <v>612</v>
      </c>
      <c r="B35" s="4" t="s">
        <v>41</v>
      </c>
      <c r="C35" s="4" t="s">
        <v>47</v>
      </c>
      <c r="D35" s="4" t="s">
        <v>228</v>
      </c>
      <c r="E35" s="15" t="s">
        <v>618</v>
      </c>
    </row>
    <row r="36" spans="1:5" x14ac:dyDescent="0.2">
      <c r="A36" s="20" t="s">
        <v>602</v>
      </c>
      <c r="B36" s="4" t="s">
        <v>41</v>
      </c>
      <c r="C36" s="4" t="s">
        <v>271</v>
      </c>
      <c r="D36" s="4" t="s">
        <v>142</v>
      </c>
      <c r="E36" s="15" t="s">
        <v>619</v>
      </c>
    </row>
    <row r="38" spans="1:5" ht="14.25" x14ac:dyDescent="0.2">
      <c r="A38" s="21"/>
      <c r="B38" s="22" t="s">
        <v>251</v>
      </c>
    </row>
    <row r="39" spans="1:5" ht="15" x14ac:dyDescent="0.2">
      <c r="A39" s="23" t="s">
        <v>42</v>
      </c>
      <c r="B39" s="23" t="s">
        <v>43</v>
      </c>
      <c r="C39" s="23" t="s">
        <v>44</v>
      </c>
      <c r="D39" s="23" t="s">
        <v>341</v>
      </c>
      <c r="E39" s="23" t="s">
        <v>46</v>
      </c>
    </row>
    <row r="40" spans="1:5" x14ac:dyDescent="0.2">
      <c r="A40" s="20" t="s">
        <v>607</v>
      </c>
      <c r="B40" s="4" t="s">
        <v>301</v>
      </c>
      <c r="C40" s="4" t="s">
        <v>271</v>
      </c>
      <c r="D40" s="4" t="s">
        <v>30</v>
      </c>
      <c r="E40" s="15" t="s">
        <v>620</v>
      </c>
    </row>
  </sheetData>
  <mergeCells count="15"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A15:J15"/>
    <mergeCell ref="K3:K4"/>
    <mergeCell ref="L3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5.140625" style="4" bestFit="1" customWidth="1"/>
    <col min="6" max="6" width="38.7109375" style="4" bestFit="1" customWidth="1"/>
    <col min="7" max="9" width="5.5703125" style="3" customWidth="1"/>
    <col min="10" max="10" width="4.85546875" style="3" customWidth="1"/>
    <col min="11" max="11" width="7.85546875" style="15" bestFit="1" customWidth="1"/>
    <col min="12" max="12" width="8.5703125" style="2" bestFit="1" customWidth="1"/>
    <col min="13" max="13" width="21" style="4" bestFit="1" customWidth="1"/>
    <col min="14" max="16384" width="9.140625" style="3"/>
  </cols>
  <sheetData>
    <row r="1" spans="1:13" s="2" customFormat="1" ht="29.1" customHeight="1" x14ac:dyDescent="0.2">
      <c r="A1" s="56" t="s">
        <v>510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13</v>
      </c>
      <c r="E3" s="39" t="s">
        <v>4</v>
      </c>
      <c r="F3" s="39" t="s">
        <v>8</v>
      </c>
      <c r="G3" s="39" t="s">
        <v>16</v>
      </c>
      <c r="H3" s="39"/>
      <c r="I3" s="39"/>
      <c r="J3" s="39"/>
      <c r="K3" s="39" t="s">
        <v>343</v>
      </c>
      <c r="L3" s="39" t="s">
        <v>3</v>
      </c>
      <c r="M3" s="42" t="s">
        <v>2</v>
      </c>
    </row>
    <row r="4" spans="1:13" s="1" customFormat="1" ht="21" customHeight="1" thickBot="1" x14ac:dyDescent="0.25">
      <c r="A4" s="51"/>
      <c r="B4" s="53"/>
      <c r="C4" s="53"/>
      <c r="D4" s="53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53"/>
      <c r="L4" s="53"/>
      <c r="M4" s="43"/>
    </row>
    <row r="5" spans="1:13" ht="15" x14ac:dyDescent="0.2">
      <c r="A5" s="54" t="s">
        <v>368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1" t="s">
        <v>512</v>
      </c>
      <c r="B6" s="11" t="s">
        <v>513</v>
      </c>
      <c r="C6" s="11" t="s">
        <v>514</v>
      </c>
      <c r="D6" s="11" t="str">
        <f>"0,9326"</f>
        <v>0,9326</v>
      </c>
      <c r="E6" s="11" t="s">
        <v>515</v>
      </c>
      <c r="F6" s="11" t="s">
        <v>319</v>
      </c>
      <c r="G6" s="12" t="s">
        <v>106</v>
      </c>
      <c r="H6" s="12" t="s">
        <v>400</v>
      </c>
      <c r="I6" s="12" t="s">
        <v>75</v>
      </c>
      <c r="J6" s="13"/>
      <c r="K6" s="16" t="str">
        <f>"110,0"</f>
        <v>110,0</v>
      </c>
      <c r="L6" s="17" t="str">
        <f>"102,5860"</f>
        <v>102,5860</v>
      </c>
      <c r="M6" s="11" t="s">
        <v>516</v>
      </c>
    </row>
    <row r="8" spans="1:13" ht="15" x14ac:dyDescent="0.2">
      <c r="A8" s="57" t="s">
        <v>99</v>
      </c>
      <c r="B8" s="58"/>
      <c r="C8" s="58"/>
      <c r="D8" s="58"/>
      <c r="E8" s="58"/>
      <c r="F8" s="58"/>
      <c r="G8" s="58"/>
      <c r="H8" s="58"/>
      <c r="I8" s="58"/>
      <c r="J8" s="58"/>
    </row>
    <row r="9" spans="1:13" x14ac:dyDescent="0.2">
      <c r="A9" s="11" t="s">
        <v>518</v>
      </c>
      <c r="B9" s="11" t="s">
        <v>519</v>
      </c>
      <c r="C9" s="11" t="s">
        <v>520</v>
      </c>
      <c r="D9" s="11" t="str">
        <f>"0,8731"</f>
        <v>0,8731</v>
      </c>
      <c r="E9" s="11" t="s">
        <v>521</v>
      </c>
      <c r="F9" s="11" t="s">
        <v>374</v>
      </c>
      <c r="G9" s="12" t="s">
        <v>83</v>
      </c>
      <c r="H9" s="12" t="s">
        <v>139</v>
      </c>
      <c r="I9" s="12" t="s">
        <v>140</v>
      </c>
      <c r="J9" s="13"/>
      <c r="K9" s="16" t="str">
        <f>"130,0"</f>
        <v>130,0</v>
      </c>
      <c r="L9" s="17" t="str">
        <f>"113,5095"</f>
        <v>113,5095</v>
      </c>
      <c r="M9" s="11" t="s">
        <v>375</v>
      </c>
    </row>
    <row r="11" spans="1:13" ht="15" x14ac:dyDescent="0.2">
      <c r="A11" s="57" t="s">
        <v>65</v>
      </c>
      <c r="B11" s="58"/>
      <c r="C11" s="58"/>
      <c r="D11" s="58"/>
      <c r="E11" s="58"/>
      <c r="F11" s="58"/>
      <c r="G11" s="58"/>
      <c r="H11" s="58"/>
      <c r="I11" s="58"/>
      <c r="J11" s="58"/>
    </row>
    <row r="12" spans="1:13" x14ac:dyDescent="0.2">
      <c r="A12" s="24" t="s">
        <v>523</v>
      </c>
      <c r="B12" s="24" t="s">
        <v>524</v>
      </c>
      <c r="C12" s="24" t="s">
        <v>525</v>
      </c>
      <c r="D12" s="24" t="str">
        <f>"0,7369"</f>
        <v>0,7369</v>
      </c>
      <c r="E12" s="24" t="s">
        <v>521</v>
      </c>
      <c r="F12" s="24" t="s">
        <v>374</v>
      </c>
      <c r="G12" s="25" t="s">
        <v>27</v>
      </c>
      <c r="H12" s="25" t="s">
        <v>526</v>
      </c>
      <c r="I12" s="26" t="s">
        <v>130</v>
      </c>
      <c r="J12" s="26"/>
      <c r="K12" s="33" t="str">
        <f>"167,5"</f>
        <v>167,5</v>
      </c>
      <c r="L12" s="34" t="str">
        <f>"123,4224"</f>
        <v>123,4224</v>
      </c>
      <c r="M12" s="24" t="s">
        <v>375</v>
      </c>
    </row>
    <row r="13" spans="1:13" x14ac:dyDescent="0.2">
      <c r="A13" s="27" t="s">
        <v>78</v>
      </c>
      <c r="B13" s="27" t="s">
        <v>79</v>
      </c>
      <c r="C13" s="27" t="s">
        <v>80</v>
      </c>
      <c r="D13" s="27" t="str">
        <f>"0,7701"</f>
        <v>0,7701</v>
      </c>
      <c r="E13" s="27" t="s">
        <v>81</v>
      </c>
      <c r="F13" s="27" t="s">
        <v>82</v>
      </c>
      <c r="G13" s="28" t="s">
        <v>84</v>
      </c>
      <c r="H13" s="28" t="s">
        <v>87</v>
      </c>
      <c r="I13" s="28" t="s">
        <v>88</v>
      </c>
      <c r="J13" s="29"/>
      <c r="K13" s="35" t="str">
        <f>"145,0"</f>
        <v>145,0</v>
      </c>
      <c r="L13" s="36" t="str">
        <f>"111,6645"</f>
        <v>111,6645</v>
      </c>
      <c r="M13" s="27" t="s">
        <v>89</v>
      </c>
    </row>
    <row r="15" spans="1:13" ht="15" x14ac:dyDescent="0.2">
      <c r="A15" s="57" t="s">
        <v>527</v>
      </c>
      <c r="B15" s="58"/>
      <c r="C15" s="58"/>
      <c r="D15" s="58"/>
      <c r="E15" s="58"/>
      <c r="F15" s="58"/>
      <c r="G15" s="58"/>
      <c r="H15" s="58"/>
      <c r="I15" s="58"/>
      <c r="J15" s="58"/>
    </row>
    <row r="16" spans="1:13" x14ac:dyDescent="0.2">
      <c r="A16" s="11" t="s">
        <v>529</v>
      </c>
      <c r="B16" s="11" t="s">
        <v>530</v>
      </c>
      <c r="C16" s="11" t="s">
        <v>531</v>
      </c>
      <c r="D16" s="11" t="str">
        <f>"0,5562"</f>
        <v>0,5562</v>
      </c>
      <c r="E16" s="11" t="s">
        <v>521</v>
      </c>
      <c r="F16" s="11" t="s">
        <v>374</v>
      </c>
      <c r="G16" s="12" t="s">
        <v>84</v>
      </c>
      <c r="H16" s="12" t="s">
        <v>140</v>
      </c>
      <c r="I16" s="12" t="s">
        <v>113</v>
      </c>
      <c r="J16" s="13"/>
      <c r="K16" s="16" t="str">
        <f>"140,0"</f>
        <v>140,0</v>
      </c>
      <c r="L16" s="17" t="str">
        <f>"78,5618"</f>
        <v>78,5618</v>
      </c>
      <c r="M16" s="11" t="s">
        <v>375</v>
      </c>
    </row>
    <row r="18" spans="1:13" ht="15" x14ac:dyDescent="0.2">
      <c r="A18" s="57" t="s">
        <v>51</v>
      </c>
      <c r="B18" s="58"/>
      <c r="C18" s="58"/>
      <c r="D18" s="58"/>
      <c r="E18" s="58"/>
      <c r="F18" s="58"/>
      <c r="G18" s="58"/>
      <c r="H18" s="58"/>
      <c r="I18" s="58"/>
      <c r="J18" s="58"/>
    </row>
    <row r="19" spans="1:13" x14ac:dyDescent="0.2">
      <c r="A19" s="11" t="s">
        <v>91</v>
      </c>
      <c r="B19" s="11" t="s">
        <v>92</v>
      </c>
      <c r="C19" s="11" t="s">
        <v>93</v>
      </c>
      <c r="D19" s="11" t="str">
        <f>"1,3133"</f>
        <v>1,3133</v>
      </c>
      <c r="E19" s="11" t="s">
        <v>81</v>
      </c>
      <c r="F19" s="11" t="s">
        <v>82</v>
      </c>
      <c r="G19" s="12" t="s">
        <v>62</v>
      </c>
      <c r="H19" s="12" t="s">
        <v>94</v>
      </c>
      <c r="I19" s="12" t="s">
        <v>98</v>
      </c>
      <c r="J19" s="13"/>
      <c r="K19" s="16" t="str">
        <f>"57,5"</f>
        <v>57,5</v>
      </c>
      <c r="L19" s="17" t="str">
        <f>"92,8831"</f>
        <v>92,8831</v>
      </c>
      <c r="M19" s="11" t="s">
        <v>89</v>
      </c>
    </row>
    <row r="21" spans="1:13" ht="15" x14ac:dyDescent="0.2">
      <c r="A21" s="57" t="s">
        <v>368</v>
      </c>
      <c r="B21" s="58"/>
      <c r="C21" s="58"/>
      <c r="D21" s="58"/>
      <c r="E21" s="58"/>
      <c r="F21" s="58"/>
      <c r="G21" s="58"/>
      <c r="H21" s="58"/>
      <c r="I21" s="58"/>
      <c r="J21" s="58"/>
    </row>
    <row r="22" spans="1:13" x14ac:dyDescent="0.2">
      <c r="A22" s="11" t="s">
        <v>370</v>
      </c>
      <c r="B22" s="11" t="s">
        <v>371</v>
      </c>
      <c r="C22" s="11" t="s">
        <v>372</v>
      </c>
      <c r="D22" s="11" t="str">
        <f>"0,8853"</f>
        <v>0,8853</v>
      </c>
      <c r="E22" s="11" t="s">
        <v>373</v>
      </c>
      <c r="F22" s="11" t="s">
        <v>374</v>
      </c>
      <c r="G22" s="12" t="s">
        <v>74</v>
      </c>
      <c r="H22" s="12" t="s">
        <v>532</v>
      </c>
      <c r="I22" s="12" t="s">
        <v>160</v>
      </c>
      <c r="J22" s="13"/>
      <c r="K22" s="16" t="str">
        <f>"112,5"</f>
        <v>112,5</v>
      </c>
      <c r="L22" s="17" t="str">
        <f>"122,5034"</f>
        <v>122,5034</v>
      </c>
      <c r="M22" s="11" t="s">
        <v>375</v>
      </c>
    </row>
    <row r="24" spans="1:13" ht="15" x14ac:dyDescent="0.2">
      <c r="A24" s="57" t="s">
        <v>108</v>
      </c>
      <c r="B24" s="58"/>
      <c r="C24" s="58"/>
      <c r="D24" s="58"/>
      <c r="E24" s="58"/>
      <c r="F24" s="58"/>
      <c r="G24" s="58"/>
      <c r="H24" s="58"/>
      <c r="I24" s="58"/>
      <c r="J24" s="58"/>
    </row>
    <row r="25" spans="1:13" x14ac:dyDescent="0.2">
      <c r="A25" s="24" t="s">
        <v>534</v>
      </c>
      <c r="B25" s="24" t="s">
        <v>535</v>
      </c>
      <c r="C25" s="24" t="s">
        <v>378</v>
      </c>
      <c r="D25" s="24" t="str">
        <f>"0,7258"</f>
        <v>0,7258</v>
      </c>
      <c r="E25" s="24" t="s">
        <v>515</v>
      </c>
      <c r="F25" s="24" t="s">
        <v>319</v>
      </c>
      <c r="G25" s="25" t="s">
        <v>159</v>
      </c>
      <c r="H25" s="25" t="s">
        <v>160</v>
      </c>
      <c r="I25" s="26" t="s">
        <v>83</v>
      </c>
      <c r="J25" s="26"/>
      <c r="K25" s="33" t="str">
        <f>"112,5"</f>
        <v>112,5</v>
      </c>
      <c r="L25" s="34" t="str">
        <f>"84,1021"</f>
        <v>84,1021</v>
      </c>
      <c r="M25" s="24" t="s">
        <v>516</v>
      </c>
    </row>
    <row r="26" spans="1:13" x14ac:dyDescent="0.2">
      <c r="A26" s="30" t="s">
        <v>537</v>
      </c>
      <c r="B26" s="30" t="s">
        <v>538</v>
      </c>
      <c r="C26" s="30" t="s">
        <v>539</v>
      </c>
      <c r="D26" s="30" t="str">
        <f>"0,7357"</f>
        <v>0,7357</v>
      </c>
      <c r="E26" s="30" t="s">
        <v>156</v>
      </c>
      <c r="F26" s="30" t="s">
        <v>157</v>
      </c>
      <c r="G26" s="31" t="s">
        <v>183</v>
      </c>
      <c r="H26" s="31" t="s">
        <v>540</v>
      </c>
      <c r="I26" s="31" t="s">
        <v>143</v>
      </c>
      <c r="J26" s="32"/>
      <c r="K26" s="37" t="str">
        <f>"200,0"</f>
        <v>200,0</v>
      </c>
      <c r="L26" s="38" t="str">
        <f>"147,1400"</f>
        <v>147,1400</v>
      </c>
      <c r="M26" s="30" t="s">
        <v>33</v>
      </c>
    </row>
    <row r="27" spans="1:13" x14ac:dyDescent="0.2">
      <c r="A27" s="27" t="s">
        <v>542</v>
      </c>
      <c r="B27" s="27" t="s">
        <v>543</v>
      </c>
      <c r="C27" s="27" t="s">
        <v>544</v>
      </c>
      <c r="D27" s="27" t="str">
        <f>"0,7287"</f>
        <v>0,7287</v>
      </c>
      <c r="E27" s="27" t="s">
        <v>545</v>
      </c>
      <c r="F27" s="27" t="s">
        <v>546</v>
      </c>
      <c r="G27" s="28" t="s">
        <v>168</v>
      </c>
      <c r="H27" s="29" t="s">
        <v>540</v>
      </c>
      <c r="I27" s="28" t="s">
        <v>540</v>
      </c>
      <c r="J27" s="29"/>
      <c r="K27" s="35" t="str">
        <f>"192,5"</f>
        <v>192,5</v>
      </c>
      <c r="L27" s="36" t="str">
        <f>"168,8908"</f>
        <v>168,8908</v>
      </c>
      <c r="M27" s="27" t="s">
        <v>547</v>
      </c>
    </row>
    <row r="29" spans="1:13" ht="15" x14ac:dyDescent="0.2">
      <c r="A29" s="57" t="s">
        <v>65</v>
      </c>
      <c r="B29" s="58"/>
      <c r="C29" s="58"/>
      <c r="D29" s="58"/>
      <c r="E29" s="58"/>
      <c r="F29" s="58"/>
      <c r="G29" s="58"/>
      <c r="H29" s="58"/>
      <c r="I29" s="58"/>
      <c r="J29" s="58"/>
    </row>
    <row r="30" spans="1:13" x14ac:dyDescent="0.2">
      <c r="A30" s="11" t="s">
        <v>549</v>
      </c>
      <c r="B30" s="11" t="s">
        <v>550</v>
      </c>
      <c r="C30" s="11" t="s">
        <v>551</v>
      </c>
      <c r="D30" s="11" t="str">
        <f>"0,6730"</f>
        <v>0,6730</v>
      </c>
      <c r="E30" s="11" t="s">
        <v>515</v>
      </c>
      <c r="F30" s="11" t="s">
        <v>319</v>
      </c>
      <c r="G30" s="12" t="s">
        <v>87</v>
      </c>
      <c r="H30" s="12" t="s">
        <v>88</v>
      </c>
      <c r="I30" s="12" t="s">
        <v>124</v>
      </c>
      <c r="J30" s="13"/>
      <c r="K30" s="16" t="str">
        <f>"150,0"</f>
        <v>150,0</v>
      </c>
      <c r="L30" s="17" t="str">
        <f>"100,9500"</f>
        <v>100,9500</v>
      </c>
      <c r="M30" s="11" t="s">
        <v>516</v>
      </c>
    </row>
    <row r="32" spans="1:13" ht="15" x14ac:dyDescent="0.2">
      <c r="A32" s="57" t="s">
        <v>151</v>
      </c>
      <c r="B32" s="58"/>
      <c r="C32" s="58"/>
      <c r="D32" s="58"/>
      <c r="E32" s="58"/>
      <c r="F32" s="58"/>
      <c r="G32" s="58"/>
      <c r="H32" s="58"/>
      <c r="I32" s="58"/>
      <c r="J32" s="58"/>
    </row>
    <row r="33" spans="1:13" x14ac:dyDescent="0.2">
      <c r="A33" s="24" t="s">
        <v>153</v>
      </c>
      <c r="B33" s="24" t="s">
        <v>154</v>
      </c>
      <c r="C33" s="24" t="s">
        <v>155</v>
      </c>
      <c r="D33" s="24" t="str">
        <f>"0,6214"</f>
        <v>0,6214</v>
      </c>
      <c r="E33" s="24" t="s">
        <v>156</v>
      </c>
      <c r="F33" s="24" t="s">
        <v>157</v>
      </c>
      <c r="G33" s="25" t="s">
        <v>142</v>
      </c>
      <c r="H33" s="25" t="s">
        <v>131</v>
      </c>
      <c r="I33" s="26" t="s">
        <v>161</v>
      </c>
      <c r="J33" s="26"/>
      <c r="K33" s="33" t="str">
        <f>"205,0"</f>
        <v>205,0</v>
      </c>
      <c r="L33" s="34" t="str">
        <f>"135,0302"</f>
        <v>135,0302</v>
      </c>
      <c r="M33" s="24" t="s">
        <v>162</v>
      </c>
    </row>
    <row r="34" spans="1:13" x14ac:dyDescent="0.2">
      <c r="A34" s="27" t="s">
        <v>553</v>
      </c>
      <c r="B34" s="27" t="s">
        <v>554</v>
      </c>
      <c r="C34" s="27" t="s">
        <v>555</v>
      </c>
      <c r="D34" s="27" t="str">
        <f>"0,6235"</f>
        <v>0,6235</v>
      </c>
      <c r="E34" s="27" t="s">
        <v>556</v>
      </c>
      <c r="F34" s="27" t="s">
        <v>319</v>
      </c>
      <c r="G34" s="28" t="s">
        <v>142</v>
      </c>
      <c r="H34" s="28" t="s">
        <v>143</v>
      </c>
      <c r="I34" s="29"/>
      <c r="J34" s="29"/>
      <c r="K34" s="35" t="str">
        <f>"200,0"</f>
        <v>200,0</v>
      </c>
      <c r="L34" s="36" t="str">
        <f>"132,1820"</f>
        <v>132,1820</v>
      </c>
      <c r="M34" s="27" t="s">
        <v>321</v>
      </c>
    </row>
    <row r="36" spans="1:13" ht="15" x14ac:dyDescent="0.2">
      <c r="A36" s="57" t="s">
        <v>174</v>
      </c>
      <c r="B36" s="58"/>
      <c r="C36" s="58"/>
      <c r="D36" s="58"/>
      <c r="E36" s="58"/>
      <c r="F36" s="58"/>
      <c r="G36" s="58"/>
      <c r="H36" s="58"/>
      <c r="I36" s="58"/>
      <c r="J36" s="58"/>
    </row>
    <row r="37" spans="1:13" x14ac:dyDescent="0.2">
      <c r="A37" s="24" t="s">
        <v>558</v>
      </c>
      <c r="B37" s="24" t="s">
        <v>559</v>
      </c>
      <c r="C37" s="24" t="s">
        <v>560</v>
      </c>
      <c r="D37" s="24" t="str">
        <f>"0,5939"</f>
        <v>0,5939</v>
      </c>
      <c r="E37" s="24" t="s">
        <v>561</v>
      </c>
      <c r="F37" s="24" t="s">
        <v>546</v>
      </c>
      <c r="G37" s="25" t="s">
        <v>142</v>
      </c>
      <c r="H37" s="25" t="s">
        <v>227</v>
      </c>
      <c r="I37" s="25" t="s">
        <v>24</v>
      </c>
      <c r="J37" s="26"/>
      <c r="K37" s="33" t="str">
        <f>"235,0"</f>
        <v>235,0</v>
      </c>
      <c r="L37" s="34" t="str">
        <f>"139,5665"</f>
        <v>139,5665</v>
      </c>
      <c r="M37" s="24" t="s">
        <v>33</v>
      </c>
    </row>
    <row r="38" spans="1:13" x14ac:dyDescent="0.2">
      <c r="A38" s="30" t="s">
        <v>431</v>
      </c>
      <c r="B38" s="30" t="s">
        <v>432</v>
      </c>
      <c r="C38" s="30" t="s">
        <v>433</v>
      </c>
      <c r="D38" s="30" t="str">
        <f>"0,5853"</f>
        <v>0,5853</v>
      </c>
      <c r="E38" s="30" t="s">
        <v>56</v>
      </c>
      <c r="F38" s="30" t="s">
        <v>57</v>
      </c>
      <c r="G38" s="31" t="s">
        <v>142</v>
      </c>
      <c r="H38" s="32" t="s">
        <v>201</v>
      </c>
      <c r="I38" s="32" t="s">
        <v>201</v>
      </c>
      <c r="J38" s="32"/>
      <c r="K38" s="37" t="str">
        <f>"190,0"</f>
        <v>190,0</v>
      </c>
      <c r="L38" s="38" t="str">
        <f>"111,5406"</f>
        <v>111,5406</v>
      </c>
      <c r="M38" s="30" t="s">
        <v>64</v>
      </c>
    </row>
    <row r="39" spans="1:13" x14ac:dyDescent="0.2">
      <c r="A39" s="27" t="s">
        <v>563</v>
      </c>
      <c r="B39" s="27" t="s">
        <v>564</v>
      </c>
      <c r="C39" s="27" t="s">
        <v>205</v>
      </c>
      <c r="D39" s="27" t="str">
        <f>"0,5861"</f>
        <v>0,5861</v>
      </c>
      <c r="E39" s="27" t="s">
        <v>81</v>
      </c>
      <c r="F39" s="27" t="s">
        <v>82</v>
      </c>
      <c r="G39" s="28" t="s">
        <v>28</v>
      </c>
      <c r="H39" s="29" t="s">
        <v>183</v>
      </c>
      <c r="I39" s="29" t="s">
        <v>183</v>
      </c>
      <c r="J39" s="29"/>
      <c r="K39" s="35" t="str">
        <f>"170,0"</f>
        <v>170,0</v>
      </c>
      <c r="L39" s="36" t="str">
        <f>"99,9359"</f>
        <v>99,9359</v>
      </c>
      <c r="M39" s="27" t="s">
        <v>565</v>
      </c>
    </row>
    <row r="41" spans="1:13" ht="15" x14ac:dyDescent="0.2">
      <c r="A41" s="57" t="s">
        <v>208</v>
      </c>
      <c r="B41" s="58"/>
      <c r="C41" s="58"/>
      <c r="D41" s="58"/>
      <c r="E41" s="58"/>
      <c r="F41" s="58"/>
      <c r="G41" s="58"/>
      <c r="H41" s="58"/>
      <c r="I41" s="58"/>
      <c r="J41" s="58"/>
    </row>
    <row r="42" spans="1:13" x14ac:dyDescent="0.2">
      <c r="A42" s="24" t="s">
        <v>567</v>
      </c>
      <c r="B42" s="24" t="s">
        <v>568</v>
      </c>
      <c r="C42" s="24" t="s">
        <v>569</v>
      </c>
      <c r="D42" s="24" t="str">
        <f>"0,5633"</f>
        <v>0,5633</v>
      </c>
      <c r="E42" s="24" t="s">
        <v>570</v>
      </c>
      <c r="F42" s="24" t="s">
        <v>319</v>
      </c>
      <c r="G42" s="26" t="s">
        <v>188</v>
      </c>
      <c r="H42" s="25" t="s">
        <v>188</v>
      </c>
      <c r="I42" s="25" t="s">
        <v>240</v>
      </c>
      <c r="J42" s="26"/>
      <c r="K42" s="33" t="str">
        <f>"250,0"</f>
        <v>250,0</v>
      </c>
      <c r="L42" s="34" t="str">
        <f>"140,8250"</f>
        <v>140,8250</v>
      </c>
      <c r="M42" s="24" t="s">
        <v>33</v>
      </c>
    </row>
    <row r="43" spans="1:13" x14ac:dyDescent="0.2">
      <c r="A43" s="27" t="s">
        <v>572</v>
      </c>
      <c r="B43" s="27" t="s">
        <v>573</v>
      </c>
      <c r="C43" s="27" t="s">
        <v>212</v>
      </c>
      <c r="D43" s="27" t="str">
        <f>"0,5540"</f>
        <v>0,5540</v>
      </c>
      <c r="E43" s="27" t="s">
        <v>521</v>
      </c>
      <c r="F43" s="27" t="s">
        <v>374</v>
      </c>
      <c r="G43" s="28" t="s">
        <v>189</v>
      </c>
      <c r="H43" s="28" t="s">
        <v>24</v>
      </c>
      <c r="I43" s="29" t="s">
        <v>574</v>
      </c>
      <c r="J43" s="29"/>
      <c r="K43" s="35" t="str">
        <f>"235,0"</f>
        <v>235,0</v>
      </c>
      <c r="L43" s="36" t="str">
        <f>"130,1900"</f>
        <v>130,1900</v>
      </c>
      <c r="M43" s="27" t="s">
        <v>375</v>
      </c>
    </row>
    <row r="45" spans="1:13" ht="15" x14ac:dyDescent="0.2">
      <c r="A45" s="57" t="s">
        <v>17</v>
      </c>
      <c r="B45" s="58"/>
      <c r="C45" s="58"/>
      <c r="D45" s="58"/>
      <c r="E45" s="58"/>
      <c r="F45" s="58"/>
      <c r="G45" s="58"/>
      <c r="H45" s="58"/>
      <c r="I45" s="58"/>
      <c r="J45" s="58"/>
    </row>
    <row r="46" spans="1:13" x14ac:dyDescent="0.2">
      <c r="A46" s="11" t="s">
        <v>576</v>
      </c>
      <c r="B46" s="11" t="s">
        <v>577</v>
      </c>
      <c r="C46" s="11" t="s">
        <v>578</v>
      </c>
      <c r="D46" s="11" t="str">
        <f>"0,5375"</f>
        <v>0,5375</v>
      </c>
      <c r="E46" s="11" t="s">
        <v>373</v>
      </c>
      <c r="F46" s="11" t="s">
        <v>374</v>
      </c>
      <c r="G46" s="12" t="s">
        <v>183</v>
      </c>
      <c r="H46" s="12" t="s">
        <v>200</v>
      </c>
      <c r="I46" s="12" t="s">
        <v>188</v>
      </c>
      <c r="J46" s="13"/>
      <c r="K46" s="16" t="str">
        <f>"210,0"</f>
        <v>210,0</v>
      </c>
      <c r="L46" s="17" t="str">
        <f>"113,2136"</f>
        <v>113,2136</v>
      </c>
      <c r="M46" s="11" t="s">
        <v>375</v>
      </c>
    </row>
    <row r="48" spans="1:13" ht="15" x14ac:dyDescent="0.2">
      <c r="A48" s="57" t="s">
        <v>231</v>
      </c>
      <c r="B48" s="58"/>
      <c r="C48" s="58"/>
      <c r="D48" s="58"/>
      <c r="E48" s="58"/>
      <c r="F48" s="58"/>
      <c r="G48" s="58"/>
      <c r="H48" s="58"/>
      <c r="I48" s="58"/>
      <c r="J48" s="58"/>
    </row>
    <row r="49" spans="1:13" x14ac:dyDescent="0.2">
      <c r="A49" s="11" t="s">
        <v>233</v>
      </c>
      <c r="B49" s="11" t="s">
        <v>234</v>
      </c>
      <c r="C49" s="11" t="s">
        <v>235</v>
      </c>
      <c r="D49" s="11" t="str">
        <f>"0,5259"</f>
        <v>0,5259</v>
      </c>
      <c r="E49" s="11" t="s">
        <v>156</v>
      </c>
      <c r="F49" s="11" t="s">
        <v>129</v>
      </c>
      <c r="G49" s="12" t="s">
        <v>140</v>
      </c>
      <c r="H49" s="12" t="s">
        <v>113</v>
      </c>
      <c r="I49" s="13" t="s">
        <v>158</v>
      </c>
      <c r="J49" s="13"/>
      <c r="K49" s="16" t="str">
        <f>"140,0"</f>
        <v>140,0</v>
      </c>
      <c r="L49" s="17" t="str">
        <f>"78,0436"</f>
        <v>78,0436</v>
      </c>
      <c r="M49" s="11" t="s">
        <v>162</v>
      </c>
    </row>
    <row r="51" spans="1:13" ht="15" x14ac:dyDescent="0.2">
      <c r="E51" s="14" t="s">
        <v>34</v>
      </c>
    </row>
    <row r="52" spans="1:13" ht="15" x14ac:dyDescent="0.2">
      <c r="E52" s="14" t="s">
        <v>35</v>
      </c>
    </row>
    <row r="53" spans="1:13" ht="15" x14ac:dyDescent="0.2">
      <c r="E53" s="14" t="s">
        <v>36</v>
      </c>
    </row>
    <row r="54" spans="1:13" ht="15" x14ac:dyDescent="0.2">
      <c r="E54" s="14" t="s">
        <v>37</v>
      </c>
    </row>
    <row r="55" spans="1:13" ht="15" x14ac:dyDescent="0.2">
      <c r="E55" s="14" t="s">
        <v>37</v>
      </c>
    </row>
    <row r="56" spans="1:13" ht="15" x14ac:dyDescent="0.2">
      <c r="E56" s="14" t="s">
        <v>38</v>
      </c>
    </row>
    <row r="57" spans="1:13" ht="15" x14ac:dyDescent="0.2">
      <c r="E57" s="14"/>
    </row>
    <row r="59" spans="1:13" ht="18" x14ac:dyDescent="0.25">
      <c r="A59" s="18" t="s">
        <v>39</v>
      </c>
      <c r="B59" s="18"/>
    </row>
    <row r="60" spans="1:13" ht="15" x14ac:dyDescent="0.2">
      <c r="A60" s="19" t="s">
        <v>246</v>
      </c>
      <c r="B60" s="19"/>
    </row>
    <row r="61" spans="1:13" ht="14.25" x14ac:dyDescent="0.2">
      <c r="A61" s="21"/>
      <c r="B61" s="22" t="s">
        <v>41</v>
      </c>
    </row>
    <row r="62" spans="1:13" ht="15" x14ac:dyDescent="0.2">
      <c r="A62" s="23" t="s">
        <v>42</v>
      </c>
      <c r="B62" s="23" t="s">
        <v>43</v>
      </c>
      <c r="C62" s="23" t="s">
        <v>44</v>
      </c>
      <c r="D62" s="23" t="s">
        <v>341</v>
      </c>
      <c r="E62" s="23" t="s">
        <v>46</v>
      </c>
    </row>
    <row r="63" spans="1:13" x14ac:dyDescent="0.2">
      <c r="A63" s="20" t="s">
        <v>522</v>
      </c>
      <c r="B63" s="4" t="s">
        <v>41</v>
      </c>
      <c r="C63" s="4" t="s">
        <v>249</v>
      </c>
      <c r="D63" s="4" t="s">
        <v>526</v>
      </c>
      <c r="E63" s="15" t="s">
        <v>579</v>
      </c>
    </row>
    <row r="64" spans="1:13" x14ac:dyDescent="0.2">
      <c r="A64" s="20" t="s">
        <v>517</v>
      </c>
      <c r="B64" s="4" t="s">
        <v>41</v>
      </c>
      <c r="C64" s="4" t="s">
        <v>274</v>
      </c>
      <c r="D64" s="4" t="s">
        <v>140</v>
      </c>
      <c r="E64" s="15" t="s">
        <v>580</v>
      </c>
    </row>
    <row r="65" spans="1:5" x14ac:dyDescent="0.2">
      <c r="A65" s="20" t="s">
        <v>511</v>
      </c>
      <c r="B65" s="4" t="s">
        <v>41</v>
      </c>
      <c r="C65" s="4" t="s">
        <v>448</v>
      </c>
      <c r="D65" s="4" t="s">
        <v>75</v>
      </c>
      <c r="E65" s="15" t="s">
        <v>581</v>
      </c>
    </row>
    <row r="67" spans="1:5" ht="14.25" x14ac:dyDescent="0.2">
      <c r="A67" s="21"/>
      <c r="B67" s="22" t="s">
        <v>251</v>
      </c>
    </row>
    <row r="68" spans="1:5" ht="15" x14ac:dyDescent="0.2">
      <c r="A68" s="23" t="s">
        <v>42</v>
      </c>
      <c r="B68" s="23" t="s">
        <v>43</v>
      </c>
      <c r="C68" s="23" t="s">
        <v>44</v>
      </c>
      <c r="D68" s="23" t="s">
        <v>341</v>
      </c>
      <c r="E68" s="23" t="s">
        <v>46</v>
      </c>
    </row>
    <row r="69" spans="1:5" x14ac:dyDescent="0.2">
      <c r="A69" s="20" t="s">
        <v>77</v>
      </c>
      <c r="B69" s="4" t="s">
        <v>252</v>
      </c>
      <c r="C69" s="4" t="s">
        <v>249</v>
      </c>
      <c r="D69" s="4" t="s">
        <v>88</v>
      </c>
      <c r="E69" s="15" t="s">
        <v>582</v>
      </c>
    </row>
    <row r="70" spans="1:5" x14ac:dyDescent="0.2">
      <c r="A70" s="20" t="s">
        <v>528</v>
      </c>
      <c r="B70" s="4" t="s">
        <v>252</v>
      </c>
      <c r="C70" s="4" t="s">
        <v>583</v>
      </c>
      <c r="D70" s="4" t="s">
        <v>113</v>
      </c>
      <c r="E70" s="15" t="s">
        <v>584</v>
      </c>
    </row>
    <row r="73" spans="1:5" ht="15" x14ac:dyDescent="0.2">
      <c r="A73" s="19" t="s">
        <v>40</v>
      </c>
      <c r="B73" s="19"/>
    </row>
    <row r="74" spans="1:5" ht="14.25" x14ac:dyDescent="0.2">
      <c r="A74" s="21"/>
      <c r="B74" s="22" t="s">
        <v>255</v>
      </c>
    </row>
    <row r="75" spans="1:5" ht="15" x14ac:dyDescent="0.2">
      <c r="A75" s="23" t="s">
        <v>42</v>
      </c>
      <c r="B75" s="23" t="s">
        <v>43</v>
      </c>
      <c r="C75" s="23" t="s">
        <v>44</v>
      </c>
      <c r="D75" s="23" t="s">
        <v>341</v>
      </c>
      <c r="E75" s="23" t="s">
        <v>46</v>
      </c>
    </row>
    <row r="76" spans="1:5" x14ac:dyDescent="0.2">
      <c r="A76" s="20" t="s">
        <v>152</v>
      </c>
      <c r="B76" s="4" t="s">
        <v>256</v>
      </c>
      <c r="C76" s="4" t="s">
        <v>257</v>
      </c>
      <c r="D76" s="4" t="s">
        <v>131</v>
      </c>
      <c r="E76" s="15" t="s">
        <v>585</v>
      </c>
    </row>
    <row r="77" spans="1:5" x14ac:dyDescent="0.2">
      <c r="A77" s="20" t="s">
        <v>552</v>
      </c>
      <c r="B77" s="4" t="s">
        <v>256</v>
      </c>
      <c r="C77" s="4" t="s">
        <v>257</v>
      </c>
      <c r="D77" s="4" t="s">
        <v>143</v>
      </c>
      <c r="E77" s="15" t="s">
        <v>586</v>
      </c>
    </row>
    <row r="78" spans="1:5" x14ac:dyDescent="0.2">
      <c r="A78" s="20" t="s">
        <v>369</v>
      </c>
      <c r="B78" s="4" t="s">
        <v>447</v>
      </c>
      <c r="C78" s="4" t="s">
        <v>448</v>
      </c>
      <c r="D78" s="4" t="s">
        <v>160</v>
      </c>
      <c r="E78" s="15" t="s">
        <v>587</v>
      </c>
    </row>
    <row r="79" spans="1:5" x14ac:dyDescent="0.2">
      <c r="A79" s="20" t="s">
        <v>90</v>
      </c>
      <c r="B79" s="4" t="s">
        <v>277</v>
      </c>
      <c r="C79" s="4" t="s">
        <v>247</v>
      </c>
      <c r="D79" s="4" t="s">
        <v>98</v>
      </c>
      <c r="E79" s="15" t="s">
        <v>588</v>
      </c>
    </row>
    <row r="80" spans="1:5" x14ac:dyDescent="0.2">
      <c r="A80" s="20" t="s">
        <v>232</v>
      </c>
      <c r="B80" s="4" t="s">
        <v>256</v>
      </c>
      <c r="C80" s="4" t="s">
        <v>281</v>
      </c>
      <c r="D80" s="4" t="s">
        <v>113</v>
      </c>
      <c r="E80" s="15" t="s">
        <v>589</v>
      </c>
    </row>
    <row r="82" spans="1:5" ht="14.25" x14ac:dyDescent="0.2">
      <c r="A82" s="21"/>
      <c r="B82" s="22" t="s">
        <v>283</v>
      </c>
    </row>
    <row r="83" spans="1:5" ht="15" x14ac:dyDescent="0.2">
      <c r="A83" s="23" t="s">
        <v>42</v>
      </c>
      <c r="B83" s="23" t="s">
        <v>43</v>
      </c>
      <c r="C83" s="23" t="s">
        <v>44</v>
      </c>
      <c r="D83" s="23" t="s">
        <v>341</v>
      </c>
      <c r="E83" s="23" t="s">
        <v>46</v>
      </c>
    </row>
    <row r="84" spans="1:5" x14ac:dyDescent="0.2">
      <c r="A84" s="20" t="s">
        <v>533</v>
      </c>
      <c r="B84" s="4" t="s">
        <v>284</v>
      </c>
      <c r="C84" s="4" t="s">
        <v>263</v>
      </c>
      <c r="D84" s="4" t="s">
        <v>160</v>
      </c>
      <c r="E84" s="15" t="s">
        <v>590</v>
      </c>
    </row>
    <row r="86" spans="1:5" ht="14.25" x14ac:dyDescent="0.2">
      <c r="A86" s="21"/>
      <c r="B86" s="22" t="s">
        <v>41</v>
      </c>
    </row>
    <row r="87" spans="1:5" ht="15" x14ac:dyDescent="0.2">
      <c r="A87" s="23" t="s">
        <v>42</v>
      </c>
      <c r="B87" s="23" t="s">
        <v>43</v>
      </c>
      <c r="C87" s="23" t="s">
        <v>44</v>
      </c>
      <c r="D87" s="23" t="s">
        <v>341</v>
      </c>
      <c r="E87" s="23" t="s">
        <v>46</v>
      </c>
    </row>
    <row r="88" spans="1:5" x14ac:dyDescent="0.2">
      <c r="A88" s="20" t="s">
        <v>536</v>
      </c>
      <c r="B88" s="4" t="s">
        <v>41</v>
      </c>
      <c r="C88" s="4" t="s">
        <v>263</v>
      </c>
      <c r="D88" s="4" t="s">
        <v>143</v>
      </c>
      <c r="E88" s="15" t="s">
        <v>591</v>
      </c>
    </row>
    <row r="89" spans="1:5" x14ac:dyDescent="0.2">
      <c r="A89" s="20" t="s">
        <v>566</v>
      </c>
      <c r="B89" s="4" t="s">
        <v>41</v>
      </c>
      <c r="C89" s="4" t="s">
        <v>271</v>
      </c>
      <c r="D89" s="4" t="s">
        <v>240</v>
      </c>
      <c r="E89" s="15" t="s">
        <v>592</v>
      </c>
    </row>
    <row r="90" spans="1:5" x14ac:dyDescent="0.2">
      <c r="A90" s="20" t="s">
        <v>557</v>
      </c>
      <c r="B90" s="4" t="s">
        <v>41</v>
      </c>
      <c r="C90" s="4" t="s">
        <v>266</v>
      </c>
      <c r="D90" s="4" t="s">
        <v>24</v>
      </c>
      <c r="E90" s="15" t="s">
        <v>593</v>
      </c>
    </row>
    <row r="91" spans="1:5" x14ac:dyDescent="0.2">
      <c r="A91" s="20" t="s">
        <v>571</v>
      </c>
      <c r="B91" s="4" t="s">
        <v>41</v>
      </c>
      <c r="C91" s="4" t="s">
        <v>271</v>
      </c>
      <c r="D91" s="4" t="s">
        <v>24</v>
      </c>
      <c r="E91" s="15" t="s">
        <v>594</v>
      </c>
    </row>
    <row r="92" spans="1:5" x14ac:dyDescent="0.2">
      <c r="A92" s="20" t="s">
        <v>548</v>
      </c>
      <c r="B92" s="4" t="s">
        <v>41</v>
      </c>
      <c r="C92" s="4" t="s">
        <v>249</v>
      </c>
      <c r="D92" s="4" t="s">
        <v>124</v>
      </c>
      <c r="E92" s="15" t="s">
        <v>595</v>
      </c>
    </row>
    <row r="94" spans="1:5" ht="14.25" x14ac:dyDescent="0.2">
      <c r="A94" s="21"/>
      <c r="B94" s="22" t="s">
        <v>251</v>
      </c>
    </row>
    <row r="95" spans="1:5" ht="15" x14ac:dyDescent="0.2">
      <c r="A95" s="23" t="s">
        <v>42</v>
      </c>
      <c r="B95" s="23" t="s">
        <v>43</v>
      </c>
      <c r="C95" s="23" t="s">
        <v>44</v>
      </c>
      <c r="D95" s="23" t="s">
        <v>341</v>
      </c>
      <c r="E95" s="23" t="s">
        <v>46</v>
      </c>
    </row>
    <row r="96" spans="1:5" x14ac:dyDescent="0.2">
      <c r="A96" s="20" t="s">
        <v>541</v>
      </c>
      <c r="B96" s="4" t="s">
        <v>596</v>
      </c>
      <c r="C96" s="4" t="s">
        <v>263</v>
      </c>
      <c r="D96" s="4" t="s">
        <v>540</v>
      </c>
      <c r="E96" s="15" t="s">
        <v>597</v>
      </c>
    </row>
    <row r="97" spans="1:5" x14ac:dyDescent="0.2">
      <c r="A97" s="20" t="s">
        <v>575</v>
      </c>
      <c r="B97" s="4" t="s">
        <v>252</v>
      </c>
      <c r="C97" s="4" t="s">
        <v>47</v>
      </c>
      <c r="D97" s="4" t="s">
        <v>188</v>
      </c>
      <c r="E97" s="15" t="s">
        <v>598</v>
      </c>
    </row>
    <row r="98" spans="1:5" x14ac:dyDescent="0.2">
      <c r="A98" s="20" t="s">
        <v>430</v>
      </c>
      <c r="B98" s="4" t="s">
        <v>252</v>
      </c>
      <c r="C98" s="4" t="s">
        <v>266</v>
      </c>
      <c r="D98" s="4" t="s">
        <v>142</v>
      </c>
      <c r="E98" s="15" t="s">
        <v>599</v>
      </c>
    </row>
    <row r="99" spans="1:5" x14ac:dyDescent="0.2">
      <c r="A99" s="20" t="s">
        <v>562</v>
      </c>
      <c r="B99" s="4" t="s">
        <v>252</v>
      </c>
      <c r="C99" s="4" t="s">
        <v>266</v>
      </c>
      <c r="D99" s="4" t="s">
        <v>28</v>
      </c>
      <c r="E99" s="15" t="s">
        <v>600</v>
      </c>
    </row>
  </sheetData>
  <mergeCells count="24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48:J48"/>
    <mergeCell ref="A8:J8"/>
    <mergeCell ref="A11:J11"/>
    <mergeCell ref="A15:J15"/>
    <mergeCell ref="A18:J18"/>
    <mergeCell ref="A21:J21"/>
    <mergeCell ref="A24:J24"/>
    <mergeCell ref="A29:J29"/>
    <mergeCell ref="A32:J32"/>
    <mergeCell ref="A36:J36"/>
    <mergeCell ref="A41:J41"/>
    <mergeCell ref="A45:J4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15" bestFit="1" customWidth="1"/>
    <col min="12" max="12" width="8.5703125" style="2" bestFit="1" customWidth="1"/>
    <col min="13" max="13" width="15.7109375" style="4" bestFit="1" customWidth="1"/>
    <col min="14" max="16384" width="9.140625" style="3"/>
  </cols>
  <sheetData>
    <row r="1" spans="1:13" s="2" customFormat="1" ht="29.1" customHeight="1" x14ac:dyDescent="0.2">
      <c r="A1" s="56" t="s">
        <v>497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13</v>
      </c>
      <c r="E3" s="39" t="s">
        <v>4</v>
      </c>
      <c r="F3" s="39" t="s">
        <v>8</v>
      </c>
      <c r="G3" s="39" t="s">
        <v>15</v>
      </c>
      <c r="H3" s="39"/>
      <c r="I3" s="39"/>
      <c r="J3" s="39"/>
      <c r="K3" s="39" t="s">
        <v>343</v>
      </c>
      <c r="L3" s="39" t="s">
        <v>3</v>
      </c>
      <c r="M3" s="42" t="s">
        <v>2</v>
      </c>
    </row>
    <row r="4" spans="1:13" s="1" customFormat="1" ht="21" customHeight="1" thickBot="1" x14ac:dyDescent="0.25">
      <c r="A4" s="51"/>
      <c r="B4" s="53"/>
      <c r="C4" s="53"/>
      <c r="D4" s="53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53"/>
      <c r="L4" s="53"/>
      <c r="M4" s="43"/>
    </row>
    <row r="5" spans="1:13" ht="15" x14ac:dyDescent="0.2">
      <c r="A5" s="54" t="s">
        <v>65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1" t="s">
        <v>499</v>
      </c>
      <c r="B6" s="11" t="s">
        <v>500</v>
      </c>
      <c r="C6" s="11" t="s">
        <v>501</v>
      </c>
      <c r="D6" s="11" t="str">
        <f>"0,6955"</f>
        <v>0,6955</v>
      </c>
      <c r="E6" s="11" t="s">
        <v>351</v>
      </c>
      <c r="F6" s="11" t="s">
        <v>352</v>
      </c>
      <c r="G6" s="12" t="s">
        <v>28</v>
      </c>
      <c r="H6" s="12" t="s">
        <v>183</v>
      </c>
      <c r="I6" s="13"/>
      <c r="J6" s="13"/>
      <c r="K6" s="16" t="str">
        <f>"180,0"</f>
        <v>180,0</v>
      </c>
      <c r="L6" s="17" t="str">
        <f>"212,8315"</f>
        <v>212,8315</v>
      </c>
      <c r="M6" s="11" t="s">
        <v>33</v>
      </c>
    </row>
    <row r="8" spans="1:13" ht="15" x14ac:dyDescent="0.2">
      <c r="A8" s="57" t="s">
        <v>17</v>
      </c>
      <c r="B8" s="58"/>
      <c r="C8" s="58"/>
      <c r="D8" s="58"/>
      <c r="E8" s="58"/>
      <c r="F8" s="58"/>
      <c r="G8" s="58"/>
      <c r="H8" s="58"/>
      <c r="I8" s="58"/>
      <c r="J8" s="58"/>
    </row>
    <row r="9" spans="1:13" x14ac:dyDescent="0.2">
      <c r="A9" s="11" t="s">
        <v>503</v>
      </c>
      <c r="B9" s="11" t="s">
        <v>504</v>
      </c>
      <c r="C9" s="11" t="s">
        <v>505</v>
      </c>
      <c r="D9" s="11" t="str">
        <f>"0,5426"</f>
        <v>0,5426</v>
      </c>
      <c r="E9" s="11" t="s">
        <v>506</v>
      </c>
      <c r="F9" s="11" t="s">
        <v>319</v>
      </c>
      <c r="G9" s="12" t="s">
        <v>192</v>
      </c>
      <c r="H9" s="12" t="s">
        <v>31</v>
      </c>
      <c r="I9" s="13" t="s">
        <v>228</v>
      </c>
      <c r="J9" s="13"/>
      <c r="K9" s="16" t="str">
        <f>"265,0"</f>
        <v>265,0</v>
      </c>
      <c r="L9" s="17" t="str">
        <f>"143,7890"</f>
        <v>143,7890</v>
      </c>
      <c r="M9" s="11" t="s">
        <v>507</v>
      </c>
    </row>
    <row r="11" spans="1:13" ht="15" x14ac:dyDescent="0.2">
      <c r="E11" s="14" t="s">
        <v>34</v>
      </c>
    </row>
    <row r="12" spans="1:13" ht="15" x14ac:dyDescent="0.2">
      <c r="E12" s="14" t="s">
        <v>35</v>
      </c>
    </row>
    <row r="13" spans="1:13" ht="15" x14ac:dyDescent="0.2">
      <c r="E13" s="14" t="s">
        <v>36</v>
      </c>
    </row>
    <row r="14" spans="1:13" ht="15" x14ac:dyDescent="0.2">
      <c r="E14" s="14" t="s">
        <v>37</v>
      </c>
    </row>
    <row r="15" spans="1:13" ht="15" x14ac:dyDescent="0.2">
      <c r="E15" s="14" t="s">
        <v>37</v>
      </c>
    </row>
    <row r="16" spans="1:13" ht="15" x14ac:dyDescent="0.2">
      <c r="E16" s="14" t="s">
        <v>38</v>
      </c>
    </row>
    <row r="17" spans="1:5" ht="15" x14ac:dyDescent="0.2">
      <c r="E17" s="14"/>
    </row>
    <row r="19" spans="1:5" ht="18" x14ac:dyDescent="0.25">
      <c r="A19" s="18" t="s">
        <v>39</v>
      </c>
      <c r="B19" s="18"/>
    </row>
    <row r="20" spans="1:5" ht="15" x14ac:dyDescent="0.2">
      <c r="A20" s="19" t="s">
        <v>40</v>
      </c>
      <c r="B20" s="19"/>
    </row>
    <row r="21" spans="1:5" ht="14.25" x14ac:dyDescent="0.2">
      <c r="A21" s="21"/>
      <c r="B21" s="22" t="s">
        <v>41</v>
      </c>
    </row>
    <row r="22" spans="1:5" ht="15" x14ac:dyDescent="0.2">
      <c r="A22" s="23" t="s">
        <v>42</v>
      </c>
      <c r="B22" s="23" t="s">
        <v>43</v>
      </c>
      <c r="C22" s="23" t="s">
        <v>44</v>
      </c>
      <c r="D22" s="23" t="s">
        <v>341</v>
      </c>
      <c r="E22" s="23" t="s">
        <v>46</v>
      </c>
    </row>
    <row r="23" spans="1:5" x14ac:dyDescent="0.2">
      <c r="A23" s="20" t="s">
        <v>502</v>
      </c>
      <c r="B23" s="4" t="s">
        <v>41</v>
      </c>
      <c r="C23" s="4" t="s">
        <v>47</v>
      </c>
      <c r="D23" s="4" t="s">
        <v>31</v>
      </c>
      <c r="E23" s="15" t="s">
        <v>508</v>
      </c>
    </row>
    <row r="25" spans="1:5" ht="14.25" x14ac:dyDescent="0.2">
      <c r="A25" s="21"/>
      <c r="B25" s="22" t="s">
        <v>251</v>
      </c>
    </row>
    <row r="26" spans="1:5" ht="15" x14ac:dyDescent="0.2">
      <c r="A26" s="23" t="s">
        <v>42</v>
      </c>
      <c r="B26" s="23" t="s">
        <v>43</v>
      </c>
      <c r="C26" s="23" t="s">
        <v>44</v>
      </c>
      <c r="D26" s="23" t="s">
        <v>341</v>
      </c>
      <c r="E26" s="23" t="s">
        <v>46</v>
      </c>
    </row>
    <row r="27" spans="1:5" x14ac:dyDescent="0.2">
      <c r="A27" s="20" t="s">
        <v>498</v>
      </c>
      <c r="B27" s="4" t="s">
        <v>301</v>
      </c>
      <c r="C27" s="4" t="s">
        <v>249</v>
      </c>
      <c r="D27" s="4" t="s">
        <v>183</v>
      </c>
      <c r="E27" s="15" t="s">
        <v>509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6" style="4" bestFit="1" customWidth="1"/>
    <col min="7" max="9" width="5.5703125" style="3" customWidth="1"/>
    <col min="10" max="10" width="4.85546875" style="3" customWidth="1"/>
    <col min="11" max="11" width="7.85546875" style="15" bestFit="1" customWidth="1"/>
    <col min="12" max="12" width="8.5703125" style="2" bestFit="1" customWidth="1"/>
    <col min="13" max="13" width="12.42578125" style="4" bestFit="1" customWidth="1"/>
    <col min="14" max="16384" width="9.140625" style="3"/>
  </cols>
  <sheetData>
    <row r="1" spans="1:13" s="2" customFormat="1" ht="29.1" customHeight="1" x14ac:dyDescent="0.2">
      <c r="A1" s="56" t="s">
        <v>488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39" t="s">
        <v>13</v>
      </c>
      <c r="E3" s="39" t="s">
        <v>4</v>
      </c>
      <c r="F3" s="39" t="s">
        <v>8</v>
      </c>
      <c r="G3" s="39" t="s">
        <v>15</v>
      </c>
      <c r="H3" s="39"/>
      <c r="I3" s="39"/>
      <c r="J3" s="39"/>
      <c r="K3" s="39" t="s">
        <v>343</v>
      </c>
      <c r="L3" s="39" t="s">
        <v>3</v>
      </c>
      <c r="M3" s="42" t="s">
        <v>2</v>
      </c>
    </row>
    <row r="4" spans="1:13" s="1" customFormat="1" ht="21" customHeight="1" thickBot="1" x14ac:dyDescent="0.25">
      <c r="A4" s="51"/>
      <c r="B4" s="53"/>
      <c r="C4" s="53"/>
      <c r="D4" s="53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53"/>
      <c r="L4" s="53"/>
      <c r="M4" s="43"/>
    </row>
    <row r="5" spans="1:13" ht="15" x14ac:dyDescent="0.2">
      <c r="A5" s="54" t="s">
        <v>489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1" t="s">
        <v>491</v>
      </c>
      <c r="B6" s="11" t="s">
        <v>492</v>
      </c>
      <c r="C6" s="11" t="s">
        <v>493</v>
      </c>
      <c r="D6" s="11" t="str">
        <f>"0,4975"</f>
        <v>0,4975</v>
      </c>
      <c r="E6" s="11" t="s">
        <v>477</v>
      </c>
      <c r="F6" s="11" t="s">
        <v>478</v>
      </c>
      <c r="G6" s="13" t="s">
        <v>275</v>
      </c>
      <c r="H6" s="13" t="s">
        <v>494</v>
      </c>
      <c r="I6" s="12" t="s">
        <v>494</v>
      </c>
      <c r="J6" s="13"/>
      <c r="K6" s="16" t="str">
        <f>"285,0"</f>
        <v>285,0</v>
      </c>
      <c r="L6" s="17" t="str">
        <f>"141,7875"</f>
        <v>141,7875</v>
      </c>
      <c r="M6" s="11" t="s">
        <v>479</v>
      </c>
    </row>
    <row r="8" spans="1:13" ht="15" x14ac:dyDescent="0.2">
      <c r="E8" s="14" t="s">
        <v>34</v>
      </c>
    </row>
    <row r="9" spans="1:13" ht="15" x14ac:dyDescent="0.2">
      <c r="E9" s="14" t="s">
        <v>35</v>
      </c>
    </row>
    <row r="10" spans="1:13" ht="15" x14ac:dyDescent="0.2">
      <c r="E10" s="14" t="s">
        <v>36</v>
      </c>
    </row>
    <row r="11" spans="1:13" ht="15" x14ac:dyDescent="0.2">
      <c r="E11" s="14" t="s">
        <v>37</v>
      </c>
    </row>
    <row r="12" spans="1:13" ht="15" x14ac:dyDescent="0.2">
      <c r="E12" s="14" t="s">
        <v>37</v>
      </c>
    </row>
    <row r="13" spans="1:13" ht="15" x14ac:dyDescent="0.2">
      <c r="E13" s="14" t="s">
        <v>38</v>
      </c>
    </row>
    <row r="14" spans="1:13" ht="15" x14ac:dyDescent="0.2">
      <c r="E14" s="14"/>
    </row>
    <row r="16" spans="1:13" ht="18" x14ac:dyDescent="0.25">
      <c r="A16" s="18" t="s">
        <v>39</v>
      </c>
      <c r="B16" s="18"/>
    </row>
    <row r="17" spans="1:5" ht="15" x14ac:dyDescent="0.2">
      <c r="A17" s="19" t="s">
        <v>40</v>
      </c>
      <c r="B17" s="19"/>
    </row>
    <row r="18" spans="1:5" ht="14.25" x14ac:dyDescent="0.2">
      <c r="A18" s="21"/>
      <c r="B18" s="22" t="s">
        <v>41</v>
      </c>
    </row>
    <row r="19" spans="1:5" ht="15" x14ac:dyDescent="0.2">
      <c r="A19" s="23" t="s">
        <v>42</v>
      </c>
      <c r="B19" s="23" t="s">
        <v>43</v>
      </c>
      <c r="C19" s="23" t="s">
        <v>44</v>
      </c>
      <c r="D19" s="23" t="s">
        <v>341</v>
      </c>
      <c r="E19" s="23" t="s">
        <v>46</v>
      </c>
    </row>
    <row r="20" spans="1:5" x14ac:dyDescent="0.2">
      <c r="A20" s="20" t="s">
        <v>490</v>
      </c>
      <c r="B20" s="4" t="s">
        <v>41</v>
      </c>
      <c r="C20" s="4" t="s">
        <v>495</v>
      </c>
      <c r="D20" s="4" t="s">
        <v>494</v>
      </c>
      <c r="E20" s="15" t="s">
        <v>496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36</vt:i4>
      </vt:variant>
    </vt:vector>
  </HeadingPairs>
  <TitlesOfParts>
    <vt:vector size="36" baseType="lpstr">
      <vt:lpstr>Лист17</vt:lpstr>
      <vt:lpstr>Двоеборье проф.</vt:lpstr>
      <vt:lpstr>ПРО присед б.э.</vt:lpstr>
      <vt:lpstr>Люб. присед б.э.</vt:lpstr>
      <vt:lpstr>Люб. тяга софт экип.</vt:lpstr>
      <vt:lpstr>ПРО тяга б.э.</vt:lpstr>
      <vt:lpstr>Люб. тяга б.э.</vt:lpstr>
      <vt:lpstr>ПРО жим софт мн.петельная</vt:lpstr>
      <vt:lpstr>Люб. жим софт мн.петельная</vt:lpstr>
      <vt:lpstr>ПРО жим софт 1 петельная</vt:lpstr>
      <vt:lpstr>Люб. жим 1 петельная</vt:lpstr>
      <vt:lpstr>ПРО жим б.э.</vt:lpstr>
      <vt:lpstr>Люб. жим б.э.</vt:lpstr>
      <vt:lpstr>ПРО жим 1.слой</vt:lpstr>
      <vt:lpstr>Люб. Военный жим класс.</vt:lpstr>
      <vt:lpstr>ПРО ПЛ. б.э.</vt:lpstr>
      <vt:lpstr>Люб. ПЛ. б.э.</vt:lpstr>
      <vt:lpstr>ПРО ПЛ. 1.слой</vt:lpstr>
      <vt:lpstr>ПРО В.Ж. многоповторный</vt:lpstr>
      <vt:lpstr>Люб. становая тяга</vt:lpstr>
      <vt:lpstr>Проф. народный жим 1 вес</vt:lpstr>
      <vt:lpstr>Люб. народный жим 1_2 вес</vt:lpstr>
      <vt:lpstr>Люб. народный жим 1 вес</vt:lpstr>
      <vt:lpstr>Пауэрспорт Любители</vt:lpstr>
      <vt:lpstr>Бицепс Профессионалы</vt:lpstr>
      <vt:lpstr>Бицепс Любители</vt:lpstr>
      <vt:lpstr>Русская тяга люб. 150 кг.</vt:lpstr>
      <vt:lpstr>Русская тяга проф. 100 кг.</vt:lpstr>
      <vt:lpstr>Русская тяга люб. 100 кг.</vt:lpstr>
      <vt:lpstr>Русская тяга люб. 75 кг.</vt:lpstr>
      <vt:lpstr>Русская тяга люб. 55 кг.</vt:lpstr>
      <vt:lpstr>РБ Проф 50 кг.</vt:lpstr>
      <vt:lpstr>РБ Проф 35 кг.</vt:lpstr>
      <vt:lpstr>РЖ любители 75 кг.</vt:lpstr>
      <vt:lpstr>РЖ Проф 75 кг.</vt:lpstr>
      <vt:lpstr>РЖ Проф 55 кг.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2021-07-29T10:51:59Z</dcterms:modified>
</cp:coreProperties>
</file>