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люб.жим бэ" sheetId="5" r:id="rId1"/>
    <sheet name="люб.тяга бэ" sheetId="6" r:id="rId2"/>
    <sheet name="люб.народ.тяга" sheetId="7" r:id="rId3"/>
    <sheet name="люб.одиноч.бицепс" sheetId="8" r:id="rId4"/>
    <sheet name="ПРО ПЛ. б.э." sheetId="9" r:id="rId5"/>
    <sheet name="Люб. ПЛ. б.э." sheetId="10" r:id="rId6"/>
    <sheet name="Люб. ПЛ. 1.петельная софт" sheetId="11" r:id="rId7"/>
    <sheet name="ПРО ПЛ. 1.петельная софт" sheetId="12" r:id="rId8"/>
    <sheet name="люб.пауэрспорт" sheetId="13" r:id="rId9"/>
    <sheet name="про жим софт.многоп." sheetId="14" r:id="rId10"/>
    <sheet name="про народ.жим 1 вес" sheetId="15" r:id="rId11"/>
    <sheet name="люб.русс.тяга 55 кг" sheetId="16" r:id="rId12"/>
    <sheet name="люб.русс.тяга 100 кг" sheetId="17" r:id="rId13"/>
    <sheet name="про русс.тяга 150 кг" sheetId="18" r:id="rId14"/>
    <sheet name="про русс.биц. 50 кг" sheetId="19" r:id="rId15"/>
    <sheet name="про рж 55 кг" sheetId="20" r:id="rId16"/>
    <sheet name="про рж 100 кг" sheetId="21" r:id="rId17"/>
    <sheet name="люб.силовое двоеб" sheetId="22" r:id="rId18"/>
    <sheet name="про силовое двоеб" sheetId="23" r:id="rId19"/>
  </sheets>
  <definedNames>
    <definedName name="_FilterDatabase" localSheetId="0" hidden="1">'люб.жим бэ'!$A$1:$K$3</definedName>
    <definedName name="_FilterDatabase" localSheetId="2" hidden="1">люб.народ.тяга!$A$1:$I$3</definedName>
    <definedName name="_FilterDatabase" localSheetId="3" hidden="1">люб.одиноч.бицепс!$A$1:$K$3</definedName>
    <definedName name="_FilterDatabase" localSheetId="8" hidden="1">люб.пауэрспорт!$A$1:$O$3</definedName>
    <definedName name="_FilterDatabase" localSheetId="12" hidden="1">'люб.русс.тяга 100 кг'!$A$1:$I$3</definedName>
    <definedName name="_FilterDatabase" localSheetId="11" hidden="1">'люб.русс.тяга 55 кг'!$A$1:$I$3</definedName>
    <definedName name="_FilterDatabase" localSheetId="17" hidden="1">'люб.силовое двоеб'!$A$1:$O$3</definedName>
    <definedName name="_FilterDatabase" localSheetId="1" hidden="1">'люб.тяга бэ'!$A$1:$K$3</definedName>
    <definedName name="_FilterDatabase" localSheetId="9" hidden="1">'про жим софт.многоп.'!$A$1:$K$3</definedName>
    <definedName name="_FilterDatabase" localSheetId="10" hidden="1">'про народ.жим 1 вес'!$A$1:$I$3</definedName>
    <definedName name="_FilterDatabase" localSheetId="7" hidden="1">'ПРО ПЛ. 1.петельная софт'!$A$1:$S$3</definedName>
    <definedName name="_FilterDatabase" localSheetId="16" hidden="1">'про рж 100 кг'!$A$1:$I$3</definedName>
    <definedName name="_FilterDatabase" localSheetId="15" hidden="1">'про рж 55 кг'!$A$1:$I$3</definedName>
    <definedName name="_FilterDatabase" localSheetId="14" hidden="1">'про русс.биц. 50 кг'!$A$1:$I$3</definedName>
    <definedName name="_FilterDatabase" localSheetId="13" hidden="1">'про русс.тяга 150 кг'!$A$1:$I$3</definedName>
    <definedName name="_FilterDatabase" localSheetId="18" hidden="1">'про силовое двоеб'!$A$1:$O$3</definedName>
  </definedNames>
  <calcPr calcId="162913" refMode="R1C1"/>
</workbook>
</file>

<file path=xl/calcChain.xml><?xml version="1.0" encoding="utf-8"?>
<calcChain xmlns="http://schemas.openxmlformats.org/spreadsheetml/2006/main">
  <c r="D6" i="23" l="1"/>
  <c r="O6" i="23"/>
  <c r="P6" i="23"/>
  <c r="D6" i="22" l="1"/>
  <c r="O6" i="22"/>
  <c r="P6" i="22"/>
  <c r="D9" i="22"/>
  <c r="O9" i="22"/>
  <c r="P9" i="22"/>
  <c r="D12" i="22"/>
  <c r="O12" i="22"/>
  <c r="P12" i="22"/>
  <c r="D15" i="22"/>
  <c r="O15" i="22"/>
  <c r="P15" i="22"/>
  <c r="D18" i="22"/>
  <c r="O18" i="22"/>
  <c r="P18" i="22"/>
  <c r="D21" i="22"/>
  <c r="O21" i="22"/>
  <c r="P21" i="22"/>
  <c r="D6" i="21" l="1"/>
  <c r="I6" i="21"/>
  <c r="J6" i="21"/>
  <c r="D6" i="20" l="1"/>
  <c r="I6" i="20"/>
  <c r="J6" i="20"/>
  <c r="D6" i="19" l="1"/>
  <c r="I6" i="19"/>
  <c r="J6" i="19"/>
  <c r="D7" i="19"/>
  <c r="I7" i="19"/>
  <c r="J7" i="19"/>
  <c r="D8" i="19"/>
  <c r="I8" i="19"/>
  <c r="J8" i="19"/>
  <c r="D9" i="19"/>
  <c r="I9" i="19"/>
  <c r="J9" i="19"/>
  <c r="D10" i="19"/>
  <c r="I10" i="19"/>
  <c r="J10" i="19"/>
  <c r="D11" i="19"/>
  <c r="I11" i="19"/>
  <c r="J11" i="19"/>
  <c r="D12" i="19"/>
  <c r="I12" i="19"/>
  <c r="J12" i="19"/>
  <c r="D13" i="19"/>
  <c r="I13" i="19"/>
  <c r="J13" i="19"/>
  <c r="D14" i="19"/>
  <c r="I14" i="19"/>
  <c r="J14" i="19"/>
  <c r="D15" i="19"/>
  <c r="I15" i="19"/>
  <c r="J15" i="19"/>
  <c r="D6" i="18" l="1"/>
  <c r="I6" i="18"/>
  <c r="J6" i="18"/>
  <c r="D6" i="17" l="1"/>
  <c r="I6" i="17"/>
  <c r="J6" i="17"/>
  <c r="D7" i="17"/>
  <c r="I7" i="17"/>
  <c r="J7" i="17"/>
  <c r="D6" i="16" l="1"/>
  <c r="I6" i="16"/>
  <c r="J6" i="16"/>
  <c r="D6" i="15" l="1"/>
  <c r="I6" i="15"/>
  <c r="J6" i="15"/>
  <c r="D6" i="14" l="1"/>
  <c r="K6" i="14"/>
  <c r="L6" i="14"/>
  <c r="D6" i="13" l="1"/>
  <c r="O6" i="13"/>
  <c r="P6" i="13"/>
  <c r="D7" i="13"/>
  <c r="O7" i="13"/>
  <c r="P7" i="13"/>
  <c r="D10" i="13"/>
  <c r="O10" i="13"/>
  <c r="P10" i="13"/>
  <c r="D13" i="13"/>
  <c r="O13" i="13"/>
  <c r="P13" i="13"/>
  <c r="D14" i="13"/>
  <c r="O14" i="13"/>
  <c r="P14" i="13"/>
  <c r="D17" i="13"/>
  <c r="O17" i="13"/>
  <c r="P17" i="13"/>
  <c r="D18" i="13"/>
  <c r="O18" i="13"/>
  <c r="P18" i="13"/>
  <c r="D21" i="13"/>
  <c r="O21" i="13"/>
  <c r="P21" i="13"/>
  <c r="D24" i="13"/>
  <c r="O24" i="13"/>
  <c r="P24" i="13"/>
  <c r="D6" i="12" l="1"/>
  <c r="S6" i="12"/>
  <c r="T6" i="12"/>
  <c r="D6" i="11"/>
  <c r="S6" i="11"/>
  <c r="T6" i="11"/>
  <c r="D6" i="10"/>
  <c r="S6" i="10"/>
  <c r="T6" i="10"/>
  <c r="D9" i="10"/>
  <c r="S9" i="10"/>
  <c r="T9" i="10"/>
  <c r="D12" i="10"/>
  <c r="S12" i="10"/>
  <c r="T12" i="10"/>
  <c r="D15" i="10"/>
  <c r="S15" i="10"/>
  <c r="T15" i="10"/>
  <c r="D18" i="10"/>
  <c r="S18" i="10"/>
  <c r="T18" i="10"/>
  <c r="D21" i="10"/>
  <c r="S21" i="10"/>
  <c r="T21" i="10"/>
  <c r="D24" i="10"/>
  <c r="S24" i="10"/>
  <c r="T24" i="10"/>
  <c r="D25" i="10"/>
  <c r="S25" i="10"/>
  <c r="T25" i="10"/>
  <c r="D28" i="10"/>
  <c r="S28" i="10"/>
  <c r="T28" i="10"/>
  <c r="D29" i="10"/>
  <c r="S29" i="10"/>
  <c r="T29" i="10"/>
  <c r="D32" i="10"/>
  <c r="S32" i="10"/>
  <c r="T32" i="10"/>
  <c r="D33" i="10"/>
  <c r="S33" i="10"/>
  <c r="T33" i="10"/>
  <c r="D34" i="10"/>
  <c r="S34" i="10"/>
  <c r="T34" i="10"/>
  <c r="D35" i="10"/>
  <c r="S35" i="10"/>
  <c r="T35" i="10"/>
  <c r="D38" i="10"/>
  <c r="S38" i="10"/>
  <c r="T38" i="10"/>
  <c r="D39" i="10"/>
  <c r="S39" i="10"/>
  <c r="T39" i="10"/>
  <c r="D40" i="10"/>
  <c r="S40" i="10"/>
  <c r="T40" i="10"/>
  <c r="D41" i="10"/>
  <c r="S41" i="10"/>
  <c r="T41" i="10"/>
  <c r="D42" i="10"/>
  <c r="S42" i="10"/>
  <c r="T42" i="10"/>
  <c r="D45" i="10"/>
  <c r="S45" i="10"/>
  <c r="T45" i="10"/>
  <c r="D46" i="10"/>
  <c r="S46" i="10"/>
  <c r="T46" i="10"/>
  <c r="D49" i="10"/>
  <c r="S49" i="10"/>
  <c r="T49" i="10"/>
  <c r="D50" i="10"/>
  <c r="S50" i="10"/>
  <c r="T50" i="10"/>
  <c r="D53" i="10"/>
  <c r="S53" i="10"/>
  <c r="T53" i="10"/>
  <c r="D54" i="10"/>
  <c r="S54" i="10"/>
  <c r="T54" i="10"/>
  <c r="D55" i="10"/>
  <c r="S55" i="10"/>
  <c r="T55" i="10"/>
  <c r="D58" i="10"/>
  <c r="S58" i="10"/>
  <c r="T58" i="10"/>
  <c r="D61" i="10"/>
  <c r="S61" i="10"/>
  <c r="T61" i="10"/>
  <c r="D62" i="10"/>
  <c r="S62" i="10"/>
  <c r="T62" i="10"/>
  <c r="D6" i="9"/>
  <c r="S6" i="9"/>
  <c r="T6" i="9"/>
  <c r="D9" i="9"/>
  <c r="S9" i="9"/>
  <c r="T9" i="9"/>
  <c r="D12" i="9"/>
  <c r="S12" i="9"/>
  <c r="T12" i="9"/>
  <c r="D15" i="9"/>
  <c r="S15" i="9"/>
  <c r="T15" i="9"/>
  <c r="D16" i="9"/>
  <c r="S16" i="9"/>
  <c r="T16" i="9"/>
  <c r="D19" i="9"/>
  <c r="S19" i="9"/>
  <c r="T19" i="9"/>
  <c r="D6" i="8" l="1"/>
  <c r="D7" i="8"/>
  <c r="K7" i="8"/>
  <c r="L7" i="8"/>
  <c r="D10" i="8"/>
  <c r="K10" i="8"/>
  <c r="L10" i="8"/>
  <c r="D13" i="8"/>
  <c r="K13" i="8"/>
  <c r="L13" i="8"/>
  <c r="D16" i="8"/>
  <c r="K16" i="8"/>
  <c r="L16" i="8"/>
  <c r="D19" i="8"/>
  <c r="K19" i="8"/>
  <c r="L19" i="8"/>
  <c r="D22" i="8"/>
  <c r="K22" i="8"/>
  <c r="L22" i="8"/>
  <c r="D23" i="8"/>
  <c r="K23" i="8"/>
  <c r="L23" i="8"/>
  <c r="D24" i="8"/>
  <c r="K24" i="8"/>
  <c r="L24" i="8"/>
  <c r="D27" i="8"/>
  <c r="K27" i="8"/>
  <c r="L27" i="8"/>
  <c r="D28" i="8"/>
  <c r="K28" i="8"/>
  <c r="L28" i="8"/>
  <c r="D29" i="8"/>
  <c r="K29" i="8"/>
  <c r="L29" i="8"/>
  <c r="D30" i="8"/>
  <c r="K30" i="8"/>
  <c r="L30" i="8"/>
  <c r="D31" i="8"/>
  <c r="K31" i="8"/>
  <c r="L31" i="8"/>
  <c r="D34" i="8"/>
  <c r="K34" i="8"/>
  <c r="L34" i="8"/>
  <c r="D37" i="8"/>
  <c r="K37" i="8"/>
  <c r="L37" i="8"/>
  <c r="D38" i="8"/>
  <c r="K38" i="8"/>
  <c r="L38" i="8"/>
  <c r="D39" i="8"/>
  <c r="K39" i="8"/>
  <c r="L39" i="8"/>
  <c r="D6" i="7" l="1"/>
  <c r="I6" i="7"/>
  <c r="J6" i="7"/>
  <c r="D6" i="6" l="1"/>
  <c r="K6" i="6"/>
  <c r="L6" i="6"/>
  <c r="D9" i="6"/>
  <c r="K9" i="6"/>
  <c r="L9" i="6"/>
  <c r="D10" i="6"/>
  <c r="K10" i="6"/>
  <c r="L10" i="6"/>
  <c r="D13" i="6"/>
  <c r="K13" i="6"/>
  <c r="L13" i="6"/>
  <c r="D14" i="6"/>
  <c r="K14" i="6"/>
  <c r="L14" i="6"/>
  <c r="D17" i="6"/>
  <c r="K17" i="6"/>
  <c r="L17" i="6"/>
  <c r="D20" i="6"/>
  <c r="K20" i="6"/>
  <c r="L20" i="6"/>
  <c r="D21" i="6"/>
  <c r="K21" i="6"/>
  <c r="L21" i="6"/>
  <c r="D22" i="6"/>
  <c r="K22" i="6"/>
  <c r="L22" i="6"/>
  <c r="D25" i="6"/>
  <c r="K25" i="6"/>
  <c r="L25" i="6"/>
  <c r="D26" i="6"/>
  <c r="K26" i="6"/>
  <c r="L26" i="6"/>
  <c r="D27" i="6"/>
  <c r="K27" i="6"/>
  <c r="L27" i="6"/>
  <c r="D30" i="6"/>
  <c r="K30" i="6"/>
  <c r="L30" i="6"/>
  <c r="D31" i="6"/>
  <c r="K31" i="6"/>
  <c r="L31" i="6"/>
  <c r="D32" i="6"/>
  <c r="K32" i="6"/>
  <c r="L32" i="6"/>
  <c r="D33" i="6"/>
  <c r="K33" i="6"/>
  <c r="L33" i="6"/>
  <c r="D34" i="6"/>
  <c r="K34" i="6"/>
  <c r="L34" i="6"/>
  <c r="D37" i="6"/>
  <c r="K37" i="6"/>
  <c r="L37" i="6"/>
  <c r="D38" i="6"/>
  <c r="K38" i="6"/>
  <c r="L38" i="6"/>
  <c r="D39" i="6"/>
  <c r="K39" i="6"/>
  <c r="L39" i="6"/>
  <c r="D42" i="6"/>
  <c r="K42" i="6"/>
  <c r="L42" i="6"/>
  <c r="D43" i="6"/>
  <c r="K43" i="6"/>
  <c r="L43" i="6"/>
  <c r="D46" i="6"/>
  <c r="K46" i="6"/>
  <c r="L46" i="6"/>
  <c r="D47" i="6"/>
  <c r="K47" i="6"/>
  <c r="L47" i="6"/>
  <c r="D48" i="6"/>
  <c r="K48" i="6"/>
  <c r="L48" i="6"/>
  <c r="D49" i="6"/>
  <c r="K49" i="6"/>
  <c r="L49" i="6"/>
  <c r="D52" i="6"/>
  <c r="K52" i="6"/>
  <c r="L52" i="6"/>
  <c r="D53" i="6"/>
  <c r="K53" i="6"/>
  <c r="L53" i="6"/>
  <c r="L49" i="5" l="1"/>
  <c r="K49" i="5"/>
  <c r="D49" i="5"/>
  <c r="L48" i="5"/>
  <c r="K48" i="5"/>
  <c r="D48" i="5"/>
  <c r="L45" i="5"/>
  <c r="K45" i="5"/>
  <c r="D45" i="5"/>
  <c r="L44" i="5"/>
  <c r="K44" i="5"/>
  <c r="D44" i="5"/>
  <c r="L43" i="5"/>
  <c r="K43" i="5"/>
  <c r="D43" i="5"/>
  <c r="L42" i="5"/>
  <c r="K42" i="5"/>
  <c r="D42" i="5"/>
  <c r="L39" i="5"/>
  <c r="K39" i="5"/>
  <c r="D39" i="5"/>
  <c r="L38" i="5"/>
  <c r="K38" i="5"/>
  <c r="D38" i="5"/>
  <c r="L37" i="5"/>
  <c r="K37" i="5"/>
  <c r="D37" i="5"/>
  <c r="L36" i="5"/>
  <c r="K36" i="5"/>
  <c r="D36" i="5"/>
  <c r="L35" i="5"/>
  <c r="K35" i="5"/>
  <c r="D35" i="5"/>
  <c r="L32" i="5"/>
  <c r="K32" i="5"/>
  <c r="D32" i="5"/>
  <c r="L29" i="5"/>
  <c r="K29" i="5"/>
  <c r="D29" i="5"/>
  <c r="L26" i="5"/>
  <c r="K26" i="5"/>
  <c r="D26" i="5"/>
  <c r="L25" i="5"/>
  <c r="K25" i="5"/>
  <c r="D25" i="5"/>
  <c r="L22" i="5"/>
  <c r="K22" i="5"/>
  <c r="D22" i="5"/>
  <c r="L19" i="5"/>
  <c r="K19" i="5"/>
  <c r="D19" i="5"/>
  <c r="L16" i="5"/>
  <c r="K16" i="5"/>
  <c r="D16" i="5"/>
  <c r="L13" i="5"/>
  <c r="K13" i="5"/>
  <c r="D13" i="5"/>
  <c r="L10" i="5"/>
  <c r="K10" i="5"/>
  <c r="D10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<sst xmlns="http://schemas.openxmlformats.org/spreadsheetml/2006/main" count="2913" uniqueCount="875">
  <si>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</si>
  <si>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</si>
  <si>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</si>
  <si>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</si>
  <si>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</si>
  <si>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</si>
  <si>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</si>
  <si>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</si>
  <si>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КУБОК СИЛЫ - IX
Любители жим лежа без экипировки
Краснодар/Краснодарский край 25 - 26 декабря 2021 г.</t>
  </si>
  <si>
    <t>Shv/Mel</t>
  </si>
  <si>
    <t>Жим лёжа</t>
  </si>
  <si>
    <t>ВЕСОВАЯ КАТЕГОРИЯ   48</t>
  </si>
  <si>
    <t>Захарова Анастасия</t>
  </si>
  <si>
    <t>1. Захарова Анастасия</t>
  </si>
  <si>
    <t>Открытая (19.03.1995)/26</t>
  </si>
  <si>
    <t>47,80</t>
  </si>
  <si>
    <t xml:space="preserve">Spot-Leif </t>
  </si>
  <si>
    <t xml:space="preserve">Кропоткин/Краснодарский край </t>
  </si>
  <si>
    <t>50,0</t>
  </si>
  <si>
    <t>55,0</t>
  </si>
  <si>
    <t>57,5</t>
  </si>
  <si>
    <t xml:space="preserve">Космынин Владимир </t>
  </si>
  <si>
    <t>ВЕСОВАЯ КАТЕГОРИЯ   52</t>
  </si>
  <si>
    <t>Вьюхина Надежда</t>
  </si>
  <si>
    <t>1. Вьюхина Надежда</t>
  </si>
  <si>
    <t>Открытая (17.03.1985)/36</t>
  </si>
  <si>
    <t>51,60</t>
  </si>
  <si>
    <t xml:space="preserve">FTZ </t>
  </si>
  <si>
    <t xml:space="preserve">Краснодар/Краснодарский край </t>
  </si>
  <si>
    <t>60,0</t>
  </si>
  <si>
    <t xml:space="preserve">Ухоботов Владимир </t>
  </si>
  <si>
    <t>Степанова Ирина</t>
  </si>
  <si>
    <t>2. Степанова Ирина</t>
  </si>
  <si>
    <t>Открытая (19.08.1987)/34</t>
  </si>
  <si>
    <t>52,00</t>
  </si>
  <si>
    <t>45,0</t>
  </si>
  <si>
    <t>47,5</t>
  </si>
  <si>
    <t>ВЕСОВАЯ КАТЕГОРИЯ   60</t>
  </si>
  <si>
    <t>Омарова Валентина</t>
  </si>
  <si>
    <t>1. Омарова Валентина</t>
  </si>
  <si>
    <t>Открытая (08.12.1985)/36</t>
  </si>
  <si>
    <t>58,00</t>
  </si>
  <si>
    <t xml:space="preserve">Korotkihpower </t>
  </si>
  <si>
    <t xml:space="preserve">Сочи/Краснодарский край </t>
  </si>
  <si>
    <t>62,5</t>
  </si>
  <si>
    <t>65,0</t>
  </si>
  <si>
    <t>105,0</t>
  </si>
  <si>
    <t>115,0</t>
  </si>
  <si>
    <t xml:space="preserve">Коротких Роман </t>
  </si>
  <si>
    <t>ВЕСОВАЯ КАТЕГОРИЯ   75</t>
  </si>
  <si>
    <t>Танкаян Юлия</t>
  </si>
  <si>
    <t>1. Танкаян Юлия</t>
  </si>
  <si>
    <t>Открытая (01.03.1991)/30</t>
  </si>
  <si>
    <t>73,50</t>
  </si>
  <si>
    <t>52,5</t>
  </si>
  <si>
    <t xml:space="preserve">Геворк </t>
  </si>
  <si>
    <t>ВЕСОВАЯ КАТЕГОРИЯ   82.5</t>
  </si>
  <si>
    <t>Шибаева Ольга</t>
  </si>
  <si>
    <t>1. Шибаева Ольга</t>
  </si>
  <si>
    <t>Мастера 45 - 49 (11.06.1976)/45</t>
  </si>
  <si>
    <t>76,00</t>
  </si>
  <si>
    <t xml:space="preserve">Gelendgym </t>
  </si>
  <si>
    <t xml:space="preserve">Геленджик/Краснодарский край </t>
  </si>
  <si>
    <t>80,0</t>
  </si>
  <si>
    <t>82,5</t>
  </si>
  <si>
    <t>84,0</t>
  </si>
  <si>
    <t xml:space="preserve">Лянгузов Д.Н. </t>
  </si>
  <si>
    <t>ВЕСОВАЯ КАТЕГОРИЯ   67.5</t>
  </si>
  <si>
    <t>Чупров Роман</t>
  </si>
  <si>
    <t>1. Чупров Роман</t>
  </si>
  <si>
    <t>Открытая (19.09.1990)/31</t>
  </si>
  <si>
    <t>67,20</t>
  </si>
  <si>
    <t xml:space="preserve">лично </t>
  </si>
  <si>
    <t>110,0</t>
  </si>
  <si>
    <t xml:space="preserve">Насонов Р. </t>
  </si>
  <si>
    <t>Мамедов Сабир</t>
  </si>
  <si>
    <t>1. Мамедов Сабир</t>
  </si>
  <si>
    <t>Юниоры 20 - 23 (17.05.1998)/23</t>
  </si>
  <si>
    <t>74,40</t>
  </si>
  <si>
    <t xml:space="preserve">Колибри </t>
  </si>
  <si>
    <t xml:space="preserve">Орск/Оренбургская область </t>
  </si>
  <si>
    <t>130,0</t>
  </si>
  <si>
    <t>140,0</t>
  </si>
  <si>
    <t>145,0</t>
  </si>
  <si>
    <t xml:space="preserve">Тищенко Дмитрий </t>
  </si>
  <si>
    <t>Дворкин Леонид</t>
  </si>
  <si>
    <t>1. Дворкин Леонид</t>
  </si>
  <si>
    <t>Мастера 80+ (23.01.1941)/80</t>
  </si>
  <si>
    <t>74,80</t>
  </si>
  <si>
    <t xml:space="preserve">Проф-фитнес </t>
  </si>
  <si>
    <t>95,0</t>
  </si>
  <si>
    <t>100,0</t>
  </si>
  <si>
    <t>103,5</t>
  </si>
  <si>
    <t xml:space="preserve">Авраменко О. </t>
  </si>
  <si>
    <t>-. Демиденко Семён</t>
  </si>
  <si>
    <t>Открытая (06.10.1991)/30</t>
  </si>
  <si>
    <t>76,10</t>
  </si>
  <si>
    <t xml:space="preserve">Светогор - про </t>
  </si>
  <si>
    <t>107,5</t>
  </si>
  <si>
    <t>ВЕСОВАЯ КАТЕГОРИЯ   90</t>
  </si>
  <si>
    <t>Васильев Станислав</t>
  </si>
  <si>
    <t>1. Васильев Станислав</t>
  </si>
  <si>
    <t>Юноши 18 - 19 (23.06.2002)/19</t>
  </si>
  <si>
    <t>87,90</t>
  </si>
  <si>
    <t xml:space="preserve">Нарт </t>
  </si>
  <si>
    <t xml:space="preserve">Майкоп/Адыгея </t>
  </si>
  <si>
    <t>135,0</t>
  </si>
  <si>
    <t>150,0</t>
  </si>
  <si>
    <t>155,0</t>
  </si>
  <si>
    <t xml:space="preserve">Тлевцежев К.Х. </t>
  </si>
  <si>
    <t>ВЕСОВАЯ КАТЕГОРИЯ   100</t>
  </si>
  <si>
    <t>Поляков Илья</t>
  </si>
  <si>
    <t>1. Поляков Илья</t>
  </si>
  <si>
    <t>Юниоры 20 - 23 (21.02.1998)/23</t>
  </si>
  <si>
    <t>99,90</t>
  </si>
  <si>
    <t>162,5</t>
  </si>
  <si>
    <t>Мищенко Артем</t>
  </si>
  <si>
    <t>1. Мищенко Артем</t>
  </si>
  <si>
    <t>Открытая (26.06.1984)/37</t>
  </si>
  <si>
    <t>92,30</t>
  </si>
  <si>
    <t xml:space="preserve">TG </t>
  </si>
  <si>
    <t xml:space="preserve">Москва </t>
  </si>
  <si>
    <t>195,0</t>
  </si>
  <si>
    <t>205,0</t>
  </si>
  <si>
    <t>210,0</t>
  </si>
  <si>
    <t xml:space="preserve"> </t>
  </si>
  <si>
    <t>2. Поляков Илья</t>
  </si>
  <si>
    <t>Открытая (21.02.1998)/23</t>
  </si>
  <si>
    <t>Цаплин Алексей</t>
  </si>
  <si>
    <t>3. Цаплин Алексей</t>
  </si>
  <si>
    <t>Открытая (05.05.1987)/34</t>
  </si>
  <si>
    <t>95,60</t>
  </si>
  <si>
    <t xml:space="preserve">Ставрополь/Ставропольский край </t>
  </si>
  <si>
    <t>125,0</t>
  </si>
  <si>
    <t xml:space="preserve">Троицкий Валерий </t>
  </si>
  <si>
    <t>-. Демидов Никита</t>
  </si>
  <si>
    <t>Открытая (19.06.1990)/31</t>
  </si>
  <si>
    <t>99,50</t>
  </si>
  <si>
    <t>ВЕСОВАЯ КАТЕГОРИЯ   110</t>
  </si>
  <si>
    <t>Мурзин Евгений</t>
  </si>
  <si>
    <t>1. Мурзин Евгений</t>
  </si>
  <si>
    <t>Открытая (14.07.1989)/32</t>
  </si>
  <si>
    <t>106,20</t>
  </si>
  <si>
    <t xml:space="preserve">Планета Проспорт </t>
  </si>
  <si>
    <t xml:space="preserve">Керчь/Крым </t>
  </si>
  <si>
    <t>167,5</t>
  </si>
  <si>
    <t>175,0</t>
  </si>
  <si>
    <t>180,0</t>
  </si>
  <si>
    <t xml:space="preserve">Луценко Николай </t>
  </si>
  <si>
    <t>-. Брянцев Николай</t>
  </si>
  <si>
    <t>Мастера 40 - 44 (29.06.1978)/43</t>
  </si>
  <si>
    <t>109,40</t>
  </si>
  <si>
    <t>165,0</t>
  </si>
  <si>
    <t xml:space="preserve">Космынин В. </t>
  </si>
  <si>
    <t>Коновалов Евгений</t>
  </si>
  <si>
    <t>1. Коновалов Евгений</t>
  </si>
  <si>
    <t>Мастера 45 - 49 (28.12.1973)/47</t>
  </si>
  <si>
    <t>110,00</t>
  </si>
  <si>
    <t>170,0</t>
  </si>
  <si>
    <t>182,5</t>
  </si>
  <si>
    <t>Зимин Лев</t>
  </si>
  <si>
    <t>2. Зимин Лев</t>
  </si>
  <si>
    <t>Мастера 45 - 49 (29.10.1976)/45</t>
  </si>
  <si>
    <t>177,5</t>
  </si>
  <si>
    <t xml:space="preserve">Зимин Анатолий Васильевич </t>
  </si>
  <si>
    <t>ВЕСОВАЯ КАТЕГОРИЯ   125</t>
  </si>
  <si>
    <t>Трудик Андрей</t>
  </si>
  <si>
    <t>1. Трудик Андрей</t>
  </si>
  <si>
    <t>Открытая (16.01.1974)/47</t>
  </si>
  <si>
    <t>120,00</t>
  </si>
  <si>
    <t xml:space="preserve">Центр Тяжести </t>
  </si>
  <si>
    <t xml:space="preserve">Усть-Лабинск/Краснодарский край </t>
  </si>
  <si>
    <t xml:space="preserve">Новосельцев О.С. </t>
  </si>
  <si>
    <t>-. Мхитарян Саркис</t>
  </si>
  <si>
    <t>Открытая (25.02.1982)/39</t>
  </si>
  <si>
    <t>124,50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</si>
  <si>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</si>
  <si>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</si>
  <si>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</si>
  <si>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</si>
  <si>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</si>
  <si>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</si>
  <si>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</si>
  <si>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</si>
  <si>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</si>
  <si>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</si>
  <si>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</si>
  <si>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</si>
  <si>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Shv/Mel </t>
  </si>
  <si>
    <t>60</t>
  </si>
  <si>
    <t>57,5705</t>
  </si>
  <si>
    <t>48</t>
  </si>
  <si>
    <t>57,0845</t>
  </si>
  <si>
    <t>52</t>
  </si>
  <si>
    <t>53,6497</t>
  </si>
  <si>
    <t>43,6207</t>
  </si>
  <si>
    <t>75</t>
  </si>
  <si>
    <t>40,2903</t>
  </si>
  <si>
    <t xml:space="preserve">Мастера </t>
  </si>
  <si>
    <t xml:space="preserve">Мастера 45 - 49 </t>
  </si>
  <si>
    <t>82.5</t>
  </si>
  <si>
    <t>62,9517</t>
  </si>
  <si>
    <t xml:space="preserve">Мужчины </t>
  </si>
  <si>
    <t xml:space="preserve">Юноши </t>
  </si>
  <si>
    <t xml:space="preserve">Юноши 18 - 19 </t>
  </si>
  <si>
    <t>90</t>
  </si>
  <si>
    <t>95,7367</t>
  </si>
  <si>
    <t xml:space="preserve">Юниоры </t>
  </si>
  <si>
    <t xml:space="preserve">Юниоры 20 - 23 </t>
  </si>
  <si>
    <t>96,9615</t>
  </si>
  <si>
    <t>100</t>
  </si>
  <si>
    <t>83,1450</t>
  </si>
  <si>
    <t>121,1280</t>
  </si>
  <si>
    <t>110</t>
  </si>
  <si>
    <t>94,7975</t>
  </si>
  <si>
    <t>125</t>
  </si>
  <si>
    <t>81,6850</t>
  </si>
  <si>
    <t>67.5</t>
  </si>
  <si>
    <t>80,1570</t>
  </si>
  <si>
    <t>70,7500</t>
  </si>
  <si>
    <t xml:space="preserve">Мастера 80+ </t>
  </si>
  <si>
    <t>143,9063</t>
  </si>
  <si>
    <t>105,4544</t>
  </si>
  <si>
    <t>96,5093</t>
  </si>
  <si>
    <t>Результат</t>
  </si>
  <si>
    <t>96,6450</t>
  </si>
  <si>
    <t>127,5</t>
  </si>
  <si>
    <t xml:space="preserve">Мастера 40 - 44 </t>
  </si>
  <si>
    <t>Майданюк Анжелика</t>
  </si>
  <si>
    <t>217,4479</t>
  </si>
  <si>
    <t>235,0</t>
  </si>
  <si>
    <t xml:space="preserve">Мастера 60 - 64 </t>
  </si>
  <si>
    <t>Таловасов Анатолий</t>
  </si>
  <si>
    <t>92,5760</t>
  </si>
  <si>
    <t>160,0</t>
  </si>
  <si>
    <t>Аскеров Михаил</t>
  </si>
  <si>
    <t>111,2070</t>
  </si>
  <si>
    <t>190,0</t>
  </si>
  <si>
    <t>Смирнов Алексей</t>
  </si>
  <si>
    <t>116,0300</t>
  </si>
  <si>
    <t>118,0320</t>
  </si>
  <si>
    <t>Савёлов Дмитрий</t>
  </si>
  <si>
    <t>123,4455</t>
  </si>
  <si>
    <t>Горелов Виталий</t>
  </si>
  <si>
    <t>126,8475</t>
  </si>
  <si>
    <t>Стефанько Евгений</t>
  </si>
  <si>
    <t>127,8700</t>
  </si>
  <si>
    <t>Зеленкин Дмитрий</t>
  </si>
  <si>
    <t>127,9105</t>
  </si>
  <si>
    <t>133,3023</t>
  </si>
  <si>
    <t>242,5</t>
  </si>
  <si>
    <t>Решеткин Юрий</t>
  </si>
  <si>
    <t>147,7013</t>
  </si>
  <si>
    <t>237,5</t>
  </si>
  <si>
    <t>Хачатрян Роман</t>
  </si>
  <si>
    <t>148,7920</t>
  </si>
  <si>
    <t>280,0</t>
  </si>
  <si>
    <t>Новосельцев Олег</t>
  </si>
  <si>
    <t>155,1375</t>
  </si>
  <si>
    <t>262,5</t>
  </si>
  <si>
    <t>Невзоров Алексей</t>
  </si>
  <si>
    <t>159,0030</t>
  </si>
  <si>
    <t>270,0</t>
  </si>
  <si>
    <t>Зубов Денис</t>
  </si>
  <si>
    <t>102,6644</t>
  </si>
  <si>
    <t xml:space="preserve">Юноши 14-15 </t>
  </si>
  <si>
    <t>Смирнов Игорь</t>
  </si>
  <si>
    <t>112,3897</t>
  </si>
  <si>
    <t>Дорохов Даниил</t>
  </si>
  <si>
    <t>113,3050</t>
  </si>
  <si>
    <t xml:space="preserve">Юноши 16 - 17 </t>
  </si>
  <si>
    <t>Николаев Рудольф</t>
  </si>
  <si>
    <t>122,6898</t>
  </si>
  <si>
    <t>Соловьенко Савва</t>
  </si>
  <si>
    <t>138,3186</t>
  </si>
  <si>
    <t>Попов Фёдор</t>
  </si>
  <si>
    <t>139,6748</t>
  </si>
  <si>
    <t>Хацуков Магамет</t>
  </si>
  <si>
    <t>149,9764</t>
  </si>
  <si>
    <t>Гасий Роман</t>
  </si>
  <si>
    <t>106,6352</t>
  </si>
  <si>
    <t>120,0</t>
  </si>
  <si>
    <t>Алмазова Радмила</t>
  </si>
  <si>
    <t>82,0230</t>
  </si>
  <si>
    <t>Ефанова Кристина</t>
  </si>
  <si>
    <t>89,8440</t>
  </si>
  <si>
    <t>44</t>
  </si>
  <si>
    <t>Лобас Екатерина</t>
  </si>
  <si>
    <t>94,5986</t>
  </si>
  <si>
    <t>Маташвили Наталия</t>
  </si>
  <si>
    <t>98,9888</t>
  </si>
  <si>
    <t>Арутюнян Татьяна</t>
  </si>
  <si>
    <t xml:space="preserve">Мамедов Сабир </t>
  </si>
  <si>
    <t>250,0</t>
  </si>
  <si>
    <t>220,0</t>
  </si>
  <si>
    <t>121,70</t>
  </si>
  <si>
    <t>Открытая (20.04.1984)/37</t>
  </si>
  <si>
    <t>2. Горелов Виталий</t>
  </si>
  <si>
    <t>300,0</t>
  </si>
  <si>
    <t>115,00</t>
  </si>
  <si>
    <t>Открытая (10.05.1985)/36</t>
  </si>
  <si>
    <t>1. Новосельцев Олег</t>
  </si>
  <si>
    <t>222,5</t>
  </si>
  <si>
    <t xml:space="preserve">Тульский/Адыгея республика </t>
  </si>
  <si>
    <t xml:space="preserve">Антал </t>
  </si>
  <si>
    <t>104,70</t>
  </si>
  <si>
    <t>Мастера 60 - 64 (01.12.1960)/61</t>
  </si>
  <si>
    <t>1. Таловасов Анатолий</t>
  </si>
  <si>
    <t>Открытая (01.12.1960)/61</t>
  </si>
  <si>
    <t>2. Таловасов Анатолий</t>
  </si>
  <si>
    <t>101,90</t>
  </si>
  <si>
    <t>Открытая (08.03.1990)/31</t>
  </si>
  <si>
    <t>1. Решеткин Юрий</t>
  </si>
  <si>
    <t xml:space="preserve">Ботнарь А.С. </t>
  </si>
  <si>
    <t>230,0</t>
  </si>
  <si>
    <t>225,0</t>
  </si>
  <si>
    <t>108,70</t>
  </si>
  <si>
    <t>Юноши 18 - 19 (21.02.2003)/18</t>
  </si>
  <si>
    <t>1. Попов Фёдор</t>
  </si>
  <si>
    <t xml:space="preserve">Зубов Д. </t>
  </si>
  <si>
    <t xml:space="preserve">Черномор спорт </t>
  </si>
  <si>
    <t>91,80</t>
  </si>
  <si>
    <t>Открытая (22.07.1995)/26</t>
  </si>
  <si>
    <t>2. Аскеров Михаил</t>
  </si>
  <si>
    <t>1. Цаплин Алексей</t>
  </si>
  <si>
    <t xml:space="preserve">Микао М.А. </t>
  </si>
  <si>
    <t>200,0</t>
  </si>
  <si>
    <t>90,00</t>
  </si>
  <si>
    <t>Открытая (03.06.1982)/39</t>
  </si>
  <si>
    <t>3. Смирнов Алексей</t>
  </si>
  <si>
    <t>257,5</t>
  </si>
  <si>
    <t>247,5</t>
  </si>
  <si>
    <t>88,60</t>
  </si>
  <si>
    <t>Открытая (10.11.2000)/21</t>
  </si>
  <si>
    <t>2. Невзоров Алексей</t>
  </si>
  <si>
    <t>260,0</t>
  </si>
  <si>
    <t>89,10</t>
  </si>
  <si>
    <t>Открытая (02.04.1987)/34</t>
  </si>
  <si>
    <t>1. Зубов Денис</t>
  </si>
  <si>
    <t xml:space="preserve">Korotkih pover </t>
  </si>
  <si>
    <t>82,20</t>
  </si>
  <si>
    <t>Открытая (08.07.1995)/26</t>
  </si>
  <si>
    <t>-. Куприев Даниил</t>
  </si>
  <si>
    <t>77,10</t>
  </si>
  <si>
    <t>Открытая (17.06.1990)/31</t>
  </si>
  <si>
    <t>2. Стефанько Евгений</t>
  </si>
  <si>
    <t>82,00</t>
  </si>
  <si>
    <t>Открытая (26.10.1988)/33</t>
  </si>
  <si>
    <t>1. Хачатрян Роман</t>
  </si>
  <si>
    <t xml:space="preserve">Грибов А. </t>
  </si>
  <si>
    <t>185,0</t>
  </si>
  <si>
    <t>Юноши 18 - 19 (23.11.2002)/19</t>
  </si>
  <si>
    <t>1. Соловьенко Савва</t>
  </si>
  <si>
    <t>76,30</t>
  </si>
  <si>
    <t>Юноши 16 - 17 (08.10.2004)/17</t>
  </si>
  <si>
    <t>1. Николаев Рудольф</t>
  </si>
  <si>
    <t xml:space="preserve">Мамедов Фёдор </t>
  </si>
  <si>
    <t>73,80</t>
  </si>
  <si>
    <t>Открытая (10.03.1991)/30</t>
  </si>
  <si>
    <t>1. Зеленкин Дмитрий</t>
  </si>
  <si>
    <t>72,00</t>
  </si>
  <si>
    <t>Юноши 16 - 17 (12.06.2005)/16</t>
  </si>
  <si>
    <t>2. Хацуков Магамет</t>
  </si>
  <si>
    <t>73,20</t>
  </si>
  <si>
    <t>Юноши 16 - 17 (16.05.2004)/17</t>
  </si>
  <si>
    <t>1. Гасий Роман</t>
  </si>
  <si>
    <t>132,5</t>
  </si>
  <si>
    <t>64,40</t>
  </si>
  <si>
    <t>Мастера 40 - 44 (26.10.1981)/40</t>
  </si>
  <si>
    <t>1. Майданюк Анжелика</t>
  </si>
  <si>
    <t>66,30</t>
  </si>
  <si>
    <t>Открытая (21.11.1990)/31</t>
  </si>
  <si>
    <t>1. Савёлов Дмитрий</t>
  </si>
  <si>
    <t>67,50</t>
  </si>
  <si>
    <t>Юноши 14-15 (11.11.2007)/14</t>
  </si>
  <si>
    <t>1. Смирнов Игорь</t>
  </si>
  <si>
    <t xml:space="preserve">Манько И. </t>
  </si>
  <si>
    <t>152,5</t>
  </si>
  <si>
    <t xml:space="preserve">АГУ Майкоп </t>
  </si>
  <si>
    <t>59,80</t>
  </si>
  <si>
    <t>Юноши 18 - 19 (27.03.2003)/18</t>
  </si>
  <si>
    <t>1. Дорохов Даниил</t>
  </si>
  <si>
    <t>72,20</t>
  </si>
  <si>
    <t>Открытая (13.01.1987)/34</t>
  </si>
  <si>
    <t>2. Маташвили Наталия</t>
  </si>
  <si>
    <t xml:space="preserve">Талавасов А.Н. </t>
  </si>
  <si>
    <t>73,40</t>
  </si>
  <si>
    <t>Открытая (22.01.1988)/33</t>
  </si>
  <si>
    <t>1. Арутюнян Татьяна</t>
  </si>
  <si>
    <t xml:space="preserve">Зубов Денис Владимирович </t>
  </si>
  <si>
    <t>58,40</t>
  </si>
  <si>
    <t>Мастера 40 - 44 (24.03.1979)/42</t>
  </si>
  <si>
    <t>1. Алмазова Радмила</t>
  </si>
  <si>
    <t>90,0</t>
  </si>
  <si>
    <t>Открытая (05.06.1989)/32</t>
  </si>
  <si>
    <t>1. Ефанова Кристина</t>
  </si>
  <si>
    <t>85,0</t>
  </si>
  <si>
    <t>43,30</t>
  </si>
  <si>
    <t>Открытая (21.09.1998)/23</t>
  </si>
  <si>
    <t>1. Лобас Екатерина</t>
  </si>
  <si>
    <t>ВЕСОВАЯ КАТЕГОРИЯ   44</t>
  </si>
  <si>
    <t>Становая тяга</t>
  </si>
  <si>
    <t>КУБОК СИЛЫ - IX
Любители становая тяга без экипировки
Краснодар/Краснодарский край 25 - 26 декабря 2021 г.</t>
  </si>
  <si>
    <t>1827,1440</t>
  </si>
  <si>
    <t>1980,0</t>
  </si>
  <si>
    <t xml:space="preserve">Мастера 50 - 54 </t>
  </si>
  <si>
    <t>Давлетшина Ольга</t>
  </si>
  <si>
    <t xml:space="preserve">НАП Н.Ж. </t>
  </si>
  <si>
    <t xml:space="preserve">Скляр О.Ю. </t>
  </si>
  <si>
    <t>33,0</t>
  </si>
  <si>
    <t xml:space="preserve">Спарта </t>
  </si>
  <si>
    <t>58,90</t>
  </si>
  <si>
    <t>Мастера 50 - 54 (09.06.1969)/52</t>
  </si>
  <si>
    <t>1. Давлетшина Ольга</t>
  </si>
  <si>
    <t>Повторы</t>
  </si>
  <si>
    <t>Вес</t>
  </si>
  <si>
    <t>Тоннаж</t>
  </si>
  <si>
    <t>Народная становая</t>
  </si>
  <si>
    <t>НАП Н.Ж.</t>
  </si>
  <si>
    <t>Кубок Силы IX (Народный)
Любители народная становая тяга
Краснодар/Краснодарский край 25 - 26 декабря 2021 г.</t>
  </si>
  <si>
    <t>37,0150</t>
  </si>
  <si>
    <t>41,5610</t>
  </si>
  <si>
    <t>Довгопол Владимир</t>
  </si>
  <si>
    <t>38,5271</t>
  </si>
  <si>
    <t>Тубаев Адам</t>
  </si>
  <si>
    <t>46,8449</t>
  </si>
  <si>
    <t>Тюбеев Мурат</t>
  </si>
  <si>
    <t>51,8242</t>
  </si>
  <si>
    <t>77,5</t>
  </si>
  <si>
    <t>33,8797</t>
  </si>
  <si>
    <t>Карданов Инал</t>
  </si>
  <si>
    <t>38,1146</t>
  </si>
  <si>
    <t>Жабелов Артур</t>
  </si>
  <si>
    <t>39,6731</t>
  </si>
  <si>
    <t>Масаев Астемир</t>
  </si>
  <si>
    <t>39,9594</t>
  </si>
  <si>
    <t>42,5</t>
  </si>
  <si>
    <t>56</t>
  </si>
  <si>
    <t>Мурзабеков Магомед</t>
  </si>
  <si>
    <t>43,3901</t>
  </si>
  <si>
    <t>67,5</t>
  </si>
  <si>
    <t>Бережной Илья</t>
  </si>
  <si>
    <t>43,9550</t>
  </si>
  <si>
    <t>Мишин Павел</t>
  </si>
  <si>
    <t>45,1395</t>
  </si>
  <si>
    <t>Черемисов Родион</t>
  </si>
  <si>
    <t>47,7555</t>
  </si>
  <si>
    <t>Варитлов Залим</t>
  </si>
  <si>
    <t>19,4688</t>
  </si>
  <si>
    <t>25,0</t>
  </si>
  <si>
    <t>Романовская Юлия</t>
  </si>
  <si>
    <t>21,5225</t>
  </si>
  <si>
    <t>Леонтьева Екатерина</t>
  </si>
  <si>
    <t>29,0805</t>
  </si>
  <si>
    <t>30,0</t>
  </si>
  <si>
    <t>34,1407</t>
  </si>
  <si>
    <t>35,0</t>
  </si>
  <si>
    <t>35,2321</t>
  </si>
  <si>
    <t>32,5</t>
  </si>
  <si>
    <t>Кунтишева Кристина</t>
  </si>
  <si>
    <t xml:space="preserve">Девушки </t>
  </si>
  <si>
    <t xml:space="preserve">Губжев Б.Р. </t>
  </si>
  <si>
    <t>40,0</t>
  </si>
  <si>
    <t xml:space="preserve">Нальчик/Кабардино-Балкария </t>
  </si>
  <si>
    <t xml:space="preserve">Легион г. Нальчик </t>
  </si>
  <si>
    <t>84,60</t>
  </si>
  <si>
    <t>Юноши 18 - 19 (01.11.2003)/18</t>
  </si>
  <si>
    <t>1. Карданов Инал</t>
  </si>
  <si>
    <t xml:space="preserve">Беседин Дмитрий </t>
  </si>
  <si>
    <t>70,0</t>
  </si>
  <si>
    <t>88,40</t>
  </si>
  <si>
    <t>Юноши 16 - 17 (24.05.2005)/16</t>
  </si>
  <si>
    <t>2. Черемисов Родион</t>
  </si>
  <si>
    <t>87,60</t>
  </si>
  <si>
    <t>Юноши 16 - 17 (21.11.2004)/17</t>
  </si>
  <si>
    <t>1. Бережной Илья</t>
  </si>
  <si>
    <t>78,90</t>
  </si>
  <si>
    <t>Открытая (18.08.1986)/35</t>
  </si>
  <si>
    <t>1. Довгопол Владимир</t>
  </si>
  <si>
    <t>70,40</t>
  </si>
  <si>
    <t>Юниоры 20 - 23 (27.04.2001)/20</t>
  </si>
  <si>
    <t>2. Тюбеев Мурат</t>
  </si>
  <si>
    <t>72,5</t>
  </si>
  <si>
    <t xml:space="preserve">Ингушев Черим Хажпагович </t>
  </si>
  <si>
    <t xml:space="preserve">СК "КБГУ" </t>
  </si>
  <si>
    <t>72,80</t>
  </si>
  <si>
    <t>Юноши 18 - 19 (07.08.2003)/18</t>
  </si>
  <si>
    <t>1. Масаев Астемир</t>
  </si>
  <si>
    <t xml:space="preserve">Нальчик/Кабардино-Балкария республика </t>
  </si>
  <si>
    <t>69,20</t>
  </si>
  <si>
    <t>Юноши 16 - 17 (09.10.2005)/16</t>
  </si>
  <si>
    <t>1. Жабелов Артур</t>
  </si>
  <si>
    <t>65,30</t>
  </si>
  <si>
    <t>Юниоры 20 - 23 (13.07.2001)/20</t>
  </si>
  <si>
    <t>1. Тубаев Адам</t>
  </si>
  <si>
    <t>66,60</t>
  </si>
  <si>
    <t>Юноши 18 - 19 (05.07.2002)/19</t>
  </si>
  <si>
    <t>1. Варитлов Залим</t>
  </si>
  <si>
    <t>65,60</t>
  </si>
  <si>
    <t>Юноши 14-15 (29.06.2006)/15</t>
  </si>
  <si>
    <t>1. Мишин Павел</t>
  </si>
  <si>
    <t>37,5</t>
  </si>
  <si>
    <t>55,30</t>
  </si>
  <si>
    <t>Юноши 18 - 19 (17.06.2003)/18</t>
  </si>
  <si>
    <t>1. Мурзабеков Магомед</t>
  </si>
  <si>
    <t>ВЕСОВАЯ КАТЕГОРИЯ   56</t>
  </si>
  <si>
    <t>Открытая (24.10.1986)/35</t>
  </si>
  <si>
    <t>1. Романовская Юлия</t>
  </si>
  <si>
    <t>60,00</t>
  </si>
  <si>
    <t>Открытая (18.07.1986)/35</t>
  </si>
  <si>
    <t>1. Леонтьева Екатерина</t>
  </si>
  <si>
    <t xml:space="preserve">Унежев Владимир </t>
  </si>
  <si>
    <t>55,50</t>
  </si>
  <si>
    <t>Девушки 14-15 (07.05.2006)/15</t>
  </si>
  <si>
    <t>1. Кунтишева Кристина</t>
  </si>
  <si>
    <t>Подъем на бицепс</t>
  </si>
  <si>
    <t>КУБОК СИЛЫ - IX (Пауэрспорт)
Одиночный подъём штанги на бицепс Любители
Краснодар/Краснодарский край 25 - 26 декабря 2021 г.</t>
  </si>
  <si>
    <t>287,4082</t>
  </si>
  <si>
    <t>427,5</t>
  </si>
  <si>
    <t>Король Ярослав</t>
  </si>
  <si>
    <t>357,5520</t>
  </si>
  <si>
    <t>585,0</t>
  </si>
  <si>
    <t>Хабибуллин Вадим</t>
  </si>
  <si>
    <t>360,9980</t>
  </si>
  <si>
    <t>610,0</t>
  </si>
  <si>
    <t>Продавиков Денис</t>
  </si>
  <si>
    <t xml:space="preserve">Сумма </t>
  </si>
  <si>
    <t>210,4607</t>
  </si>
  <si>
    <t>327,5</t>
  </si>
  <si>
    <t>Прозоров Савелий</t>
  </si>
  <si>
    <t>219,4829</t>
  </si>
  <si>
    <t>Барсуков Иван</t>
  </si>
  <si>
    <t>281,1361</t>
  </si>
  <si>
    <t>417,5</t>
  </si>
  <si>
    <t>Гусев Дмитрий</t>
  </si>
  <si>
    <t>117,5</t>
  </si>
  <si>
    <t>87,5</t>
  </si>
  <si>
    <t>104,50</t>
  </si>
  <si>
    <t>Юноши 14-15 (29.07.2006)/15</t>
  </si>
  <si>
    <t>1. Прозоров Савелий</t>
  </si>
  <si>
    <t>215,0</t>
  </si>
  <si>
    <t>84,10</t>
  </si>
  <si>
    <t>Открытая (08.06.1991)/30</t>
  </si>
  <si>
    <t>2. Хабибуллин Вадим</t>
  </si>
  <si>
    <t xml:space="preserve">Ефимов Юрий </t>
  </si>
  <si>
    <t>240,0</t>
  </si>
  <si>
    <t>Открытая (18.12.1995)/26</t>
  </si>
  <si>
    <t>1. Продавиков Денис</t>
  </si>
  <si>
    <t xml:space="preserve">Далишнев Илья </t>
  </si>
  <si>
    <t>92,5</t>
  </si>
  <si>
    <t>142,5</t>
  </si>
  <si>
    <t>81,70</t>
  </si>
  <si>
    <t>Юноши 16 - 17 (08.02.2004)/17</t>
  </si>
  <si>
    <t>1. Гусев Дмитрий</t>
  </si>
  <si>
    <t>97,5</t>
  </si>
  <si>
    <t>73,90</t>
  </si>
  <si>
    <t>Открытая (15.05.1990)/31</t>
  </si>
  <si>
    <t>1. Король Ярослав</t>
  </si>
  <si>
    <t>75,0</t>
  </si>
  <si>
    <t>61,60</t>
  </si>
  <si>
    <t>Юноши 14-15 (06.10.2006)/15</t>
  </si>
  <si>
    <t>1. Барсуков Иван</t>
  </si>
  <si>
    <t>Сумма</t>
  </si>
  <si>
    <t>Приседание</t>
  </si>
  <si>
    <t>КУБОК СИЛЫ - IX
ПРО пауэрлифтинг без экипировки
Краснодар/Краснодарский край 25 - 26 декабря 2021 г.</t>
  </si>
  <si>
    <t>288,3474</t>
  </si>
  <si>
    <t>445,0</t>
  </si>
  <si>
    <t>Омаров Олег</t>
  </si>
  <si>
    <t>209,2860</t>
  </si>
  <si>
    <t>Завалиев Даниил</t>
  </si>
  <si>
    <t>213,1740</t>
  </si>
  <si>
    <t>Блощинский Александр</t>
  </si>
  <si>
    <t>224,9860</t>
  </si>
  <si>
    <t>335,0</t>
  </si>
  <si>
    <t>Кислюк Артемий</t>
  </si>
  <si>
    <t>244,4265</t>
  </si>
  <si>
    <t>435,0</t>
  </si>
  <si>
    <t>Никишин Олег</t>
  </si>
  <si>
    <t>258,1510</t>
  </si>
  <si>
    <t>Гривастов Глеб</t>
  </si>
  <si>
    <t>258,7140</t>
  </si>
  <si>
    <t>405,0</t>
  </si>
  <si>
    <t>Бибалов Вячислав</t>
  </si>
  <si>
    <t>259,2960</t>
  </si>
  <si>
    <t>480,0</t>
  </si>
  <si>
    <t>Рыжков Роман</t>
  </si>
  <si>
    <t>315,4925</t>
  </si>
  <si>
    <t>485,0</t>
  </si>
  <si>
    <t>316,7865</t>
  </si>
  <si>
    <t>505,0</t>
  </si>
  <si>
    <t>Минясаров Руслан</t>
  </si>
  <si>
    <t>357,2544</t>
  </si>
  <si>
    <t>690,0</t>
  </si>
  <si>
    <t>140</t>
  </si>
  <si>
    <t>Бесчасный Денис</t>
  </si>
  <si>
    <t>364,9425</t>
  </si>
  <si>
    <t>617,5</t>
  </si>
  <si>
    <t>377,2940</t>
  </si>
  <si>
    <t>710,0</t>
  </si>
  <si>
    <t>401,1255</t>
  </si>
  <si>
    <t>645,0</t>
  </si>
  <si>
    <t>Хашпаков Муса</t>
  </si>
  <si>
    <t>258,6403</t>
  </si>
  <si>
    <t>407,5</t>
  </si>
  <si>
    <t>Косточка Аркадий</t>
  </si>
  <si>
    <t>195,5945</t>
  </si>
  <si>
    <t>315,0</t>
  </si>
  <si>
    <t>Бабешко Илья</t>
  </si>
  <si>
    <t>201,1886</t>
  </si>
  <si>
    <t>Кузнецов Ярослав</t>
  </si>
  <si>
    <t>218,2312</t>
  </si>
  <si>
    <t>375,0</t>
  </si>
  <si>
    <t>Ковалев Руслан</t>
  </si>
  <si>
    <t>235,5727</t>
  </si>
  <si>
    <t>325,0</t>
  </si>
  <si>
    <t xml:space="preserve">Юноши 0-13 </t>
  </si>
  <si>
    <t>Михайлов Богдан</t>
  </si>
  <si>
    <t>244,4572</t>
  </si>
  <si>
    <t>244,7360</t>
  </si>
  <si>
    <t>305,0</t>
  </si>
  <si>
    <t>250,7154</t>
  </si>
  <si>
    <t>290,0</t>
  </si>
  <si>
    <t>258,0287</t>
  </si>
  <si>
    <t>340,0</t>
  </si>
  <si>
    <t>Воронин Богдан</t>
  </si>
  <si>
    <t>269,5212</t>
  </si>
  <si>
    <t>390,0</t>
  </si>
  <si>
    <t>Емиж Ислам</t>
  </si>
  <si>
    <t>141,6413</t>
  </si>
  <si>
    <t>189,0</t>
  </si>
  <si>
    <t>88,5170</t>
  </si>
  <si>
    <t>Помазанова Маргарита</t>
  </si>
  <si>
    <t>191,0521</t>
  </si>
  <si>
    <t>239,1390</t>
  </si>
  <si>
    <t>127,70</t>
  </si>
  <si>
    <t>Открытая (11.03.1988)/33</t>
  </si>
  <si>
    <t>1. Бесчасный Денис</t>
  </si>
  <si>
    <t>130,00</t>
  </si>
  <si>
    <t>Юноши 16 - 17 (08.10.2005)/16</t>
  </si>
  <si>
    <t>1. Ковалев Руслан</t>
  </si>
  <si>
    <t>ВЕСОВАЯ КАТЕГОРИЯ   140</t>
  </si>
  <si>
    <t xml:space="preserve">Калаян Геворк </t>
  </si>
  <si>
    <t>Открытая (13.10.1977)/44</t>
  </si>
  <si>
    <t>-. Крапивка Иван</t>
  </si>
  <si>
    <t>107,20</t>
  </si>
  <si>
    <t>Открытая (19.09.1981)/40</t>
  </si>
  <si>
    <t>1. Рыжков Роман</t>
  </si>
  <si>
    <t>102,00</t>
  </si>
  <si>
    <t>Юноши 16 - 17 (22.10.2005)/16</t>
  </si>
  <si>
    <t>1. Бабешко Илья</t>
  </si>
  <si>
    <t>91,40</t>
  </si>
  <si>
    <t>Мастера 45 - 49 (17.02.1973)/48</t>
  </si>
  <si>
    <t>1. Омаров Олег</t>
  </si>
  <si>
    <t>97,00</t>
  </si>
  <si>
    <t>Открытая (07.05.2004)/17</t>
  </si>
  <si>
    <t>1. Никишин Олег</t>
  </si>
  <si>
    <t>1. Невзоров Алексей</t>
  </si>
  <si>
    <t>89,00</t>
  </si>
  <si>
    <t>Юноши 0-13 (13.10.2009)/12</t>
  </si>
  <si>
    <t>1. Михайлов Богдан</t>
  </si>
  <si>
    <t>79,00</t>
  </si>
  <si>
    <t>Открытая (01.10.2001)/20</t>
  </si>
  <si>
    <t>4. Бибалов Вячислав</t>
  </si>
  <si>
    <t>3. Стефанько Евгений</t>
  </si>
  <si>
    <t>197,5</t>
  </si>
  <si>
    <t>187,5</t>
  </si>
  <si>
    <t>122,5</t>
  </si>
  <si>
    <t>172,5</t>
  </si>
  <si>
    <t>81,00</t>
  </si>
  <si>
    <t>Открытая (17.01.1991)/30</t>
  </si>
  <si>
    <t>2. Минясаров Руслан</t>
  </si>
  <si>
    <t>252,5</t>
  </si>
  <si>
    <t>Открытая (29.10.1994)/27</t>
  </si>
  <si>
    <t>1. Хашпаков Муса</t>
  </si>
  <si>
    <t>102,5</t>
  </si>
  <si>
    <t>79,70</t>
  </si>
  <si>
    <t>Юниоры 20 - 23 (15.12.1998)/23</t>
  </si>
  <si>
    <t>1. Косточка Аркадий</t>
  </si>
  <si>
    <t>74,00</t>
  </si>
  <si>
    <t>Открытая (13.08.2005)/16</t>
  </si>
  <si>
    <t>1. Кислюк Артемий</t>
  </si>
  <si>
    <t>75,00</t>
  </si>
  <si>
    <t>Юноши 18 - 19 (03.04.2002)/19</t>
  </si>
  <si>
    <t>1. Емиж Ислам</t>
  </si>
  <si>
    <t>2. Жабелов Артур</t>
  </si>
  <si>
    <t>Юноши 16 - 17 (25.07.2005)/16</t>
  </si>
  <si>
    <t>1. Воронин Богдан</t>
  </si>
  <si>
    <t>63,30</t>
  </si>
  <si>
    <t>Открытая (25.10.2004)/17</t>
  </si>
  <si>
    <t>1. Гривастов Глеб</t>
  </si>
  <si>
    <t>63,00</t>
  </si>
  <si>
    <t>Юноши 16 - 17 (12.08.2005)/16</t>
  </si>
  <si>
    <t>1. Кузнецов Ярослав</t>
  </si>
  <si>
    <t>59,50</t>
  </si>
  <si>
    <t>Открытая (19.05.2005)/16</t>
  </si>
  <si>
    <t>1. Блощинский Александр</t>
  </si>
  <si>
    <t>50,00</t>
  </si>
  <si>
    <t>Открытая (08.07.2006)/15</t>
  </si>
  <si>
    <t>1. Завалиев Даниил</t>
  </si>
  <si>
    <t>1. Маташвили Наталия</t>
  </si>
  <si>
    <t>27,5</t>
  </si>
  <si>
    <t>20,0</t>
  </si>
  <si>
    <t>65,00</t>
  </si>
  <si>
    <t>Открытая (26.01.2009)/12</t>
  </si>
  <si>
    <t>1. Помазанова Маргарита</t>
  </si>
  <si>
    <t>КУБОК СИЛЫ - IX
Любители пауэрлифтинг без экипировки
Краснодар/Краснодарский край 25 - 26 декабря 2021 г.</t>
  </si>
  <si>
    <t>232,6126</t>
  </si>
  <si>
    <t>Гришина Полина</t>
  </si>
  <si>
    <t xml:space="preserve">Юниорки </t>
  </si>
  <si>
    <t>Юниорки 20 - 23 (25.10.2001)/20</t>
  </si>
  <si>
    <t>1. Гришина Полина</t>
  </si>
  <si>
    <t>КУБОК СИЛЫ - IX
Любители пауэрлифтинг Стандарт
Краснодар/Краснодарский край 25 - 26 декабря 2021 г.</t>
  </si>
  <si>
    <t>435,5610</t>
  </si>
  <si>
    <t>735,0</t>
  </si>
  <si>
    <t>Корсунов Илья</t>
  </si>
  <si>
    <t>285,0</t>
  </si>
  <si>
    <t>88,20</t>
  </si>
  <si>
    <t>Открытая (27.06.1990)/31</t>
  </si>
  <si>
    <t>1. Корсунов Илья</t>
  </si>
  <si>
    <t>КУБОК СИЛЫ - IX
ПРО пауэрлифтинг Стандарт
Краснодар/Краснодарский край 25 - 26 декабря 2021 г.</t>
  </si>
  <si>
    <t>51,1650</t>
  </si>
  <si>
    <t>66,5390</t>
  </si>
  <si>
    <t>77,4585</t>
  </si>
  <si>
    <t>91,1145</t>
  </si>
  <si>
    <t>93,2850</t>
  </si>
  <si>
    <t>111,8910</t>
  </si>
  <si>
    <t>66,6470</t>
  </si>
  <si>
    <t>60,5844</t>
  </si>
  <si>
    <t>70,7201</t>
  </si>
  <si>
    <t>1. Аскеров Михаил</t>
  </si>
  <si>
    <t>2. Довгопол Владимир</t>
  </si>
  <si>
    <t>22,5</t>
  </si>
  <si>
    <t>Жим стоя</t>
  </si>
  <si>
    <t>КУБОК СИЛЫ - IX (Пауэрспорт)
Пауэрспорт Любители
Краснодар/Краснодарский край 25 - 26 декабря 2021 г.</t>
  </si>
  <si>
    <t>217,8414</t>
  </si>
  <si>
    <t>Космынин Владимир</t>
  </si>
  <si>
    <t>69,00</t>
  </si>
  <si>
    <t>Мастера 60 - 64 (12.06.1960)/61</t>
  </si>
  <si>
    <t>1. Космынин Владимир</t>
  </si>
  <si>
    <t>КУБОК СИЛЫ - IX
ПРО жим лежа в Софт экипировка многопетельная
Краснодар/Краснодарский край 25 - 26 декабря 2021 г.</t>
  </si>
  <si>
    <t>1341,7080</t>
  </si>
  <si>
    <t>2040,0</t>
  </si>
  <si>
    <t>Чубков Сергей</t>
  </si>
  <si>
    <t>17,0</t>
  </si>
  <si>
    <t>118,60</t>
  </si>
  <si>
    <t>Мастера 40 - 44 (03.05.1979)/42</t>
  </si>
  <si>
    <t>1. Чубков Сергей</t>
  </si>
  <si>
    <t>Народный жим</t>
  </si>
  <si>
    <t>Кубок Силы IX (Народный)
Профессионалы народный жим (1 вес)
Краснодар/Краснодарский край 25 - 26 декабря 2021 г.</t>
  </si>
  <si>
    <t>48,8888</t>
  </si>
  <si>
    <t>3300,0</t>
  </si>
  <si>
    <t>All</t>
  </si>
  <si>
    <t xml:space="preserve">Атлетизм </t>
  </si>
  <si>
    <t>ВЕСОВАЯ КАТЕГОРИЯ   All</t>
  </si>
  <si>
    <t>Русская становая</t>
  </si>
  <si>
    <t>Атлетизм</t>
  </si>
  <si>
    <t>КУБОК СИЛЫ - IX (Русский жим + тяга)
Русская станова тяга любители 55 кг.
Краснодар/Краснодарский край 25 - 26 декабря 2021 г.</t>
  </si>
  <si>
    <t>27,1867</t>
  </si>
  <si>
    <t>2300,0</t>
  </si>
  <si>
    <t>45,3296</t>
  </si>
  <si>
    <t>23,0</t>
  </si>
  <si>
    <t>2. Карданов Инал</t>
  </si>
  <si>
    <t>КУБОК СИЛЫ - IX (Русский жим + тяга)
Русская станова тяга любители 100 кг.
Краснодар/Краснодарский край 25 - 26 декабря 2021 г.</t>
  </si>
  <si>
    <t>21,4694</t>
  </si>
  <si>
    <t>2250,0</t>
  </si>
  <si>
    <t>Никандров Роман</t>
  </si>
  <si>
    <t>15,0</t>
  </si>
  <si>
    <t xml:space="preserve">Мистер Мускул </t>
  </si>
  <si>
    <t>104,80</t>
  </si>
  <si>
    <t>Мастера 40 - 44 (30.10.1978)/43</t>
  </si>
  <si>
    <t>1. Никандров Роман</t>
  </si>
  <si>
    <t>КУБОК СИЛЫ - IX (Русский жим + тяга)
Русская станова тяга профессионалы 150 кг.
Краснодар/Краснодарский край 25 - 26 декабря 2021 г.</t>
  </si>
  <si>
    <t>12,4045</t>
  </si>
  <si>
    <t>1300,0</t>
  </si>
  <si>
    <t>17,2131</t>
  </si>
  <si>
    <t>1050,0</t>
  </si>
  <si>
    <t>Хортиев Аскер</t>
  </si>
  <si>
    <t>20,8845</t>
  </si>
  <si>
    <t>1700,0</t>
  </si>
  <si>
    <t>Гунжафов Эльдар</t>
  </si>
  <si>
    <t>26,8640</t>
  </si>
  <si>
    <t>2450,0</t>
  </si>
  <si>
    <t>Шугушев Нарт</t>
  </si>
  <si>
    <t>30,8641</t>
  </si>
  <si>
    <t>2000,0</t>
  </si>
  <si>
    <t>Бузараев Алим</t>
  </si>
  <si>
    <t>15,3203</t>
  </si>
  <si>
    <t>1100,0</t>
  </si>
  <si>
    <t>Сибеков Азамат</t>
  </si>
  <si>
    <t>15,9574</t>
  </si>
  <si>
    <t>Цамакаев Амиран</t>
  </si>
  <si>
    <t>17,8351</t>
  </si>
  <si>
    <t>1450,0</t>
  </si>
  <si>
    <t>Шугушев Азамат</t>
  </si>
  <si>
    <t>30,7898</t>
  </si>
  <si>
    <t>Лигидов Джабар</t>
  </si>
  <si>
    <t>36,5474</t>
  </si>
  <si>
    <t>2350,0</t>
  </si>
  <si>
    <t>Ахкубеков Марат</t>
  </si>
  <si>
    <t>26,0</t>
  </si>
  <si>
    <t>21,0</t>
  </si>
  <si>
    <t>61,00</t>
  </si>
  <si>
    <t>Юниоры 20 - 23 (12.07.2001)/20</t>
  </si>
  <si>
    <t>4. Хортиев Аскер</t>
  </si>
  <si>
    <t>34,0</t>
  </si>
  <si>
    <t>81,40</t>
  </si>
  <si>
    <t>Юниоры 20 - 23 (28.08.2001)/20</t>
  </si>
  <si>
    <t>3. Гунжафов Эльдар</t>
  </si>
  <si>
    <t>64,80</t>
  </si>
  <si>
    <t>Юниоры 20 - 23 (08.07.2001)/20</t>
  </si>
  <si>
    <t>2. Бузараев Алим</t>
  </si>
  <si>
    <t>49,0</t>
  </si>
  <si>
    <t>91,20</t>
  </si>
  <si>
    <t>Юниоры 20 - 23 (25.06.1999)/22</t>
  </si>
  <si>
    <t>1. Шугушев Нарт</t>
  </si>
  <si>
    <t>65,80</t>
  </si>
  <si>
    <t>Юноши 18 - 19 (27.09.2003)/18</t>
  </si>
  <si>
    <t>4. Цамакаев Амиран</t>
  </si>
  <si>
    <t>22,0</t>
  </si>
  <si>
    <t>71,80</t>
  </si>
  <si>
    <t>Юноши 18 - 19 (12.12.2002)/19</t>
  </si>
  <si>
    <t>3. Сибеков Азамат</t>
  </si>
  <si>
    <t>46,0</t>
  </si>
  <si>
    <t>74,70</t>
  </si>
  <si>
    <t>Юноши 18 - 19 (05.06.2003)/18</t>
  </si>
  <si>
    <t>2. Лигидов Джабар</t>
  </si>
  <si>
    <t>47,0</t>
  </si>
  <si>
    <t>64,30</t>
  </si>
  <si>
    <t>Юноши 18 - 19 (25.03.2003)/18</t>
  </si>
  <si>
    <t>1. Ахкубеков Марат</t>
  </si>
  <si>
    <t>29,0</t>
  </si>
  <si>
    <t>81,30</t>
  </si>
  <si>
    <t>Юноши 16 - 17 (04.02.2004)/17</t>
  </si>
  <si>
    <t>1. Шугушев Азамат</t>
  </si>
  <si>
    <t>Подъем на бицепс мн.повт.</t>
  </si>
  <si>
    <t>КУБОК СИЛЫ - IX (Русский жим + тяга)
Русский бицепс профессионалы 50 кг.
Краснодар/Краснодарский край 25 - 26 декабря 2021 г.</t>
  </si>
  <si>
    <t>211,7930</t>
  </si>
  <si>
    <t>17600,0</t>
  </si>
  <si>
    <t>Гордеев Дмитрий</t>
  </si>
  <si>
    <t xml:space="preserve">Лазачев Владимир </t>
  </si>
  <si>
    <t>320,0</t>
  </si>
  <si>
    <t xml:space="preserve">Пермь/Пермский край </t>
  </si>
  <si>
    <t xml:space="preserve">Монолит </t>
  </si>
  <si>
    <t>83,10</t>
  </si>
  <si>
    <t>Мастера 40 - 44 (31.08.1981)/40</t>
  </si>
  <si>
    <t>1. Гордеев Дмитрий</t>
  </si>
  <si>
    <t>Русский жим</t>
  </si>
  <si>
    <t>КУБОК СИЛЫ - IX (Русский жим + тяга)
Русский жим профессионалы 55 кг.
Краснодар/Краснодарский край 25 - 26 декабря 2021 г.</t>
  </si>
  <si>
    <t>17,1755</t>
  </si>
  <si>
    <t>1800,0</t>
  </si>
  <si>
    <t>18,0</t>
  </si>
  <si>
    <t>КУБОК СИЛЫ - IX (Русский жим + тяга)
Русский жим профессионалы 100 кг.
Краснодар/Краснодарский край 25 - 26 декабря 2021 г.</t>
  </si>
  <si>
    <t>166,9500</t>
  </si>
  <si>
    <t>177,9740</t>
  </si>
  <si>
    <t>265,0</t>
  </si>
  <si>
    <t>206,2550</t>
  </si>
  <si>
    <t>350,0</t>
  </si>
  <si>
    <t>213,3180</t>
  </si>
  <si>
    <t>420,0</t>
  </si>
  <si>
    <t>255,0720</t>
  </si>
  <si>
    <t>126,3865</t>
  </si>
  <si>
    <t>136,00</t>
  </si>
  <si>
    <t>295,0</t>
  </si>
  <si>
    <t>99,00</t>
  </si>
  <si>
    <t>Открытая (17.02.1973)/48</t>
  </si>
  <si>
    <t>1. Бибалов Вячислав</t>
  </si>
  <si>
    <t>КУБОК СИЛЫ - IX
Силовое двоеборье любители
Краснодар/Краснодарский край 25 - 26 декабря 2021 г.</t>
  </si>
  <si>
    <t>345,4913</t>
  </si>
  <si>
    <t>465,0</t>
  </si>
  <si>
    <t xml:space="preserve">Мастера 55 - 59 </t>
  </si>
  <si>
    <t>Скляр Олег</t>
  </si>
  <si>
    <t>108,50</t>
  </si>
  <si>
    <t>Мастера 55 - 59 (21.06.1966)/55</t>
  </si>
  <si>
    <t>1. Скляр Олег</t>
  </si>
  <si>
    <t>КУБОК СИЛЫ - IX
Силовое двоеборье профессионалы
Краснодар/Краснодарский край 25 - 26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</si>
</sst>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97"/>
  <sheetViews>
    <sheetView tabSelected="1"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10" width="5.5703125" style="3" customWidth="1"/>
    <col min="11" max="11" width="7.85546875" style="20" bestFit="1" customWidth="1"/>
    <col min="12" max="12" width="8.5703125" style="2" bestFit="1" customWidth="1"/>
    <col min="13" max="13" width="27" style="4" bestFit="1" customWidth="1"/>
    <col min="14" max="16384" width="9.140625" style="3"/>
  </cols>
  <sheetData>
    <row r="1" spans="1:13" s="2" customFormat="1" ht="29.1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10</v>
      </c>
      <c r="H3" s="39"/>
      <c r="I3" s="39"/>
      <c r="J3" s="39"/>
      <c r="K3" s="39" t="s">
        <v>224</v>
      </c>
      <c r="L3" s="39" t="s">
        <v>2</v>
      </c>
      <c r="M3" s="50" t="s">
        <v>1</v>
      </c>
    </row>
    <row r="4" spans="1:13" s="1" customFormat="1" ht="21" customHeight="1" thickBot="1" x14ac:dyDescent="0.25">
      <c r="A4" s="48"/>
      <c r="B4" s="40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51"/>
    </row>
    <row r="5" spans="1:13" ht="15" x14ac:dyDescent="0.2">
      <c r="A5" s="37" t="s">
        <v>11</v>
      </c>
      <c r="B5" s="38"/>
      <c r="C5" s="38"/>
      <c r="D5" s="38"/>
      <c r="E5" s="38"/>
      <c r="F5" s="38"/>
      <c r="G5" s="38"/>
      <c r="H5" s="38"/>
      <c r="I5" s="38"/>
      <c r="J5" s="38"/>
    </row>
    <row r="6" spans="1:13" x14ac:dyDescent="0.2">
      <c r="A6" s="7" t="s">
        <v>13</v>
      </c>
      <c r="B6" s="7" t="s">
        <v>14</v>
      </c>
      <c r="C6" s="7" t="s">
        <v>15</v>
      </c>
      <c r="D6" s="7" t="str">
        <f>"1,0379"</f>
        <v>1,0379</v>
      </c>
      <c r="E6" s="7" t="s">
        <v>16</v>
      </c>
      <c r="F6" s="7" t="s">
        <v>17</v>
      </c>
      <c r="G6" s="9" t="s">
        <v>18</v>
      </c>
      <c r="H6" s="9" t="s">
        <v>19</v>
      </c>
      <c r="I6" s="8" t="s">
        <v>20</v>
      </c>
      <c r="J6" s="8"/>
      <c r="K6" s="21" t="str">
        <f>"55,0"</f>
        <v>55,0</v>
      </c>
      <c r="L6" s="22" t="str">
        <f>"57,0845"</f>
        <v>57,0845</v>
      </c>
      <c r="M6" s="7" t="s">
        <v>21</v>
      </c>
    </row>
    <row r="8" spans="1:13" ht="15" x14ac:dyDescent="0.2">
      <c r="A8" s="35" t="s">
        <v>22</v>
      </c>
      <c r="B8" s="36"/>
      <c r="C8" s="36"/>
      <c r="D8" s="36"/>
      <c r="E8" s="36"/>
      <c r="F8" s="36"/>
      <c r="G8" s="36"/>
      <c r="H8" s="36"/>
      <c r="I8" s="36"/>
      <c r="J8" s="36"/>
    </row>
    <row r="9" spans="1:13" x14ac:dyDescent="0.2">
      <c r="A9" s="10" t="s">
        <v>24</v>
      </c>
      <c r="B9" s="10" t="s">
        <v>25</v>
      </c>
      <c r="C9" s="10" t="s">
        <v>26</v>
      </c>
      <c r="D9" s="10" t="str">
        <f>"0,9754"</f>
        <v>0,9754</v>
      </c>
      <c r="E9" s="10" t="s">
        <v>27</v>
      </c>
      <c r="F9" s="10" t="s">
        <v>28</v>
      </c>
      <c r="G9" s="11" t="s">
        <v>19</v>
      </c>
      <c r="H9" s="12" t="s">
        <v>19</v>
      </c>
      <c r="I9" s="11" t="s">
        <v>29</v>
      </c>
      <c r="J9" s="11"/>
      <c r="K9" s="23" t="str">
        <f>"55,0"</f>
        <v>55,0</v>
      </c>
      <c r="L9" s="24" t="str">
        <f>"53,6497"</f>
        <v>53,6497</v>
      </c>
      <c r="M9" s="10" t="s">
        <v>30</v>
      </c>
    </row>
    <row r="10" spans="1:13" x14ac:dyDescent="0.2">
      <c r="A10" s="13" t="s">
        <v>32</v>
      </c>
      <c r="B10" s="13" t="s">
        <v>33</v>
      </c>
      <c r="C10" s="13" t="s">
        <v>34</v>
      </c>
      <c r="D10" s="13" t="str">
        <f>"0,9693"</f>
        <v>0,9693</v>
      </c>
      <c r="E10" s="13" t="s">
        <v>27</v>
      </c>
      <c r="F10" s="13" t="s">
        <v>28</v>
      </c>
      <c r="G10" s="15" t="s">
        <v>35</v>
      </c>
      <c r="H10" s="14" t="s">
        <v>36</v>
      </c>
      <c r="I10" s="14" t="s">
        <v>36</v>
      </c>
      <c r="J10" s="14"/>
      <c r="K10" s="25" t="str">
        <f>"45,0"</f>
        <v>45,0</v>
      </c>
      <c r="L10" s="26" t="str">
        <f>"43,6207"</f>
        <v>43,6207</v>
      </c>
      <c r="M10" s="13" t="s">
        <v>30</v>
      </c>
    </row>
    <row r="12" spans="1:13" ht="15" x14ac:dyDescent="0.2">
      <c r="A12" s="35" t="s">
        <v>37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 x14ac:dyDescent="0.2">
      <c r="A13" s="7" t="s">
        <v>39</v>
      </c>
      <c r="B13" s="7" t="s">
        <v>40</v>
      </c>
      <c r="C13" s="7" t="s">
        <v>41</v>
      </c>
      <c r="D13" s="7" t="str">
        <f>"0,8857"</f>
        <v>0,8857</v>
      </c>
      <c r="E13" s="7" t="s">
        <v>42</v>
      </c>
      <c r="F13" s="7" t="s">
        <v>43</v>
      </c>
      <c r="G13" s="9" t="s">
        <v>44</v>
      </c>
      <c r="H13" s="8" t="s">
        <v>45</v>
      </c>
      <c r="I13" s="9" t="s">
        <v>45</v>
      </c>
      <c r="J13" s="8"/>
      <c r="K13" s="21" t="str">
        <f>"65,0"</f>
        <v>65,0</v>
      </c>
      <c r="L13" s="22" t="str">
        <f>"57,5705"</f>
        <v>57,5705</v>
      </c>
      <c r="M13" s="7" t="s">
        <v>48</v>
      </c>
    </row>
    <row r="15" spans="1:13" ht="15" x14ac:dyDescent="0.2">
      <c r="A15" s="35" t="s">
        <v>49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3" x14ac:dyDescent="0.2">
      <c r="A16" s="7" t="s">
        <v>51</v>
      </c>
      <c r="B16" s="7" t="s">
        <v>52</v>
      </c>
      <c r="C16" s="7" t="s">
        <v>53</v>
      </c>
      <c r="D16" s="7" t="str">
        <f>"0,7326"</f>
        <v>0,7326</v>
      </c>
      <c r="E16" s="7" t="s">
        <v>27</v>
      </c>
      <c r="F16" s="7" t="s">
        <v>28</v>
      </c>
      <c r="G16" s="9" t="s">
        <v>35</v>
      </c>
      <c r="H16" s="9" t="s">
        <v>54</v>
      </c>
      <c r="I16" s="9" t="s">
        <v>19</v>
      </c>
      <c r="J16" s="8"/>
      <c r="K16" s="21" t="str">
        <f>"55,0"</f>
        <v>55,0</v>
      </c>
      <c r="L16" s="22" t="str">
        <f>"40,2903"</f>
        <v>40,2903</v>
      </c>
      <c r="M16" s="7" t="s">
        <v>55</v>
      </c>
    </row>
    <row r="18" spans="1:13" ht="15" x14ac:dyDescent="0.2">
      <c r="A18" s="35" t="s">
        <v>56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3" x14ac:dyDescent="0.2">
      <c r="A19" s="7" t="s">
        <v>58</v>
      </c>
      <c r="B19" s="7" t="s">
        <v>59</v>
      </c>
      <c r="C19" s="7" t="s">
        <v>60</v>
      </c>
      <c r="D19" s="7" t="str">
        <f>"0,7151"</f>
        <v>0,7151</v>
      </c>
      <c r="E19" s="7" t="s">
        <v>61</v>
      </c>
      <c r="F19" s="7" t="s">
        <v>62</v>
      </c>
      <c r="G19" s="8" t="s">
        <v>63</v>
      </c>
      <c r="H19" s="9" t="s">
        <v>64</v>
      </c>
      <c r="I19" s="9" t="s">
        <v>65</v>
      </c>
      <c r="J19" s="8"/>
      <c r="K19" s="21" t="str">
        <f>"84,0"</f>
        <v>84,0</v>
      </c>
      <c r="L19" s="22" t="str">
        <f>"62,9517"</f>
        <v>62,9517</v>
      </c>
      <c r="M19" s="7" t="s">
        <v>66</v>
      </c>
    </row>
    <row r="21" spans="1:13" ht="15" x14ac:dyDescent="0.2">
      <c r="A21" s="35" t="s">
        <v>67</v>
      </c>
      <c r="B21" s="36"/>
      <c r="C21" s="36"/>
      <c r="D21" s="36"/>
      <c r="E21" s="36"/>
      <c r="F21" s="36"/>
      <c r="G21" s="36"/>
      <c r="H21" s="36"/>
      <c r="I21" s="36"/>
      <c r="J21" s="36"/>
    </row>
    <row r="22" spans="1:13" x14ac:dyDescent="0.2">
      <c r="A22" s="7" t="s">
        <v>69</v>
      </c>
      <c r="B22" s="7" t="s">
        <v>70</v>
      </c>
      <c r="C22" s="7" t="s">
        <v>71</v>
      </c>
      <c r="D22" s="7" t="str">
        <f>"0,7287"</f>
        <v>0,7287</v>
      </c>
      <c r="E22" s="7" t="s">
        <v>72</v>
      </c>
      <c r="F22" s="7" t="s">
        <v>28</v>
      </c>
      <c r="G22" s="9" t="s">
        <v>46</v>
      </c>
      <c r="H22" s="9" t="s">
        <v>73</v>
      </c>
      <c r="I22" s="8" t="s">
        <v>47</v>
      </c>
      <c r="J22" s="8"/>
      <c r="K22" s="21" t="str">
        <f>"110,0"</f>
        <v>110,0</v>
      </c>
      <c r="L22" s="22" t="str">
        <f>"80,1570"</f>
        <v>80,1570</v>
      </c>
      <c r="M22" s="7" t="s">
        <v>74</v>
      </c>
    </row>
    <row r="24" spans="1:13" ht="15" x14ac:dyDescent="0.2">
      <c r="A24" s="35" t="s">
        <v>49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">
      <c r="A25" s="10" t="s">
        <v>76</v>
      </c>
      <c r="B25" s="10" t="s">
        <v>77</v>
      </c>
      <c r="C25" s="10" t="s">
        <v>78</v>
      </c>
      <c r="D25" s="10" t="str">
        <f>"0,6687"</f>
        <v>0,6687</v>
      </c>
      <c r="E25" s="10" t="s">
        <v>79</v>
      </c>
      <c r="F25" s="10" t="s">
        <v>80</v>
      </c>
      <c r="G25" s="12" t="s">
        <v>81</v>
      </c>
      <c r="H25" s="12" t="s">
        <v>82</v>
      </c>
      <c r="I25" s="12" t="s">
        <v>83</v>
      </c>
      <c r="J25" s="11"/>
      <c r="K25" s="23" t="str">
        <f>"145,0"</f>
        <v>145,0</v>
      </c>
      <c r="L25" s="24" t="str">
        <f>"96,9615"</f>
        <v>96,9615</v>
      </c>
      <c r="M25" s="10" t="s">
        <v>84</v>
      </c>
    </row>
    <row r="26" spans="1:13" x14ac:dyDescent="0.2">
      <c r="A26" s="13" t="s">
        <v>86</v>
      </c>
      <c r="B26" s="13" t="s">
        <v>87</v>
      </c>
      <c r="C26" s="13" t="s">
        <v>88</v>
      </c>
      <c r="D26" s="13" t="str">
        <f>"0,6659"</f>
        <v>0,6659</v>
      </c>
      <c r="E26" s="13" t="s">
        <v>89</v>
      </c>
      <c r="F26" s="13" t="s">
        <v>28</v>
      </c>
      <c r="G26" s="15" t="s">
        <v>90</v>
      </c>
      <c r="H26" s="15" t="s">
        <v>91</v>
      </c>
      <c r="I26" s="15" t="s">
        <v>92</v>
      </c>
      <c r="J26" s="14" t="s">
        <v>46</v>
      </c>
      <c r="K26" s="25" t="str">
        <f>"103,5"</f>
        <v>103,5</v>
      </c>
      <c r="L26" s="26" t="str">
        <f>"143,9063"</f>
        <v>143,9063</v>
      </c>
      <c r="M26" s="13" t="s">
        <v>93</v>
      </c>
    </row>
    <row r="28" spans="1:13" ht="15" x14ac:dyDescent="0.2">
      <c r="A28" s="35" t="s">
        <v>56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3" x14ac:dyDescent="0.2">
      <c r="A29" s="7" t="s">
        <v>94</v>
      </c>
      <c r="B29" s="7" t="s">
        <v>95</v>
      </c>
      <c r="C29" s="7" t="s">
        <v>96</v>
      </c>
      <c r="D29" s="7" t="str">
        <f>"0,6570"</f>
        <v>0,6570</v>
      </c>
      <c r="E29" s="7" t="s">
        <v>97</v>
      </c>
      <c r="F29" s="7" t="s">
        <v>28</v>
      </c>
      <c r="G29" s="8" t="s">
        <v>98</v>
      </c>
      <c r="H29" s="8" t="s">
        <v>98</v>
      </c>
      <c r="I29" s="8" t="s">
        <v>98</v>
      </c>
      <c r="J29" s="8"/>
      <c r="K29" s="21" t="str">
        <f>"0.00"</f>
        <v>0.00</v>
      </c>
      <c r="L29" s="22" t="str">
        <f>"0,0000"</f>
        <v>0,0000</v>
      </c>
      <c r="M29" s="7" t="s">
        <v>30</v>
      </c>
    </row>
    <row r="31" spans="1:13" ht="15" x14ac:dyDescent="0.2">
      <c r="A31" s="35" t="s">
        <v>99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3" x14ac:dyDescent="0.2">
      <c r="A32" s="7" t="s">
        <v>101</v>
      </c>
      <c r="B32" s="7" t="s">
        <v>102</v>
      </c>
      <c r="C32" s="7" t="s">
        <v>103</v>
      </c>
      <c r="D32" s="7" t="str">
        <f>"0,5939"</f>
        <v>0,5939</v>
      </c>
      <c r="E32" s="7" t="s">
        <v>104</v>
      </c>
      <c r="F32" s="7" t="s">
        <v>105</v>
      </c>
      <c r="G32" s="9" t="s">
        <v>106</v>
      </c>
      <c r="H32" s="9" t="s">
        <v>107</v>
      </c>
      <c r="I32" s="9" t="s">
        <v>108</v>
      </c>
      <c r="J32" s="8"/>
      <c r="K32" s="21" t="str">
        <f>"155,0"</f>
        <v>155,0</v>
      </c>
      <c r="L32" s="22" t="str">
        <f>"95,7367"</f>
        <v>95,7367</v>
      </c>
      <c r="M32" s="7" t="s">
        <v>109</v>
      </c>
    </row>
    <row r="34" spans="1:13" ht="15" x14ac:dyDescent="0.2">
      <c r="A34" s="35" t="s">
        <v>110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3" x14ac:dyDescent="0.2">
      <c r="A35" s="10" t="s">
        <v>112</v>
      </c>
      <c r="B35" s="10" t="s">
        <v>113</v>
      </c>
      <c r="C35" s="10" t="s">
        <v>114</v>
      </c>
      <c r="D35" s="10" t="str">
        <f>"0,5543"</f>
        <v>0,5543</v>
      </c>
      <c r="E35" s="10" t="s">
        <v>42</v>
      </c>
      <c r="F35" s="10" t="s">
        <v>43</v>
      </c>
      <c r="G35" s="12" t="s">
        <v>107</v>
      </c>
      <c r="H35" s="11" t="s">
        <v>115</v>
      </c>
      <c r="I35" s="11" t="s">
        <v>115</v>
      </c>
      <c r="J35" s="11"/>
      <c r="K35" s="23" t="str">
        <f>"150,0"</f>
        <v>150,0</v>
      </c>
      <c r="L35" s="24" t="str">
        <f>"83,1450"</f>
        <v>83,1450</v>
      </c>
      <c r="M35" s="10" t="s">
        <v>48</v>
      </c>
    </row>
    <row r="36" spans="1:13" x14ac:dyDescent="0.2">
      <c r="A36" s="16" t="s">
        <v>117</v>
      </c>
      <c r="B36" s="16" t="s">
        <v>118</v>
      </c>
      <c r="C36" s="16" t="s">
        <v>119</v>
      </c>
      <c r="D36" s="16" t="str">
        <f>"0,5768"</f>
        <v>0,5768</v>
      </c>
      <c r="E36" s="16" t="s">
        <v>120</v>
      </c>
      <c r="F36" s="16" t="s">
        <v>121</v>
      </c>
      <c r="G36" s="18" t="s">
        <v>122</v>
      </c>
      <c r="H36" s="18" t="s">
        <v>123</v>
      </c>
      <c r="I36" s="18" t="s">
        <v>124</v>
      </c>
      <c r="J36" s="17"/>
      <c r="K36" s="27" t="str">
        <f>"210,0"</f>
        <v>210,0</v>
      </c>
      <c r="L36" s="28" t="str">
        <f>"121,1280"</f>
        <v>121,1280</v>
      </c>
      <c r="M36" s="16" t="s">
        <v>125</v>
      </c>
    </row>
    <row r="37" spans="1:13" x14ac:dyDescent="0.2">
      <c r="A37" s="16" t="s">
        <v>126</v>
      </c>
      <c r="B37" s="16" t="s">
        <v>127</v>
      </c>
      <c r="C37" s="16" t="s">
        <v>114</v>
      </c>
      <c r="D37" s="16" t="str">
        <f>"0,5543"</f>
        <v>0,5543</v>
      </c>
      <c r="E37" s="16" t="s">
        <v>42</v>
      </c>
      <c r="F37" s="16" t="s">
        <v>43</v>
      </c>
      <c r="G37" s="18" t="s">
        <v>107</v>
      </c>
      <c r="H37" s="17" t="s">
        <v>115</v>
      </c>
      <c r="I37" s="17" t="s">
        <v>115</v>
      </c>
      <c r="J37" s="17"/>
      <c r="K37" s="27" t="str">
        <f>"150,0"</f>
        <v>150,0</v>
      </c>
      <c r="L37" s="28" t="str">
        <f>"83,1450"</f>
        <v>83,1450</v>
      </c>
      <c r="M37" s="16" t="s">
        <v>48</v>
      </c>
    </row>
    <row r="38" spans="1:13" x14ac:dyDescent="0.2">
      <c r="A38" s="16" t="s">
        <v>129</v>
      </c>
      <c r="B38" s="16" t="s">
        <v>130</v>
      </c>
      <c r="C38" s="16" t="s">
        <v>131</v>
      </c>
      <c r="D38" s="16" t="str">
        <f>"0,5660"</f>
        <v>0,5660</v>
      </c>
      <c r="E38" s="16" t="s">
        <v>72</v>
      </c>
      <c r="F38" s="16" t="s">
        <v>132</v>
      </c>
      <c r="G38" s="17" t="s">
        <v>133</v>
      </c>
      <c r="H38" s="18" t="s">
        <v>133</v>
      </c>
      <c r="I38" s="17" t="s">
        <v>106</v>
      </c>
      <c r="J38" s="17"/>
      <c r="K38" s="27" t="str">
        <f>"125,0"</f>
        <v>125,0</v>
      </c>
      <c r="L38" s="28" t="str">
        <f>"70,7500"</f>
        <v>70,7500</v>
      </c>
      <c r="M38" s="16" t="s">
        <v>134</v>
      </c>
    </row>
    <row r="39" spans="1:13" x14ac:dyDescent="0.2">
      <c r="A39" s="13" t="s">
        <v>135</v>
      </c>
      <c r="B39" s="13" t="s">
        <v>136</v>
      </c>
      <c r="C39" s="13" t="s">
        <v>137</v>
      </c>
      <c r="D39" s="13" t="str">
        <f>"0,5553"</f>
        <v>0,5553</v>
      </c>
      <c r="E39" s="13" t="s">
        <v>42</v>
      </c>
      <c r="F39" s="13" t="s">
        <v>43</v>
      </c>
      <c r="G39" s="14" t="s">
        <v>107</v>
      </c>
      <c r="H39" s="14"/>
      <c r="I39" s="14"/>
      <c r="J39" s="14"/>
      <c r="K39" s="25" t="str">
        <f>"0.00"</f>
        <v>0.00</v>
      </c>
      <c r="L39" s="26" t="str">
        <f>"0,0000"</f>
        <v>0,0000</v>
      </c>
      <c r="M39" s="13" t="s">
        <v>48</v>
      </c>
    </row>
    <row r="41" spans="1:13" ht="15" x14ac:dyDescent="0.2">
      <c r="A41" s="35" t="s">
        <v>138</v>
      </c>
      <c r="B41" s="36"/>
      <c r="C41" s="36"/>
      <c r="D41" s="36"/>
      <c r="E41" s="36"/>
      <c r="F41" s="36"/>
      <c r="G41" s="36"/>
      <c r="H41" s="36"/>
      <c r="I41" s="36"/>
      <c r="J41" s="36"/>
    </row>
    <row r="42" spans="1:13" x14ac:dyDescent="0.2">
      <c r="A42" s="10" t="s">
        <v>140</v>
      </c>
      <c r="B42" s="10" t="s">
        <v>141</v>
      </c>
      <c r="C42" s="10" t="s">
        <v>142</v>
      </c>
      <c r="D42" s="10" t="str">
        <f>"0,5417"</f>
        <v>0,5417</v>
      </c>
      <c r="E42" s="10" t="s">
        <v>143</v>
      </c>
      <c r="F42" s="10" t="s">
        <v>144</v>
      </c>
      <c r="G42" s="12" t="s">
        <v>145</v>
      </c>
      <c r="H42" s="12" t="s">
        <v>146</v>
      </c>
      <c r="I42" s="11" t="s">
        <v>147</v>
      </c>
      <c r="J42" s="11"/>
      <c r="K42" s="23" t="str">
        <f>"175,0"</f>
        <v>175,0</v>
      </c>
      <c r="L42" s="24" t="str">
        <f>"94,7975"</f>
        <v>94,7975</v>
      </c>
      <c r="M42" s="10" t="s">
        <v>148</v>
      </c>
    </row>
    <row r="43" spans="1:13" x14ac:dyDescent="0.2">
      <c r="A43" s="16" t="s">
        <v>149</v>
      </c>
      <c r="B43" s="16" t="s">
        <v>150</v>
      </c>
      <c r="C43" s="16" t="s">
        <v>151</v>
      </c>
      <c r="D43" s="16" t="str">
        <f>"0,5372"</f>
        <v>0,5372</v>
      </c>
      <c r="E43" s="16" t="s">
        <v>16</v>
      </c>
      <c r="F43" s="16" t="s">
        <v>17</v>
      </c>
      <c r="G43" s="17" t="s">
        <v>152</v>
      </c>
      <c r="H43" s="17" t="s">
        <v>152</v>
      </c>
      <c r="I43" s="17" t="s">
        <v>152</v>
      </c>
      <c r="J43" s="17"/>
      <c r="K43" s="27" t="str">
        <f>"0.00"</f>
        <v>0.00</v>
      </c>
      <c r="L43" s="28" t="str">
        <f>"0,0000"</f>
        <v>0,0000</v>
      </c>
      <c r="M43" s="16" t="s">
        <v>153</v>
      </c>
    </row>
    <row r="44" spans="1:13" x14ac:dyDescent="0.2">
      <c r="A44" s="16" t="s">
        <v>155</v>
      </c>
      <c r="B44" s="16" t="s">
        <v>156</v>
      </c>
      <c r="C44" s="16" t="s">
        <v>157</v>
      </c>
      <c r="D44" s="16" t="str">
        <f>"0,5365"</f>
        <v>0,5365</v>
      </c>
      <c r="E44" s="16" t="s">
        <v>143</v>
      </c>
      <c r="F44" s="16" t="s">
        <v>144</v>
      </c>
      <c r="G44" s="18" t="s">
        <v>158</v>
      </c>
      <c r="H44" s="18" t="s">
        <v>147</v>
      </c>
      <c r="I44" s="17" t="s">
        <v>159</v>
      </c>
      <c r="J44" s="17"/>
      <c r="K44" s="27" t="str">
        <f>"180,0"</f>
        <v>180,0</v>
      </c>
      <c r="L44" s="28" t="str">
        <f>"105,4544"</f>
        <v>105,4544</v>
      </c>
      <c r="M44" s="16" t="s">
        <v>148</v>
      </c>
    </row>
    <row r="45" spans="1:13" x14ac:dyDescent="0.2">
      <c r="A45" s="13" t="s">
        <v>161</v>
      </c>
      <c r="B45" s="13" t="s">
        <v>162</v>
      </c>
      <c r="C45" s="13" t="s">
        <v>142</v>
      </c>
      <c r="D45" s="13" t="str">
        <f>"0,5417"</f>
        <v>0,5417</v>
      </c>
      <c r="E45" s="13" t="s">
        <v>72</v>
      </c>
      <c r="F45" s="13" t="s">
        <v>28</v>
      </c>
      <c r="G45" s="14" t="s">
        <v>158</v>
      </c>
      <c r="H45" s="15" t="s">
        <v>158</v>
      </c>
      <c r="I45" s="14" t="s">
        <v>163</v>
      </c>
      <c r="J45" s="14"/>
      <c r="K45" s="25" t="str">
        <f>"170,0"</f>
        <v>170,0</v>
      </c>
      <c r="L45" s="26" t="str">
        <f>"96,5093"</f>
        <v>96,5093</v>
      </c>
      <c r="M45" s="13" t="s">
        <v>164</v>
      </c>
    </row>
    <row r="47" spans="1:13" ht="15" x14ac:dyDescent="0.2">
      <c r="A47" s="35" t="s">
        <v>165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3" x14ac:dyDescent="0.2">
      <c r="A48" s="10" t="s">
        <v>167</v>
      </c>
      <c r="B48" s="10" t="s">
        <v>168</v>
      </c>
      <c r="C48" s="10" t="s">
        <v>169</v>
      </c>
      <c r="D48" s="10" t="str">
        <f>"0,5270"</f>
        <v>0,5270</v>
      </c>
      <c r="E48" s="10" t="s">
        <v>170</v>
      </c>
      <c r="F48" s="10" t="s">
        <v>171</v>
      </c>
      <c r="G48" s="12" t="s">
        <v>107</v>
      </c>
      <c r="H48" s="12" t="s">
        <v>108</v>
      </c>
      <c r="I48" s="11" t="s">
        <v>115</v>
      </c>
      <c r="J48" s="11"/>
      <c r="K48" s="23" t="str">
        <f>"155,0"</f>
        <v>155,0</v>
      </c>
      <c r="L48" s="24" t="str">
        <f>"81,6850"</f>
        <v>81,6850</v>
      </c>
      <c r="M48" s="10" t="s">
        <v>172</v>
      </c>
    </row>
    <row r="49" spans="1:13" x14ac:dyDescent="0.2">
      <c r="A49" s="13" t="s">
        <v>173</v>
      </c>
      <c r="B49" s="13" t="s">
        <v>174</v>
      </c>
      <c r="C49" s="13" t="s">
        <v>175</v>
      </c>
      <c r="D49" s="13" t="str">
        <f>"0,5217"</f>
        <v>0,5217</v>
      </c>
      <c r="E49" s="13" t="s">
        <v>42</v>
      </c>
      <c r="F49" s="13" t="s">
        <v>43</v>
      </c>
      <c r="G49" s="14" t="s">
        <v>146</v>
      </c>
      <c r="H49" s="14" t="s">
        <v>146</v>
      </c>
      <c r="I49" s="14" t="s">
        <v>146</v>
      </c>
      <c r="J49" s="14"/>
      <c r="K49" s="25" t="str">
        <f>"0.00"</f>
        <v>0.00</v>
      </c>
      <c r="L49" s="26" t="str">
        <f>"0,0000"</f>
        <v>0,0000</v>
      </c>
      <c r="M49" s="13" t="s">
        <v>48</v>
      </c>
    </row>
    <row r="51" spans="1:13" ht="15" x14ac:dyDescent="0.2">
      <c r="E51" s="19" t="s">
        <v>176</v>
      </c>
    </row>
    <row r="52" spans="1:13" ht="15" x14ac:dyDescent="0.2">
      <c r="E52" s="19" t="s">
        <v>177</v>
      </c>
    </row>
    <row r="53" spans="1:13" ht="15" x14ac:dyDescent="0.2">
      <c r="E53" s="19" t="s">
        <v>178</v>
      </c>
    </row>
    <row r="54" spans="1:13" ht="15" x14ac:dyDescent="0.2">
      <c r="E54" s="19" t="s">
        <v>179</v>
      </c>
    </row>
    <row r="55" spans="1:13" ht="15" x14ac:dyDescent="0.2">
      <c r="E55" s="19" t="s">
        <v>179</v>
      </c>
    </row>
    <row r="56" spans="1:13" ht="15" x14ac:dyDescent="0.2">
      <c r="E56" s="19" t="s">
        <v>180</v>
      </c>
    </row>
    <row r="57" spans="1:13" ht="15" x14ac:dyDescent="0.2">
      <c r="E57" s="19"/>
    </row>
    <row r="59" spans="1:13" ht="18" x14ac:dyDescent="0.25">
      <c r="A59" s="29" t="s">
        <v>181</v>
      </c>
      <c r="B59" s="29"/>
    </row>
    <row r="60" spans="1:13" ht="15" x14ac:dyDescent="0.2">
      <c r="A60" s="30" t="s">
        <v>182</v>
      </c>
      <c r="B60" s="30"/>
    </row>
    <row r="61" spans="1:13" ht="14.25" x14ac:dyDescent="0.2">
      <c r="A61" s="32"/>
      <c r="B61" s="33" t="s">
        <v>183</v>
      </c>
    </row>
    <row r="62" spans="1:13" ht="15" x14ac:dyDescent="0.2">
      <c r="A62" s="34" t="s">
        <v>184</v>
      </c>
      <c r="B62" s="34" t="s">
        <v>185</v>
      </c>
      <c r="C62" s="34" t="s">
        <v>186</v>
      </c>
      <c r="D62" s="34" t="s">
        <v>187</v>
      </c>
      <c r="E62" s="34" t="s">
        <v>188</v>
      </c>
    </row>
    <row r="63" spans="1:13" x14ac:dyDescent="0.2">
      <c r="A63" s="31" t="s">
        <v>38</v>
      </c>
      <c r="B63" s="4" t="s">
        <v>183</v>
      </c>
      <c r="C63" s="4" t="s">
        <v>189</v>
      </c>
      <c r="D63" s="4" t="s">
        <v>45</v>
      </c>
      <c r="E63" s="20" t="s">
        <v>190</v>
      </c>
    </row>
    <row r="64" spans="1:13" x14ac:dyDescent="0.2">
      <c r="A64" s="31" t="s">
        <v>12</v>
      </c>
      <c r="B64" s="4" t="s">
        <v>183</v>
      </c>
      <c r="C64" s="4" t="s">
        <v>191</v>
      </c>
      <c r="D64" s="4" t="s">
        <v>19</v>
      </c>
      <c r="E64" s="20" t="s">
        <v>192</v>
      </c>
    </row>
    <row r="65" spans="1:5" x14ac:dyDescent="0.2">
      <c r="A65" s="31" t="s">
        <v>23</v>
      </c>
      <c r="B65" s="4" t="s">
        <v>183</v>
      </c>
      <c r="C65" s="4" t="s">
        <v>193</v>
      </c>
      <c r="D65" s="4" t="s">
        <v>19</v>
      </c>
      <c r="E65" s="20" t="s">
        <v>194</v>
      </c>
    </row>
    <row r="66" spans="1:5" x14ac:dyDescent="0.2">
      <c r="A66" s="31" t="s">
        <v>31</v>
      </c>
      <c r="B66" s="4" t="s">
        <v>183</v>
      </c>
      <c r="C66" s="4" t="s">
        <v>193</v>
      </c>
      <c r="D66" s="4" t="s">
        <v>35</v>
      </c>
      <c r="E66" s="20" t="s">
        <v>195</v>
      </c>
    </row>
    <row r="67" spans="1:5" x14ac:dyDescent="0.2">
      <c r="A67" s="31" t="s">
        <v>50</v>
      </c>
      <c r="B67" s="4" t="s">
        <v>183</v>
      </c>
      <c r="C67" s="4" t="s">
        <v>196</v>
      </c>
      <c r="D67" s="4" t="s">
        <v>19</v>
      </c>
      <c r="E67" s="20" t="s">
        <v>197</v>
      </c>
    </row>
    <row r="69" spans="1:5" ht="14.25" x14ac:dyDescent="0.2">
      <c r="A69" s="32"/>
      <c r="B69" s="33" t="s">
        <v>198</v>
      </c>
    </row>
    <row r="70" spans="1:5" ht="15" x14ac:dyDescent="0.2">
      <c r="A70" s="34" t="s">
        <v>184</v>
      </c>
      <c r="B70" s="34" t="s">
        <v>185</v>
      </c>
      <c r="C70" s="34" t="s">
        <v>186</v>
      </c>
      <c r="D70" s="34" t="s">
        <v>187</v>
      </c>
      <c r="E70" s="34" t="s">
        <v>188</v>
      </c>
    </row>
    <row r="71" spans="1:5" x14ac:dyDescent="0.2">
      <c r="A71" s="31" t="s">
        <v>57</v>
      </c>
      <c r="B71" s="4" t="s">
        <v>199</v>
      </c>
      <c r="C71" s="4" t="s">
        <v>200</v>
      </c>
      <c r="D71" s="4" t="s">
        <v>65</v>
      </c>
      <c r="E71" s="20" t="s">
        <v>201</v>
      </c>
    </row>
    <row r="74" spans="1:5" ht="15" x14ac:dyDescent="0.2">
      <c r="A74" s="30" t="s">
        <v>202</v>
      </c>
      <c r="B74" s="30"/>
    </row>
    <row r="75" spans="1:5" ht="14.25" x14ac:dyDescent="0.2">
      <c r="A75" s="32"/>
      <c r="B75" s="33" t="s">
        <v>203</v>
      </c>
    </row>
    <row r="76" spans="1:5" ht="15" x14ac:dyDescent="0.2">
      <c r="A76" s="34" t="s">
        <v>184</v>
      </c>
      <c r="B76" s="34" t="s">
        <v>185</v>
      </c>
      <c r="C76" s="34" t="s">
        <v>186</v>
      </c>
      <c r="D76" s="34" t="s">
        <v>187</v>
      </c>
      <c r="E76" s="34" t="s">
        <v>188</v>
      </c>
    </row>
    <row r="77" spans="1:5" x14ac:dyDescent="0.2">
      <c r="A77" s="31" t="s">
        <v>100</v>
      </c>
      <c r="B77" s="4" t="s">
        <v>204</v>
      </c>
      <c r="C77" s="4" t="s">
        <v>205</v>
      </c>
      <c r="D77" s="4" t="s">
        <v>108</v>
      </c>
      <c r="E77" s="20" t="s">
        <v>206</v>
      </c>
    </row>
    <row r="79" spans="1:5" ht="14.25" x14ac:dyDescent="0.2">
      <c r="A79" s="32"/>
      <c r="B79" s="33" t="s">
        <v>207</v>
      </c>
    </row>
    <row r="80" spans="1:5" ht="15" x14ac:dyDescent="0.2">
      <c r="A80" s="34" t="s">
        <v>184</v>
      </c>
      <c r="B80" s="34" t="s">
        <v>185</v>
      </c>
      <c r="C80" s="34" t="s">
        <v>186</v>
      </c>
      <c r="D80" s="34" t="s">
        <v>187</v>
      </c>
      <c r="E80" s="34" t="s">
        <v>188</v>
      </c>
    </row>
    <row r="81" spans="1:5" x14ac:dyDescent="0.2">
      <c r="A81" s="31" t="s">
        <v>75</v>
      </c>
      <c r="B81" s="4" t="s">
        <v>208</v>
      </c>
      <c r="C81" s="4" t="s">
        <v>196</v>
      </c>
      <c r="D81" s="4" t="s">
        <v>83</v>
      </c>
      <c r="E81" s="20" t="s">
        <v>209</v>
      </c>
    </row>
    <row r="82" spans="1:5" x14ac:dyDescent="0.2">
      <c r="A82" s="31" t="s">
        <v>111</v>
      </c>
      <c r="B82" s="4" t="s">
        <v>208</v>
      </c>
      <c r="C82" s="4" t="s">
        <v>210</v>
      </c>
      <c r="D82" s="4" t="s">
        <v>107</v>
      </c>
      <c r="E82" s="20" t="s">
        <v>211</v>
      </c>
    </row>
    <row r="84" spans="1:5" ht="14.25" x14ac:dyDescent="0.2">
      <c r="A84" s="32"/>
      <c r="B84" s="33" t="s">
        <v>183</v>
      </c>
    </row>
    <row r="85" spans="1:5" ht="15" x14ac:dyDescent="0.2">
      <c r="A85" s="34" t="s">
        <v>184</v>
      </c>
      <c r="B85" s="34" t="s">
        <v>185</v>
      </c>
      <c r="C85" s="34" t="s">
        <v>186</v>
      </c>
      <c r="D85" s="34" t="s">
        <v>187</v>
      </c>
      <c r="E85" s="34" t="s">
        <v>188</v>
      </c>
    </row>
    <row r="86" spans="1:5" x14ac:dyDescent="0.2">
      <c r="A86" s="31" t="s">
        <v>116</v>
      </c>
      <c r="B86" s="4" t="s">
        <v>183</v>
      </c>
      <c r="C86" s="4" t="s">
        <v>210</v>
      </c>
      <c r="D86" s="4" t="s">
        <v>124</v>
      </c>
      <c r="E86" s="20" t="s">
        <v>212</v>
      </c>
    </row>
    <row r="87" spans="1:5" x14ac:dyDescent="0.2">
      <c r="A87" s="31" t="s">
        <v>139</v>
      </c>
      <c r="B87" s="4" t="s">
        <v>183</v>
      </c>
      <c r="C87" s="4" t="s">
        <v>213</v>
      </c>
      <c r="D87" s="4" t="s">
        <v>146</v>
      </c>
      <c r="E87" s="20" t="s">
        <v>214</v>
      </c>
    </row>
    <row r="88" spans="1:5" x14ac:dyDescent="0.2">
      <c r="A88" s="31" t="s">
        <v>111</v>
      </c>
      <c r="B88" s="4" t="s">
        <v>183</v>
      </c>
      <c r="C88" s="4" t="s">
        <v>210</v>
      </c>
      <c r="D88" s="4" t="s">
        <v>107</v>
      </c>
      <c r="E88" s="20" t="s">
        <v>211</v>
      </c>
    </row>
    <row r="89" spans="1:5" x14ac:dyDescent="0.2">
      <c r="A89" s="31" t="s">
        <v>166</v>
      </c>
      <c r="B89" s="4" t="s">
        <v>183</v>
      </c>
      <c r="C89" s="4" t="s">
        <v>215</v>
      </c>
      <c r="D89" s="4" t="s">
        <v>108</v>
      </c>
      <c r="E89" s="20" t="s">
        <v>216</v>
      </c>
    </row>
    <row r="90" spans="1:5" x14ac:dyDescent="0.2">
      <c r="A90" s="31" t="s">
        <v>68</v>
      </c>
      <c r="B90" s="4" t="s">
        <v>183</v>
      </c>
      <c r="C90" s="4" t="s">
        <v>217</v>
      </c>
      <c r="D90" s="4" t="s">
        <v>73</v>
      </c>
      <c r="E90" s="20" t="s">
        <v>218</v>
      </c>
    </row>
    <row r="91" spans="1:5" x14ac:dyDescent="0.2">
      <c r="A91" s="31" t="s">
        <v>128</v>
      </c>
      <c r="B91" s="4" t="s">
        <v>183</v>
      </c>
      <c r="C91" s="4" t="s">
        <v>210</v>
      </c>
      <c r="D91" s="4" t="s">
        <v>133</v>
      </c>
      <c r="E91" s="20" t="s">
        <v>219</v>
      </c>
    </row>
    <row r="93" spans="1:5" ht="14.25" x14ac:dyDescent="0.2">
      <c r="A93" s="32"/>
      <c r="B93" s="33" t="s">
        <v>198</v>
      </c>
    </row>
    <row r="94" spans="1:5" ht="15" x14ac:dyDescent="0.2">
      <c r="A94" s="34" t="s">
        <v>184</v>
      </c>
      <c r="B94" s="34" t="s">
        <v>185</v>
      </c>
      <c r="C94" s="34" t="s">
        <v>186</v>
      </c>
      <c r="D94" s="34" t="s">
        <v>187</v>
      </c>
      <c r="E94" s="34" t="s">
        <v>188</v>
      </c>
    </row>
    <row r="95" spans="1:5" x14ac:dyDescent="0.2">
      <c r="A95" s="31" t="s">
        <v>85</v>
      </c>
      <c r="B95" s="4" t="s">
        <v>220</v>
      </c>
      <c r="C95" s="4" t="s">
        <v>196</v>
      </c>
      <c r="D95" s="4" t="s">
        <v>92</v>
      </c>
      <c r="E95" s="20" t="s">
        <v>221</v>
      </c>
    </row>
    <row r="96" spans="1:5" x14ac:dyDescent="0.2">
      <c r="A96" s="31" t="s">
        <v>154</v>
      </c>
      <c r="B96" s="4" t="s">
        <v>199</v>
      </c>
      <c r="C96" s="4" t="s">
        <v>213</v>
      </c>
      <c r="D96" s="4" t="s">
        <v>147</v>
      </c>
      <c r="E96" s="20" t="s">
        <v>222</v>
      </c>
    </row>
    <row r="97" spans="1:5" x14ac:dyDescent="0.2">
      <c r="A97" s="31" t="s">
        <v>160</v>
      </c>
      <c r="B97" s="4" t="s">
        <v>199</v>
      </c>
      <c r="C97" s="4" t="s">
        <v>213</v>
      </c>
      <c r="D97" s="4" t="s">
        <v>158</v>
      </c>
      <c r="E97" s="20" t="s">
        <v>223</v>
      </c>
    </row>
  </sheetData>
  <mergeCells count="23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2:J12"/>
    <mergeCell ref="A15:J15"/>
    <mergeCell ref="A18:J18"/>
    <mergeCell ref="A41:J41"/>
    <mergeCell ref="A47:J47"/>
    <mergeCell ref="A21:J21"/>
    <mergeCell ref="A24:J24"/>
    <mergeCell ref="A28:J28"/>
    <mergeCell ref="A31:J31"/>
    <mergeCell ref="A34:J3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1" t="s">
        <v>739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10</v>
      </c>
      <c r="H3" s="39"/>
      <c r="I3" s="39"/>
      <c r="J3" s="39"/>
      <c r="K3" s="39" t="s">
        <v>224</v>
      </c>
      <c r="L3" s="39" t="s">
        <v>2</v>
      </c>
      <c r="M3" s="50" t="s">
        <v>1</v>
      </c>
    </row>
    <row r="4" spans="1:13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40"/>
      <c r="L4" s="40"/>
      <c r="M4" s="51"/>
    </row>
    <row r="5" spans="1:13" ht="15" x14ac:dyDescent="0.2">
      <c r="A5" s="37" t="s">
        <v>49</v>
      </c>
      <c r="B5" s="38"/>
      <c r="C5" s="38"/>
      <c r="D5" s="38"/>
      <c r="E5" s="38"/>
      <c r="F5" s="38"/>
      <c r="G5" s="38"/>
      <c r="H5" s="38"/>
      <c r="I5" s="38"/>
      <c r="J5" s="38"/>
    </row>
    <row r="6" spans="1:13" x14ac:dyDescent="0.2">
      <c r="A6" s="7" t="s">
        <v>738</v>
      </c>
      <c r="B6" s="7" t="s">
        <v>737</v>
      </c>
      <c r="C6" s="7" t="s">
        <v>736</v>
      </c>
      <c r="D6" s="7" t="str">
        <f>"0,7119"</f>
        <v>0,7119</v>
      </c>
      <c r="E6" s="7" t="s">
        <v>16</v>
      </c>
      <c r="F6" s="7" t="s">
        <v>17</v>
      </c>
      <c r="G6" s="9" t="s">
        <v>158</v>
      </c>
      <c r="H6" s="8" t="s">
        <v>147</v>
      </c>
      <c r="I6" s="9" t="s">
        <v>147</v>
      </c>
      <c r="J6" s="8"/>
      <c r="K6" s="21" t="str">
        <f>"180,0"</f>
        <v>180,0</v>
      </c>
      <c r="L6" s="22" t="str">
        <f>"217,8414"</f>
        <v>217,8414</v>
      </c>
      <c r="M6" s="7" t="s">
        <v>125</v>
      </c>
    </row>
    <row r="8" spans="1:13" ht="15" x14ac:dyDescent="0.2">
      <c r="E8" s="19" t="s">
        <v>176</v>
      </c>
    </row>
    <row r="9" spans="1:13" ht="15" x14ac:dyDescent="0.2">
      <c r="E9" s="19" t="s">
        <v>177</v>
      </c>
    </row>
    <row r="10" spans="1:13" ht="15" x14ac:dyDescent="0.2">
      <c r="E10" s="19" t="s">
        <v>178</v>
      </c>
    </row>
    <row r="11" spans="1:13" ht="15" x14ac:dyDescent="0.2">
      <c r="E11" s="19" t="s">
        <v>179</v>
      </c>
    </row>
    <row r="12" spans="1:13" ht="15" x14ac:dyDescent="0.2">
      <c r="E12" s="19" t="s">
        <v>179</v>
      </c>
    </row>
    <row r="13" spans="1:13" ht="15" x14ac:dyDescent="0.2">
      <c r="E13" s="19" t="s">
        <v>180</v>
      </c>
    </row>
    <row r="14" spans="1:13" ht="15" x14ac:dyDescent="0.2">
      <c r="E14" s="19"/>
    </row>
    <row r="16" spans="1:13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188</v>
      </c>
    </row>
    <row r="20" spans="1:5" x14ac:dyDescent="0.2">
      <c r="A20" s="31" t="s">
        <v>735</v>
      </c>
      <c r="B20" s="4" t="s">
        <v>231</v>
      </c>
      <c r="C20" s="4" t="s">
        <v>196</v>
      </c>
      <c r="D20" s="4" t="s">
        <v>147</v>
      </c>
      <c r="E20" s="20" t="s">
        <v>734</v>
      </c>
    </row>
  </sheetData>
  <mergeCells count="12">
    <mergeCell ref="F3:F4"/>
    <mergeCell ref="E3:E4"/>
    <mergeCell ref="A5:J5"/>
    <mergeCell ref="D3:D4"/>
    <mergeCell ref="K3:K4"/>
    <mergeCell ref="L3:L4"/>
    <mergeCell ref="A1:M2"/>
    <mergeCell ref="G3:J3"/>
    <mergeCell ref="A3:A4"/>
    <mergeCell ref="B3:B4"/>
    <mergeCell ref="C3:C4"/>
    <mergeCell ref="M3:M4"/>
  </mergeCells>
  <pageMargins left="0.19685039370078741" right="0.47244094488188981" top="0.43307086614173229" bottom="0.47244094488188981" header="0.51181102362204722" footer="0.51181102362204722"/>
  <pageSetup scale="74" fitToHeight="100" orientation="landscape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748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418</v>
      </c>
      <c r="E3" s="39" t="s">
        <v>3</v>
      </c>
      <c r="F3" s="39" t="s">
        <v>6</v>
      </c>
      <c r="G3" s="39" t="s">
        <v>747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165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746</v>
      </c>
      <c r="B6" s="7" t="s">
        <v>745</v>
      </c>
      <c r="C6" s="7" t="s">
        <v>744</v>
      </c>
      <c r="D6" s="7" t="str">
        <f>"0,6577"</f>
        <v>0,6577</v>
      </c>
      <c r="E6" s="7" t="s">
        <v>72</v>
      </c>
      <c r="F6" s="7" t="s">
        <v>28</v>
      </c>
      <c r="G6" s="9" t="s">
        <v>281</v>
      </c>
      <c r="H6" s="9" t="s">
        <v>743</v>
      </c>
      <c r="I6" s="21" t="str">
        <f>"2040,0"</f>
        <v>2040,0</v>
      </c>
      <c r="J6" s="22" t="str">
        <f>"1341,7080"</f>
        <v>1341,7080</v>
      </c>
      <c r="K6" s="7" t="s">
        <v>125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407</v>
      </c>
    </row>
    <row r="20" spans="1:5" x14ac:dyDescent="0.2">
      <c r="A20" s="31" t="s">
        <v>742</v>
      </c>
      <c r="B20" s="4" t="s">
        <v>227</v>
      </c>
      <c r="C20" s="4" t="s">
        <v>215</v>
      </c>
      <c r="D20" s="4" t="s">
        <v>741</v>
      </c>
      <c r="E20" s="20" t="s">
        <v>740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6" fitToHeight="100" orientation="landscape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12.140625" style="4" bestFit="1" customWidth="1"/>
    <col min="12" max="16384" width="9.140625" style="3"/>
  </cols>
  <sheetData>
    <row r="1" spans="1:11" s="2" customFormat="1" ht="29.1" customHeight="1" x14ac:dyDescent="0.2">
      <c r="A1" s="41" t="s">
        <v>756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754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507</v>
      </c>
      <c r="B6" s="7" t="s">
        <v>506</v>
      </c>
      <c r="C6" s="7" t="s">
        <v>373</v>
      </c>
      <c r="D6" s="7" t="str">
        <f>"1,0000"</f>
        <v>1,0000</v>
      </c>
      <c r="E6" s="7" t="s">
        <v>464</v>
      </c>
      <c r="F6" s="7" t="s">
        <v>488</v>
      </c>
      <c r="G6" s="9" t="s">
        <v>19</v>
      </c>
      <c r="H6" s="9" t="s">
        <v>29</v>
      </c>
      <c r="I6" s="21" t="str">
        <f>"3300,0"</f>
        <v>3300,0</v>
      </c>
      <c r="J6" s="22" t="str">
        <f>"48,8888"</f>
        <v>48,8888</v>
      </c>
      <c r="K6" s="7" t="s">
        <v>461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182</v>
      </c>
      <c r="B17" s="30"/>
    </row>
    <row r="18" spans="1:5" ht="14.25" x14ac:dyDescent="0.2">
      <c r="A18" s="32"/>
      <c r="B18" s="33" t="s">
        <v>183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752</v>
      </c>
    </row>
    <row r="20" spans="1:5" x14ac:dyDescent="0.2">
      <c r="A20" s="31" t="s">
        <v>450</v>
      </c>
      <c r="B20" s="4" t="s">
        <v>183</v>
      </c>
      <c r="C20" s="4" t="s">
        <v>751</v>
      </c>
      <c r="D20" s="4" t="s">
        <v>750</v>
      </c>
      <c r="E20" s="20" t="s">
        <v>749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3" fitToHeight="100" orientation="landscape" r:id="rId1"/>
  <headerFooter alignWithMargins="0">
    <oddFooter>&amp;L&amp;G&amp;R&amp;D&amp;T&amp;P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41" t="s">
        <v>762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754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10" t="s">
        <v>487</v>
      </c>
      <c r="B6" s="10" t="s">
        <v>486</v>
      </c>
      <c r="C6" s="10" t="s">
        <v>485</v>
      </c>
      <c r="D6" s="10" t="str">
        <f>"1,0000"</f>
        <v>1,0000</v>
      </c>
      <c r="E6" s="10" t="s">
        <v>484</v>
      </c>
      <c r="F6" s="10" t="s">
        <v>463</v>
      </c>
      <c r="G6" s="12" t="s">
        <v>91</v>
      </c>
      <c r="H6" s="12" t="s">
        <v>409</v>
      </c>
      <c r="I6" s="23" t="str">
        <f>"3300,0"</f>
        <v>3300,0</v>
      </c>
      <c r="J6" s="24" t="str">
        <f>"45,3296"</f>
        <v>45,3296</v>
      </c>
      <c r="K6" s="10" t="s">
        <v>483</v>
      </c>
    </row>
    <row r="7" spans="1:11" x14ac:dyDescent="0.2">
      <c r="A7" s="13" t="s">
        <v>761</v>
      </c>
      <c r="B7" s="13" t="s">
        <v>466</v>
      </c>
      <c r="C7" s="13" t="s">
        <v>465</v>
      </c>
      <c r="D7" s="13" t="str">
        <f>"1,0000"</f>
        <v>1,0000</v>
      </c>
      <c r="E7" s="13" t="s">
        <v>464</v>
      </c>
      <c r="F7" s="13" t="s">
        <v>463</v>
      </c>
      <c r="G7" s="15" t="s">
        <v>91</v>
      </c>
      <c r="H7" s="15" t="s">
        <v>760</v>
      </c>
      <c r="I7" s="25" t="str">
        <f>"2300,0"</f>
        <v>2300,0</v>
      </c>
      <c r="J7" s="26" t="str">
        <f>"27,1867"</f>
        <v>27,1867</v>
      </c>
      <c r="K7" s="13" t="s">
        <v>461</v>
      </c>
    </row>
    <row r="9" spans="1:11" ht="15" x14ac:dyDescent="0.2">
      <c r="E9" s="19" t="s">
        <v>176</v>
      </c>
    </row>
    <row r="10" spans="1:11" ht="15" x14ac:dyDescent="0.2">
      <c r="E10" s="19" t="s">
        <v>177</v>
      </c>
    </row>
    <row r="11" spans="1:11" ht="15" x14ac:dyDescent="0.2">
      <c r="E11" s="19" t="s">
        <v>178</v>
      </c>
    </row>
    <row r="12" spans="1:11" ht="15" x14ac:dyDescent="0.2">
      <c r="E12" s="19" t="s">
        <v>179</v>
      </c>
    </row>
    <row r="13" spans="1:11" ht="15" x14ac:dyDescent="0.2">
      <c r="E13" s="19" t="s">
        <v>179</v>
      </c>
    </row>
    <row r="14" spans="1:11" ht="15" x14ac:dyDescent="0.2">
      <c r="E14" s="19" t="s">
        <v>180</v>
      </c>
    </row>
    <row r="15" spans="1:11" ht="15" x14ac:dyDescent="0.2">
      <c r="E15" s="19"/>
    </row>
    <row r="17" spans="1:5" ht="18" x14ac:dyDescent="0.25">
      <c r="A17" s="29" t="s">
        <v>181</v>
      </c>
      <c r="B17" s="29"/>
    </row>
    <row r="18" spans="1:5" ht="15" x14ac:dyDescent="0.2">
      <c r="A18" s="30" t="s">
        <v>202</v>
      </c>
      <c r="B18" s="30"/>
    </row>
    <row r="19" spans="1:5" ht="14.25" x14ac:dyDescent="0.2">
      <c r="A19" s="32"/>
      <c r="B19" s="33" t="s">
        <v>203</v>
      </c>
    </row>
    <row r="20" spans="1:5" ht="15" x14ac:dyDescent="0.2">
      <c r="A20" s="34" t="s">
        <v>184</v>
      </c>
      <c r="B20" s="34" t="s">
        <v>185</v>
      </c>
      <c r="C20" s="34" t="s">
        <v>186</v>
      </c>
      <c r="D20" s="34" t="s">
        <v>187</v>
      </c>
      <c r="E20" s="34" t="s">
        <v>752</v>
      </c>
    </row>
    <row r="21" spans="1:5" x14ac:dyDescent="0.2">
      <c r="A21" s="31" t="s">
        <v>434</v>
      </c>
      <c r="B21" s="4" t="s">
        <v>204</v>
      </c>
      <c r="C21" s="4" t="s">
        <v>751</v>
      </c>
      <c r="D21" s="4" t="s">
        <v>750</v>
      </c>
      <c r="E21" s="20" t="s">
        <v>759</v>
      </c>
    </row>
    <row r="22" spans="1:5" x14ac:dyDescent="0.2">
      <c r="A22" s="31" t="s">
        <v>430</v>
      </c>
      <c r="B22" s="4" t="s">
        <v>204</v>
      </c>
      <c r="C22" s="4" t="s">
        <v>751</v>
      </c>
      <c r="D22" s="4" t="s">
        <v>758</v>
      </c>
      <c r="E22" s="20" t="s">
        <v>757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1" fitToHeight="100" orientation="landscape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771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754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770</v>
      </c>
      <c r="B6" s="7" t="s">
        <v>769</v>
      </c>
      <c r="C6" s="7" t="s">
        <v>768</v>
      </c>
      <c r="D6" s="7" t="str">
        <f>"1,0000"</f>
        <v>1,0000</v>
      </c>
      <c r="E6" s="7" t="s">
        <v>767</v>
      </c>
      <c r="F6" s="7" t="s">
        <v>132</v>
      </c>
      <c r="G6" s="9" t="s">
        <v>107</v>
      </c>
      <c r="H6" s="9" t="s">
        <v>766</v>
      </c>
      <c r="I6" s="21" t="str">
        <f>"2250,0"</f>
        <v>2250,0</v>
      </c>
      <c r="J6" s="22" t="str">
        <f>"21,4694"</f>
        <v>21,4694</v>
      </c>
      <c r="K6" s="7" t="s">
        <v>125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752</v>
      </c>
    </row>
    <row r="20" spans="1:5" x14ac:dyDescent="0.2">
      <c r="A20" s="31" t="s">
        <v>765</v>
      </c>
      <c r="B20" s="4" t="s">
        <v>227</v>
      </c>
      <c r="C20" s="4" t="s">
        <v>751</v>
      </c>
      <c r="D20" s="4" t="s">
        <v>764</v>
      </c>
      <c r="E20" s="20" t="s">
        <v>763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6" fitToHeight="100" orientation="landscape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26.42578125" style="4" bestFit="1" customWidth="1"/>
    <col min="12" max="16384" width="9.140625" style="3"/>
  </cols>
  <sheetData>
    <row r="1" spans="1:11" s="2" customFormat="1" ht="29.1" customHeight="1" x14ac:dyDescent="0.2">
      <c r="A1" s="41" t="s">
        <v>835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834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10" t="s">
        <v>833</v>
      </c>
      <c r="B6" s="10" t="s">
        <v>832</v>
      </c>
      <c r="C6" s="10" t="s">
        <v>831</v>
      </c>
      <c r="D6" s="10" t="str">
        <f>"1,0000"</f>
        <v>1,0000</v>
      </c>
      <c r="E6" s="10" t="s">
        <v>464</v>
      </c>
      <c r="F6" s="10" t="s">
        <v>488</v>
      </c>
      <c r="G6" s="12" t="s">
        <v>18</v>
      </c>
      <c r="H6" s="12" t="s">
        <v>830</v>
      </c>
      <c r="I6" s="23" t="str">
        <f>"1450,0"</f>
        <v>1450,0</v>
      </c>
      <c r="J6" s="24" t="str">
        <f>"17,8351"</f>
        <v>17,8351</v>
      </c>
      <c r="K6" s="10" t="s">
        <v>483</v>
      </c>
    </row>
    <row r="7" spans="1:11" x14ac:dyDescent="0.2">
      <c r="A7" s="16" t="s">
        <v>829</v>
      </c>
      <c r="B7" s="16" t="s">
        <v>828</v>
      </c>
      <c r="C7" s="16" t="s">
        <v>827</v>
      </c>
      <c r="D7" s="16" t="str">
        <f>"1,0000"</f>
        <v>1,0000</v>
      </c>
      <c r="E7" s="16" t="s">
        <v>464</v>
      </c>
      <c r="F7" s="16" t="s">
        <v>463</v>
      </c>
      <c r="G7" s="18" t="s">
        <v>18</v>
      </c>
      <c r="H7" s="18" t="s">
        <v>826</v>
      </c>
      <c r="I7" s="27" t="str">
        <f>"2350,0"</f>
        <v>2350,0</v>
      </c>
      <c r="J7" s="28" t="str">
        <f>"36,5474"</f>
        <v>36,5474</v>
      </c>
      <c r="K7" s="16" t="s">
        <v>483</v>
      </c>
    </row>
    <row r="8" spans="1:11" x14ac:dyDescent="0.2">
      <c r="A8" s="16" t="s">
        <v>825</v>
      </c>
      <c r="B8" s="16" t="s">
        <v>824</v>
      </c>
      <c r="C8" s="16" t="s">
        <v>823</v>
      </c>
      <c r="D8" s="16" t="str">
        <f>"1,0000"</f>
        <v>1,0000</v>
      </c>
      <c r="E8" s="16" t="s">
        <v>464</v>
      </c>
      <c r="F8" s="16" t="s">
        <v>463</v>
      </c>
      <c r="G8" s="18" t="s">
        <v>18</v>
      </c>
      <c r="H8" s="18" t="s">
        <v>822</v>
      </c>
      <c r="I8" s="27" t="str">
        <f>"2300,0"</f>
        <v>2300,0</v>
      </c>
      <c r="J8" s="28" t="str">
        <f>"30,7898"</f>
        <v>30,7898</v>
      </c>
      <c r="K8" s="16" t="s">
        <v>483</v>
      </c>
    </row>
    <row r="9" spans="1:11" x14ac:dyDescent="0.2">
      <c r="A9" s="16" t="s">
        <v>821</v>
      </c>
      <c r="B9" s="16" t="s">
        <v>820</v>
      </c>
      <c r="C9" s="16" t="s">
        <v>819</v>
      </c>
      <c r="D9" s="16" t="str">
        <f>"1,0000"</f>
        <v>1,0000</v>
      </c>
      <c r="E9" s="16" t="s">
        <v>464</v>
      </c>
      <c r="F9" s="16" t="s">
        <v>463</v>
      </c>
      <c r="G9" s="18" t="s">
        <v>18</v>
      </c>
      <c r="H9" s="18" t="s">
        <v>818</v>
      </c>
      <c r="I9" s="27" t="str">
        <f>"1100,0"</f>
        <v>1100,0</v>
      </c>
      <c r="J9" s="28" t="str">
        <f>"15,3203"</f>
        <v>15,3203</v>
      </c>
      <c r="K9" s="16" t="s">
        <v>483</v>
      </c>
    </row>
    <row r="10" spans="1:11" x14ac:dyDescent="0.2">
      <c r="A10" s="16" t="s">
        <v>817</v>
      </c>
      <c r="B10" s="16" t="s">
        <v>816</v>
      </c>
      <c r="C10" s="16" t="s">
        <v>815</v>
      </c>
      <c r="D10" s="16" t="str">
        <f>"1,0000"</f>
        <v>1,0000</v>
      </c>
      <c r="E10" s="16" t="s">
        <v>464</v>
      </c>
      <c r="F10" s="16" t="s">
        <v>463</v>
      </c>
      <c r="G10" s="18" t="s">
        <v>18</v>
      </c>
      <c r="H10" s="18" t="s">
        <v>800</v>
      </c>
      <c r="I10" s="27" t="str">
        <f>"1050,0"</f>
        <v>1050,0</v>
      </c>
      <c r="J10" s="28" t="str">
        <f>"15,9574"</f>
        <v>15,9574</v>
      </c>
      <c r="K10" s="16" t="s">
        <v>483</v>
      </c>
    </row>
    <row r="11" spans="1:11" x14ac:dyDescent="0.2">
      <c r="A11" s="16" t="s">
        <v>814</v>
      </c>
      <c r="B11" s="16" t="s">
        <v>813</v>
      </c>
      <c r="C11" s="16" t="s">
        <v>812</v>
      </c>
      <c r="D11" s="16" t="str">
        <f>"1,0000"</f>
        <v>1,0000</v>
      </c>
      <c r="E11" s="16" t="s">
        <v>464</v>
      </c>
      <c r="F11" s="16" t="s">
        <v>463</v>
      </c>
      <c r="G11" s="18" t="s">
        <v>18</v>
      </c>
      <c r="H11" s="18" t="s">
        <v>811</v>
      </c>
      <c r="I11" s="27" t="str">
        <f>"2450,0"</f>
        <v>2450,0</v>
      </c>
      <c r="J11" s="28" t="str">
        <f>"26,8640"</f>
        <v>26,8640</v>
      </c>
      <c r="K11" s="16" t="s">
        <v>483</v>
      </c>
    </row>
    <row r="12" spans="1:11" x14ac:dyDescent="0.2">
      <c r="A12" s="16" t="s">
        <v>810</v>
      </c>
      <c r="B12" s="16" t="s">
        <v>809</v>
      </c>
      <c r="C12" s="16" t="s">
        <v>808</v>
      </c>
      <c r="D12" s="16" t="str">
        <f>"1,0000"</f>
        <v>1,0000</v>
      </c>
      <c r="E12" s="16" t="s">
        <v>464</v>
      </c>
      <c r="F12" s="16" t="s">
        <v>463</v>
      </c>
      <c r="G12" s="18" t="s">
        <v>18</v>
      </c>
      <c r="H12" s="18" t="s">
        <v>462</v>
      </c>
      <c r="I12" s="27" t="str">
        <f>"2000,0"</f>
        <v>2000,0</v>
      </c>
      <c r="J12" s="28" t="str">
        <f>"30,8641"</f>
        <v>30,8641</v>
      </c>
      <c r="K12" s="16" t="s">
        <v>483</v>
      </c>
    </row>
    <row r="13" spans="1:11" x14ac:dyDescent="0.2">
      <c r="A13" s="16" t="s">
        <v>807</v>
      </c>
      <c r="B13" s="16" t="s">
        <v>806</v>
      </c>
      <c r="C13" s="16" t="s">
        <v>805</v>
      </c>
      <c r="D13" s="16" t="str">
        <f>"1,0000"</f>
        <v>1,0000</v>
      </c>
      <c r="E13" s="16" t="s">
        <v>464</v>
      </c>
      <c r="F13" s="16" t="s">
        <v>463</v>
      </c>
      <c r="G13" s="18" t="s">
        <v>18</v>
      </c>
      <c r="H13" s="18" t="s">
        <v>804</v>
      </c>
      <c r="I13" s="27" t="str">
        <f>"1700,0"</f>
        <v>1700,0</v>
      </c>
      <c r="J13" s="28" t="str">
        <f>"20,8845"</f>
        <v>20,8845</v>
      </c>
      <c r="K13" s="16" t="s">
        <v>483</v>
      </c>
    </row>
    <row r="14" spans="1:11" x14ac:dyDescent="0.2">
      <c r="A14" s="16" t="s">
        <v>803</v>
      </c>
      <c r="B14" s="16" t="s">
        <v>802</v>
      </c>
      <c r="C14" s="16" t="s">
        <v>801</v>
      </c>
      <c r="D14" s="16" t="str">
        <f>"1,0000"</f>
        <v>1,0000</v>
      </c>
      <c r="E14" s="16" t="s">
        <v>464</v>
      </c>
      <c r="F14" s="16" t="s">
        <v>463</v>
      </c>
      <c r="G14" s="18" t="s">
        <v>18</v>
      </c>
      <c r="H14" s="18" t="s">
        <v>800</v>
      </c>
      <c r="I14" s="27" t="str">
        <f>"1050,0"</f>
        <v>1050,0</v>
      </c>
      <c r="J14" s="28" t="str">
        <f>"17,2131"</f>
        <v>17,2131</v>
      </c>
      <c r="K14" s="16" t="s">
        <v>483</v>
      </c>
    </row>
    <row r="15" spans="1:11" x14ac:dyDescent="0.2">
      <c r="A15" s="13" t="s">
        <v>770</v>
      </c>
      <c r="B15" s="13" t="s">
        <v>769</v>
      </c>
      <c r="C15" s="13" t="s">
        <v>768</v>
      </c>
      <c r="D15" s="13" t="str">
        <f>"1,0000"</f>
        <v>1,0000</v>
      </c>
      <c r="E15" s="13" t="s">
        <v>767</v>
      </c>
      <c r="F15" s="13" t="s">
        <v>132</v>
      </c>
      <c r="G15" s="15" t="s">
        <v>18</v>
      </c>
      <c r="H15" s="15" t="s">
        <v>799</v>
      </c>
      <c r="I15" s="25" t="str">
        <f>"1300,0"</f>
        <v>1300,0</v>
      </c>
      <c r="J15" s="26" t="str">
        <f>"12,4045"</f>
        <v>12,4045</v>
      </c>
      <c r="K15" s="13" t="s">
        <v>125</v>
      </c>
    </row>
    <row r="17" spans="1:5" ht="15" x14ac:dyDescent="0.2">
      <c r="E17" s="19" t="s">
        <v>176</v>
      </c>
    </row>
    <row r="18" spans="1:5" ht="15" x14ac:dyDescent="0.2">
      <c r="E18" s="19" t="s">
        <v>177</v>
      </c>
    </row>
    <row r="19" spans="1:5" ht="15" x14ac:dyDescent="0.2">
      <c r="E19" s="19" t="s">
        <v>178</v>
      </c>
    </row>
    <row r="20" spans="1:5" ht="15" x14ac:dyDescent="0.2">
      <c r="E20" s="19" t="s">
        <v>179</v>
      </c>
    </row>
    <row r="21" spans="1:5" ht="15" x14ac:dyDescent="0.2">
      <c r="E21" s="19" t="s">
        <v>179</v>
      </c>
    </row>
    <row r="22" spans="1:5" ht="15" x14ac:dyDescent="0.2">
      <c r="E22" s="19" t="s">
        <v>180</v>
      </c>
    </row>
    <row r="23" spans="1:5" ht="15" x14ac:dyDescent="0.2">
      <c r="E23" s="19"/>
    </row>
    <row r="25" spans="1:5" ht="18" x14ac:dyDescent="0.25">
      <c r="A25" s="29" t="s">
        <v>181</v>
      </c>
      <c r="B25" s="29"/>
    </row>
    <row r="26" spans="1:5" ht="15" x14ac:dyDescent="0.2">
      <c r="A26" s="30" t="s">
        <v>202</v>
      </c>
      <c r="B26" s="30"/>
    </row>
    <row r="27" spans="1:5" ht="14.25" x14ac:dyDescent="0.2">
      <c r="A27" s="32"/>
      <c r="B27" s="33" t="s">
        <v>203</v>
      </c>
    </row>
    <row r="28" spans="1:5" ht="15" x14ac:dyDescent="0.2">
      <c r="A28" s="34" t="s">
        <v>184</v>
      </c>
      <c r="B28" s="34" t="s">
        <v>185</v>
      </c>
      <c r="C28" s="34" t="s">
        <v>186</v>
      </c>
      <c r="D28" s="34" t="s">
        <v>187</v>
      </c>
      <c r="E28" s="34" t="s">
        <v>752</v>
      </c>
    </row>
    <row r="29" spans="1:5" x14ac:dyDescent="0.2">
      <c r="A29" s="31" t="s">
        <v>798</v>
      </c>
      <c r="B29" s="4" t="s">
        <v>204</v>
      </c>
      <c r="C29" s="4" t="s">
        <v>751</v>
      </c>
      <c r="D29" s="4" t="s">
        <v>797</v>
      </c>
      <c r="E29" s="20" t="s">
        <v>796</v>
      </c>
    </row>
    <row r="30" spans="1:5" x14ac:dyDescent="0.2">
      <c r="A30" s="31" t="s">
        <v>795</v>
      </c>
      <c r="B30" s="4" t="s">
        <v>204</v>
      </c>
      <c r="C30" s="4" t="s">
        <v>751</v>
      </c>
      <c r="D30" s="4" t="s">
        <v>758</v>
      </c>
      <c r="E30" s="20" t="s">
        <v>794</v>
      </c>
    </row>
    <row r="31" spans="1:5" x14ac:dyDescent="0.2">
      <c r="A31" s="31" t="s">
        <v>793</v>
      </c>
      <c r="B31" s="4" t="s">
        <v>270</v>
      </c>
      <c r="C31" s="4" t="s">
        <v>751</v>
      </c>
      <c r="D31" s="4" t="s">
        <v>792</v>
      </c>
      <c r="E31" s="20" t="s">
        <v>791</v>
      </c>
    </row>
    <row r="32" spans="1:5" x14ac:dyDescent="0.2">
      <c r="A32" s="31" t="s">
        <v>790</v>
      </c>
      <c r="B32" s="4" t="s">
        <v>204</v>
      </c>
      <c r="C32" s="4" t="s">
        <v>751</v>
      </c>
      <c r="D32" s="4" t="s">
        <v>775</v>
      </c>
      <c r="E32" s="20" t="s">
        <v>789</v>
      </c>
    </row>
    <row r="33" spans="1:5" x14ac:dyDescent="0.2">
      <c r="A33" s="31" t="s">
        <v>788</v>
      </c>
      <c r="B33" s="4" t="s">
        <v>204</v>
      </c>
      <c r="C33" s="4" t="s">
        <v>751</v>
      </c>
      <c r="D33" s="4" t="s">
        <v>787</v>
      </c>
      <c r="E33" s="20" t="s">
        <v>786</v>
      </c>
    </row>
    <row r="35" spans="1:5" ht="14.25" x14ac:dyDescent="0.2">
      <c r="A35" s="32"/>
      <c r="B35" s="33" t="s">
        <v>207</v>
      </c>
    </row>
    <row r="36" spans="1:5" ht="15" x14ac:dyDescent="0.2">
      <c r="A36" s="34" t="s">
        <v>184</v>
      </c>
      <c r="B36" s="34" t="s">
        <v>185</v>
      </c>
      <c r="C36" s="34" t="s">
        <v>186</v>
      </c>
      <c r="D36" s="34" t="s">
        <v>187</v>
      </c>
      <c r="E36" s="34" t="s">
        <v>752</v>
      </c>
    </row>
    <row r="37" spans="1:5" x14ac:dyDescent="0.2">
      <c r="A37" s="31" t="s">
        <v>785</v>
      </c>
      <c r="B37" s="4" t="s">
        <v>208</v>
      </c>
      <c r="C37" s="4" t="s">
        <v>751</v>
      </c>
      <c r="D37" s="4" t="s">
        <v>784</v>
      </c>
      <c r="E37" s="20" t="s">
        <v>783</v>
      </c>
    </row>
    <row r="38" spans="1:5" x14ac:dyDescent="0.2">
      <c r="A38" s="31" t="s">
        <v>782</v>
      </c>
      <c r="B38" s="4" t="s">
        <v>208</v>
      </c>
      <c r="C38" s="4" t="s">
        <v>751</v>
      </c>
      <c r="D38" s="4" t="s">
        <v>781</v>
      </c>
      <c r="E38" s="20" t="s">
        <v>780</v>
      </c>
    </row>
    <row r="39" spans="1:5" x14ac:dyDescent="0.2">
      <c r="A39" s="31" t="s">
        <v>779</v>
      </c>
      <c r="B39" s="4" t="s">
        <v>208</v>
      </c>
      <c r="C39" s="4" t="s">
        <v>751</v>
      </c>
      <c r="D39" s="4" t="s">
        <v>778</v>
      </c>
      <c r="E39" s="20" t="s">
        <v>777</v>
      </c>
    </row>
    <row r="40" spans="1:5" x14ac:dyDescent="0.2">
      <c r="A40" s="31" t="s">
        <v>776</v>
      </c>
      <c r="B40" s="4" t="s">
        <v>208</v>
      </c>
      <c r="C40" s="4" t="s">
        <v>751</v>
      </c>
      <c r="D40" s="4" t="s">
        <v>775</v>
      </c>
      <c r="E40" s="20" t="s">
        <v>774</v>
      </c>
    </row>
    <row r="42" spans="1:5" ht="14.25" x14ac:dyDescent="0.2">
      <c r="A42" s="32"/>
      <c r="B42" s="33" t="s">
        <v>198</v>
      </c>
    </row>
    <row r="43" spans="1:5" ht="15" x14ac:dyDescent="0.2">
      <c r="A43" s="34" t="s">
        <v>184</v>
      </c>
      <c r="B43" s="34" t="s">
        <v>185</v>
      </c>
      <c r="C43" s="34" t="s">
        <v>186</v>
      </c>
      <c r="D43" s="34" t="s">
        <v>187</v>
      </c>
      <c r="E43" s="34" t="s">
        <v>752</v>
      </c>
    </row>
    <row r="44" spans="1:5" x14ac:dyDescent="0.2">
      <c r="A44" s="31" t="s">
        <v>765</v>
      </c>
      <c r="B44" s="4" t="s">
        <v>227</v>
      </c>
      <c r="C44" s="4" t="s">
        <v>751</v>
      </c>
      <c r="D44" s="4" t="s">
        <v>773</v>
      </c>
      <c r="E44" s="20" t="s">
        <v>772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67" fitToHeight="100" orientation="landscape" r:id="rId1"/>
  <headerFooter alignWithMargins="0">
    <oddFooter>&amp;L&amp;G&amp;R&amp;D&amp;T&amp;P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8.5703125" style="2" bestFit="1" customWidth="1"/>
    <col min="11" max="11" width="18.28515625" style="4" bestFit="1" customWidth="1"/>
    <col min="12" max="16384" width="9.140625" style="3"/>
  </cols>
  <sheetData>
    <row r="1" spans="1:11" s="2" customFormat="1" ht="29.1" customHeight="1" x14ac:dyDescent="0.2">
      <c r="A1" s="41" t="s">
        <v>847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846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845</v>
      </c>
      <c r="B6" s="7" t="s">
        <v>844</v>
      </c>
      <c r="C6" s="7" t="s">
        <v>843</v>
      </c>
      <c r="D6" s="7" t="str">
        <f>"1,0000"</f>
        <v>1,0000</v>
      </c>
      <c r="E6" s="7" t="s">
        <v>842</v>
      </c>
      <c r="F6" s="7" t="s">
        <v>841</v>
      </c>
      <c r="G6" s="9" t="s">
        <v>19</v>
      </c>
      <c r="H6" s="9" t="s">
        <v>840</v>
      </c>
      <c r="I6" s="21" t="str">
        <f>"17600,0"</f>
        <v>17600,0</v>
      </c>
      <c r="J6" s="22" t="str">
        <f>"211,7930"</f>
        <v>211,7930</v>
      </c>
      <c r="K6" s="7" t="s">
        <v>839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752</v>
      </c>
    </row>
    <row r="20" spans="1:5" x14ac:dyDescent="0.2">
      <c r="A20" s="31" t="s">
        <v>838</v>
      </c>
      <c r="B20" s="4" t="s">
        <v>227</v>
      </c>
      <c r="C20" s="4" t="s">
        <v>751</v>
      </c>
      <c r="D20" s="4" t="s">
        <v>837</v>
      </c>
      <c r="E20" s="20" t="s">
        <v>836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6" fitToHeight="100" orientation="landscape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1" t="s">
        <v>851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755</v>
      </c>
      <c r="E3" s="39" t="s">
        <v>3</v>
      </c>
      <c r="F3" s="39" t="s">
        <v>6</v>
      </c>
      <c r="G3" s="39" t="s">
        <v>846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753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770</v>
      </c>
      <c r="B6" s="7" t="s">
        <v>769</v>
      </c>
      <c r="C6" s="7" t="s">
        <v>768</v>
      </c>
      <c r="D6" s="7" t="str">
        <f>"1,0000"</f>
        <v>1,0000</v>
      </c>
      <c r="E6" s="7" t="s">
        <v>767</v>
      </c>
      <c r="F6" s="7" t="s">
        <v>132</v>
      </c>
      <c r="G6" s="9" t="s">
        <v>91</v>
      </c>
      <c r="H6" s="9" t="s">
        <v>850</v>
      </c>
      <c r="I6" s="21" t="str">
        <f>"1800,0"</f>
        <v>1800,0</v>
      </c>
      <c r="J6" s="22" t="str">
        <f>"17,1755"</f>
        <v>17,1755</v>
      </c>
      <c r="K6" s="7" t="s">
        <v>125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752</v>
      </c>
    </row>
    <row r="20" spans="1:5" x14ac:dyDescent="0.2">
      <c r="A20" s="31" t="s">
        <v>765</v>
      </c>
      <c r="B20" s="4" t="s">
        <v>227</v>
      </c>
      <c r="C20" s="4" t="s">
        <v>751</v>
      </c>
      <c r="D20" s="4" t="s">
        <v>849</v>
      </c>
      <c r="E20" s="20" t="s">
        <v>848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6" fitToHeight="100" orientation="landscape" r:id="rId1"/>
  <headerFooter alignWithMargins="0">
    <oddFooter>&amp;L&amp;G&amp;R&amp;D&amp;T&amp;P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20" bestFit="1" customWidth="1"/>
    <col min="16" max="16" width="8.5703125" style="2" bestFit="1" customWidth="1"/>
    <col min="17" max="17" width="17.5703125" style="4" bestFit="1" customWidth="1"/>
    <col min="18" max="16384" width="9.140625" style="3"/>
  </cols>
  <sheetData>
    <row r="1" spans="1:17" s="2" customFormat="1" ht="29.1" customHeight="1" x14ac:dyDescent="0.2">
      <c r="A1" s="41" t="s">
        <v>866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10</v>
      </c>
      <c r="H3" s="39"/>
      <c r="I3" s="39"/>
      <c r="J3" s="39"/>
      <c r="K3" s="39" t="s">
        <v>401</v>
      </c>
      <c r="L3" s="39"/>
      <c r="M3" s="39"/>
      <c r="N3" s="39"/>
      <c r="O3" s="39" t="s">
        <v>562</v>
      </c>
      <c r="P3" s="39" t="s">
        <v>2</v>
      </c>
      <c r="Q3" s="50" t="s">
        <v>1</v>
      </c>
    </row>
    <row r="4" spans="1:17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40"/>
      <c r="P4" s="40"/>
      <c r="Q4" s="51"/>
    </row>
    <row r="5" spans="1:17" ht="15" x14ac:dyDescent="0.2">
      <c r="A5" s="37" t="s">
        <v>49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x14ac:dyDescent="0.2">
      <c r="A6" s="7" t="s">
        <v>699</v>
      </c>
      <c r="B6" s="7" t="s">
        <v>383</v>
      </c>
      <c r="C6" s="7" t="s">
        <v>360</v>
      </c>
      <c r="D6" s="7" t="str">
        <f>"0,7434"</f>
        <v>0,7434</v>
      </c>
      <c r="E6" s="7" t="s">
        <v>170</v>
      </c>
      <c r="F6" s="7" t="s">
        <v>171</v>
      </c>
      <c r="G6" s="9" t="s">
        <v>35</v>
      </c>
      <c r="H6" s="9" t="s">
        <v>18</v>
      </c>
      <c r="I6" s="8" t="s">
        <v>54</v>
      </c>
      <c r="J6" s="8"/>
      <c r="K6" s="9" t="s">
        <v>73</v>
      </c>
      <c r="L6" s="9" t="s">
        <v>281</v>
      </c>
      <c r="M6" s="8" t="s">
        <v>81</v>
      </c>
      <c r="N6" s="8"/>
      <c r="O6" s="21" t="str">
        <f>"170,0"</f>
        <v>170,0</v>
      </c>
      <c r="P6" s="22" t="str">
        <f>"126,3865"</f>
        <v>126,3865</v>
      </c>
      <c r="Q6" s="7" t="s">
        <v>172</v>
      </c>
    </row>
    <row r="8" spans="1:17" ht="15" x14ac:dyDescent="0.2">
      <c r="A8" s="35" t="s">
        <v>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7" x14ac:dyDescent="0.2">
      <c r="A9" s="7" t="s">
        <v>865</v>
      </c>
      <c r="B9" s="7" t="s">
        <v>661</v>
      </c>
      <c r="C9" s="7" t="s">
        <v>678</v>
      </c>
      <c r="D9" s="7" t="str">
        <f>"0,6716"</f>
        <v>0,6716</v>
      </c>
      <c r="E9" s="7" t="s">
        <v>170</v>
      </c>
      <c r="F9" s="7" t="s">
        <v>171</v>
      </c>
      <c r="G9" s="9" t="s">
        <v>393</v>
      </c>
      <c r="H9" s="9" t="s">
        <v>90</v>
      </c>
      <c r="I9" s="8" t="s">
        <v>91</v>
      </c>
      <c r="J9" s="8"/>
      <c r="K9" s="9" t="s">
        <v>107</v>
      </c>
      <c r="L9" s="9" t="s">
        <v>158</v>
      </c>
      <c r="M9" s="8" t="s">
        <v>146</v>
      </c>
      <c r="N9" s="8"/>
      <c r="O9" s="21" t="str">
        <f>"265,0"</f>
        <v>265,0</v>
      </c>
      <c r="P9" s="22" t="str">
        <f>"177,9740"</f>
        <v>177,9740</v>
      </c>
      <c r="Q9" s="7" t="s">
        <v>172</v>
      </c>
    </row>
    <row r="11" spans="1:17" ht="15" x14ac:dyDescent="0.2">
      <c r="A11" s="35" t="s">
        <v>99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7" x14ac:dyDescent="0.2">
      <c r="A12" s="7" t="s">
        <v>656</v>
      </c>
      <c r="B12" s="7" t="s">
        <v>333</v>
      </c>
      <c r="C12" s="7" t="s">
        <v>657</v>
      </c>
      <c r="D12" s="7" t="str">
        <f>"0,5893"</f>
        <v>0,5893</v>
      </c>
      <c r="E12" s="7" t="s">
        <v>170</v>
      </c>
      <c r="F12" s="7" t="s">
        <v>171</v>
      </c>
      <c r="G12" s="9" t="s">
        <v>281</v>
      </c>
      <c r="H12" s="8"/>
      <c r="I12" s="8"/>
      <c r="J12" s="8"/>
      <c r="K12" s="9" t="s">
        <v>314</v>
      </c>
      <c r="L12" s="8"/>
      <c r="M12" s="8"/>
      <c r="N12" s="8"/>
      <c r="O12" s="21" t="str">
        <f>"350,0"</f>
        <v>350,0</v>
      </c>
      <c r="P12" s="22" t="str">
        <f>"206,2550"</f>
        <v>206,2550</v>
      </c>
      <c r="Q12" s="7" t="s">
        <v>172</v>
      </c>
    </row>
    <row r="14" spans="1:17" ht="15" x14ac:dyDescent="0.2">
      <c r="A14" s="35" t="s">
        <v>110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7" x14ac:dyDescent="0.2">
      <c r="A15" s="7" t="s">
        <v>652</v>
      </c>
      <c r="B15" s="7" t="s">
        <v>864</v>
      </c>
      <c r="C15" s="7" t="s">
        <v>863</v>
      </c>
      <c r="D15" s="7" t="str">
        <f>"0,5565"</f>
        <v>0,5565</v>
      </c>
      <c r="E15" s="7" t="s">
        <v>170</v>
      </c>
      <c r="F15" s="7" t="s">
        <v>171</v>
      </c>
      <c r="G15" s="9" t="s">
        <v>73</v>
      </c>
      <c r="H15" s="9" t="s">
        <v>281</v>
      </c>
      <c r="I15" s="8" t="s">
        <v>133</v>
      </c>
      <c r="J15" s="8"/>
      <c r="K15" s="9" t="s">
        <v>82</v>
      </c>
      <c r="L15" s="9" t="s">
        <v>234</v>
      </c>
      <c r="M15" s="9" t="s">
        <v>147</v>
      </c>
      <c r="N15" s="8"/>
      <c r="O15" s="21" t="str">
        <f>"300,0"</f>
        <v>300,0</v>
      </c>
      <c r="P15" s="22" t="str">
        <f>"166,9500"</f>
        <v>166,9500</v>
      </c>
      <c r="Q15" s="7" t="s">
        <v>172</v>
      </c>
    </row>
    <row r="17" spans="1:17" ht="15" x14ac:dyDescent="0.2">
      <c r="A17" s="35" t="s">
        <v>165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7" x14ac:dyDescent="0.2">
      <c r="A18" s="7" t="s">
        <v>301</v>
      </c>
      <c r="B18" s="7" t="s">
        <v>300</v>
      </c>
      <c r="C18" s="7" t="s">
        <v>299</v>
      </c>
      <c r="D18" s="7" t="str">
        <f>"0,5314"</f>
        <v>0,5314</v>
      </c>
      <c r="E18" s="7" t="s">
        <v>170</v>
      </c>
      <c r="F18" s="7" t="s">
        <v>171</v>
      </c>
      <c r="G18" s="9" t="s">
        <v>146</v>
      </c>
      <c r="H18" s="9" t="s">
        <v>350</v>
      </c>
      <c r="I18" s="9" t="s">
        <v>122</v>
      </c>
      <c r="J18" s="8"/>
      <c r="K18" s="9" t="s">
        <v>262</v>
      </c>
      <c r="L18" s="9" t="s">
        <v>715</v>
      </c>
      <c r="M18" s="8" t="s">
        <v>862</v>
      </c>
      <c r="N18" s="8"/>
      <c r="O18" s="21" t="str">
        <f>"480,0"</f>
        <v>480,0</v>
      </c>
      <c r="P18" s="22" t="str">
        <f>"255,0720"</f>
        <v>255,0720</v>
      </c>
      <c r="Q18" s="7" t="s">
        <v>172</v>
      </c>
    </row>
    <row r="20" spans="1:17" ht="15" x14ac:dyDescent="0.2">
      <c r="A20" s="35" t="s">
        <v>640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7" x14ac:dyDescent="0.2">
      <c r="A21" s="7" t="s">
        <v>636</v>
      </c>
      <c r="B21" s="7" t="s">
        <v>635</v>
      </c>
      <c r="C21" s="7" t="s">
        <v>861</v>
      </c>
      <c r="D21" s="7" t="str">
        <f>"0,5079"</f>
        <v>0,5079</v>
      </c>
      <c r="E21" s="7" t="s">
        <v>170</v>
      </c>
      <c r="F21" s="7" t="s">
        <v>171</v>
      </c>
      <c r="G21" s="9" t="s">
        <v>82</v>
      </c>
      <c r="H21" s="9" t="s">
        <v>234</v>
      </c>
      <c r="I21" s="9" t="s">
        <v>158</v>
      </c>
      <c r="J21" s="8"/>
      <c r="K21" s="9" t="s">
        <v>314</v>
      </c>
      <c r="L21" s="9" t="s">
        <v>293</v>
      </c>
      <c r="M21" s="8" t="s">
        <v>262</v>
      </c>
      <c r="N21" s="8"/>
      <c r="O21" s="21" t="str">
        <f>"420,0"</f>
        <v>420,0</v>
      </c>
      <c r="P21" s="22" t="str">
        <f>"213,3180"</f>
        <v>213,3180</v>
      </c>
      <c r="Q21" s="7" t="s">
        <v>172</v>
      </c>
    </row>
    <row r="23" spans="1:17" ht="15" x14ac:dyDescent="0.2">
      <c r="E23" s="19" t="s">
        <v>176</v>
      </c>
    </row>
    <row r="24" spans="1:17" ht="15" x14ac:dyDescent="0.2">
      <c r="E24" s="19" t="s">
        <v>177</v>
      </c>
    </row>
    <row r="25" spans="1:17" ht="15" x14ac:dyDescent="0.2">
      <c r="E25" s="19" t="s">
        <v>178</v>
      </c>
    </row>
    <row r="26" spans="1:17" ht="15" x14ac:dyDescent="0.2">
      <c r="E26" s="19" t="s">
        <v>179</v>
      </c>
    </row>
    <row r="27" spans="1:17" ht="15" x14ac:dyDescent="0.2">
      <c r="E27" s="19" t="s">
        <v>179</v>
      </c>
    </row>
    <row r="28" spans="1:17" ht="15" x14ac:dyDescent="0.2">
      <c r="E28" s="19" t="s">
        <v>180</v>
      </c>
    </row>
    <row r="29" spans="1:17" ht="15" x14ac:dyDescent="0.2">
      <c r="E29" s="19"/>
    </row>
    <row r="31" spans="1:17" ht="18" x14ac:dyDescent="0.25">
      <c r="A31" s="29" t="s">
        <v>181</v>
      </c>
      <c r="B31" s="29"/>
    </row>
    <row r="32" spans="1:17" ht="15" x14ac:dyDescent="0.2">
      <c r="A32" s="30" t="s">
        <v>182</v>
      </c>
      <c r="B32" s="30"/>
    </row>
    <row r="33" spans="1:5" ht="14.25" x14ac:dyDescent="0.2">
      <c r="A33" s="32"/>
      <c r="B33" s="33" t="s">
        <v>183</v>
      </c>
    </row>
    <row r="34" spans="1:5" ht="15" x14ac:dyDescent="0.2">
      <c r="A34" s="34" t="s">
        <v>184</v>
      </c>
      <c r="B34" s="34" t="s">
        <v>185</v>
      </c>
      <c r="C34" s="34" t="s">
        <v>186</v>
      </c>
      <c r="D34" s="34" t="s">
        <v>526</v>
      </c>
      <c r="E34" s="34" t="s">
        <v>188</v>
      </c>
    </row>
    <row r="35" spans="1:5" x14ac:dyDescent="0.2">
      <c r="A35" s="31" t="s">
        <v>289</v>
      </c>
      <c r="B35" s="4" t="s">
        <v>183</v>
      </c>
      <c r="C35" s="4" t="s">
        <v>196</v>
      </c>
      <c r="D35" s="4" t="s">
        <v>158</v>
      </c>
      <c r="E35" s="20" t="s">
        <v>860</v>
      </c>
    </row>
    <row r="38" spans="1:5" ht="15" x14ac:dyDescent="0.2">
      <c r="A38" s="30" t="s">
        <v>202</v>
      </c>
      <c r="B38" s="30"/>
    </row>
    <row r="39" spans="1:5" ht="14.25" x14ac:dyDescent="0.2">
      <c r="A39" s="32"/>
      <c r="B39" s="33" t="s">
        <v>183</v>
      </c>
    </row>
    <row r="40" spans="1:5" ht="15" x14ac:dyDescent="0.2">
      <c r="A40" s="34" t="s">
        <v>184</v>
      </c>
      <c r="B40" s="34" t="s">
        <v>185</v>
      </c>
      <c r="C40" s="34" t="s">
        <v>186</v>
      </c>
      <c r="D40" s="34" t="s">
        <v>526</v>
      </c>
      <c r="E40" s="34" t="s">
        <v>188</v>
      </c>
    </row>
    <row r="41" spans="1:5" x14ac:dyDescent="0.2">
      <c r="A41" s="31" t="s">
        <v>257</v>
      </c>
      <c r="B41" s="4" t="s">
        <v>183</v>
      </c>
      <c r="C41" s="4" t="s">
        <v>215</v>
      </c>
      <c r="D41" s="4" t="s">
        <v>584</v>
      </c>
      <c r="E41" s="20" t="s">
        <v>859</v>
      </c>
    </row>
    <row r="42" spans="1:5" x14ac:dyDescent="0.2">
      <c r="A42" s="31" t="s">
        <v>594</v>
      </c>
      <c r="B42" s="4" t="s">
        <v>183</v>
      </c>
      <c r="C42" s="4" t="s">
        <v>593</v>
      </c>
      <c r="D42" s="4" t="s">
        <v>858</v>
      </c>
      <c r="E42" s="20" t="s">
        <v>857</v>
      </c>
    </row>
    <row r="43" spans="1:5" x14ac:dyDescent="0.2">
      <c r="A43" s="31" t="s">
        <v>260</v>
      </c>
      <c r="B43" s="4" t="s">
        <v>183</v>
      </c>
      <c r="C43" s="4" t="s">
        <v>205</v>
      </c>
      <c r="D43" s="4" t="s">
        <v>856</v>
      </c>
      <c r="E43" s="20" t="s">
        <v>855</v>
      </c>
    </row>
    <row r="44" spans="1:5" x14ac:dyDescent="0.2">
      <c r="A44" s="31" t="s">
        <v>582</v>
      </c>
      <c r="B44" s="4" t="s">
        <v>183</v>
      </c>
      <c r="C44" s="4" t="s">
        <v>196</v>
      </c>
      <c r="D44" s="4" t="s">
        <v>854</v>
      </c>
      <c r="E44" s="20" t="s">
        <v>853</v>
      </c>
    </row>
    <row r="45" spans="1:5" x14ac:dyDescent="0.2">
      <c r="A45" s="31" t="s">
        <v>567</v>
      </c>
      <c r="B45" s="4" t="s">
        <v>183</v>
      </c>
      <c r="C45" s="4" t="s">
        <v>210</v>
      </c>
      <c r="D45" s="4" t="s">
        <v>298</v>
      </c>
      <c r="E45" s="20" t="s">
        <v>852</v>
      </c>
    </row>
  </sheetData>
  <mergeCells count="18">
    <mergeCell ref="F3:F4"/>
    <mergeCell ref="E3:E4"/>
    <mergeCell ref="A20:N20"/>
    <mergeCell ref="A5:N5"/>
    <mergeCell ref="A8:N8"/>
    <mergeCell ref="A11:N11"/>
    <mergeCell ref="A14:N14"/>
    <mergeCell ref="A17:N17"/>
    <mergeCell ref="D3:D4"/>
    <mergeCell ref="O3:O4"/>
    <mergeCell ref="P3:P4"/>
    <mergeCell ref="A1:Q2"/>
    <mergeCell ref="G3:J3"/>
    <mergeCell ref="K3:N3"/>
    <mergeCell ref="A3:A4"/>
    <mergeCell ref="B3:B4"/>
    <mergeCell ref="C3:C4"/>
    <mergeCell ref="Q3:Q4"/>
  </mergeCells>
  <pageMargins left="0.19685039370078741" right="0.47244094488188981" top="0.43307086614173229" bottom="0.47244094488188981" header="0.51181102362204722" footer="0.51181102362204722"/>
  <pageSetup scale="64" fitToHeight="100" orientation="landscape" r:id="rId1"/>
  <headerFooter alignWithMargins="0">
    <oddFooter>&amp;L&amp;G&amp;R&amp;D&amp;T&amp;P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20" bestFit="1" customWidth="1"/>
    <col min="16" max="16" width="8.5703125" style="2" bestFit="1" customWidth="1"/>
    <col min="17" max="17" width="11.7109375" style="4" bestFit="1" customWidth="1"/>
    <col min="18" max="16384" width="9.140625" style="3"/>
  </cols>
  <sheetData>
    <row r="1" spans="1:17" s="2" customFormat="1" ht="29.1" customHeight="1" x14ac:dyDescent="0.2">
      <c r="A1" s="41" t="s">
        <v>874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10</v>
      </c>
      <c r="H3" s="39"/>
      <c r="I3" s="39"/>
      <c r="J3" s="39"/>
      <c r="K3" s="39" t="s">
        <v>401</v>
      </c>
      <c r="L3" s="39"/>
      <c r="M3" s="39"/>
      <c r="N3" s="39"/>
      <c r="O3" s="39" t="s">
        <v>562</v>
      </c>
      <c r="P3" s="39" t="s">
        <v>2</v>
      </c>
      <c r="Q3" s="50" t="s">
        <v>1</v>
      </c>
    </row>
    <row r="4" spans="1:17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40"/>
      <c r="P4" s="40"/>
      <c r="Q4" s="51"/>
    </row>
    <row r="5" spans="1:17" ht="15" x14ac:dyDescent="0.2">
      <c r="A5" s="37" t="s">
        <v>138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x14ac:dyDescent="0.2">
      <c r="A6" s="7" t="s">
        <v>873</v>
      </c>
      <c r="B6" s="7" t="s">
        <v>872</v>
      </c>
      <c r="C6" s="7" t="s">
        <v>871</v>
      </c>
      <c r="D6" s="7" t="str">
        <f>"0,5384"</f>
        <v>0,5384</v>
      </c>
      <c r="E6" s="7" t="s">
        <v>410</v>
      </c>
      <c r="F6" s="7" t="s">
        <v>28</v>
      </c>
      <c r="G6" s="8" t="s">
        <v>158</v>
      </c>
      <c r="H6" s="9" t="s">
        <v>147</v>
      </c>
      <c r="I6" s="9" t="s">
        <v>350</v>
      </c>
      <c r="J6" s="8"/>
      <c r="K6" s="9" t="s">
        <v>262</v>
      </c>
      <c r="L6" s="9" t="s">
        <v>256</v>
      </c>
      <c r="M6" s="8" t="s">
        <v>621</v>
      </c>
      <c r="N6" s="8"/>
      <c r="O6" s="21" t="str">
        <f>"465,0"</f>
        <v>465,0</v>
      </c>
      <c r="P6" s="22" t="str">
        <f>"345,4913"</f>
        <v>345,4913</v>
      </c>
      <c r="Q6" s="7" t="s">
        <v>408</v>
      </c>
    </row>
    <row r="8" spans="1:17" ht="15" x14ac:dyDescent="0.2">
      <c r="E8" s="19" t="s">
        <v>176</v>
      </c>
    </row>
    <row r="9" spans="1:17" ht="15" x14ac:dyDescent="0.2">
      <c r="E9" s="19" t="s">
        <v>177</v>
      </c>
    </row>
    <row r="10" spans="1:17" ht="15" x14ac:dyDescent="0.2">
      <c r="E10" s="19" t="s">
        <v>178</v>
      </c>
    </row>
    <row r="11" spans="1:17" ht="15" x14ac:dyDescent="0.2">
      <c r="E11" s="19" t="s">
        <v>179</v>
      </c>
    </row>
    <row r="12" spans="1:17" ht="15" x14ac:dyDescent="0.2">
      <c r="E12" s="19" t="s">
        <v>179</v>
      </c>
    </row>
    <row r="13" spans="1:17" ht="15" x14ac:dyDescent="0.2">
      <c r="E13" s="19" t="s">
        <v>180</v>
      </c>
    </row>
    <row r="14" spans="1:17" ht="15" x14ac:dyDescent="0.2">
      <c r="E14" s="19"/>
    </row>
    <row r="16" spans="1:17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526</v>
      </c>
      <c r="E19" s="34" t="s">
        <v>188</v>
      </c>
    </row>
    <row r="20" spans="1:5" x14ac:dyDescent="0.2">
      <c r="A20" s="31" t="s">
        <v>870</v>
      </c>
      <c r="B20" s="4" t="s">
        <v>869</v>
      </c>
      <c r="C20" s="4" t="s">
        <v>213</v>
      </c>
      <c r="D20" s="4" t="s">
        <v>868</v>
      </c>
      <c r="E20" s="20" t="s">
        <v>867</v>
      </c>
    </row>
  </sheetData>
  <mergeCells count="13">
    <mergeCell ref="Q3:Q4"/>
    <mergeCell ref="F3:F4"/>
    <mergeCell ref="E3:E4"/>
    <mergeCell ref="A5:N5"/>
    <mergeCell ref="D3:D4"/>
    <mergeCell ref="O3:O4"/>
    <mergeCell ref="P3:P4"/>
    <mergeCell ref="A1:Q2"/>
    <mergeCell ref="G3:J3"/>
    <mergeCell ref="K3:N3"/>
    <mergeCell ref="A3:A4"/>
    <mergeCell ref="B3:B4"/>
    <mergeCell ref="C3:C4"/>
  </mergeCells>
  <pageMargins left="0.19685039370078741" right="0.47244094488188981" top="0.43307086614173229" bottom="0.47244094488188981" header="0.51181102362204722" footer="0.51181102362204722"/>
  <pageSetup scale="66" fitToHeight="100" orientation="landscape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41" t="s">
        <v>402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401</v>
      </c>
      <c r="H3" s="39"/>
      <c r="I3" s="39"/>
      <c r="J3" s="39"/>
      <c r="K3" s="39" t="s">
        <v>224</v>
      </c>
      <c r="L3" s="39" t="s">
        <v>2</v>
      </c>
      <c r="M3" s="50" t="s">
        <v>1</v>
      </c>
    </row>
    <row r="4" spans="1:13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40"/>
      <c r="L4" s="40"/>
      <c r="M4" s="51"/>
    </row>
    <row r="5" spans="1:13" ht="15" x14ac:dyDescent="0.2">
      <c r="A5" s="37" t="s">
        <v>400</v>
      </c>
      <c r="B5" s="38"/>
      <c r="C5" s="38"/>
      <c r="D5" s="38"/>
      <c r="E5" s="38"/>
      <c r="F5" s="38"/>
      <c r="G5" s="38"/>
      <c r="H5" s="38"/>
      <c r="I5" s="38"/>
      <c r="J5" s="38"/>
    </row>
    <row r="6" spans="1:13" x14ac:dyDescent="0.2">
      <c r="A6" s="7" t="s">
        <v>399</v>
      </c>
      <c r="B6" s="7" t="s">
        <v>398</v>
      </c>
      <c r="C6" s="7" t="s">
        <v>397</v>
      </c>
      <c r="D6" s="7" t="str">
        <f>"1,1230"</f>
        <v>1,1230</v>
      </c>
      <c r="E6" s="7" t="s">
        <v>27</v>
      </c>
      <c r="F6" s="7" t="s">
        <v>28</v>
      </c>
      <c r="G6" s="9" t="s">
        <v>63</v>
      </c>
      <c r="H6" s="8" t="s">
        <v>396</v>
      </c>
      <c r="I6" s="8" t="s">
        <v>396</v>
      </c>
      <c r="J6" s="8"/>
      <c r="K6" s="21" t="str">
        <f>"80,0"</f>
        <v>80,0</v>
      </c>
      <c r="L6" s="22" t="str">
        <f>"89,8440"</f>
        <v>89,8440</v>
      </c>
      <c r="M6" s="7" t="s">
        <v>325</v>
      </c>
    </row>
    <row r="8" spans="1:13" ht="15" x14ac:dyDescent="0.2">
      <c r="A8" s="35" t="s">
        <v>37</v>
      </c>
      <c r="B8" s="36"/>
      <c r="C8" s="36"/>
      <c r="D8" s="36"/>
      <c r="E8" s="36"/>
      <c r="F8" s="36"/>
      <c r="G8" s="36"/>
      <c r="H8" s="36"/>
      <c r="I8" s="36"/>
      <c r="J8" s="36"/>
    </row>
    <row r="9" spans="1:13" x14ac:dyDescent="0.2">
      <c r="A9" s="10" t="s">
        <v>395</v>
      </c>
      <c r="B9" s="10" t="s">
        <v>394</v>
      </c>
      <c r="C9" s="10" t="s">
        <v>379</v>
      </c>
      <c r="D9" s="10" t="str">
        <f>"0,8634"</f>
        <v>0,8634</v>
      </c>
      <c r="E9" s="10" t="s">
        <v>320</v>
      </c>
      <c r="F9" s="10" t="s">
        <v>43</v>
      </c>
      <c r="G9" s="12" t="s">
        <v>63</v>
      </c>
      <c r="H9" s="12" t="s">
        <v>393</v>
      </c>
      <c r="I9" s="12" t="s">
        <v>90</v>
      </c>
      <c r="J9" s="11"/>
      <c r="K9" s="23" t="str">
        <f>"95,0"</f>
        <v>95,0</v>
      </c>
      <c r="L9" s="24" t="str">
        <f>"82,0230"</f>
        <v>82,0230</v>
      </c>
      <c r="M9" s="10" t="s">
        <v>389</v>
      </c>
    </row>
    <row r="10" spans="1:13" x14ac:dyDescent="0.2">
      <c r="A10" s="13" t="s">
        <v>392</v>
      </c>
      <c r="B10" s="13" t="s">
        <v>391</v>
      </c>
      <c r="C10" s="13" t="s">
        <v>390</v>
      </c>
      <c r="D10" s="13" t="str">
        <f>"0,8807"</f>
        <v>0,8807</v>
      </c>
      <c r="E10" s="13" t="s">
        <v>320</v>
      </c>
      <c r="F10" s="13" t="s">
        <v>43</v>
      </c>
      <c r="G10" s="15" t="s">
        <v>73</v>
      </c>
      <c r="H10" s="15" t="s">
        <v>47</v>
      </c>
      <c r="I10" s="15" t="s">
        <v>281</v>
      </c>
      <c r="J10" s="14"/>
      <c r="K10" s="25" t="str">
        <f>"120,0"</f>
        <v>120,0</v>
      </c>
      <c r="L10" s="26" t="str">
        <f>"106,6352"</f>
        <v>106,6352</v>
      </c>
      <c r="M10" s="13" t="s">
        <v>389</v>
      </c>
    </row>
    <row r="12" spans="1:13" ht="15" x14ac:dyDescent="0.2">
      <c r="A12" s="35" t="s">
        <v>49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 x14ac:dyDescent="0.2">
      <c r="A13" s="10" t="s">
        <v>388</v>
      </c>
      <c r="B13" s="10" t="s">
        <v>387</v>
      </c>
      <c r="C13" s="10" t="s">
        <v>386</v>
      </c>
      <c r="D13" s="10" t="str">
        <f>"0,7333"</f>
        <v>0,7333</v>
      </c>
      <c r="E13" s="10" t="s">
        <v>304</v>
      </c>
      <c r="F13" s="10" t="s">
        <v>105</v>
      </c>
      <c r="G13" s="12" t="s">
        <v>226</v>
      </c>
      <c r="H13" s="12" t="s">
        <v>106</v>
      </c>
      <c r="I13" s="11"/>
      <c r="J13" s="11"/>
      <c r="K13" s="23" t="str">
        <f>"135,0"</f>
        <v>135,0</v>
      </c>
      <c r="L13" s="24" t="str">
        <f>"98,9888"</f>
        <v>98,9888</v>
      </c>
      <c r="M13" s="10" t="s">
        <v>385</v>
      </c>
    </row>
    <row r="14" spans="1:13" x14ac:dyDescent="0.2">
      <c r="A14" s="13" t="s">
        <v>384</v>
      </c>
      <c r="B14" s="13" t="s">
        <v>383</v>
      </c>
      <c r="C14" s="13" t="s">
        <v>382</v>
      </c>
      <c r="D14" s="13" t="str">
        <f>"0,7419"</f>
        <v>0,7419</v>
      </c>
      <c r="E14" s="13" t="s">
        <v>170</v>
      </c>
      <c r="F14" s="13" t="s">
        <v>171</v>
      </c>
      <c r="G14" s="15" t="s">
        <v>73</v>
      </c>
      <c r="H14" s="15" t="s">
        <v>226</v>
      </c>
      <c r="I14" s="14"/>
      <c r="J14" s="14"/>
      <c r="K14" s="25" t="str">
        <f>"127,5"</f>
        <v>127,5</v>
      </c>
      <c r="L14" s="26" t="str">
        <f>"94,5986"</f>
        <v>94,5986</v>
      </c>
      <c r="M14" s="13" t="s">
        <v>172</v>
      </c>
    </row>
    <row r="16" spans="1:13" ht="15" x14ac:dyDescent="0.2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3" x14ac:dyDescent="0.2">
      <c r="A17" s="7" t="s">
        <v>381</v>
      </c>
      <c r="B17" s="7" t="s">
        <v>380</v>
      </c>
      <c r="C17" s="7" t="s">
        <v>379</v>
      </c>
      <c r="D17" s="7" t="str">
        <f>"0,8156"</f>
        <v>0,8156</v>
      </c>
      <c r="E17" s="7" t="s">
        <v>378</v>
      </c>
      <c r="F17" s="7" t="s">
        <v>105</v>
      </c>
      <c r="G17" s="9" t="s">
        <v>281</v>
      </c>
      <c r="H17" s="9" t="s">
        <v>81</v>
      </c>
      <c r="I17" s="8" t="s">
        <v>377</v>
      </c>
      <c r="J17" s="8"/>
      <c r="K17" s="21" t="str">
        <f>"130,0"</f>
        <v>130,0</v>
      </c>
      <c r="L17" s="22" t="str">
        <f>"112,3897"</f>
        <v>112,3897</v>
      </c>
      <c r="M17" s="7" t="s">
        <v>376</v>
      </c>
    </row>
    <row r="19" spans="1:13" ht="15" x14ac:dyDescent="0.2">
      <c r="A19" s="35" t="s">
        <v>67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3" x14ac:dyDescent="0.2">
      <c r="A20" s="10" t="s">
        <v>375</v>
      </c>
      <c r="B20" s="10" t="s">
        <v>374</v>
      </c>
      <c r="C20" s="10" t="s">
        <v>373</v>
      </c>
      <c r="D20" s="10" t="str">
        <f>"0,7258"</f>
        <v>0,7258</v>
      </c>
      <c r="E20" s="10" t="s">
        <v>27</v>
      </c>
      <c r="F20" s="10" t="s">
        <v>28</v>
      </c>
      <c r="G20" s="12" t="s">
        <v>90</v>
      </c>
      <c r="H20" s="12" t="s">
        <v>46</v>
      </c>
      <c r="I20" s="12" t="s">
        <v>47</v>
      </c>
      <c r="J20" s="11"/>
      <c r="K20" s="23" t="str">
        <f>"115,0"</f>
        <v>115,0</v>
      </c>
      <c r="L20" s="24" t="str">
        <f>"102,6644"</f>
        <v>102,6644</v>
      </c>
      <c r="M20" s="10" t="s">
        <v>325</v>
      </c>
    </row>
    <row r="21" spans="1:13" x14ac:dyDescent="0.2">
      <c r="A21" s="16" t="s">
        <v>372</v>
      </c>
      <c r="B21" s="16" t="s">
        <v>371</v>
      </c>
      <c r="C21" s="16" t="s">
        <v>370</v>
      </c>
      <c r="D21" s="16" t="str">
        <f>"0,7377"</f>
        <v>0,7377</v>
      </c>
      <c r="E21" s="16" t="s">
        <v>320</v>
      </c>
      <c r="F21" s="16" t="s">
        <v>43</v>
      </c>
      <c r="G21" s="18" t="s">
        <v>107</v>
      </c>
      <c r="H21" s="18" t="s">
        <v>234</v>
      </c>
      <c r="I21" s="17" t="s">
        <v>145</v>
      </c>
      <c r="J21" s="17"/>
      <c r="K21" s="27" t="str">
        <f>"160,0"</f>
        <v>160,0</v>
      </c>
      <c r="L21" s="28" t="str">
        <f>"118,0320"</f>
        <v>118,0320</v>
      </c>
      <c r="M21" s="16" t="s">
        <v>319</v>
      </c>
    </row>
    <row r="22" spans="1:13" x14ac:dyDescent="0.2">
      <c r="A22" s="13" t="s">
        <v>369</v>
      </c>
      <c r="B22" s="13" t="s">
        <v>368</v>
      </c>
      <c r="C22" s="13" t="s">
        <v>367</v>
      </c>
      <c r="D22" s="13" t="str">
        <f>"0,7580"</f>
        <v>0,7580</v>
      </c>
      <c r="E22" s="13" t="s">
        <v>320</v>
      </c>
      <c r="F22" s="13" t="s">
        <v>43</v>
      </c>
      <c r="G22" s="15" t="s">
        <v>281</v>
      </c>
      <c r="H22" s="15" t="s">
        <v>226</v>
      </c>
      <c r="I22" s="14" t="s">
        <v>366</v>
      </c>
      <c r="J22" s="14"/>
      <c r="K22" s="25" t="str">
        <f>"127,5"</f>
        <v>127,5</v>
      </c>
      <c r="L22" s="26" t="str">
        <f>"96,6450"</f>
        <v>96,6450</v>
      </c>
      <c r="M22" s="13" t="s">
        <v>319</v>
      </c>
    </row>
    <row r="24" spans="1:13" ht="15" x14ac:dyDescent="0.2">
      <c r="A24" s="35" t="s">
        <v>49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">
      <c r="A25" s="10" t="s">
        <v>365</v>
      </c>
      <c r="B25" s="10" t="s">
        <v>364</v>
      </c>
      <c r="C25" s="10" t="s">
        <v>363</v>
      </c>
      <c r="D25" s="10" t="str">
        <f>"0,6774"</f>
        <v>0,6774</v>
      </c>
      <c r="E25" s="10" t="s">
        <v>104</v>
      </c>
      <c r="F25" s="10" t="s">
        <v>105</v>
      </c>
      <c r="G25" s="12" t="s">
        <v>147</v>
      </c>
      <c r="H25" s="12" t="s">
        <v>237</v>
      </c>
      <c r="I25" s="12" t="s">
        <v>123</v>
      </c>
      <c r="J25" s="11"/>
      <c r="K25" s="23" t="str">
        <f>"205,0"</f>
        <v>205,0</v>
      </c>
      <c r="L25" s="24" t="str">
        <f>"149,9764"</f>
        <v>149,9764</v>
      </c>
      <c r="M25" s="10" t="s">
        <v>109</v>
      </c>
    </row>
    <row r="26" spans="1:13" x14ac:dyDescent="0.2">
      <c r="A26" s="16" t="s">
        <v>362</v>
      </c>
      <c r="B26" s="16" t="s">
        <v>361</v>
      </c>
      <c r="C26" s="16" t="s">
        <v>360</v>
      </c>
      <c r="D26" s="16" t="str">
        <f>"0,6867"</f>
        <v>0,6867</v>
      </c>
      <c r="E26" s="16" t="s">
        <v>104</v>
      </c>
      <c r="F26" s="16" t="s">
        <v>105</v>
      </c>
      <c r="G26" s="18" t="s">
        <v>158</v>
      </c>
      <c r="H26" s="17" t="s">
        <v>147</v>
      </c>
      <c r="I26" s="18" t="s">
        <v>147</v>
      </c>
      <c r="J26" s="17"/>
      <c r="K26" s="27" t="str">
        <f>"180,0"</f>
        <v>180,0</v>
      </c>
      <c r="L26" s="28" t="str">
        <f>"139,6748"</f>
        <v>139,6748</v>
      </c>
      <c r="M26" s="16" t="s">
        <v>109</v>
      </c>
    </row>
    <row r="27" spans="1:13" x14ac:dyDescent="0.2">
      <c r="A27" s="13" t="s">
        <v>359</v>
      </c>
      <c r="B27" s="13" t="s">
        <v>358</v>
      </c>
      <c r="C27" s="13" t="s">
        <v>357</v>
      </c>
      <c r="D27" s="13" t="str">
        <f>"0,6730"</f>
        <v>0,6730</v>
      </c>
      <c r="E27" s="13" t="s">
        <v>320</v>
      </c>
      <c r="F27" s="13" t="s">
        <v>43</v>
      </c>
      <c r="G27" s="14" t="s">
        <v>147</v>
      </c>
      <c r="H27" s="15" t="s">
        <v>147</v>
      </c>
      <c r="I27" s="15" t="s">
        <v>237</v>
      </c>
      <c r="J27" s="14"/>
      <c r="K27" s="25" t="str">
        <f>"190,0"</f>
        <v>190,0</v>
      </c>
      <c r="L27" s="26" t="str">
        <f>"127,8700"</f>
        <v>127,8700</v>
      </c>
      <c r="M27" s="13" t="s">
        <v>356</v>
      </c>
    </row>
    <row r="29" spans="1:13" ht="15" x14ac:dyDescent="0.2">
      <c r="A29" s="35" t="s">
        <v>56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3" x14ac:dyDescent="0.2">
      <c r="A30" s="10" t="s">
        <v>355</v>
      </c>
      <c r="B30" s="10" t="s">
        <v>354</v>
      </c>
      <c r="C30" s="10" t="s">
        <v>353</v>
      </c>
      <c r="D30" s="10" t="str">
        <f>"0,6557"</f>
        <v>0,6557</v>
      </c>
      <c r="E30" s="10" t="s">
        <v>170</v>
      </c>
      <c r="F30" s="10" t="s">
        <v>171</v>
      </c>
      <c r="G30" s="12" t="s">
        <v>281</v>
      </c>
      <c r="H30" s="12" t="s">
        <v>82</v>
      </c>
      <c r="I30" s="12" t="s">
        <v>234</v>
      </c>
      <c r="J30" s="11"/>
      <c r="K30" s="23" t="str">
        <f>"160,0"</f>
        <v>160,0</v>
      </c>
      <c r="L30" s="24" t="str">
        <f>"113,3050"</f>
        <v>113,3050</v>
      </c>
      <c r="M30" s="10" t="s">
        <v>172</v>
      </c>
    </row>
    <row r="31" spans="1:13" x14ac:dyDescent="0.2">
      <c r="A31" s="16" t="s">
        <v>352</v>
      </c>
      <c r="B31" s="16" t="s">
        <v>351</v>
      </c>
      <c r="C31" s="16" t="s">
        <v>340</v>
      </c>
      <c r="D31" s="16" t="str">
        <f>"0,6209"</f>
        <v>0,6209</v>
      </c>
      <c r="E31" s="16" t="s">
        <v>27</v>
      </c>
      <c r="F31" s="16" t="s">
        <v>28</v>
      </c>
      <c r="G31" s="17" t="s">
        <v>350</v>
      </c>
      <c r="H31" s="18" t="s">
        <v>237</v>
      </c>
      <c r="I31" s="17" t="s">
        <v>326</v>
      </c>
      <c r="J31" s="17"/>
      <c r="K31" s="27" t="str">
        <f>"190,0"</f>
        <v>190,0</v>
      </c>
      <c r="L31" s="28" t="str">
        <f>"122,6898"</f>
        <v>122,6898</v>
      </c>
      <c r="M31" s="16" t="s">
        <v>349</v>
      </c>
    </row>
    <row r="32" spans="1:13" x14ac:dyDescent="0.2">
      <c r="A32" s="16" t="s">
        <v>348</v>
      </c>
      <c r="B32" s="16" t="s">
        <v>347</v>
      </c>
      <c r="C32" s="16" t="s">
        <v>346</v>
      </c>
      <c r="D32" s="16" t="str">
        <f>"0,6219"</f>
        <v>0,6219</v>
      </c>
      <c r="E32" s="16" t="s">
        <v>320</v>
      </c>
      <c r="F32" s="16" t="s">
        <v>43</v>
      </c>
      <c r="G32" s="18" t="s">
        <v>294</v>
      </c>
      <c r="H32" s="18" t="s">
        <v>253</v>
      </c>
      <c r="I32" s="17" t="s">
        <v>331</v>
      </c>
      <c r="J32" s="17"/>
      <c r="K32" s="27" t="str">
        <f>"237,5"</f>
        <v>237,5</v>
      </c>
      <c r="L32" s="28" t="str">
        <f>"147,7013"</f>
        <v>147,7013</v>
      </c>
      <c r="M32" s="16" t="s">
        <v>319</v>
      </c>
    </row>
    <row r="33" spans="1:13" x14ac:dyDescent="0.2">
      <c r="A33" s="16" t="s">
        <v>345</v>
      </c>
      <c r="B33" s="16" t="s">
        <v>344</v>
      </c>
      <c r="C33" s="16" t="s">
        <v>343</v>
      </c>
      <c r="D33" s="16" t="str">
        <f>"0,6505"</f>
        <v>0,6505</v>
      </c>
      <c r="E33" s="16" t="s">
        <v>72</v>
      </c>
      <c r="F33" s="16" t="s">
        <v>28</v>
      </c>
      <c r="G33" s="18" t="s">
        <v>158</v>
      </c>
      <c r="H33" s="18" t="s">
        <v>147</v>
      </c>
      <c r="I33" s="18" t="s">
        <v>122</v>
      </c>
      <c r="J33" s="17"/>
      <c r="K33" s="27" t="str">
        <f>"195,0"</f>
        <v>195,0</v>
      </c>
      <c r="L33" s="28" t="str">
        <f>"126,8475"</f>
        <v>126,8475</v>
      </c>
      <c r="M33" s="16" t="s">
        <v>125</v>
      </c>
    </row>
    <row r="34" spans="1:13" x14ac:dyDescent="0.2">
      <c r="A34" s="13" t="s">
        <v>342</v>
      </c>
      <c r="B34" s="13" t="s">
        <v>341</v>
      </c>
      <c r="C34" s="13" t="s">
        <v>340</v>
      </c>
      <c r="D34" s="13" t="str">
        <f>"0,6209"</f>
        <v>0,6209</v>
      </c>
      <c r="E34" s="13" t="s">
        <v>339</v>
      </c>
      <c r="F34" s="13" t="s">
        <v>43</v>
      </c>
      <c r="G34" s="14" t="s">
        <v>145</v>
      </c>
      <c r="H34" s="14" t="s">
        <v>145</v>
      </c>
      <c r="I34" s="14" t="s">
        <v>145</v>
      </c>
      <c r="J34" s="14"/>
      <c r="K34" s="25" t="str">
        <f>"0.00"</f>
        <v>0.00</v>
      </c>
      <c r="L34" s="26" t="str">
        <f>"0,0000"</f>
        <v>0,0000</v>
      </c>
      <c r="M34" s="13" t="s">
        <v>48</v>
      </c>
    </row>
    <row r="36" spans="1:13" ht="15" x14ac:dyDescent="0.2">
      <c r="A36" s="35" t="s">
        <v>99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3" x14ac:dyDescent="0.2">
      <c r="A37" s="10" t="s">
        <v>338</v>
      </c>
      <c r="B37" s="10" t="s">
        <v>337</v>
      </c>
      <c r="C37" s="10" t="s">
        <v>336</v>
      </c>
      <c r="D37" s="10" t="str">
        <f>"0,5889"</f>
        <v>0,5889</v>
      </c>
      <c r="E37" s="10" t="s">
        <v>320</v>
      </c>
      <c r="F37" s="10" t="s">
        <v>43</v>
      </c>
      <c r="G37" s="12" t="s">
        <v>293</v>
      </c>
      <c r="H37" s="12" t="s">
        <v>335</v>
      </c>
      <c r="I37" s="12" t="s">
        <v>262</v>
      </c>
      <c r="J37" s="11"/>
      <c r="K37" s="23" t="str">
        <f>"270,0"</f>
        <v>270,0</v>
      </c>
      <c r="L37" s="24" t="str">
        <f>"159,0030"</f>
        <v>159,0030</v>
      </c>
      <c r="M37" s="10" t="s">
        <v>319</v>
      </c>
    </row>
    <row r="38" spans="1:13" x14ac:dyDescent="0.2">
      <c r="A38" s="16" t="s">
        <v>334</v>
      </c>
      <c r="B38" s="16" t="s">
        <v>333</v>
      </c>
      <c r="C38" s="16" t="s">
        <v>332</v>
      </c>
      <c r="D38" s="16" t="str">
        <f>"0,5910"</f>
        <v>0,5910</v>
      </c>
      <c r="E38" s="16" t="s">
        <v>170</v>
      </c>
      <c r="F38" s="16" t="s">
        <v>171</v>
      </c>
      <c r="G38" s="18" t="s">
        <v>331</v>
      </c>
      <c r="H38" s="18" t="s">
        <v>330</v>
      </c>
      <c r="I38" s="18" t="s">
        <v>259</v>
      </c>
      <c r="J38" s="17"/>
      <c r="K38" s="27" t="str">
        <f>"262,5"</f>
        <v>262,5</v>
      </c>
      <c r="L38" s="28" t="str">
        <f>"155,1375"</f>
        <v>155,1375</v>
      </c>
      <c r="M38" s="16" t="s">
        <v>172</v>
      </c>
    </row>
    <row r="39" spans="1:13" x14ac:dyDescent="0.2">
      <c r="A39" s="13" t="s">
        <v>329</v>
      </c>
      <c r="B39" s="13" t="s">
        <v>328</v>
      </c>
      <c r="C39" s="13" t="s">
        <v>327</v>
      </c>
      <c r="D39" s="13" t="str">
        <f>"0,5853"</f>
        <v>0,5853</v>
      </c>
      <c r="E39" s="13" t="s">
        <v>27</v>
      </c>
      <c r="F39" s="13" t="s">
        <v>28</v>
      </c>
      <c r="G39" s="15" t="s">
        <v>237</v>
      </c>
      <c r="H39" s="14" t="s">
        <v>326</v>
      </c>
      <c r="I39" s="14" t="s">
        <v>326</v>
      </c>
      <c r="J39" s="14"/>
      <c r="K39" s="25" t="str">
        <f>"190,0"</f>
        <v>190,0</v>
      </c>
      <c r="L39" s="26" t="str">
        <f>"111,2070"</f>
        <v>111,2070</v>
      </c>
      <c r="M39" s="13" t="s">
        <v>325</v>
      </c>
    </row>
    <row r="41" spans="1:13" ht="15" x14ac:dyDescent="0.2">
      <c r="A41" s="35" t="s">
        <v>110</v>
      </c>
      <c r="B41" s="36"/>
      <c r="C41" s="36"/>
      <c r="D41" s="36"/>
      <c r="E41" s="36"/>
      <c r="F41" s="36"/>
      <c r="G41" s="36"/>
      <c r="H41" s="36"/>
      <c r="I41" s="36"/>
      <c r="J41" s="36"/>
    </row>
    <row r="42" spans="1:13" x14ac:dyDescent="0.2">
      <c r="A42" s="10" t="s">
        <v>324</v>
      </c>
      <c r="B42" s="10" t="s">
        <v>130</v>
      </c>
      <c r="C42" s="10" t="s">
        <v>131</v>
      </c>
      <c r="D42" s="10" t="str">
        <f>"0,5660"</f>
        <v>0,5660</v>
      </c>
      <c r="E42" s="10" t="s">
        <v>72</v>
      </c>
      <c r="F42" s="10" t="s">
        <v>132</v>
      </c>
      <c r="G42" s="12" t="s">
        <v>147</v>
      </c>
      <c r="H42" s="12" t="s">
        <v>123</v>
      </c>
      <c r="I42" s="11" t="s">
        <v>124</v>
      </c>
      <c r="J42" s="11"/>
      <c r="K42" s="23" t="str">
        <f>"205,0"</f>
        <v>205,0</v>
      </c>
      <c r="L42" s="24" t="str">
        <f>"116,0300"</f>
        <v>116,0300</v>
      </c>
      <c r="M42" s="10" t="s">
        <v>134</v>
      </c>
    </row>
    <row r="43" spans="1:13" x14ac:dyDescent="0.2">
      <c r="A43" s="13" t="s">
        <v>323</v>
      </c>
      <c r="B43" s="13" t="s">
        <v>322</v>
      </c>
      <c r="C43" s="13" t="s">
        <v>321</v>
      </c>
      <c r="D43" s="13" t="str">
        <f>"0,5786"</f>
        <v>0,5786</v>
      </c>
      <c r="E43" s="13" t="s">
        <v>320</v>
      </c>
      <c r="F43" s="13" t="s">
        <v>43</v>
      </c>
      <c r="G43" s="15" t="s">
        <v>107</v>
      </c>
      <c r="H43" s="15" t="s">
        <v>108</v>
      </c>
      <c r="I43" s="15" t="s">
        <v>234</v>
      </c>
      <c r="J43" s="14"/>
      <c r="K43" s="25" t="str">
        <f>"160,0"</f>
        <v>160,0</v>
      </c>
      <c r="L43" s="26" t="str">
        <f>"92,5760"</f>
        <v>92,5760</v>
      </c>
      <c r="M43" s="13" t="s">
        <v>319</v>
      </c>
    </row>
    <row r="45" spans="1:13" ht="15" x14ac:dyDescent="0.2">
      <c r="A45" s="35" t="s">
        <v>138</v>
      </c>
      <c r="B45" s="36"/>
      <c r="C45" s="36"/>
      <c r="D45" s="36"/>
      <c r="E45" s="36"/>
      <c r="F45" s="36"/>
      <c r="G45" s="36"/>
      <c r="H45" s="36"/>
      <c r="I45" s="36"/>
      <c r="J45" s="36"/>
    </row>
    <row r="46" spans="1:13" x14ac:dyDescent="0.2">
      <c r="A46" s="10" t="s">
        <v>318</v>
      </c>
      <c r="B46" s="10" t="s">
        <v>317</v>
      </c>
      <c r="C46" s="10" t="s">
        <v>316</v>
      </c>
      <c r="D46" s="10" t="str">
        <f>"0,5381"</f>
        <v>0,5381</v>
      </c>
      <c r="E46" s="10" t="s">
        <v>72</v>
      </c>
      <c r="F46" s="10" t="s">
        <v>28</v>
      </c>
      <c r="G46" s="11" t="s">
        <v>315</v>
      </c>
      <c r="H46" s="12" t="s">
        <v>314</v>
      </c>
      <c r="I46" s="12" t="s">
        <v>250</v>
      </c>
      <c r="J46" s="11"/>
      <c r="K46" s="23" t="str">
        <f>"242,5"</f>
        <v>242,5</v>
      </c>
      <c r="L46" s="24" t="str">
        <f>"138,3186"</f>
        <v>138,3186</v>
      </c>
      <c r="M46" s="10" t="s">
        <v>313</v>
      </c>
    </row>
    <row r="47" spans="1:13" x14ac:dyDescent="0.2">
      <c r="A47" s="16" t="s">
        <v>312</v>
      </c>
      <c r="B47" s="16" t="s">
        <v>311</v>
      </c>
      <c r="C47" s="16" t="s">
        <v>310</v>
      </c>
      <c r="D47" s="16" t="str">
        <f>"0,5497"</f>
        <v>0,5497</v>
      </c>
      <c r="E47" s="16" t="s">
        <v>104</v>
      </c>
      <c r="F47" s="16" t="s">
        <v>105</v>
      </c>
      <c r="G47" s="18" t="s">
        <v>124</v>
      </c>
      <c r="H47" s="18" t="s">
        <v>294</v>
      </c>
      <c r="I47" s="18" t="s">
        <v>250</v>
      </c>
      <c r="J47" s="17"/>
      <c r="K47" s="27" t="str">
        <f>"242,5"</f>
        <v>242,5</v>
      </c>
      <c r="L47" s="28" t="str">
        <f>"133,3023"</f>
        <v>133,3023</v>
      </c>
      <c r="M47" s="16" t="s">
        <v>109</v>
      </c>
    </row>
    <row r="48" spans="1:13" x14ac:dyDescent="0.2">
      <c r="A48" s="16" t="s">
        <v>309</v>
      </c>
      <c r="B48" s="16" t="s">
        <v>308</v>
      </c>
      <c r="C48" s="16" t="s">
        <v>305</v>
      </c>
      <c r="D48" s="16" t="str">
        <f>"0,5443"</f>
        <v>0,5443</v>
      </c>
      <c r="E48" s="16" t="s">
        <v>304</v>
      </c>
      <c r="F48" s="16" t="s">
        <v>303</v>
      </c>
      <c r="G48" s="18" t="s">
        <v>302</v>
      </c>
      <c r="H48" s="18" t="s">
        <v>230</v>
      </c>
      <c r="I48" s="17"/>
      <c r="J48" s="17"/>
      <c r="K48" s="27" t="str">
        <f>"235,0"</f>
        <v>235,0</v>
      </c>
      <c r="L48" s="28" t="str">
        <f>"127,9105"</f>
        <v>127,9105</v>
      </c>
      <c r="M48" s="16" t="s">
        <v>125</v>
      </c>
    </row>
    <row r="49" spans="1:13" x14ac:dyDescent="0.2">
      <c r="A49" s="13" t="s">
        <v>307</v>
      </c>
      <c r="B49" s="13" t="s">
        <v>306</v>
      </c>
      <c r="C49" s="13" t="s">
        <v>305</v>
      </c>
      <c r="D49" s="13" t="str">
        <f>"0,5443"</f>
        <v>0,5443</v>
      </c>
      <c r="E49" s="13" t="s">
        <v>304</v>
      </c>
      <c r="F49" s="13" t="s">
        <v>303</v>
      </c>
      <c r="G49" s="15" t="s">
        <v>302</v>
      </c>
      <c r="H49" s="15" t="s">
        <v>230</v>
      </c>
      <c r="I49" s="14"/>
      <c r="J49" s="14"/>
      <c r="K49" s="25" t="str">
        <f>"235,0"</f>
        <v>235,0</v>
      </c>
      <c r="L49" s="26" t="str">
        <f>"217,4479"</f>
        <v>217,4479</v>
      </c>
      <c r="M49" s="13" t="s">
        <v>125</v>
      </c>
    </row>
    <row r="51" spans="1:13" ht="15" x14ac:dyDescent="0.2">
      <c r="A51" s="35" t="s">
        <v>165</v>
      </c>
      <c r="B51" s="36"/>
      <c r="C51" s="36"/>
      <c r="D51" s="36"/>
      <c r="E51" s="36"/>
      <c r="F51" s="36"/>
      <c r="G51" s="36"/>
      <c r="H51" s="36"/>
      <c r="I51" s="36"/>
      <c r="J51" s="36"/>
    </row>
    <row r="52" spans="1:13" x14ac:dyDescent="0.2">
      <c r="A52" s="10" t="s">
        <v>301</v>
      </c>
      <c r="B52" s="10" t="s">
        <v>300</v>
      </c>
      <c r="C52" s="10" t="s">
        <v>299</v>
      </c>
      <c r="D52" s="10" t="str">
        <f>"0,5314"</f>
        <v>0,5314</v>
      </c>
      <c r="E52" s="10" t="s">
        <v>170</v>
      </c>
      <c r="F52" s="10" t="s">
        <v>171</v>
      </c>
      <c r="G52" s="12" t="s">
        <v>256</v>
      </c>
      <c r="H52" s="11" t="s">
        <v>298</v>
      </c>
      <c r="I52" s="11" t="s">
        <v>298</v>
      </c>
      <c r="J52" s="11"/>
      <c r="K52" s="23" t="str">
        <f>"280,0"</f>
        <v>280,0</v>
      </c>
      <c r="L52" s="24" t="str">
        <f>"148,7920"</f>
        <v>148,7920</v>
      </c>
      <c r="M52" s="10" t="s">
        <v>172</v>
      </c>
    </row>
    <row r="53" spans="1:13" x14ac:dyDescent="0.2">
      <c r="A53" s="13" t="s">
        <v>297</v>
      </c>
      <c r="B53" s="13" t="s">
        <v>296</v>
      </c>
      <c r="C53" s="13" t="s">
        <v>295</v>
      </c>
      <c r="D53" s="13" t="str">
        <f>"0,5253"</f>
        <v>0,5253</v>
      </c>
      <c r="E53" s="13" t="s">
        <v>79</v>
      </c>
      <c r="F53" s="13" t="s">
        <v>80</v>
      </c>
      <c r="G53" s="15" t="s">
        <v>294</v>
      </c>
      <c r="H53" s="15" t="s">
        <v>230</v>
      </c>
      <c r="I53" s="14" t="s">
        <v>293</v>
      </c>
      <c r="J53" s="14"/>
      <c r="K53" s="25" t="str">
        <f>"235,0"</f>
        <v>235,0</v>
      </c>
      <c r="L53" s="26" t="str">
        <f>"123,4455"</f>
        <v>123,4455</v>
      </c>
      <c r="M53" s="13" t="s">
        <v>292</v>
      </c>
    </row>
    <row r="55" spans="1:13" ht="15" x14ac:dyDescent="0.2">
      <c r="E55" s="19" t="s">
        <v>176</v>
      </c>
    </row>
    <row r="56" spans="1:13" ht="15" x14ac:dyDescent="0.2">
      <c r="E56" s="19" t="s">
        <v>177</v>
      </c>
    </row>
    <row r="57" spans="1:13" ht="15" x14ac:dyDescent="0.2">
      <c r="E57" s="19" t="s">
        <v>178</v>
      </c>
    </row>
    <row r="58" spans="1:13" ht="15" x14ac:dyDescent="0.2">
      <c r="E58" s="19" t="s">
        <v>179</v>
      </c>
    </row>
    <row r="59" spans="1:13" ht="15" x14ac:dyDescent="0.2">
      <c r="E59" s="19" t="s">
        <v>179</v>
      </c>
    </row>
    <row r="60" spans="1:13" ht="15" x14ac:dyDescent="0.2">
      <c r="E60" s="19" t="s">
        <v>180</v>
      </c>
    </row>
    <row r="61" spans="1:13" ht="15" x14ac:dyDescent="0.2">
      <c r="E61" s="19"/>
    </row>
    <row r="63" spans="1:13" ht="18" x14ac:dyDescent="0.25">
      <c r="A63" s="29" t="s">
        <v>181</v>
      </c>
      <c r="B63" s="29"/>
    </row>
    <row r="64" spans="1:13" ht="15" x14ac:dyDescent="0.2">
      <c r="A64" s="30" t="s">
        <v>182</v>
      </c>
      <c r="B64" s="30"/>
    </row>
    <row r="65" spans="1:5" ht="14.25" x14ac:dyDescent="0.2">
      <c r="A65" s="32"/>
      <c r="B65" s="33" t="s">
        <v>183</v>
      </c>
    </row>
    <row r="66" spans="1:5" ht="15" x14ac:dyDescent="0.2">
      <c r="A66" s="34" t="s">
        <v>184</v>
      </c>
      <c r="B66" s="34" t="s">
        <v>185</v>
      </c>
      <c r="C66" s="34" t="s">
        <v>186</v>
      </c>
      <c r="D66" s="34" t="s">
        <v>187</v>
      </c>
      <c r="E66" s="34" t="s">
        <v>188</v>
      </c>
    </row>
    <row r="67" spans="1:5" x14ac:dyDescent="0.2">
      <c r="A67" s="31" t="s">
        <v>291</v>
      </c>
      <c r="B67" s="4" t="s">
        <v>183</v>
      </c>
      <c r="C67" s="4" t="s">
        <v>196</v>
      </c>
      <c r="D67" s="4" t="s">
        <v>106</v>
      </c>
      <c r="E67" s="20" t="s">
        <v>290</v>
      </c>
    </row>
    <row r="68" spans="1:5" x14ac:dyDescent="0.2">
      <c r="A68" s="31" t="s">
        <v>289</v>
      </c>
      <c r="B68" s="4" t="s">
        <v>183</v>
      </c>
      <c r="C68" s="4" t="s">
        <v>196</v>
      </c>
      <c r="D68" s="4" t="s">
        <v>226</v>
      </c>
      <c r="E68" s="20" t="s">
        <v>288</v>
      </c>
    </row>
    <row r="69" spans="1:5" x14ac:dyDescent="0.2">
      <c r="A69" s="31" t="s">
        <v>287</v>
      </c>
      <c r="B69" s="4" t="s">
        <v>183</v>
      </c>
      <c r="C69" s="4" t="s">
        <v>286</v>
      </c>
      <c r="D69" s="4" t="s">
        <v>63</v>
      </c>
      <c r="E69" s="20" t="s">
        <v>285</v>
      </c>
    </row>
    <row r="70" spans="1:5" x14ac:dyDescent="0.2">
      <c r="A70" s="31" t="s">
        <v>284</v>
      </c>
      <c r="B70" s="4" t="s">
        <v>183</v>
      </c>
      <c r="C70" s="4" t="s">
        <v>189</v>
      </c>
      <c r="D70" s="4" t="s">
        <v>90</v>
      </c>
      <c r="E70" s="20" t="s">
        <v>283</v>
      </c>
    </row>
    <row r="72" spans="1:5" ht="14.25" x14ac:dyDescent="0.2">
      <c r="A72" s="32"/>
      <c r="B72" s="33" t="s">
        <v>198</v>
      </c>
    </row>
    <row r="73" spans="1:5" ht="15" x14ac:dyDescent="0.2">
      <c r="A73" s="34" t="s">
        <v>184</v>
      </c>
      <c r="B73" s="34" t="s">
        <v>185</v>
      </c>
      <c r="C73" s="34" t="s">
        <v>186</v>
      </c>
      <c r="D73" s="34" t="s">
        <v>187</v>
      </c>
      <c r="E73" s="34" t="s">
        <v>188</v>
      </c>
    </row>
    <row r="74" spans="1:5" x14ac:dyDescent="0.2">
      <c r="A74" s="31" t="s">
        <v>282</v>
      </c>
      <c r="B74" s="4" t="s">
        <v>227</v>
      </c>
      <c r="C74" s="4" t="s">
        <v>189</v>
      </c>
      <c r="D74" s="4" t="s">
        <v>281</v>
      </c>
      <c r="E74" s="20" t="s">
        <v>280</v>
      </c>
    </row>
    <row r="77" spans="1:5" ht="15" x14ac:dyDescent="0.2">
      <c r="A77" s="30" t="s">
        <v>202</v>
      </c>
      <c r="B77" s="30"/>
    </row>
    <row r="78" spans="1:5" ht="14.25" x14ac:dyDescent="0.2">
      <c r="A78" s="32"/>
      <c r="B78" s="33" t="s">
        <v>203</v>
      </c>
    </row>
    <row r="79" spans="1:5" ht="15" x14ac:dyDescent="0.2">
      <c r="A79" s="34" t="s">
        <v>184</v>
      </c>
      <c r="B79" s="34" t="s">
        <v>185</v>
      </c>
      <c r="C79" s="34" t="s">
        <v>186</v>
      </c>
      <c r="D79" s="34" t="s">
        <v>187</v>
      </c>
      <c r="E79" s="34" t="s">
        <v>188</v>
      </c>
    </row>
    <row r="80" spans="1:5" x14ac:dyDescent="0.2">
      <c r="A80" s="31" t="s">
        <v>279</v>
      </c>
      <c r="B80" s="4" t="s">
        <v>270</v>
      </c>
      <c r="C80" s="4" t="s">
        <v>196</v>
      </c>
      <c r="D80" s="4" t="s">
        <v>123</v>
      </c>
      <c r="E80" s="20" t="s">
        <v>278</v>
      </c>
    </row>
    <row r="81" spans="1:5" x14ac:dyDescent="0.2">
      <c r="A81" s="31" t="s">
        <v>277</v>
      </c>
      <c r="B81" s="4" t="s">
        <v>270</v>
      </c>
      <c r="C81" s="4" t="s">
        <v>196</v>
      </c>
      <c r="D81" s="4" t="s">
        <v>147</v>
      </c>
      <c r="E81" s="20" t="s">
        <v>276</v>
      </c>
    </row>
    <row r="82" spans="1:5" x14ac:dyDescent="0.2">
      <c r="A82" s="31" t="s">
        <v>275</v>
      </c>
      <c r="B82" s="4" t="s">
        <v>204</v>
      </c>
      <c r="C82" s="4" t="s">
        <v>213</v>
      </c>
      <c r="D82" s="4" t="s">
        <v>250</v>
      </c>
      <c r="E82" s="20" t="s">
        <v>274</v>
      </c>
    </row>
    <row r="83" spans="1:5" x14ac:dyDescent="0.2">
      <c r="A83" s="31" t="s">
        <v>273</v>
      </c>
      <c r="B83" s="4" t="s">
        <v>204</v>
      </c>
      <c r="C83" s="4" t="s">
        <v>200</v>
      </c>
      <c r="D83" s="4" t="s">
        <v>237</v>
      </c>
      <c r="E83" s="20" t="s">
        <v>272</v>
      </c>
    </row>
    <row r="84" spans="1:5" x14ac:dyDescent="0.2">
      <c r="A84" s="31" t="s">
        <v>271</v>
      </c>
      <c r="B84" s="4" t="s">
        <v>270</v>
      </c>
      <c r="C84" s="4" t="s">
        <v>200</v>
      </c>
      <c r="D84" s="4" t="s">
        <v>234</v>
      </c>
      <c r="E84" s="20" t="s">
        <v>269</v>
      </c>
    </row>
    <row r="85" spans="1:5" x14ac:dyDescent="0.2">
      <c r="A85" s="31" t="s">
        <v>268</v>
      </c>
      <c r="B85" s="4" t="s">
        <v>204</v>
      </c>
      <c r="C85" s="4" t="s">
        <v>189</v>
      </c>
      <c r="D85" s="4" t="s">
        <v>81</v>
      </c>
      <c r="E85" s="20" t="s">
        <v>267</v>
      </c>
    </row>
    <row r="86" spans="1:5" x14ac:dyDescent="0.2">
      <c r="A86" s="31" t="s">
        <v>266</v>
      </c>
      <c r="B86" s="4" t="s">
        <v>265</v>
      </c>
      <c r="C86" s="4" t="s">
        <v>217</v>
      </c>
      <c r="D86" s="4" t="s">
        <v>47</v>
      </c>
      <c r="E86" s="20" t="s">
        <v>264</v>
      </c>
    </row>
    <row r="88" spans="1:5" ht="14.25" x14ac:dyDescent="0.2">
      <c r="A88" s="32"/>
      <c r="B88" s="33" t="s">
        <v>183</v>
      </c>
    </row>
    <row r="89" spans="1:5" ht="15" x14ac:dyDescent="0.2">
      <c r="A89" s="34" t="s">
        <v>184</v>
      </c>
      <c r="B89" s="34" t="s">
        <v>185</v>
      </c>
      <c r="C89" s="34" t="s">
        <v>186</v>
      </c>
      <c r="D89" s="34" t="s">
        <v>187</v>
      </c>
      <c r="E89" s="34" t="s">
        <v>188</v>
      </c>
    </row>
    <row r="90" spans="1:5" x14ac:dyDescent="0.2">
      <c r="A90" s="31" t="s">
        <v>263</v>
      </c>
      <c r="B90" s="4" t="s">
        <v>183</v>
      </c>
      <c r="C90" s="4" t="s">
        <v>205</v>
      </c>
      <c r="D90" s="4" t="s">
        <v>262</v>
      </c>
      <c r="E90" s="20" t="s">
        <v>261</v>
      </c>
    </row>
    <row r="91" spans="1:5" x14ac:dyDescent="0.2">
      <c r="A91" s="31" t="s">
        <v>260</v>
      </c>
      <c r="B91" s="4" t="s">
        <v>183</v>
      </c>
      <c r="C91" s="4" t="s">
        <v>205</v>
      </c>
      <c r="D91" s="4" t="s">
        <v>259</v>
      </c>
      <c r="E91" s="20" t="s">
        <v>258</v>
      </c>
    </row>
    <row r="92" spans="1:5" x14ac:dyDescent="0.2">
      <c r="A92" s="31" t="s">
        <v>257</v>
      </c>
      <c r="B92" s="4" t="s">
        <v>183</v>
      </c>
      <c r="C92" s="4" t="s">
        <v>215</v>
      </c>
      <c r="D92" s="4" t="s">
        <v>256</v>
      </c>
      <c r="E92" s="20" t="s">
        <v>255</v>
      </c>
    </row>
    <row r="93" spans="1:5" x14ac:dyDescent="0.2">
      <c r="A93" s="31" t="s">
        <v>254</v>
      </c>
      <c r="B93" s="4" t="s">
        <v>183</v>
      </c>
      <c r="C93" s="4" t="s">
        <v>200</v>
      </c>
      <c r="D93" s="4" t="s">
        <v>253</v>
      </c>
      <c r="E93" s="20" t="s">
        <v>252</v>
      </c>
    </row>
    <row r="94" spans="1:5" x14ac:dyDescent="0.2">
      <c r="A94" s="31" t="s">
        <v>251</v>
      </c>
      <c r="B94" s="4" t="s">
        <v>183</v>
      </c>
      <c r="C94" s="4" t="s">
        <v>213</v>
      </c>
      <c r="D94" s="4" t="s">
        <v>250</v>
      </c>
      <c r="E94" s="20" t="s">
        <v>249</v>
      </c>
    </row>
    <row r="95" spans="1:5" x14ac:dyDescent="0.2">
      <c r="A95" s="31" t="s">
        <v>232</v>
      </c>
      <c r="B95" s="4" t="s">
        <v>183</v>
      </c>
      <c r="C95" s="4" t="s">
        <v>213</v>
      </c>
      <c r="D95" s="4" t="s">
        <v>230</v>
      </c>
      <c r="E95" s="20" t="s">
        <v>248</v>
      </c>
    </row>
    <row r="96" spans="1:5" x14ac:dyDescent="0.2">
      <c r="A96" s="31" t="s">
        <v>247</v>
      </c>
      <c r="B96" s="4" t="s">
        <v>183</v>
      </c>
      <c r="C96" s="4" t="s">
        <v>196</v>
      </c>
      <c r="D96" s="4" t="s">
        <v>237</v>
      </c>
      <c r="E96" s="20" t="s">
        <v>246</v>
      </c>
    </row>
    <row r="97" spans="1:5" x14ac:dyDescent="0.2">
      <c r="A97" s="31" t="s">
        <v>245</v>
      </c>
      <c r="B97" s="4" t="s">
        <v>183</v>
      </c>
      <c r="C97" s="4" t="s">
        <v>200</v>
      </c>
      <c r="D97" s="4" t="s">
        <v>122</v>
      </c>
      <c r="E97" s="20" t="s">
        <v>244</v>
      </c>
    </row>
    <row r="98" spans="1:5" x14ac:dyDescent="0.2">
      <c r="A98" s="31" t="s">
        <v>243</v>
      </c>
      <c r="B98" s="4" t="s">
        <v>183</v>
      </c>
      <c r="C98" s="4" t="s">
        <v>215</v>
      </c>
      <c r="D98" s="4" t="s">
        <v>230</v>
      </c>
      <c r="E98" s="20" t="s">
        <v>242</v>
      </c>
    </row>
    <row r="99" spans="1:5" x14ac:dyDescent="0.2">
      <c r="A99" s="31" t="s">
        <v>241</v>
      </c>
      <c r="B99" s="4" t="s">
        <v>183</v>
      </c>
      <c r="C99" s="4" t="s">
        <v>217</v>
      </c>
      <c r="D99" s="4" t="s">
        <v>234</v>
      </c>
      <c r="E99" s="20" t="s">
        <v>240</v>
      </c>
    </row>
    <row r="100" spans="1:5" x14ac:dyDescent="0.2">
      <c r="A100" s="31" t="s">
        <v>128</v>
      </c>
      <c r="B100" s="4" t="s">
        <v>183</v>
      </c>
      <c r="C100" s="4" t="s">
        <v>210</v>
      </c>
      <c r="D100" s="4" t="s">
        <v>123</v>
      </c>
      <c r="E100" s="20" t="s">
        <v>239</v>
      </c>
    </row>
    <row r="101" spans="1:5" x14ac:dyDescent="0.2">
      <c r="A101" s="31" t="s">
        <v>238</v>
      </c>
      <c r="B101" s="4" t="s">
        <v>183</v>
      </c>
      <c r="C101" s="4" t="s">
        <v>205</v>
      </c>
      <c r="D101" s="4" t="s">
        <v>237</v>
      </c>
      <c r="E101" s="20" t="s">
        <v>236</v>
      </c>
    </row>
    <row r="102" spans="1:5" x14ac:dyDescent="0.2">
      <c r="A102" s="31" t="s">
        <v>235</v>
      </c>
      <c r="B102" s="4" t="s">
        <v>183</v>
      </c>
      <c r="C102" s="4" t="s">
        <v>210</v>
      </c>
      <c r="D102" s="4" t="s">
        <v>234</v>
      </c>
      <c r="E102" s="20" t="s">
        <v>233</v>
      </c>
    </row>
    <row r="104" spans="1:5" ht="14.25" x14ac:dyDescent="0.2">
      <c r="A104" s="32"/>
      <c r="B104" s="33" t="s">
        <v>198</v>
      </c>
    </row>
    <row r="105" spans="1:5" ht="15" x14ac:dyDescent="0.2">
      <c r="A105" s="34" t="s">
        <v>184</v>
      </c>
      <c r="B105" s="34" t="s">
        <v>185</v>
      </c>
      <c r="C105" s="34" t="s">
        <v>186</v>
      </c>
      <c r="D105" s="34" t="s">
        <v>187</v>
      </c>
      <c r="E105" s="34" t="s">
        <v>188</v>
      </c>
    </row>
    <row r="106" spans="1:5" x14ac:dyDescent="0.2">
      <c r="A106" s="31" t="s">
        <v>232</v>
      </c>
      <c r="B106" s="4" t="s">
        <v>231</v>
      </c>
      <c r="C106" s="4" t="s">
        <v>213</v>
      </c>
      <c r="D106" s="4" t="s">
        <v>230</v>
      </c>
      <c r="E106" s="20" t="s">
        <v>229</v>
      </c>
    </row>
    <row r="107" spans="1:5" x14ac:dyDescent="0.2">
      <c r="A107" s="31" t="s">
        <v>228</v>
      </c>
      <c r="B107" s="4" t="s">
        <v>227</v>
      </c>
      <c r="C107" s="4" t="s">
        <v>217</v>
      </c>
      <c r="D107" s="4" t="s">
        <v>226</v>
      </c>
      <c r="E107" s="20" t="s">
        <v>225</v>
      </c>
    </row>
  </sheetData>
  <mergeCells count="22">
    <mergeCell ref="A51:J51"/>
    <mergeCell ref="A24:J24"/>
    <mergeCell ref="A29:J29"/>
    <mergeCell ref="A36:J36"/>
    <mergeCell ref="A41:J41"/>
    <mergeCell ref="A45:J45"/>
    <mergeCell ref="E3:E4"/>
    <mergeCell ref="A5:J5"/>
    <mergeCell ref="A8:J8"/>
    <mergeCell ref="A12:J12"/>
    <mergeCell ref="A16:J16"/>
    <mergeCell ref="A19:J19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9.5703125" style="2" bestFit="1" customWidth="1"/>
    <col min="11" max="11" width="11.7109375" style="4" bestFit="1" customWidth="1"/>
    <col min="12" max="16384" width="9.140625" style="3"/>
  </cols>
  <sheetData>
    <row r="1" spans="1:11" s="2" customFormat="1" ht="29.1" customHeight="1" x14ac:dyDescent="0.2">
      <c r="A1" s="41" t="s">
        <v>419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418</v>
      </c>
      <c r="E3" s="39" t="s">
        <v>3</v>
      </c>
      <c r="F3" s="39" t="s">
        <v>6</v>
      </c>
      <c r="G3" s="39" t="s">
        <v>417</v>
      </c>
      <c r="H3" s="39"/>
      <c r="I3" s="39" t="s">
        <v>416</v>
      </c>
      <c r="J3" s="39" t="s">
        <v>2</v>
      </c>
      <c r="K3" s="50" t="s">
        <v>1</v>
      </c>
    </row>
    <row r="4" spans="1:11" s="1" customFormat="1" ht="21" customHeight="1" thickBot="1" x14ac:dyDescent="0.25">
      <c r="A4" s="48"/>
      <c r="B4" s="40"/>
      <c r="C4" s="40"/>
      <c r="D4" s="40"/>
      <c r="E4" s="40"/>
      <c r="F4" s="40"/>
      <c r="G4" s="6" t="s">
        <v>415</v>
      </c>
      <c r="H4" s="6" t="s">
        <v>414</v>
      </c>
      <c r="I4" s="40"/>
      <c r="J4" s="40"/>
      <c r="K4" s="51"/>
    </row>
    <row r="5" spans="1:11" ht="15" x14ac:dyDescent="0.2">
      <c r="A5" s="37" t="s">
        <v>37</v>
      </c>
      <c r="B5" s="38"/>
      <c r="C5" s="38"/>
      <c r="D5" s="38"/>
      <c r="E5" s="38"/>
      <c r="F5" s="38"/>
      <c r="G5" s="38"/>
      <c r="H5" s="38"/>
    </row>
    <row r="6" spans="1:11" x14ac:dyDescent="0.2">
      <c r="A6" s="7" t="s">
        <v>413</v>
      </c>
      <c r="B6" s="7" t="s">
        <v>412</v>
      </c>
      <c r="C6" s="7" t="s">
        <v>411</v>
      </c>
      <c r="D6" s="7" t="str">
        <f>"0,9228"</f>
        <v>0,9228</v>
      </c>
      <c r="E6" s="7" t="s">
        <v>410</v>
      </c>
      <c r="F6" s="7" t="s">
        <v>28</v>
      </c>
      <c r="G6" s="9" t="s">
        <v>29</v>
      </c>
      <c r="H6" s="9" t="s">
        <v>409</v>
      </c>
      <c r="I6" s="21" t="str">
        <f>"1980,0"</f>
        <v>1980,0</v>
      </c>
      <c r="J6" s="22" t="str">
        <f>"1827,1440"</f>
        <v>1827,1440</v>
      </c>
      <c r="K6" s="7" t="s">
        <v>408</v>
      </c>
    </row>
    <row r="8" spans="1:11" ht="15" x14ac:dyDescent="0.2">
      <c r="E8" s="19" t="s">
        <v>176</v>
      </c>
    </row>
    <row r="9" spans="1:11" ht="15" x14ac:dyDescent="0.2">
      <c r="E9" s="19" t="s">
        <v>177</v>
      </c>
    </row>
    <row r="10" spans="1:11" ht="15" x14ac:dyDescent="0.2">
      <c r="E10" s="19" t="s">
        <v>178</v>
      </c>
    </row>
    <row r="11" spans="1:11" ht="15" x14ac:dyDescent="0.2">
      <c r="E11" s="19" t="s">
        <v>179</v>
      </c>
    </row>
    <row r="12" spans="1:11" ht="15" x14ac:dyDescent="0.2">
      <c r="E12" s="19" t="s">
        <v>179</v>
      </c>
    </row>
    <row r="13" spans="1:11" ht="15" x14ac:dyDescent="0.2">
      <c r="E13" s="19" t="s">
        <v>180</v>
      </c>
    </row>
    <row r="14" spans="1:11" ht="15" x14ac:dyDescent="0.2">
      <c r="E14" s="19"/>
    </row>
    <row r="16" spans="1:11" ht="18" x14ac:dyDescent="0.25">
      <c r="A16" s="29" t="s">
        <v>181</v>
      </c>
      <c r="B16" s="29"/>
    </row>
    <row r="17" spans="1:5" ht="15" x14ac:dyDescent="0.2">
      <c r="A17" s="30" t="s">
        <v>182</v>
      </c>
      <c r="B17" s="30"/>
    </row>
    <row r="18" spans="1:5" ht="14.25" x14ac:dyDescent="0.2">
      <c r="A18" s="32"/>
      <c r="B18" s="33" t="s">
        <v>198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187</v>
      </c>
      <c r="E19" s="34" t="s">
        <v>407</v>
      </c>
    </row>
    <row r="20" spans="1:5" x14ac:dyDescent="0.2">
      <c r="A20" s="31" t="s">
        <v>406</v>
      </c>
      <c r="B20" s="4" t="s">
        <v>405</v>
      </c>
      <c r="C20" s="4" t="s">
        <v>189</v>
      </c>
      <c r="D20" s="4" t="s">
        <v>404</v>
      </c>
      <c r="E20" s="20" t="s">
        <v>403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75" fitToHeight="100" orientation="landscape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workbookViewId="0">
      <selection activeCell="C7" sqref="C7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9" width="4.57031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26.42578125" style="4" bestFit="1" customWidth="1"/>
    <col min="14" max="16384" width="9.140625" style="3"/>
  </cols>
  <sheetData>
    <row r="1" spans="1:13" s="2" customFormat="1" ht="29.1" customHeight="1" x14ac:dyDescent="0.2">
      <c r="A1" s="41" t="s">
        <v>516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515</v>
      </c>
      <c r="H3" s="39"/>
      <c r="I3" s="39"/>
      <c r="J3" s="39"/>
      <c r="K3" s="39" t="s">
        <v>224</v>
      </c>
      <c r="L3" s="39" t="s">
        <v>2</v>
      </c>
      <c r="M3" s="50" t="s">
        <v>1</v>
      </c>
    </row>
    <row r="4" spans="1:13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40"/>
      <c r="L4" s="40"/>
      <c r="M4" s="51"/>
    </row>
    <row r="5" spans="1:13" ht="15" x14ac:dyDescent="0.2">
      <c r="A5" s="37" t="s">
        <v>22</v>
      </c>
      <c r="B5" s="38"/>
      <c r="C5" s="38"/>
      <c r="D5" s="38"/>
      <c r="E5" s="38"/>
      <c r="F5" s="38"/>
      <c r="G5" s="38"/>
      <c r="H5" s="38"/>
      <c r="I5" s="38"/>
      <c r="J5" s="38"/>
    </row>
    <row r="6" spans="1:13" x14ac:dyDescent="0.2">
      <c r="A6" s="7" t="s">
        <v>24</v>
      </c>
      <c r="B6" s="7" t="s">
        <v>25</v>
      </c>
      <c r="C6" s="7" t="s">
        <v>26</v>
      </c>
      <c r="D6" s="7" t="str">
        <f>"0,9693"</f>
        <v>0,9693</v>
      </c>
      <c r="E6" s="7" t="s">
        <v>27</v>
      </c>
      <c r="F6" s="7" t="s">
        <v>28</v>
      </c>
      <c r="G6" s="9" t="s">
        <v>456</v>
      </c>
      <c r="H6" s="8" t="s">
        <v>501</v>
      </c>
      <c r="I6" s="8" t="s">
        <v>501</v>
      </c>
      <c r="J6" s="8"/>
      <c r="K6" s="21" t="s">
        <v>456</v>
      </c>
      <c r="L6" s="22" t="s">
        <v>457</v>
      </c>
      <c r="M6" s="7" t="s">
        <v>30</v>
      </c>
    </row>
    <row r="7" spans="1:13" x14ac:dyDescent="0.2">
      <c r="A7" s="7" t="s">
        <v>32</v>
      </c>
      <c r="B7" s="7" t="s">
        <v>33</v>
      </c>
      <c r="C7" s="7" t="s">
        <v>34</v>
      </c>
      <c r="D7" s="7" t="str">
        <f>"0,9693"</f>
        <v>0,9693</v>
      </c>
      <c r="E7" s="7" t="s">
        <v>27</v>
      </c>
      <c r="F7" s="7" t="s">
        <v>28</v>
      </c>
      <c r="G7" s="9" t="s">
        <v>454</v>
      </c>
      <c r="H7" s="8" t="s">
        <v>458</v>
      </c>
      <c r="I7" s="8" t="s">
        <v>458</v>
      </c>
      <c r="J7" s="8"/>
      <c r="K7" s="21" t="str">
        <f>"30,0"</f>
        <v>30,0</v>
      </c>
      <c r="L7" s="22" t="str">
        <f>"29,0805"</f>
        <v>29,0805</v>
      </c>
      <c r="M7" s="7" t="s">
        <v>30</v>
      </c>
    </row>
    <row r="9" spans="1:13" ht="15" x14ac:dyDescent="0.2">
      <c r="A9" s="35" t="s">
        <v>505</v>
      </c>
      <c r="B9" s="36"/>
      <c r="C9" s="36"/>
      <c r="D9" s="36"/>
      <c r="E9" s="36"/>
      <c r="F9" s="36"/>
      <c r="G9" s="36"/>
      <c r="H9" s="36"/>
      <c r="I9" s="36"/>
      <c r="J9" s="36"/>
    </row>
    <row r="10" spans="1:13" x14ac:dyDescent="0.2">
      <c r="A10" s="7" t="s">
        <v>514</v>
      </c>
      <c r="B10" s="7" t="s">
        <v>513</v>
      </c>
      <c r="C10" s="7" t="s">
        <v>512</v>
      </c>
      <c r="D10" s="7" t="str">
        <f>"0,9187"</f>
        <v>0,9187</v>
      </c>
      <c r="E10" s="7" t="s">
        <v>464</v>
      </c>
      <c r="F10" s="7" t="s">
        <v>463</v>
      </c>
      <c r="G10" s="9" t="s">
        <v>454</v>
      </c>
      <c r="H10" s="9" t="s">
        <v>458</v>
      </c>
      <c r="I10" s="8" t="s">
        <v>456</v>
      </c>
      <c r="J10" s="8"/>
      <c r="K10" s="21" t="str">
        <f>"32,5"</f>
        <v>32,5</v>
      </c>
      <c r="L10" s="22" t="str">
        <f>"35,2321"</f>
        <v>35,2321</v>
      </c>
      <c r="M10" s="7" t="s">
        <v>511</v>
      </c>
    </row>
    <row r="12" spans="1:13" ht="15" x14ac:dyDescent="0.2">
      <c r="A12" s="35" t="s">
        <v>37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 x14ac:dyDescent="0.2">
      <c r="A13" s="7" t="s">
        <v>510</v>
      </c>
      <c r="B13" s="7" t="s">
        <v>509</v>
      </c>
      <c r="C13" s="7" t="s">
        <v>508</v>
      </c>
      <c r="D13" s="7" t="str">
        <f>"0,8609"</f>
        <v>0,8609</v>
      </c>
      <c r="E13" s="7" t="s">
        <v>79</v>
      </c>
      <c r="F13" s="7" t="s">
        <v>80</v>
      </c>
      <c r="G13" s="9" t="s">
        <v>449</v>
      </c>
      <c r="H13" s="8" t="s">
        <v>454</v>
      </c>
      <c r="I13" s="8" t="s">
        <v>454</v>
      </c>
      <c r="J13" s="8"/>
      <c r="K13" s="21" t="str">
        <f>"25,0"</f>
        <v>25,0</v>
      </c>
      <c r="L13" s="22" t="str">
        <f>"21,5225"</f>
        <v>21,5225</v>
      </c>
      <c r="M13" s="7" t="s">
        <v>292</v>
      </c>
    </row>
    <row r="15" spans="1:13" ht="15" x14ac:dyDescent="0.2">
      <c r="A15" s="35" t="s">
        <v>67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3" x14ac:dyDescent="0.2">
      <c r="A16" s="7" t="s">
        <v>507</v>
      </c>
      <c r="B16" s="7" t="s">
        <v>506</v>
      </c>
      <c r="C16" s="7" t="s">
        <v>373</v>
      </c>
      <c r="D16" s="7" t="str">
        <f>"0,7788"</f>
        <v>0,7788</v>
      </c>
      <c r="E16" s="7" t="s">
        <v>464</v>
      </c>
      <c r="F16" s="7" t="s">
        <v>488</v>
      </c>
      <c r="G16" s="8" t="s">
        <v>449</v>
      </c>
      <c r="H16" s="9" t="s">
        <v>449</v>
      </c>
      <c r="I16" s="8" t="s">
        <v>458</v>
      </c>
      <c r="J16" s="8"/>
      <c r="K16" s="21" t="str">
        <f>"25,0"</f>
        <v>25,0</v>
      </c>
      <c r="L16" s="22" t="str">
        <f>"19,4688"</f>
        <v>19,4688</v>
      </c>
      <c r="M16" s="7" t="s">
        <v>461</v>
      </c>
    </row>
    <row r="18" spans="1:13" ht="15" x14ac:dyDescent="0.2">
      <c r="A18" s="35" t="s">
        <v>505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3" x14ac:dyDescent="0.2">
      <c r="A19" s="7" t="s">
        <v>504</v>
      </c>
      <c r="B19" s="7" t="s">
        <v>503</v>
      </c>
      <c r="C19" s="7" t="s">
        <v>502</v>
      </c>
      <c r="D19" s="7" t="str">
        <f>"0,8870"</f>
        <v>0,8870</v>
      </c>
      <c r="E19" s="7" t="s">
        <v>464</v>
      </c>
      <c r="F19" s="7" t="s">
        <v>463</v>
      </c>
      <c r="G19" s="9" t="s">
        <v>501</v>
      </c>
      <c r="H19" s="9" t="s">
        <v>436</v>
      </c>
      <c r="I19" s="8" t="s">
        <v>35</v>
      </c>
      <c r="J19" s="8"/>
      <c r="K19" s="21" t="str">
        <f>"42,5"</f>
        <v>42,5</v>
      </c>
      <c r="L19" s="22" t="str">
        <f>"39,9594"</f>
        <v>39,9594</v>
      </c>
      <c r="M19" s="7" t="s">
        <v>461</v>
      </c>
    </row>
    <row r="21" spans="1:13" ht="15" x14ac:dyDescent="0.2">
      <c r="A21" s="35" t="s">
        <v>67</v>
      </c>
      <c r="B21" s="36"/>
      <c r="C21" s="36"/>
      <c r="D21" s="36"/>
      <c r="E21" s="36"/>
      <c r="F21" s="36"/>
      <c r="G21" s="36"/>
      <c r="H21" s="36"/>
      <c r="I21" s="36"/>
      <c r="J21" s="36"/>
    </row>
    <row r="22" spans="1:13" x14ac:dyDescent="0.2">
      <c r="A22" s="10" t="s">
        <v>500</v>
      </c>
      <c r="B22" s="10" t="s">
        <v>499</v>
      </c>
      <c r="C22" s="10" t="s">
        <v>498</v>
      </c>
      <c r="D22" s="10" t="str">
        <f>"0,7450"</f>
        <v>0,7450</v>
      </c>
      <c r="E22" s="10" t="s">
        <v>72</v>
      </c>
      <c r="F22" s="10" t="s">
        <v>17</v>
      </c>
      <c r="G22" s="12" t="s">
        <v>436</v>
      </c>
      <c r="H22" s="12" t="s">
        <v>36</v>
      </c>
      <c r="I22" s="12" t="s">
        <v>18</v>
      </c>
      <c r="J22" s="11"/>
      <c r="K22" s="23" t="str">
        <f>"50,0"</f>
        <v>50,0</v>
      </c>
      <c r="L22" s="24" t="str">
        <f>"43,9550"</f>
        <v>43,9550</v>
      </c>
      <c r="M22" s="10" t="s">
        <v>468</v>
      </c>
    </row>
    <row r="23" spans="1:13" x14ac:dyDescent="0.2">
      <c r="A23" s="16" t="s">
        <v>497</v>
      </c>
      <c r="B23" s="16" t="s">
        <v>496</v>
      </c>
      <c r="C23" s="16" t="s">
        <v>495</v>
      </c>
      <c r="D23" s="16" t="str">
        <f>"0,7347"</f>
        <v>0,7347</v>
      </c>
      <c r="E23" s="16" t="s">
        <v>484</v>
      </c>
      <c r="F23" s="16" t="s">
        <v>463</v>
      </c>
      <c r="G23" s="18" t="s">
        <v>19</v>
      </c>
      <c r="H23" s="18" t="s">
        <v>29</v>
      </c>
      <c r="I23" s="18" t="s">
        <v>44</v>
      </c>
      <c r="J23" s="17"/>
      <c r="K23" s="27" t="str">
        <f>"62,5"</f>
        <v>62,5</v>
      </c>
      <c r="L23" s="28" t="str">
        <f>"47,7555"</f>
        <v>47,7555</v>
      </c>
      <c r="M23" s="16" t="s">
        <v>483</v>
      </c>
    </row>
    <row r="24" spans="1:13" x14ac:dyDescent="0.2">
      <c r="A24" s="13" t="s">
        <v>494</v>
      </c>
      <c r="B24" s="13" t="s">
        <v>493</v>
      </c>
      <c r="C24" s="13" t="s">
        <v>492</v>
      </c>
      <c r="D24" s="13" t="str">
        <f>"0,7481"</f>
        <v>0,7481</v>
      </c>
      <c r="E24" s="13" t="s">
        <v>464</v>
      </c>
      <c r="F24" s="13" t="s">
        <v>463</v>
      </c>
      <c r="G24" s="15" t="s">
        <v>462</v>
      </c>
      <c r="H24" s="15" t="s">
        <v>18</v>
      </c>
      <c r="I24" s="14" t="s">
        <v>19</v>
      </c>
      <c r="J24" s="14"/>
      <c r="K24" s="25" t="str">
        <f>"50,0"</f>
        <v>50,0</v>
      </c>
      <c r="L24" s="26" t="str">
        <f>"38,5271"</f>
        <v>38,5271</v>
      </c>
      <c r="M24" s="13" t="s">
        <v>483</v>
      </c>
    </row>
    <row r="26" spans="1:13" ht="15" x14ac:dyDescent="0.2">
      <c r="A26" s="35" t="s">
        <v>49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13" x14ac:dyDescent="0.2">
      <c r="A27" s="10" t="s">
        <v>491</v>
      </c>
      <c r="B27" s="10" t="s">
        <v>490</v>
      </c>
      <c r="C27" s="10" t="s">
        <v>489</v>
      </c>
      <c r="D27" s="10" t="str">
        <f>"0,7101"</f>
        <v>0,7101</v>
      </c>
      <c r="E27" s="10" t="s">
        <v>464</v>
      </c>
      <c r="F27" s="10" t="s">
        <v>488</v>
      </c>
      <c r="G27" s="12" t="s">
        <v>462</v>
      </c>
      <c r="H27" s="12" t="s">
        <v>36</v>
      </c>
      <c r="I27" s="11" t="s">
        <v>19</v>
      </c>
      <c r="J27" s="11"/>
      <c r="K27" s="23" t="str">
        <f>"47,5"</f>
        <v>47,5</v>
      </c>
      <c r="L27" s="24" t="str">
        <f>"38,1146"</f>
        <v>38,1146</v>
      </c>
      <c r="M27" s="10" t="s">
        <v>461</v>
      </c>
    </row>
    <row r="28" spans="1:13" x14ac:dyDescent="0.2">
      <c r="A28" s="16" t="s">
        <v>487</v>
      </c>
      <c r="B28" s="16" t="s">
        <v>486</v>
      </c>
      <c r="C28" s="16" t="s">
        <v>485</v>
      </c>
      <c r="D28" s="16" t="str">
        <f>"0,6805"</f>
        <v>0,6805</v>
      </c>
      <c r="E28" s="16" t="s">
        <v>484</v>
      </c>
      <c r="F28" s="16" t="s">
        <v>463</v>
      </c>
      <c r="G28" s="18" t="s">
        <v>36</v>
      </c>
      <c r="H28" s="18" t="s">
        <v>19</v>
      </c>
      <c r="I28" s="17" t="s">
        <v>45</v>
      </c>
      <c r="J28" s="17"/>
      <c r="K28" s="27" t="str">
        <f>"55,0"</f>
        <v>55,0</v>
      </c>
      <c r="L28" s="28" t="str">
        <f>"39,6731"</f>
        <v>39,6731</v>
      </c>
      <c r="M28" s="16" t="s">
        <v>483</v>
      </c>
    </row>
    <row r="29" spans="1:13" x14ac:dyDescent="0.2">
      <c r="A29" s="16" t="s">
        <v>76</v>
      </c>
      <c r="B29" s="16" t="s">
        <v>77</v>
      </c>
      <c r="C29" s="16" t="s">
        <v>78</v>
      </c>
      <c r="D29" s="16" t="str">
        <f>"0,6687"</f>
        <v>0,6687</v>
      </c>
      <c r="E29" s="16" t="s">
        <v>79</v>
      </c>
      <c r="F29" s="16" t="s">
        <v>80</v>
      </c>
      <c r="G29" s="18" t="s">
        <v>45</v>
      </c>
      <c r="H29" s="18" t="s">
        <v>482</v>
      </c>
      <c r="I29" s="18" t="s">
        <v>428</v>
      </c>
      <c r="J29" s="17"/>
      <c r="K29" s="27" t="str">
        <f>"77,5"</f>
        <v>77,5</v>
      </c>
      <c r="L29" s="28" t="str">
        <f>"51,8242"</f>
        <v>51,8242</v>
      </c>
      <c r="M29" s="16" t="s">
        <v>84</v>
      </c>
    </row>
    <row r="30" spans="1:13" x14ac:dyDescent="0.2">
      <c r="A30" s="16" t="s">
        <v>481</v>
      </c>
      <c r="B30" s="16" t="s">
        <v>480</v>
      </c>
      <c r="C30" s="16" t="s">
        <v>479</v>
      </c>
      <c r="D30" s="16" t="str">
        <f>"0,6997"</f>
        <v>0,6997</v>
      </c>
      <c r="E30" s="16" t="s">
        <v>464</v>
      </c>
      <c r="F30" s="16" t="s">
        <v>463</v>
      </c>
      <c r="G30" s="18" t="s">
        <v>19</v>
      </c>
      <c r="H30" s="18" t="s">
        <v>29</v>
      </c>
      <c r="I30" s="18" t="s">
        <v>45</v>
      </c>
      <c r="J30" s="17"/>
      <c r="K30" s="27" t="str">
        <f>"65,0"</f>
        <v>65,0</v>
      </c>
      <c r="L30" s="28" t="str">
        <f>"46,8449"</f>
        <v>46,8449</v>
      </c>
      <c r="M30" s="16" t="s">
        <v>461</v>
      </c>
    </row>
    <row r="31" spans="1:13" x14ac:dyDescent="0.2">
      <c r="A31" s="13" t="s">
        <v>359</v>
      </c>
      <c r="B31" s="13" t="s">
        <v>358</v>
      </c>
      <c r="C31" s="13" t="s">
        <v>357</v>
      </c>
      <c r="D31" s="13" t="str">
        <f>"0,6730"</f>
        <v>0,6730</v>
      </c>
      <c r="E31" s="13" t="s">
        <v>320</v>
      </c>
      <c r="F31" s="13" t="s">
        <v>43</v>
      </c>
      <c r="G31" s="15" t="s">
        <v>36</v>
      </c>
      <c r="H31" s="15" t="s">
        <v>54</v>
      </c>
      <c r="I31" s="15" t="s">
        <v>19</v>
      </c>
      <c r="J31" s="14"/>
      <c r="K31" s="25" t="str">
        <f>"55,0"</f>
        <v>55,0</v>
      </c>
      <c r="L31" s="26" t="str">
        <f>"37,0150"</f>
        <v>37,0150</v>
      </c>
      <c r="M31" s="13" t="s">
        <v>356</v>
      </c>
    </row>
    <row r="33" spans="1:13" ht="15" x14ac:dyDescent="0.2">
      <c r="A33" s="35" t="s">
        <v>56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3" x14ac:dyDescent="0.2">
      <c r="A34" s="7" t="s">
        <v>478</v>
      </c>
      <c r="B34" s="7" t="s">
        <v>477</v>
      </c>
      <c r="C34" s="7" t="s">
        <v>476</v>
      </c>
      <c r="D34" s="7" t="str">
        <f>"0,6394"</f>
        <v>0,6394</v>
      </c>
      <c r="E34" s="7" t="s">
        <v>320</v>
      </c>
      <c r="F34" s="7" t="s">
        <v>43</v>
      </c>
      <c r="G34" s="9" t="s">
        <v>19</v>
      </c>
      <c r="H34" s="9" t="s">
        <v>29</v>
      </c>
      <c r="I34" s="9" t="s">
        <v>45</v>
      </c>
      <c r="J34" s="8"/>
      <c r="K34" s="21" t="str">
        <f>"65,0"</f>
        <v>65,0</v>
      </c>
      <c r="L34" s="22" t="str">
        <f>"41,5610"</f>
        <v>41,5610</v>
      </c>
      <c r="M34" s="7" t="s">
        <v>389</v>
      </c>
    </row>
    <row r="36" spans="1:13" ht="15" x14ac:dyDescent="0.2">
      <c r="A36" s="35" t="s">
        <v>99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3" x14ac:dyDescent="0.2">
      <c r="A37" s="10" t="s">
        <v>475</v>
      </c>
      <c r="B37" s="10" t="s">
        <v>474</v>
      </c>
      <c r="C37" s="10" t="s">
        <v>473</v>
      </c>
      <c r="D37" s="10" t="str">
        <f>"0,5952"</f>
        <v>0,5952</v>
      </c>
      <c r="E37" s="10" t="s">
        <v>72</v>
      </c>
      <c r="F37" s="10" t="s">
        <v>17</v>
      </c>
      <c r="G37" s="12" t="s">
        <v>45</v>
      </c>
      <c r="H37" s="12" t="s">
        <v>440</v>
      </c>
      <c r="I37" s="11" t="s">
        <v>469</v>
      </c>
      <c r="J37" s="11"/>
      <c r="K37" s="23" t="str">
        <f>"67,5"</f>
        <v>67,5</v>
      </c>
      <c r="L37" s="24" t="str">
        <f>"43,3901"</f>
        <v>43,3901</v>
      </c>
      <c r="M37" s="10" t="s">
        <v>468</v>
      </c>
    </row>
    <row r="38" spans="1:13" x14ac:dyDescent="0.2">
      <c r="A38" s="16" t="s">
        <v>472</v>
      </c>
      <c r="B38" s="16" t="s">
        <v>471</v>
      </c>
      <c r="C38" s="16" t="s">
        <v>470</v>
      </c>
      <c r="D38" s="16" t="str">
        <f>"0,5918"</f>
        <v>0,5918</v>
      </c>
      <c r="E38" s="16" t="s">
        <v>72</v>
      </c>
      <c r="F38" s="16" t="s">
        <v>17</v>
      </c>
      <c r="G38" s="18" t="s">
        <v>45</v>
      </c>
      <c r="H38" s="18" t="s">
        <v>440</v>
      </c>
      <c r="I38" s="17" t="s">
        <v>469</v>
      </c>
      <c r="J38" s="17"/>
      <c r="K38" s="27" t="str">
        <f>"67,5"</f>
        <v>67,5</v>
      </c>
      <c r="L38" s="28" t="str">
        <f>"45,1395"</f>
        <v>45,1395</v>
      </c>
      <c r="M38" s="16" t="s">
        <v>468</v>
      </c>
    </row>
    <row r="39" spans="1:13" x14ac:dyDescent="0.2">
      <c r="A39" s="13" t="s">
        <v>467</v>
      </c>
      <c r="B39" s="13" t="s">
        <v>466</v>
      </c>
      <c r="C39" s="13" t="s">
        <v>465</v>
      </c>
      <c r="D39" s="13" t="str">
        <f>"0,6088"</f>
        <v>0,6088</v>
      </c>
      <c r="E39" s="13" t="s">
        <v>464</v>
      </c>
      <c r="F39" s="13" t="s">
        <v>463</v>
      </c>
      <c r="G39" s="15" t="s">
        <v>462</v>
      </c>
      <c r="H39" s="15" t="s">
        <v>54</v>
      </c>
      <c r="I39" s="14" t="s">
        <v>20</v>
      </c>
      <c r="J39" s="14"/>
      <c r="K39" s="25" t="str">
        <f>"52,5"</f>
        <v>52,5</v>
      </c>
      <c r="L39" s="26" t="str">
        <f>"33,8797"</f>
        <v>33,8797</v>
      </c>
      <c r="M39" s="13" t="s">
        <v>461</v>
      </c>
    </row>
    <row r="41" spans="1:13" ht="15" x14ac:dyDescent="0.2">
      <c r="E41" s="19" t="s">
        <v>176</v>
      </c>
    </row>
    <row r="42" spans="1:13" ht="15" x14ac:dyDescent="0.2">
      <c r="E42" s="19" t="s">
        <v>177</v>
      </c>
    </row>
    <row r="43" spans="1:13" ht="15" x14ac:dyDescent="0.2">
      <c r="E43" s="19" t="s">
        <v>178</v>
      </c>
    </row>
    <row r="44" spans="1:13" ht="15" x14ac:dyDescent="0.2">
      <c r="E44" s="19" t="s">
        <v>179</v>
      </c>
    </row>
    <row r="45" spans="1:13" ht="15" x14ac:dyDescent="0.2">
      <c r="E45" s="19" t="s">
        <v>179</v>
      </c>
    </row>
    <row r="46" spans="1:13" ht="15" x14ac:dyDescent="0.2">
      <c r="E46" s="19" t="s">
        <v>180</v>
      </c>
    </row>
    <row r="47" spans="1:13" ht="15" x14ac:dyDescent="0.2">
      <c r="E47" s="19"/>
    </row>
    <row r="49" spans="1:5" ht="18" x14ac:dyDescent="0.25">
      <c r="A49" s="29" t="s">
        <v>181</v>
      </c>
      <c r="B49" s="29"/>
    </row>
    <row r="50" spans="1:5" ht="15" x14ac:dyDescent="0.2">
      <c r="A50" s="30" t="s">
        <v>182</v>
      </c>
      <c r="B50" s="30"/>
    </row>
    <row r="51" spans="1:5" ht="14.25" x14ac:dyDescent="0.2">
      <c r="A51" s="32"/>
      <c r="B51" s="33" t="s">
        <v>460</v>
      </c>
    </row>
    <row r="52" spans="1:5" ht="15" x14ac:dyDescent="0.2">
      <c r="A52" s="34" t="s">
        <v>184</v>
      </c>
      <c r="B52" s="34" t="s">
        <v>185</v>
      </c>
      <c r="C52" s="34" t="s">
        <v>186</v>
      </c>
      <c r="D52" s="34" t="s">
        <v>187</v>
      </c>
      <c r="E52" s="34" t="s">
        <v>188</v>
      </c>
    </row>
    <row r="53" spans="1:5" x14ac:dyDescent="0.2">
      <c r="A53" s="31" t="s">
        <v>459</v>
      </c>
      <c r="B53" s="4" t="s">
        <v>265</v>
      </c>
      <c r="C53" s="4" t="s">
        <v>189</v>
      </c>
      <c r="D53" s="4" t="s">
        <v>458</v>
      </c>
      <c r="E53" s="20" t="s">
        <v>457</v>
      </c>
    </row>
    <row r="55" spans="1:5" ht="14.25" x14ac:dyDescent="0.2">
      <c r="A55" s="32"/>
      <c r="B55" s="33" t="s">
        <v>183</v>
      </c>
    </row>
    <row r="56" spans="1:5" ht="15" x14ac:dyDescent="0.2">
      <c r="A56" s="34" t="s">
        <v>184</v>
      </c>
      <c r="B56" s="34" t="s">
        <v>185</v>
      </c>
      <c r="C56" s="34" t="s">
        <v>186</v>
      </c>
      <c r="D56" s="34" t="s">
        <v>187</v>
      </c>
      <c r="E56" s="34" t="s">
        <v>188</v>
      </c>
    </row>
    <row r="57" spans="1:5" x14ac:dyDescent="0.2">
      <c r="A57" s="31" t="s">
        <v>23</v>
      </c>
      <c r="B57" s="4" t="s">
        <v>183</v>
      </c>
      <c r="C57" s="4" t="s">
        <v>193</v>
      </c>
      <c r="D57" s="4" t="s">
        <v>456</v>
      </c>
      <c r="E57" s="20" t="s">
        <v>455</v>
      </c>
    </row>
    <row r="58" spans="1:5" x14ac:dyDescent="0.2">
      <c r="A58" s="31" t="s">
        <v>31</v>
      </c>
      <c r="B58" s="4" t="s">
        <v>183</v>
      </c>
      <c r="C58" s="4" t="s">
        <v>193</v>
      </c>
      <c r="D58" s="4" t="s">
        <v>454</v>
      </c>
      <c r="E58" s="20" t="s">
        <v>453</v>
      </c>
    </row>
    <row r="59" spans="1:5" x14ac:dyDescent="0.2">
      <c r="A59" s="31" t="s">
        <v>452</v>
      </c>
      <c r="B59" s="4" t="s">
        <v>183</v>
      </c>
      <c r="C59" s="4" t="s">
        <v>189</v>
      </c>
      <c r="D59" s="4" t="s">
        <v>449</v>
      </c>
      <c r="E59" s="20" t="s">
        <v>451</v>
      </c>
    </row>
    <row r="60" spans="1:5" x14ac:dyDescent="0.2">
      <c r="A60" s="31" t="s">
        <v>450</v>
      </c>
      <c r="B60" s="4" t="s">
        <v>183</v>
      </c>
      <c r="C60" s="4" t="s">
        <v>217</v>
      </c>
      <c r="D60" s="4" t="s">
        <v>449</v>
      </c>
      <c r="E60" s="20" t="s">
        <v>448</v>
      </c>
    </row>
    <row r="63" spans="1:5" ht="15" x14ac:dyDescent="0.2">
      <c r="A63" s="30" t="s">
        <v>202</v>
      </c>
      <c r="B63" s="30"/>
    </row>
    <row r="64" spans="1:5" ht="14.25" x14ac:dyDescent="0.2">
      <c r="A64" s="32"/>
      <c r="B64" s="33" t="s">
        <v>203</v>
      </c>
    </row>
    <row r="65" spans="1:5" ht="15" x14ac:dyDescent="0.2">
      <c r="A65" s="34" t="s">
        <v>184</v>
      </c>
      <c r="B65" s="34" t="s">
        <v>185</v>
      </c>
      <c r="C65" s="34" t="s">
        <v>186</v>
      </c>
      <c r="D65" s="34" t="s">
        <v>187</v>
      </c>
      <c r="E65" s="34" t="s">
        <v>188</v>
      </c>
    </row>
    <row r="66" spans="1:5" x14ac:dyDescent="0.2">
      <c r="A66" s="31" t="s">
        <v>447</v>
      </c>
      <c r="B66" s="4" t="s">
        <v>204</v>
      </c>
      <c r="C66" s="4" t="s">
        <v>217</v>
      </c>
      <c r="D66" s="4" t="s">
        <v>44</v>
      </c>
      <c r="E66" s="20" t="s">
        <v>446</v>
      </c>
    </row>
    <row r="67" spans="1:5" x14ac:dyDescent="0.2">
      <c r="A67" s="31" t="s">
        <v>445</v>
      </c>
      <c r="B67" s="4" t="s">
        <v>270</v>
      </c>
      <c r="C67" s="4" t="s">
        <v>205</v>
      </c>
      <c r="D67" s="4" t="s">
        <v>440</v>
      </c>
      <c r="E67" s="20" t="s">
        <v>444</v>
      </c>
    </row>
    <row r="68" spans="1:5" x14ac:dyDescent="0.2">
      <c r="A68" s="31" t="s">
        <v>443</v>
      </c>
      <c r="B68" s="4" t="s">
        <v>265</v>
      </c>
      <c r="C68" s="4" t="s">
        <v>217</v>
      </c>
      <c r="D68" s="4" t="s">
        <v>18</v>
      </c>
      <c r="E68" s="20" t="s">
        <v>442</v>
      </c>
    </row>
    <row r="69" spans="1:5" x14ac:dyDescent="0.2">
      <c r="A69" s="31" t="s">
        <v>441</v>
      </c>
      <c r="B69" s="4" t="s">
        <v>270</v>
      </c>
      <c r="C69" s="4" t="s">
        <v>205</v>
      </c>
      <c r="D69" s="4" t="s">
        <v>440</v>
      </c>
      <c r="E69" s="20" t="s">
        <v>439</v>
      </c>
    </row>
    <row r="70" spans="1:5" x14ac:dyDescent="0.2">
      <c r="A70" s="31" t="s">
        <v>438</v>
      </c>
      <c r="B70" s="4" t="s">
        <v>204</v>
      </c>
      <c r="C70" s="4" t="s">
        <v>437</v>
      </c>
      <c r="D70" s="4" t="s">
        <v>436</v>
      </c>
      <c r="E70" s="20" t="s">
        <v>435</v>
      </c>
    </row>
    <row r="71" spans="1:5" x14ac:dyDescent="0.2">
      <c r="A71" s="31" t="s">
        <v>434</v>
      </c>
      <c r="B71" s="4" t="s">
        <v>204</v>
      </c>
      <c r="C71" s="4" t="s">
        <v>196</v>
      </c>
      <c r="D71" s="4" t="s">
        <v>19</v>
      </c>
      <c r="E71" s="20" t="s">
        <v>433</v>
      </c>
    </row>
    <row r="72" spans="1:5" x14ac:dyDescent="0.2">
      <c r="A72" s="31" t="s">
        <v>432</v>
      </c>
      <c r="B72" s="4" t="s">
        <v>270</v>
      </c>
      <c r="C72" s="4" t="s">
        <v>196</v>
      </c>
      <c r="D72" s="4" t="s">
        <v>36</v>
      </c>
      <c r="E72" s="20" t="s">
        <v>431</v>
      </c>
    </row>
    <row r="73" spans="1:5" x14ac:dyDescent="0.2">
      <c r="A73" s="31" t="s">
        <v>430</v>
      </c>
      <c r="B73" s="4" t="s">
        <v>204</v>
      </c>
      <c r="C73" s="4" t="s">
        <v>205</v>
      </c>
      <c r="D73" s="4" t="s">
        <v>54</v>
      </c>
      <c r="E73" s="20" t="s">
        <v>429</v>
      </c>
    </row>
    <row r="75" spans="1:5" ht="14.25" x14ac:dyDescent="0.2">
      <c r="A75" s="32"/>
      <c r="B75" s="33" t="s">
        <v>207</v>
      </c>
    </row>
    <row r="76" spans="1:5" ht="15" x14ac:dyDescent="0.2">
      <c r="A76" s="34" t="s">
        <v>184</v>
      </c>
      <c r="B76" s="34" t="s">
        <v>185</v>
      </c>
      <c r="C76" s="34" t="s">
        <v>186</v>
      </c>
      <c r="D76" s="34" t="s">
        <v>187</v>
      </c>
      <c r="E76" s="34" t="s">
        <v>188</v>
      </c>
    </row>
    <row r="77" spans="1:5" x14ac:dyDescent="0.2">
      <c r="A77" s="31" t="s">
        <v>75</v>
      </c>
      <c r="B77" s="4" t="s">
        <v>208</v>
      </c>
      <c r="C77" s="4" t="s">
        <v>196</v>
      </c>
      <c r="D77" s="4" t="s">
        <v>428</v>
      </c>
      <c r="E77" s="20" t="s">
        <v>427</v>
      </c>
    </row>
    <row r="78" spans="1:5" x14ac:dyDescent="0.2">
      <c r="A78" s="31" t="s">
        <v>426</v>
      </c>
      <c r="B78" s="4" t="s">
        <v>208</v>
      </c>
      <c r="C78" s="4" t="s">
        <v>196</v>
      </c>
      <c r="D78" s="4" t="s">
        <v>45</v>
      </c>
      <c r="E78" s="20" t="s">
        <v>425</v>
      </c>
    </row>
    <row r="79" spans="1:5" x14ac:dyDescent="0.2">
      <c r="A79" s="31" t="s">
        <v>424</v>
      </c>
      <c r="B79" s="4" t="s">
        <v>208</v>
      </c>
      <c r="C79" s="4" t="s">
        <v>217</v>
      </c>
      <c r="D79" s="4" t="s">
        <v>18</v>
      </c>
      <c r="E79" s="20" t="s">
        <v>423</v>
      </c>
    </row>
    <row r="81" spans="1:5" ht="14.25" x14ac:dyDescent="0.2">
      <c r="A81" s="32"/>
      <c r="B81" s="33" t="s">
        <v>183</v>
      </c>
    </row>
    <row r="82" spans="1:5" ht="15" x14ac:dyDescent="0.2">
      <c r="A82" s="34" t="s">
        <v>184</v>
      </c>
      <c r="B82" s="34" t="s">
        <v>185</v>
      </c>
      <c r="C82" s="34" t="s">
        <v>186</v>
      </c>
      <c r="D82" s="34" t="s">
        <v>187</v>
      </c>
      <c r="E82" s="34" t="s">
        <v>188</v>
      </c>
    </row>
    <row r="83" spans="1:5" x14ac:dyDescent="0.2">
      <c r="A83" s="31" t="s">
        <v>422</v>
      </c>
      <c r="B83" s="4" t="s">
        <v>183</v>
      </c>
      <c r="C83" s="4" t="s">
        <v>200</v>
      </c>
      <c r="D83" s="4" t="s">
        <v>45</v>
      </c>
      <c r="E83" s="20" t="s">
        <v>421</v>
      </c>
    </row>
    <row r="84" spans="1:5" x14ac:dyDescent="0.2">
      <c r="A84" s="31" t="s">
        <v>247</v>
      </c>
      <c r="B84" s="4" t="s">
        <v>183</v>
      </c>
      <c r="C84" s="4" t="s">
        <v>196</v>
      </c>
      <c r="D84" s="4" t="s">
        <v>19</v>
      </c>
      <c r="E84" s="20" t="s">
        <v>420</v>
      </c>
    </row>
  </sheetData>
  <mergeCells count="20">
    <mergeCell ref="E3:E4"/>
    <mergeCell ref="A26:J26"/>
    <mergeCell ref="A33:J33"/>
    <mergeCell ref="A36:J36"/>
    <mergeCell ref="A9:J9"/>
    <mergeCell ref="A5:J5"/>
    <mergeCell ref="A12:J12"/>
    <mergeCell ref="A15:J15"/>
    <mergeCell ref="A18:J18"/>
    <mergeCell ref="A21:J21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66" fitToHeight="100" orientation="landscape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20" bestFit="1" customWidth="1"/>
    <col min="20" max="20" width="8.5703125" style="2" bestFit="1" customWidth="1"/>
    <col min="21" max="21" width="15.5703125" style="4" bestFit="1" customWidth="1"/>
    <col min="22" max="16384" width="9.140625" style="3"/>
  </cols>
  <sheetData>
    <row r="1" spans="1:21" s="2" customFormat="1" ht="29.1" customHeight="1" x14ac:dyDescent="0.2">
      <c r="A1" s="41" t="s">
        <v>564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563</v>
      </c>
      <c r="H3" s="39"/>
      <c r="I3" s="39"/>
      <c r="J3" s="39"/>
      <c r="K3" s="39" t="s">
        <v>10</v>
      </c>
      <c r="L3" s="39"/>
      <c r="M3" s="39"/>
      <c r="N3" s="39"/>
      <c r="O3" s="39" t="s">
        <v>401</v>
      </c>
      <c r="P3" s="39"/>
      <c r="Q3" s="39"/>
      <c r="R3" s="39"/>
      <c r="S3" s="39" t="s">
        <v>562</v>
      </c>
      <c r="T3" s="39" t="s">
        <v>2</v>
      </c>
      <c r="U3" s="50" t="s">
        <v>1</v>
      </c>
    </row>
    <row r="4" spans="1:21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40"/>
      <c r="T4" s="40"/>
      <c r="U4" s="51"/>
    </row>
    <row r="5" spans="1:21" ht="15" x14ac:dyDescent="0.2">
      <c r="A5" s="37" t="s">
        <v>67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x14ac:dyDescent="0.2">
      <c r="A6" s="7" t="s">
        <v>561</v>
      </c>
      <c r="B6" s="7" t="s">
        <v>560</v>
      </c>
      <c r="C6" s="7" t="s">
        <v>559</v>
      </c>
      <c r="D6" s="7" t="str">
        <f>"0,7915"</f>
        <v>0,7915</v>
      </c>
      <c r="E6" s="7" t="s">
        <v>61</v>
      </c>
      <c r="F6" s="7" t="s">
        <v>62</v>
      </c>
      <c r="G6" s="9" t="s">
        <v>469</v>
      </c>
      <c r="H6" s="9" t="s">
        <v>558</v>
      </c>
      <c r="I6" s="9" t="s">
        <v>63</v>
      </c>
      <c r="J6" s="8"/>
      <c r="K6" s="9" t="s">
        <v>18</v>
      </c>
      <c r="L6" s="9" t="s">
        <v>54</v>
      </c>
      <c r="M6" s="9" t="s">
        <v>19</v>
      </c>
      <c r="N6" s="8"/>
      <c r="O6" s="9" t="s">
        <v>393</v>
      </c>
      <c r="P6" s="9" t="s">
        <v>90</v>
      </c>
      <c r="Q6" s="9" t="s">
        <v>91</v>
      </c>
      <c r="R6" s="8"/>
      <c r="S6" s="21" t="str">
        <f>"235,0"</f>
        <v>235,0</v>
      </c>
      <c r="T6" s="22" t="str">
        <f>"219,4829"</f>
        <v>219,4829</v>
      </c>
      <c r="U6" s="7" t="s">
        <v>66</v>
      </c>
    </row>
    <row r="8" spans="1:21" ht="15" x14ac:dyDescent="0.2">
      <c r="A8" s="35" t="s">
        <v>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1" x14ac:dyDescent="0.2">
      <c r="A9" s="7" t="s">
        <v>557</v>
      </c>
      <c r="B9" s="7" t="s">
        <v>556</v>
      </c>
      <c r="C9" s="7" t="s">
        <v>555</v>
      </c>
      <c r="D9" s="7" t="str">
        <f>"0,6723"</f>
        <v>0,6723</v>
      </c>
      <c r="E9" s="7" t="s">
        <v>61</v>
      </c>
      <c r="F9" s="7" t="s">
        <v>62</v>
      </c>
      <c r="G9" s="9" t="s">
        <v>550</v>
      </c>
      <c r="H9" s="8" t="s">
        <v>107</v>
      </c>
      <c r="I9" s="9" t="s">
        <v>107</v>
      </c>
      <c r="J9" s="8"/>
      <c r="K9" s="8" t="s">
        <v>90</v>
      </c>
      <c r="L9" s="9" t="s">
        <v>90</v>
      </c>
      <c r="M9" s="8" t="s">
        <v>554</v>
      </c>
      <c r="N9" s="8"/>
      <c r="O9" s="9" t="s">
        <v>159</v>
      </c>
      <c r="P9" s="8" t="s">
        <v>122</v>
      </c>
      <c r="Q9" s="8" t="s">
        <v>122</v>
      </c>
      <c r="R9" s="8"/>
      <c r="S9" s="21" t="str">
        <f>"427,5"</f>
        <v>427,5</v>
      </c>
      <c r="T9" s="22" t="str">
        <f>"287,4082"</f>
        <v>287,4082</v>
      </c>
      <c r="U9" s="7" t="s">
        <v>66</v>
      </c>
    </row>
    <row r="11" spans="1:21" ht="15" x14ac:dyDescent="0.2">
      <c r="A11" s="35" t="s">
        <v>56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21" x14ac:dyDescent="0.2">
      <c r="A12" s="7" t="s">
        <v>553</v>
      </c>
      <c r="B12" s="7" t="s">
        <v>552</v>
      </c>
      <c r="C12" s="7" t="s">
        <v>551</v>
      </c>
      <c r="D12" s="7" t="str">
        <f>"0,6235"</f>
        <v>0,6235</v>
      </c>
      <c r="E12" s="7" t="s">
        <v>72</v>
      </c>
      <c r="F12" s="7" t="s">
        <v>28</v>
      </c>
      <c r="G12" s="9" t="s">
        <v>133</v>
      </c>
      <c r="H12" s="9" t="s">
        <v>106</v>
      </c>
      <c r="I12" s="9" t="s">
        <v>550</v>
      </c>
      <c r="J12" s="8"/>
      <c r="K12" s="9" t="s">
        <v>428</v>
      </c>
      <c r="L12" s="9" t="s">
        <v>396</v>
      </c>
      <c r="M12" s="9" t="s">
        <v>549</v>
      </c>
      <c r="N12" s="8"/>
      <c r="O12" s="9" t="s">
        <v>115</v>
      </c>
      <c r="P12" s="9" t="s">
        <v>146</v>
      </c>
      <c r="Q12" s="9" t="s">
        <v>159</v>
      </c>
      <c r="R12" s="8"/>
      <c r="S12" s="21" t="str">
        <f>"417,5"</f>
        <v>417,5</v>
      </c>
      <c r="T12" s="22" t="str">
        <f>"281,1361"</f>
        <v>281,1361</v>
      </c>
      <c r="U12" s="7" t="s">
        <v>548</v>
      </c>
    </row>
    <row r="14" spans="1:21" ht="15" x14ac:dyDescent="0.2">
      <c r="A14" s="35" t="s">
        <v>99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21" x14ac:dyDescent="0.2">
      <c r="A15" s="10" t="s">
        <v>547</v>
      </c>
      <c r="B15" s="10" t="s">
        <v>546</v>
      </c>
      <c r="C15" s="10" t="s">
        <v>470</v>
      </c>
      <c r="D15" s="10" t="str">
        <f>"0,5918"</f>
        <v>0,5918</v>
      </c>
      <c r="E15" s="10" t="s">
        <v>72</v>
      </c>
      <c r="F15" s="10" t="s">
        <v>28</v>
      </c>
      <c r="G15" s="12" t="s">
        <v>294</v>
      </c>
      <c r="H15" s="12" t="s">
        <v>314</v>
      </c>
      <c r="I15" s="12" t="s">
        <v>545</v>
      </c>
      <c r="J15" s="11"/>
      <c r="K15" s="12" t="s">
        <v>82</v>
      </c>
      <c r="L15" s="12" t="s">
        <v>107</v>
      </c>
      <c r="M15" s="11" t="s">
        <v>234</v>
      </c>
      <c r="N15" s="11"/>
      <c r="O15" s="12" t="s">
        <v>124</v>
      </c>
      <c r="P15" s="12" t="s">
        <v>294</v>
      </c>
      <c r="Q15" s="11" t="s">
        <v>314</v>
      </c>
      <c r="R15" s="11"/>
      <c r="S15" s="23" t="str">
        <f>"610,0"</f>
        <v>610,0</v>
      </c>
      <c r="T15" s="24" t="str">
        <f>"360,9980"</f>
        <v>360,9980</v>
      </c>
      <c r="U15" s="10" t="s">
        <v>544</v>
      </c>
    </row>
    <row r="16" spans="1:21" x14ac:dyDescent="0.2">
      <c r="A16" s="13" t="s">
        <v>543</v>
      </c>
      <c r="B16" s="13" t="s">
        <v>542</v>
      </c>
      <c r="C16" s="13" t="s">
        <v>541</v>
      </c>
      <c r="D16" s="13" t="str">
        <f>"0,6112"</f>
        <v>0,6112</v>
      </c>
      <c r="E16" s="13" t="s">
        <v>42</v>
      </c>
      <c r="F16" s="13" t="s">
        <v>43</v>
      </c>
      <c r="G16" s="15" t="s">
        <v>124</v>
      </c>
      <c r="H16" s="14" t="s">
        <v>540</v>
      </c>
      <c r="I16" s="14" t="s">
        <v>540</v>
      </c>
      <c r="J16" s="14"/>
      <c r="K16" s="15" t="s">
        <v>133</v>
      </c>
      <c r="L16" s="14" t="s">
        <v>226</v>
      </c>
      <c r="M16" s="14"/>
      <c r="N16" s="14"/>
      <c r="O16" s="14" t="s">
        <v>293</v>
      </c>
      <c r="P16" s="15" t="s">
        <v>293</v>
      </c>
      <c r="Q16" s="14"/>
      <c r="R16" s="14"/>
      <c r="S16" s="25" t="str">
        <f>"585,0"</f>
        <v>585,0</v>
      </c>
      <c r="T16" s="26" t="str">
        <f>"357,5520"</f>
        <v>357,5520</v>
      </c>
      <c r="U16" s="13" t="s">
        <v>48</v>
      </c>
    </row>
    <row r="18" spans="1:21" ht="15" x14ac:dyDescent="0.2">
      <c r="A18" s="35" t="s">
        <v>138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21" x14ac:dyDescent="0.2">
      <c r="A19" s="7" t="s">
        <v>539</v>
      </c>
      <c r="B19" s="7" t="s">
        <v>538</v>
      </c>
      <c r="C19" s="7" t="s">
        <v>537</v>
      </c>
      <c r="D19" s="7" t="str">
        <f>"0,5446"</f>
        <v>0,5446</v>
      </c>
      <c r="E19" s="7" t="s">
        <v>61</v>
      </c>
      <c r="F19" s="7" t="s">
        <v>62</v>
      </c>
      <c r="G19" s="9" t="s">
        <v>90</v>
      </c>
      <c r="H19" s="9" t="s">
        <v>91</v>
      </c>
      <c r="I19" s="9" t="s">
        <v>98</v>
      </c>
      <c r="J19" s="8"/>
      <c r="K19" s="9" t="s">
        <v>428</v>
      </c>
      <c r="L19" s="9" t="s">
        <v>64</v>
      </c>
      <c r="M19" s="9" t="s">
        <v>536</v>
      </c>
      <c r="N19" s="8"/>
      <c r="O19" s="9" t="s">
        <v>535</v>
      </c>
      <c r="P19" s="9" t="s">
        <v>133</v>
      </c>
      <c r="Q19" s="9" t="s">
        <v>366</v>
      </c>
      <c r="R19" s="8"/>
      <c r="S19" s="21" t="str">
        <f>"327,5"</f>
        <v>327,5</v>
      </c>
      <c r="T19" s="22" t="str">
        <f>"210,4607"</f>
        <v>210,4607</v>
      </c>
      <c r="U19" s="7" t="s">
        <v>66</v>
      </c>
    </row>
    <row r="21" spans="1:21" ht="15" x14ac:dyDescent="0.2">
      <c r="E21" s="19" t="s">
        <v>176</v>
      </c>
    </row>
    <row r="22" spans="1:21" ht="15" x14ac:dyDescent="0.2">
      <c r="E22" s="19" t="s">
        <v>177</v>
      </c>
    </row>
    <row r="23" spans="1:21" ht="15" x14ac:dyDescent="0.2">
      <c r="E23" s="19" t="s">
        <v>178</v>
      </c>
    </row>
    <row r="24" spans="1:21" ht="15" x14ac:dyDescent="0.2">
      <c r="E24" s="19" t="s">
        <v>179</v>
      </c>
    </row>
    <row r="25" spans="1:21" ht="15" x14ac:dyDescent="0.2">
      <c r="E25" s="19" t="s">
        <v>179</v>
      </c>
    </row>
    <row r="26" spans="1:21" ht="15" x14ac:dyDescent="0.2">
      <c r="E26" s="19" t="s">
        <v>180</v>
      </c>
    </row>
    <row r="27" spans="1:21" ht="15" x14ac:dyDescent="0.2">
      <c r="E27" s="19"/>
    </row>
    <row r="29" spans="1:21" ht="18" x14ac:dyDescent="0.25">
      <c r="A29" s="29" t="s">
        <v>181</v>
      </c>
      <c r="B29" s="29"/>
    </row>
    <row r="30" spans="1:21" ht="15" x14ac:dyDescent="0.2">
      <c r="A30" s="30" t="s">
        <v>202</v>
      </c>
      <c r="B30" s="30"/>
    </row>
    <row r="31" spans="1:21" ht="14.25" x14ac:dyDescent="0.2">
      <c r="A31" s="32"/>
      <c r="B31" s="33" t="s">
        <v>203</v>
      </c>
    </row>
    <row r="32" spans="1:21" ht="15" x14ac:dyDescent="0.2">
      <c r="A32" s="34" t="s">
        <v>184</v>
      </c>
      <c r="B32" s="34" t="s">
        <v>185</v>
      </c>
      <c r="C32" s="34" t="s">
        <v>186</v>
      </c>
      <c r="D32" s="34" t="s">
        <v>526</v>
      </c>
      <c r="E32" s="34" t="s">
        <v>188</v>
      </c>
    </row>
    <row r="33" spans="1:5" x14ac:dyDescent="0.2">
      <c r="A33" s="31" t="s">
        <v>534</v>
      </c>
      <c r="B33" s="4" t="s">
        <v>270</v>
      </c>
      <c r="C33" s="4" t="s">
        <v>200</v>
      </c>
      <c r="D33" s="4" t="s">
        <v>533</v>
      </c>
      <c r="E33" s="20" t="s">
        <v>532</v>
      </c>
    </row>
    <row r="34" spans="1:5" x14ac:dyDescent="0.2">
      <c r="A34" s="31" t="s">
        <v>531</v>
      </c>
      <c r="B34" s="4" t="s">
        <v>265</v>
      </c>
      <c r="C34" s="4" t="s">
        <v>217</v>
      </c>
      <c r="D34" s="4" t="s">
        <v>230</v>
      </c>
      <c r="E34" s="20" t="s">
        <v>530</v>
      </c>
    </row>
    <row r="35" spans="1:5" x14ac:dyDescent="0.2">
      <c r="A35" s="31" t="s">
        <v>529</v>
      </c>
      <c r="B35" s="4" t="s">
        <v>265</v>
      </c>
      <c r="C35" s="4" t="s">
        <v>213</v>
      </c>
      <c r="D35" s="4" t="s">
        <v>528</v>
      </c>
      <c r="E35" s="20" t="s">
        <v>527</v>
      </c>
    </row>
    <row r="37" spans="1:5" ht="14.25" x14ac:dyDescent="0.2">
      <c r="A37" s="32"/>
      <c r="B37" s="33" t="s">
        <v>183</v>
      </c>
    </row>
    <row r="38" spans="1:5" ht="15" x14ac:dyDescent="0.2">
      <c r="A38" s="34" t="s">
        <v>184</v>
      </c>
      <c r="B38" s="34" t="s">
        <v>185</v>
      </c>
      <c r="C38" s="34" t="s">
        <v>186</v>
      </c>
      <c r="D38" s="34" t="s">
        <v>526</v>
      </c>
      <c r="E38" s="34" t="s">
        <v>188</v>
      </c>
    </row>
    <row r="39" spans="1:5" x14ac:dyDescent="0.2">
      <c r="A39" s="31" t="s">
        <v>525</v>
      </c>
      <c r="B39" s="4" t="s">
        <v>183</v>
      </c>
      <c r="C39" s="4" t="s">
        <v>205</v>
      </c>
      <c r="D39" s="4" t="s">
        <v>524</v>
      </c>
      <c r="E39" s="20" t="s">
        <v>523</v>
      </c>
    </row>
    <row r="40" spans="1:5" x14ac:dyDescent="0.2">
      <c r="A40" s="31" t="s">
        <v>522</v>
      </c>
      <c r="B40" s="4" t="s">
        <v>183</v>
      </c>
      <c r="C40" s="4" t="s">
        <v>205</v>
      </c>
      <c r="D40" s="4" t="s">
        <v>521</v>
      </c>
      <c r="E40" s="20" t="s">
        <v>520</v>
      </c>
    </row>
    <row r="41" spans="1:5" x14ac:dyDescent="0.2">
      <c r="A41" s="31" t="s">
        <v>519</v>
      </c>
      <c r="B41" s="4" t="s">
        <v>183</v>
      </c>
      <c r="C41" s="4" t="s">
        <v>196</v>
      </c>
      <c r="D41" s="4" t="s">
        <v>518</v>
      </c>
      <c r="E41" s="20" t="s">
        <v>517</v>
      </c>
    </row>
  </sheetData>
  <mergeCells count="18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A8:R8"/>
    <mergeCell ref="A11:R11"/>
    <mergeCell ref="A14:R14"/>
    <mergeCell ref="A18:R18"/>
    <mergeCell ref="S3:S4"/>
    <mergeCell ref="T3:T4"/>
    <mergeCell ref="K3:N3"/>
    <mergeCell ref="O3:R3"/>
  </mergeCells>
  <pageMargins left="0.7" right="0.7" top="0.75" bottom="0.75" header="0.3" footer="0.3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20" bestFit="1" customWidth="1"/>
    <col min="20" max="20" width="8.5703125" style="2" bestFit="1" customWidth="1"/>
    <col min="21" max="21" width="17.5703125" style="4" bestFit="1" customWidth="1"/>
    <col min="22" max="16384" width="9.140625" style="3"/>
  </cols>
  <sheetData>
    <row r="1" spans="1:21" s="2" customFormat="1" ht="29.1" customHeight="1" x14ac:dyDescent="0.2">
      <c r="A1" s="41" t="s">
        <v>705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563</v>
      </c>
      <c r="H3" s="39"/>
      <c r="I3" s="39"/>
      <c r="J3" s="39"/>
      <c r="K3" s="39" t="s">
        <v>10</v>
      </c>
      <c r="L3" s="39"/>
      <c r="M3" s="39"/>
      <c r="N3" s="39"/>
      <c r="O3" s="39" t="s">
        <v>401</v>
      </c>
      <c r="P3" s="39"/>
      <c r="Q3" s="39"/>
      <c r="R3" s="39"/>
      <c r="S3" s="39" t="s">
        <v>562</v>
      </c>
      <c r="T3" s="39" t="s">
        <v>2</v>
      </c>
      <c r="U3" s="50" t="s">
        <v>1</v>
      </c>
    </row>
    <row r="4" spans="1:21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40"/>
      <c r="T4" s="40"/>
      <c r="U4" s="51"/>
    </row>
    <row r="5" spans="1:21" ht="15" x14ac:dyDescent="0.2">
      <c r="A5" s="37" t="s">
        <v>37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x14ac:dyDescent="0.2">
      <c r="A6" s="7" t="s">
        <v>39</v>
      </c>
      <c r="B6" s="7" t="s">
        <v>40</v>
      </c>
      <c r="C6" s="7" t="s">
        <v>41</v>
      </c>
      <c r="D6" s="7" t="str">
        <f>"0,8857"</f>
        <v>0,8857</v>
      </c>
      <c r="E6" s="7" t="s">
        <v>42</v>
      </c>
      <c r="F6" s="7" t="s">
        <v>43</v>
      </c>
      <c r="G6" s="9" t="s">
        <v>393</v>
      </c>
      <c r="H6" s="8" t="s">
        <v>554</v>
      </c>
      <c r="I6" s="8" t="s">
        <v>554</v>
      </c>
      <c r="J6" s="8"/>
      <c r="K6" s="9" t="s">
        <v>44</v>
      </c>
      <c r="L6" s="8" t="s">
        <v>45</v>
      </c>
      <c r="M6" s="9" t="s">
        <v>45</v>
      </c>
      <c r="N6" s="8"/>
      <c r="O6" s="9" t="s">
        <v>46</v>
      </c>
      <c r="P6" s="9" t="s">
        <v>47</v>
      </c>
      <c r="Q6" s="8" t="s">
        <v>666</v>
      </c>
      <c r="R6" s="8"/>
      <c r="S6" s="21" t="str">
        <f>"270,0"</f>
        <v>270,0</v>
      </c>
      <c r="T6" s="22" t="str">
        <f>"239,1390"</f>
        <v>239,1390</v>
      </c>
      <c r="U6" s="7" t="s">
        <v>48</v>
      </c>
    </row>
    <row r="8" spans="1:21" ht="15" x14ac:dyDescent="0.2">
      <c r="A8" s="35" t="s">
        <v>67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1" x14ac:dyDescent="0.2">
      <c r="A9" s="7" t="s">
        <v>704</v>
      </c>
      <c r="B9" s="7" t="s">
        <v>703</v>
      </c>
      <c r="C9" s="7" t="s">
        <v>702</v>
      </c>
      <c r="D9" s="7" t="str">
        <f>"0,8047"</f>
        <v>0,8047</v>
      </c>
      <c r="E9" s="7" t="s">
        <v>170</v>
      </c>
      <c r="F9" s="7" t="s">
        <v>171</v>
      </c>
      <c r="G9" s="9" t="s">
        <v>701</v>
      </c>
      <c r="H9" s="9" t="s">
        <v>449</v>
      </c>
      <c r="I9" s="9" t="s">
        <v>454</v>
      </c>
      <c r="J9" s="8"/>
      <c r="K9" s="9" t="s">
        <v>700</v>
      </c>
      <c r="L9" s="9" t="s">
        <v>454</v>
      </c>
      <c r="M9" s="8" t="s">
        <v>458</v>
      </c>
      <c r="N9" s="8"/>
      <c r="O9" s="9" t="s">
        <v>462</v>
      </c>
      <c r="P9" s="8" t="s">
        <v>18</v>
      </c>
      <c r="Q9" s="9" t="s">
        <v>18</v>
      </c>
      <c r="R9" s="8"/>
      <c r="S9" s="21" t="str">
        <f>"110,0"</f>
        <v>110,0</v>
      </c>
      <c r="T9" s="22" t="str">
        <f>"88,5170"</f>
        <v>88,5170</v>
      </c>
      <c r="U9" s="7" t="s">
        <v>172</v>
      </c>
    </row>
    <row r="11" spans="1:21" ht="15" x14ac:dyDescent="0.2">
      <c r="A11" s="35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21" x14ac:dyDescent="0.2">
      <c r="A12" s="7" t="s">
        <v>699</v>
      </c>
      <c r="B12" s="7" t="s">
        <v>383</v>
      </c>
      <c r="C12" s="7" t="s">
        <v>382</v>
      </c>
      <c r="D12" s="7" t="str">
        <f>"0,7419"</f>
        <v>0,7419</v>
      </c>
      <c r="E12" s="7" t="s">
        <v>170</v>
      </c>
      <c r="F12" s="7" t="s">
        <v>171</v>
      </c>
      <c r="G12" s="9" t="s">
        <v>63</v>
      </c>
      <c r="H12" s="8" t="s">
        <v>393</v>
      </c>
      <c r="I12" s="8" t="s">
        <v>393</v>
      </c>
      <c r="J12" s="8"/>
      <c r="K12" s="9" t="s">
        <v>35</v>
      </c>
      <c r="L12" s="8" t="s">
        <v>18</v>
      </c>
      <c r="M12" s="9" t="s">
        <v>18</v>
      </c>
      <c r="N12" s="8"/>
      <c r="O12" s="9" t="s">
        <v>73</v>
      </c>
      <c r="P12" s="9" t="s">
        <v>226</v>
      </c>
      <c r="Q12" s="8"/>
      <c r="R12" s="8"/>
      <c r="S12" s="21" t="str">
        <f>"257,5"</f>
        <v>257,5</v>
      </c>
      <c r="T12" s="22" t="str">
        <f>"191,0521"</f>
        <v>191,0521</v>
      </c>
      <c r="U12" s="7" t="s">
        <v>172</v>
      </c>
    </row>
    <row r="14" spans="1:21" ht="15" x14ac:dyDescent="0.2">
      <c r="A14" s="35" t="s">
        <v>56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21" x14ac:dyDescent="0.2">
      <c r="A15" s="7" t="s">
        <v>58</v>
      </c>
      <c r="B15" s="7" t="s">
        <v>59</v>
      </c>
      <c r="C15" s="7" t="s">
        <v>60</v>
      </c>
      <c r="D15" s="7" t="str">
        <f>"0,7151"</f>
        <v>0,7151</v>
      </c>
      <c r="E15" s="7" t="s">
        <v>61</v>
      </c>
      <c r="F15" s="7" t="s">
        <v>62</v>
      </c>
      <c r="G15" s="9" t="s">
        <v>454</v>
      </c>
      <c r="H15" s="8"/>
      <c r="I15" s="8"/>
      <c r="J15" s="8"/>
      <c r="K15" s="8" t="s">
        <v>63</v>
      </c>
      <c r="L15" s="9" t="s">
        <v>64</v>
      </c>
      <c r="M15" s="9" t="s">
        <v>65</v>
      </c>
      <c r="N15" s="8"/>
      <c r="O15" s="9" t="s">
        <v>558</v>
      </c>
      <c r="P15" s="8"/>
      <c r="Q15" s="8"/>
      <c r="R15" s="8"/>
      <c r="S15" s="21" t="str">
        <f>"189,0"</f>
        <v>189,0</v>
      </c>
      <c r="T15" s="22" t="str">
        <f>"141,6413"</f>
        <v>141,6413</v>
      </c>
      <c r="U15" s="7" t="s">
        <v>66</v>
      </c>
    </row>
    <row r="17" spans="1:21" ht="15" x14ac:dyDescent="0.2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21" x14ac:dyDescent="0.2">
      <c r="A18" s="7" t="s">
        <v>698</v>
      </c>
      <c r="B18" s="7" t="s">
        <v>697</v>
      </c>
      <c r="C18" s="7" t="s">
        <v>696</v>
      </c>
      <c r="D18" s="7" t="str">
        <f>"0,9966"</f>
        <v>0,9966</v>
      </c>
      <c r="E18" s="7" t="s">
        <v>170</v>
      </c>
      <c r="F18" s="7" t="s">
        <v>171</v>
      </c>
      <c r="G18" s="9" t="s">
        <v>18</v>
      </c>
      <c r="H18" s="9" t="s">
        <v>29</v>
      </c>
      <c r="I18" s="9" t="s">
        <v>469</v>
      </c>
      <c r="J18" s="8"/>
      <c r="K18" s="9" t="s">
        <v>462</v>
      </c>
      <c r="L18" s="8" t="s">
        <v>19</v>
      </c>
      <c r="M18" s="8" t="s">
        <v>19</v>
      </c>
      <c r="N18" s="8"/>
      <c r="O18" s="9" t="s">
        <v>393</v>
      </c>
      <c r="P18" s="9" t="s">
        <v>91</v>
      </c>
      <c r="Q18" s="8" t="s">
        <v>73</v>
      </c>
      <c r="R18" s="8"/>
      <c r="S18" s="21" t="str">
        <f>"210,0"</f>
        <v>210,0</v>
      </c>
      <c r="T18" s="22" t="str">
        <f>"209,2860"</f>
        <v>209,2860</v>
      </c>
      <c r="U18" s="7" t="s">
        <v>172</v>
      </c>
    </row>
    <row r="20" spans="1:21" ht="15" x14ac:dyDescent="0.2">
      <c r="A20" s="35" t="s">
        <v>505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21" x14ac:dyDescent="0.2">
      <c r="A21" s="7" t="s">
        <v>504</v>
      </c>
      <c r="B21" s="7" t="s">
        <v>503</v>
      </c>
      <c r="C21" s="7" t="s">
        <v>502</v>
      </c>
      <c r="D21" s="7" t="str">
        <f>"0,8870"</f>
        <v>0,8870</v>
      </c>
      <c r="E21" s="7" t="s">
        <v>464</v>
      </c>
      <c r="F21" s="7" t="s">
        <v>463</v>
      </c>
      <c r="G21" s="9" t="s">
        <v>558</v>
      </c>
      <c r="H21" s="9" t="s">
        <v>396</v>
      </c>
      <c r="I21" s="8" t="s">
        <v>393</v>
      </c>
      <c r="J21" s="8"/>
      <c r="K21" s="9" t="s">
        <v>29</v>
      </c>
      <c r="L21" s="9" t="s">
        <v>45</v>
      </c>
      <c r="M21" s="8" t="s">
        <v>469</v>
      </c>
      <c r="N21" s="8"/>
      <c r="O21" s="9" t="s">
        <v>91</v>
      </c>
      <c r="P21" s="9" t="s">
        <v>73</v>
      </c>
      <c r="Q21" s="8" t="s">
        <v>281</v>
      </c>
      <c r="R21" s="8"/>
      <c r="S21" s="21" t="str">
        <f>"260,0"</f>
        <v>260,0</v>
      </c>
      <c r="T21" s="22" t="str">
        <f>"244,4572"</f>
        <v>244,4572</v>
      </c>
      <c r="U21" s="7" t="s">
        <v>461</v>
      </c>
    </row>
    <row r="23" spans="1:21" ht="15" x14ac:dyDescent="0.2">
      <c r="A23" s="35" t="s">
        <v>37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21" x14ac:dyDescent="0.2">
      <c r="A24" s="10" t="s">
        <v>381</v>
      </c>
      <c r="B24" s="10" t="s">
        <v>380</v>
      </c>
      <c r="C24" s="10" t="s">
        <v>379</v>
      </c>
      <c r="D24" s="10" t="str">
        <f>"0,8156"</f>
        <v>0,8156</v>
      </c>
      <c r="E24" s="10" t="s">
        <v>378</v>
      </c>
      <c r="F24" s="10" t="s">
        <v>105</v>
      </c>
      <c r="G24" s="12" t="s">
        <v>63</v>
      </c>
      <c r="H24" s="12" t="s">
        <v>396</v>
      </c>
      <c r="I24" s="12" t="s">
        <v>393</v>
      </c>
      <c r="J24" s="11"/>
      <c r="K24" s="12" t="s">
        <v>469</v>
      </c>
      <c r="L24" s="11" t="s">
        <v>63</v>
      </c>
      <c r="M24" s="11" t="s">
        <v>63</v>
      </c>
      <c r="N24" s="11"/>
      <c r="O24" s="12" t="s">
        <v>281</v>
      </c>
      <c r="P24" s="12" t="s">
        <v>81</v>
      </c>
      <c r="Q24" s="11" t="s">
        <v>377</v>
      </c>
      <c r="R24" s="11"/>
      <c r="S24" s="23" t="str">
        <f>"290,0"</f>
        <v>290,0</v>
      </c>
      <c r="T24" s="24" t="str">
        <f>"250,7154"</f>
        <v>250,7154</v>
      </c>
      <c r="U24" s="10" t="s">
        <v>376</v>
      </c>
    </row>
    <row r="25" spans="1:21" x14ac:dyDescent="0.2">
      <c r="A25" s="13" t="s">
        <v>695</v>
      </c>
      <c r="B25" s="13" t="s">
        <v>694</v>
      </c>
      <c r="C25" s="13" t="s">
        <v>693</v>
      </c>
      <c r="D25" s="13" t="str">
        <f>"0,8199"</f>
        <v>0,8199</v>
      </c>
      <c r="E25" s="13" t="s">
        <v>170</v>
      </c>
      <c r="F25" s="13" t="s">
        <v>171</v>
      </c>
      <c r="G25" s="15" t="s">
        <v>29</v>
      </c>
      <c r="H25" s="15" t="s">
        <v>469</v>
      </c>
      <c r="I25" s="15" t="s">
        <v>393</v>
      </c>
      <c r="J25" s="14"/>
      <c r="K25" s="15" t="s">
        <v>18</v>
      </c>
      <c r="L25" s="15" t="s">
        <v>29</v>
      </c>
      <c r="M25" s="14" t="s">
        <v>44</v>
      </c>
      <c r="N25" s="14"/>
      <c r="O25" s="15" t="s">
        <v>91</v>
      </c>
      <c r="P25" s="15" t="s">
        <v>73</v>
      </c>
      <c r="Q25" s="14" t="s">
        <v>47</v>
      </c>
      <c r="R25" s="14"/>
      <c r="S25" s="25" t="str">
        <f>"260,0"</f>
        <v>260,0</v>
      </c>
      <c r="T25" s="26" t="str">
        <f>"213,1740"</f>
        <v>213,1740</v>
      </c>
      <c r="U25" s="13" t="s">
        <v>172</v>
      </c>
    </row>
    <row r="27" spans="1:21" ht="15" x14ac:dyDescent="0.2">
      <c r="A27" s="35" t="s">
        <v>67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1" x14ac:dyDescent="0.2">
      <c r="A28" s="10" t="s">
        <v>692</v>
      </c>
      <c r="B28" s="10" t="s">
        <v>691</v>
      </c>
      <c r="C28" s="10" t="s">
        <v>690</v>
      </c>
      <c r="D28" s="10" t="str">
        <f>"0,7741"</f>
        <v>0,7741</v>
      </c>
      <c r="E28" s="10" t="s">
        <v>170</v>
      </c>
      <c r="F28" s="10" t="s">
        <v>171</v>
      </c>
      <c r="G28" s="12" t="s">
        <v>469</v>
      </c>
      <c r="H28" s="12" t="s">
        <v>63</v>
      </c>
      <c r="I28" s="12" t="s">
        <v>393</v>
      </c>
      <c r="J28" s="11"/>
      <c r="K28" s="12" t="s">
        <v>462</v>
      </c>
      <c r="L28" s="11" t="s">
        <v>36</v>
      </c>
      <c r="M28" s="11" t="s">
        <v>36</v>
      </c>
      <c r="N28" s="11"/>
      <c r="O28" s="12" t="s">
        <v>63</v>
      </c>
      <c r="P28" s="12" t="s">
        <v>393</v>
      </c>
      <c r="Q28" s="12" t="s">
        <v>91</v>
      </c>
      <c r="R28" s="11"/>
      <c r="S28" s="23" t="str">
        <f>"230,0"</f>
        <v>230,0</v>
      </c>
      <c r="T28" s="24" t="str">
        <f>"201,1886"</f>
        <v>201,1886</v>
      </c>
      <c r="U28" s="10" t="s">
        <v>172</v>
      </c>
    </row>
    <row r="29" spans="1:21" x14ac:dyDescent="0.2">
      <c r="A29" s="13" t="s">
        <v>689</v>
      </c>
      <c r="B29" s="13" t="s">
        <v>688</v>
      </c>
      <c r="C29" s="13" t="s">
        <v>687</v>
      </c>
      <c r="D29" s="13" t="str">
        <f>"0,7706"</f>
        <v>0,7706</v>
      </c>
      <c r="E29" s="13" t="s">
        <v>170</v>
      </c>
      <c r="F29" s="13" t="s">
        <v>171</v>
      </c>
      <c r="G29" s="15" t="s">
        <v>91</v>
      </c>
      <c r="H29" s="15" t="s">
        <v>281</v>
      </c>
      <c r="I29" s="14" t="s">
        <v>81</v>
      </c>
      <c r="J29" s="14"/>
      <c r="K29" s="15" t="s">
        <v>558</v>
      </c>
      <c r="L29" s="14" t="s">
        <v>396</v>
      </c>
      <c r="M29" s="14"/>
      <c r="N29" s="14"/>
      <c r="O29" s="15" t="s">
        <v>281</v>
      </c>
      <c r="P29" s="15" t="s">
        <v>81</v>
      </c>
      <c r="Q29" s="15" t="s">
        <v>82</v>
      </c>
      <c r="R29" s="14"/>
      <c r="S29" s="25" t="str">
        <f>"335,0"</f>
        <v>335,0</v>
      </c>
      <c r="T29" s="26" t="str">
        <f>"258,1510"</f>
        <v>258,1510</v>
      </c>
      <c r="U29" s="13" t="s">
        <v>172</v>
      </c>
    </row>
    <row r="31" spans="1:21" ht="15" x14ac:dyDescent="0.2">
      <c r="A31" s="35" t="s">
        <v>49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21" x14ac:dyDescent="0.2">
      <c r="A32" s="10" t="s">
        <v>686</v>
      </c>
      <c r="B32" s="10" t="s">
        <v>685</v>
      </c>
      <c r="C32" s="10" t="s">
        <v>678</v>
      </c>
      <c r="D32" s="10" t="str">
        <f>"0,6716"</f>
        <v>0,6716</v>
      </c>
      <c r="E32" s="10" t="s">
        <v>170</v>
      </c>
      <c r="F32" s="10" t="s">
        <v>171</v>
      </c>
      <c r="G32" s="11" t="s">
        <v>91</v>
      </c>
      <c r="H32" s="12" t="s">
        <v>91</v>
      </c>
      <c r="I32" s="12" t="s">
        <v>281</v>
      </c>
      <c r="J32" s="11"/>
      <c r="K32" s="12" t="s">
        <v>469</v>
      </c>
      <c r="L32" s="11" t="s">
        <v>63</v>
      </c>
      <c r="M32" s="11" t="s">
        <v>63</v>
      </c>
      <c r="N32" s="11"/>
      <c r="O32" s="11" t="s">
        <v>81</v>
      </c>
      <c r="P32" s="12" t="s">
        <v>82</v>
      </c>
      <c r="Q32" s="12" t="s">
        <v>107</v>
      </c>
      <c r="R32" s="11"/>
      <c r="S32" s="23" t="str">
        <f>"340,0"</f>
        <v>340,0</v>
      </c>
      <c r="T32" s="24" t="str">
        <f>"258,0287"</f>
        <v>258,0287</v>
      </c>
      <c r="U32" s="10" t="s">
        <v>172</v>
      </c>
    </row>
    <row r="33" spans="1:21" x14ac:dyDescent="0.2">
      <c r="A33" s="16" t="s">
        <v>684</v>
      </c>
      <c r="B33" s="16" t="s">
        <v>490</v>
      </c>
      <c r="C33" s="16" t="s">
        <v>489</v>
      </c>
      <c r="D33" s="16" t="str">
        <f>"0,7101"</f>
        <v>0,7101</v>
      </c>
      <c r="E33" s="16" t="s">
        <v>464</v>
      </c>
      <c r="F33" s="16" t="s">
        <v>488</v>
      </c>
      <c r="G33" s="18" t="s">
        <v>393</v>
      </c>
      <c r="H33" s="18" t="s">
        <v>91</v>
      </c>
      <c r="I33" s="17" t="s">
        <v>73</v>
      </c>
      <c r="J33" s="17"/>
      <c r="K33" s="18" t="s">
        <v>440</v>
      </c>
      <c r="L33" s="18" t="s">
        <v>482</v>
      </c>
      <c r="M33" s="18" t="s">
        <v>558</v>
      </c>
      <c r="N33" s="17"/>
      <c r="O33" s="18" t="s">
        <v>281</v>
      </c>
      <c r="P33" s="18" t="s">
        <v>81</v>
      </c>
      <c r="Q33" s="17" t="s">
        <v>106</v>
      </c>
      <c r="R33" s="17"/>
      <c r="S33" s="27" t="str">
        <f>"305,0"</f>
        <v>305,0</v>
      </c>
      <c r="T33" s="28" t="str">
        <f>"244,7360"</f>
        <v>244,7360</v>
      </c>
      <c r="U33" s="16" t="s">
        <v>461</v>
      </c>
    </row>
    <row r="34" spans="1:21" x14ac:dyDescent="0.2">
      <c r="A34" s="16" t="s">
        <v>683</v>
      </c>
      <c r="B34" s="16" t="s">
        <v>682</v>
      </c>
      <c r="C34" s="16" t="s">
        <v>681</v>
      </c>
      <c r="D34" s="16" t="str">
        <f>"0,6645"</f>
        <v>0,6645</v>
      </c>
      <c r="E34" s="16" t="s">
        <v>378</v>
      </c>
      <c r="F34" s="16" t="s">
        <v>105</v>
      </c>
      <c r="G34" s="18" t="s">
        <v>281</v>
      </c>
      <c r="H34" s="18" t="s">
        <v>81</v>
      </c>
      <c r="I34" s="18" t="s">
        <v>82</v>
      </c>
      <c r="J34" s="17"/>
      <c r="K34" s="18" t="s">
        <v>393</v>
      </c>
      <c r="L34" s="17" t="s">
        <v>91</v>
      </c>
      <c r="M34" s="17" t="s">
        <v>91</v>
      </c>
      <c r="N34" s="17"/>
      <c r="O34" s="18" t="s">
        <v>82</v>
      </c>
      <c r="P34" s="18" t="s">
        <v>107</v>
      </c>
      <c r="Q34" s="18" t="s">
        <v>234</v>
      </c>
      <c r="R34" s="17"/>
      <c r="S34" s="27" t="str">
        <f>"390,0"</f>
        <v>390,0</v>
      </c>
      <c r="T34" s="28" t="str">
        <f>"269,5212"</f>
        <v>269,5212</v>
      </c>
      <c r="U34" s="16" t="s">
        <v>376</v>
      </c>
    </row>
    <row r="35" spans="1:21" x14ac:dyDescent="0.2">
      <c r="A35" s="13" t="s">
        <v>680</v>
      </c>
      <c r="B35" s="13" t="s">
        <v>679</v>
      </c>
      <c r="C35" s="13" t="s">
        <v>678</v>
      </c>
      <c r="D35" s="13" t="str">
        <f>"0,6716"</f>
        <v>0,6716</v>
      </c>
      <c r="E35" s="13" t="s">
        <v>170</v>
      </c>
      <c r="F35" s="13" t="s">
        <v>171</v>
      </c>
      <c r="G35" s="14" t="s">
        <v>281</v>
      </c>
      <c r="H35" s="14" t="s">
        <v>281</v>
      </c>
      <c r="I35" s="15" t="s">
        <v>281</v>
      </c>
      <c r="J35" s="14"/>
      <c r="K35" s="15" t="s">
        <v>469</v>
      </c>
      <c r="L35" s="14" t="s">
        <v>63</v>
      </c>
      <c r="M35" s="14" t="s">
        <v>63</v>
      </c>
      <c r="N35" s="14"/>
      <c r="O35" s="15" t="s">
        <v>281</v>
      </c>
      <c r="P35" s="15" t="s">
        <v>81</v>
      </c>
      <c r="Q35" s="15" t="s">
        <v>83</v>
      </c>
      <c r="R35" s="14"/>
      <c r="S35" s="25" t="str">
        <f>"335,0"</f>
        <v>335,0</v>
      </c>
      <c r="T35" s="26" t="str">
        <f>"224,9860"</f>
        <v>224,9860</v>
      </c>
      <c r="U35" s="13" t="s">
        <v>172</v>
      </c>
    </row>
    <row r="37" spans="1:21" ht="15" x14ac:dyDescent="0.2">
      <c r="A37" s="35" t="s">
        <v>56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21" x14ac:dyDescent="0.2">
      <c r="A38" s="10" t="s">
        <v>677</v>
      </c>
      <c r="B38" s="10" t="s">
        <v>676</v>
      </c>
      <c r="C38" s="10" t="s">
        <v>675</v>
      </c>
      <c r="D38" s="10" t="str">
        <f>"0,6347"</f>
        <v>0,6347</v>
      </c>
      <c r="E38" s="10" t="s">
        <v>72</v>
      </c>
      <c r="F38" s="10" t="s">
        <v>28</v>
      </c>
      <c r="G38" s="12" t="s">
        <v>106</v>
      </c>
      <c r="H38" s="12" t="s">
        <v>550</v>
      </c>
      <c r="I38" s="11" t="s">
        <v>107</v>
      </c>
      <c r="J38" s="11"/>
      <c r="K38" s="12" t="s">
        <v>90</v>
      </c>
      <c r="L38" s="11" t="s">
        <v>674</v>
      </c>
      <c r="M38" s="11" t="s">
        <v>674</v>
      </c>
      <c r="N38" s="11"/>
      <c r="O38" s="12" t="s">
        <v>107</v>
      </c>
      <c r="P38" s="12" t="s">
        <v>115</v>
      </c>
      <c r="Q38" s="12" t="s">
        <v>158</v>
      </c>
      <c r="R38" s="11"/>
      <c r="S38" s="23" t="str">
        <f>"407,5"</f>
        <v>407,5</v>
      </c>
      <c r="T38" s="24" t="str">
        <f>"258,6403"</f>
        <v>258,6403</v>
      </c>
      <c r="U38" s="10" t="s">
        <v>125</v>
      </c>
    </row>
    <row r="39" spans="1:21" x14ac:dyDescent="0.2">
      <c r="A39" s="16" t="s">
        <v>673</v>
      </c>
      <c r="B39" s="16" t="s">
        <v>672</v>
      </c>
      <c r="C39" s="16" t="s">
        <v>346</v>
      </c>
      <c r="D39" s="16" t="str">
        <f>"0,6219"</f>
        <v>0,6219</v>
      </c>
      <c r="E39" s="16" t="s">
        <v>464</v>
      </c>
      <c r="F39" s="16" t="s">
        <v>463</v>
      </c>
      <c r="G39" s="18" t="s">
        <v>123</v>
      </c>
      <c r="H39" s="18" t="s">
        <v>540</v>
      </c>
      <c r="I39" s="18" t="s">
        <v>314</v>
      </c>
      <c r="J39" s="17"/>
      <c r="K39" s="18" t="s">
        <v>108</v>
      </c>
      <c r="L39" s="18" t="s">
        <v>115</v>
      </c>
      <c r="M39" s="17" t="s">
        <v>145</v>
      </c>
      <c r="N39" s="17"/>
      <c r="O39" s="18" t="s">
        <v>545</v>
      </c>
      <c r="P39" s="18" t="s">
        <v>671</v>
      </c>
      <c r="Q39" s="17" t="s">
        <v>335</v>
      </c>
      <c r="R39" s="17"/>
      <c r="S39" s="27" t="str">
        <f>"645,0"</f>
        <v>645,0</v>
      </c>
      <c r="T39" s="28" t="str">
        <f>"401,1255"</f>
        <v>401,1255</v>
      </c>
      <c r="U39" s="16" t="s">
        <v>461</v>
      </c>
    </row>
    <row r="40" spans="1:21" x14ac:dyDescent="0.2">
      <c r="A40" s="16" t="s">
        <v>670</v>
      </c>
      <c r="B40" s="16" t="s">
        <v>669</v>
      </c>
      <c r="C40" s="16" t="s">
        <v>668</v>
      </c>
      <c r="D40" s="16" t="str">
        <f>"0,6273"</f>
        <v>0,6273</v>
      </c>
      <c r="E40" s="16" t="s">
        <v>61</v>
      </c>
      <c r="F40" s="16" t="s">
        <v>62</v>
      </c>
      <c r="G40" s="18" t="s">
        <v>667</v>
      </c>
      <c r="H40" s="18" t="s">
        <v>147</v>
      </c>
      <c r="I40" s="18" t="s">
        <v>350</v>
      </c>
      <c r="J40" s="17"/>
      <c r="K40" s="18" t="s">
        <v>666</v>
      </c>
      <c r="L40" s="18" t="s">
        <v>81</v>
      </c>
      <c r="M40" s="18" t="s">
        <v>366</v>
      </c>
      <c r="N40" s="17"/>
      <c r="O40" s="18" t="s">
        <v>163</v>
      </c>
      <c r="P40" s="18" t="s">
        <v>665</v>
      </c>
      <c r="Q40" s="17" t="s">
        <v>664</v>
      </c>
      <c r="R40" s="17"/>
      <c r="S40" s="27" t="str">
        <f>"505,0"</f>
        <v>505,0</v>
      </c>
      <c r="T40" s="28" t="str">
        <f>"316,7865"</f>
        <v>316,7865</v>
      </c>
      <c r="U40" s="16" t="s">
        <v>66</v>
      </c>
    </row>
    <row r="41" spans="1:21" x14ac:dyDescent="0.2">
      <c r="A41" s="16" t="s">
        <v>663</v>
      </c>
      <c r="B41" s="16" t="s">
        <v>344</v>
      </c>
      <c r="C41" s="16" t="s">
        <v>343</v>
      </c>
      <c r="D41" s="16" t="str">
        <f>"0,6505"</f>
        <v>0,6505</v>
      </c>
      <c r="E41" s="16" t="s">
        <v>72</v>
      </c>
      <c r="F41" s="16" t="s">
        <v>28</v>
      </c>
      <c r="G41" s="18" t="s">
        <v>107</v>
      </c>
      <c r="H41" s="18" t="s">
        <v>234</v>
      </c>
      <c r="I41" s="18" t="s">
        <v>158</v>
      </c>
      <c r="J41" s="17"/>
      <c r="K41" s="18" t="s">
        <v>281</v>
      </c>
      <c r="L41" s="17" t="s">
        <v>226</v>
      </c>
      <c r="M41" s="17" t="s">
        <v>226</v>
      </c>
      <c r="N41" s="17"/>
      <c r="O41" s="18" t="s">
        <v>158</v>
      </c>
      <c r="P41" s="18" t="s">
        <v>147</v>
      </c>
      <c r="Q41" s="18" t="s">
        <v>122</v>
      </c>
      <c r="R41" s="17"/>
      <c r="S41" s="27" t="str">
        <f>"485,0"</f>
        <v>485,0</v>
      </c>
      <c r="T41" s="28" t="str">
        <f>"315,4925"</f>
        <v>315,4925</v>
      </c>
      <c r="U41" s="16" t="s">
        <v>125</v>
      </c>
    </row>
    <row r="42" spans="1:21" x14ac:dyDescent="0.2">
      <c r="A42" s="13" t="s">
        <v>662</v>
      </c>
      <c r="B42" s="13" t="s">
        <v>661</v>
      </c>
      <c r="C42" s="13" t="s">
        <v>660</v>
      </c>
      <c r="D42" s="13" t="str">
        <f>"0,6388"</f>
        <v>0,6388</v>
      </c>
      <c r="E42" s="13" t="s">
        <v>170</v>
      </c>
      <c r="F42" s="13" t="s">
        <v>171</v>
      </c>
      <c r="G42" s="15" t="s">
        <v>82</v>
      </c>
      <c r="H42" s="14" t="s">
        <v>107</v>
      </c>
      <c r="I42" s="15" t="s">
        <v>107</v>
      </c>
      <c r="J42" s="14"/>
      <c r="K42" s="15" t="s">
        <v>393</v>
      </c>
      <c r="L42" s="14" t="s">
        <v>91</v>
      </c>
      <c r="M42" s="14"/>
      <c r="N42" s="14"/>
      <c r="O42" s="15" t="s">
        <v>107</v>
      </c>
      <c r="P42" s="15" t="s">
        <v>234</v>
      </c>
      <c r="Q42" s="15" t="s">
        <v>152</v>
      </c>
      <c r="R42" s="14"/>
      <c r="S42" s="25" t="str">
        <f>"405,0"</f>
        <v>405,0</v>
      </c>
      <c r="T42" s="26" t="str">
        <f>"258,7140"</f>
        <v>258,7140</v>
      </c>
      <c r="U42" s="13" t="s">
        <v>172</v>
      </c>
    </row>
    <row r="44" spans="1:21" ht="15" x14ac:dyDescent="0.2">
      <c r="A44" s="35" t="s">
        <v>99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21" x14ac:dyDescent="0.2">
      <c r="A45" s="10" t="s">
        <v>659</v>
      </c>
      <c r="B45" s="10" t="s">
        <v>658</v>
      </c>
      <c r="C45" s="10" t="s">
        <v>657</v>
      </c>
      <c r="D45" s="10" t="str">
        <f>"0,5893"</f>
        <v>0,5893</v>
      </c>
      <c r="E45" s="10" t="s">
        <v>170</v>
      </c>
      <c r="F45" s="10" t="s">
        <v>171</v>
      </c>
      <c r="G45" s="12" t="s">
        <v>281</v>
      </c>
      <c r="H45" s="12" t="s">
        <v>133</v>
      </c>
      <c r="I45" s="12" t="s">
        <v>81</v>
      </c>
      <c r="J45" s="11"/>
      <c r="K45" s="12" t="s">
        <v>469</v>
      </c>
      <c r="L45" s="11" t="s">
        <v>558</v>
      </c>
      <c r="M45" s="11" t="s">
        <v>558</v>
      </c>
      <c r="N45" s="11"/>
      <c r="O45" s="12" t="s">
        <v>281</v>
      </c>
      <c r="P45" s="12" t="s">
        <v>133</v>
      </c>
      <c r="Q45" s="11"/>
      <c r="R45" s="11"/>
      <c r="S45" s="23" t="str">
        <f>"325,0"</f>
        <v>325,0</v>
      </c>
      <c r="T45" s="24" t="str">
        <f>"235,5727"</f>
        <v>235,5727</v>
      </c>
      <c r="U45" s="10" t="s">
        <v>172</v>
      </c>
    </row>
    <row r="46" spans="1:21" x14ac:dyDescent="0.2">
      <c r="A46" s="13" t="s">
        <v>656</v>
      </c>
      <c r="B46" s="13" t="s">
        <v>333</v>
      </c>
      <c r="C46" s="13" t="s">
        <v>332</v>
      </c>
      <c r="D46" s="13" t="str">
        <f>"0,5910"</f>
        <v>0,5910</v>
      </c>
      <c r="E46" s="13" t="s">
        <v>170</v>
      </c>
      <c r="F46" s="13" t="s">
        <v>171</v>
      </c>
      <c r="G46" s="15" t="s">
        <v>124</v>
      </c>
      <c r="H46" s="15" t="s">
        <v>294</v>
      </c>
      <c r="I46" s="15" t="s">
        <v>314</v>
      </c>
      <c r="J46" s="14"/>
      <c r="K46" s="15" t="s">
        <v>281</v>
      </c>
      <c r="L46" s="15" t="s">
        <v>133</v>
      </c>
      <c r="M46" s="14" t="s">
        <v>226</v>
      </c>
      <c r="N46" s="14"/>
      <c r="O46" s="15" t="s">
        <v>331</v>
      </c>
      <c r="P46" s="15" t="s">
        <v>330</v>
      </c>
      <c r="Q46" s="15" t="s">
        <v>259</v>
      </c>
      <c r="R46" s="14"/>
      <c r="S46" s="25" t="str">
        <f>"617,5"</f>
        <v>617,5</v>
      </c>
      <c r="T46" s="26" t="str">
        <f>"364,9425"</f>
        <v>364,9425</v>
      </c>
      <c r="U46" s="13" t="s">
        <v>172</v>
      </c>
    </row>
    <row r="48" spans="1:21" ht="15" x14ac:dyDescent="0.2">
      <c r="A48" s="35" t="s">
        <v>110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21" x14ac:dyDescent="0.2">
      <c r="A49" s="10" t="s">
        <v>655</v>
      </c>
      <c r="B49" s="10" t="s">
        <v>654</v>
      </c>
      <c r="C49" s="10" t="s">
        <v>653</v>
      </c>
      <c r="D49" s="10" t="str">
        <f>"0,5619"</f>
        <v>0,5619</v>
      </c>
      <c r="E49" s="10" t="s">
        <v>170</v>
      </c>
      <c r="F49" s="10" t="s">
        <v>171</v>
      </c>
      <c r="G49" s="12" t="s">
        <v>107</v>
      </c>
      <c r="H49" s="11" t="s">
        <v>234</v>
      </c>
      <c r="I49" s="11" t="s">
        <v>152</v>
      </c>
      <c r="J49" s="11"/>
      <c r="K49" s="12" t="s">
        <v>396</v>
      </c>
      <c r="L49" s="11" t="s">
        <v>90</v>
      </c>
      <c r="M49" s="11"/>
      <c r="N49" s="11"/>
      <c r="O49" s="12" t="s">
        <v>158</v>
      </c>
      <c r="P49" s="12" t="s">
        <v>237</v>
      </c>
      <c r="Q49" s="12" t="s">
        <v>326</v>
      </c>
      <c r="R49" s="11"/>
      <c r="S49" s="23" t="str">
        <f>"435,0"</f>
        <v>435,0</v>
      </c>
      <c r="T49" s="24" t="str">
        <f>"244,4265"</f>
        <v>244,4265</v>
      </c>
      <c r="U49" s="10" t="s">
        <v>172</v>
      </c>
    </row>
    <row r="50" spans="1:21" x14ac:dyDescent="0.2">
      <c r="A50" s="13" t="s">
        <v>652</v>
      </c>
      <c r="B50" s="13" t="s">
        <v>651</v>
      </c>
      <c r="C50" s="13" t="s">
        <v>650</v>
      </c>
      <c r="D50" s="13" t="str">
        <f>"0,5801"</f>
        <v>0,5801</v>
      </c>
      <c r="E50" s="13" t="s">
        <v>170</v>
      </c>
      <c r="F50" s="13" t="s">
        <v>171</v>
      </c>
      <c r="G50" s="15" t="s">
        <v>81</v>
      </c>
      <c r="H50" s="15" t="s">
        <v>82</v>
      </c>
      <c r="I50" s="15" t="s">
        <v>107</v>
      </c>
      <c r="J50" s="14"/>
      <c r="K50" s="15" t="s">
        <v>73</v>
      </c>
      <c r="L50" s="15" t="s">
        <v>281</v>
      </c>
      <c r="M50" s="14" t="s">
        <v>133</v>
      </c>
      <c r="N50" s="14"/>
      <c r="O50" s="15" t="s">
        <v>107</v>
      </c>
      <c r="P50" s="15" t="s">
        <v>152</v>
      </c>
      <c r="Q50" s="15" t="s">
        <v>146</v>
      </c>
      <c r="R50" s="14"/>
      <c r="S50" s="25" t="str">
        <f>"445,0"</f>
        <v>445,0</v>
      </c>
      <c r="T50" s="26" t="str">
        <f>"288,3474"</f>
        <v>288,3474</v>
      </c>
      <c r="U50" s="13" t="s">
        <v>172</v>
      </c>
    </row>
    <row r="52" spans="1:21" ht="15" x14ac:dyDescent="0.2">
      <c r="A52" s="35" t="s">
        <v>138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21" x14ac:dyDescent="0.2">
      <c r="A53" s="10" t="s">
        <v>649</v>
      </c>
      <c r="B53" s="10" t="s">
        <v>648</v>
      </c>
      <c r="C53" s="10" t="s">
        <v>647</v>
      </c>
      <c r="D53" s="10" t="str">
        <f>"0,5495"</f>
        <v>0,5495</v>
      </c>
      <c r="E53" s="10" t="s">
        <v>170</v>
      </c>
      <c r="F53" s="10" t="s">
        <v>171</v>
      </c>
      <c r="G53" s="12" t="s">
        <v>91</v>
      </c>
      <c r="H53" s="12" t="s">
        <v>73</v>
      </c>
      <c r="I53" s="11" t="s">
        <v>281</v>
      </c>
      <c r="J53" s="11"/>
      <c r="K53" s="12" t="s">
        <v>18</v>
      </c>
      <c r="L53" s="12" t="s">
        <v>29</v>
      </c>
      <c r="M53" s="12" t="s">
        <v>45</v>
      </c>
      <c r="N53" s="11"/>
      <c r="O53" s="11" t="s">
        <v>281</v>
      </c>
      <c r="P53" s="12" t="s">
        <v>281</v>
      </c>
      <c r="Q53" s="12" t="s">
        <v>82</v>
      </c>
      <c r="R53" s="11"/>
      <c r="S53" s="23" t="str">
        <f>"315,0"</f>
        <v>315,0</v>
      </c>
      <c r="T53" s="24" t="str">
        <f>"195,5945"</f>
        <v>195,5945</v>
      </c>
      <c r="U53" s="10" t="s">
        <v>172</v>
      </c>
    </row>
    <row r="54" spans="1:21" x14ac:dyDescent="0.2">
      <c r="A54" s="16" t="s">
        <v>646</v>
      </c>
      <c r="B54" s="16" t="s">
        <v>645</v>
      </c>
      <c r="C54" s="16" t="s">
        <v>644</v>
      </c>
      <c r="D54" s="16" t="str">
        <f>"0,5402"</f>
        <v>0,5402</v>
      </c>
      <c r="E54" s="16" t="s">
        <v>170</v>
      </c>
      <c r="F54" s="16" t="s">
        <v>171</v>
      </c>
      <c r="G54" s="18" t="s">
        <v>158</v>
      </c>
      <c r="H54" s="17" t="s">
        <v>147</v>
      </c>
      <c r="I54" s="17" t="s">
        <v>147</v>
      </c>
      <c r="J54" s="17"/>
      <c r="K54" s="18" t="s">
        <v>73</v>
      </c>
      <c r="L54" s="18" t="s">
        <v>281</v>
      </c>
      <c r="M54" s="17" t="s">
        <v>81</v>
      </c>
      <c r="N54" s="17"/>
      <c r="O54" s="18" t="s">
        <v>158</v>
      </c>
      <c r="P54" s="18" t="s">
        <v>147</v>
      </c>
      <c r="Q54" s="18" t="s">
        <v>237</v>
      </c>
      <c r="R54" s="17"/>
      <c r="S54" s="27" t="str">
        <f>"480,0"</f>
        <v>480,0</v>
      </c>
      <c r="T54" s="28" t="str">
        <f>"259,2960"</f>
        <v>259,2960</v>
      </c>
      <c r="U54" s="16" t="s">
        <v>172</v>
      </c>
    </row>
    <row r="55" spans="1:21" x14ac:dyDescent="0.2">
      <c r="A55" s="13" t="s">
        <v>643</v>
      </c>
      <c r="B55" s="13" t="s">
        <v>642</v>
      </c>
      <c r="C55" s="13" t="s">
        <v>157</v>
      </c>
      <c r="D55" s="13" t="str">
        <f>"0,5365"</f>
        <v>0,5365</v>
      </c>
      <c r="E55" s="13" t="s">
        <v>27</v>
      </c>
      <c r="F55" s="13" t="s">
        <v>28</v>
      </c>
      <c r="G55" s="14" t="s">
        <v>124</v>
      </c>
      <c r="H55" s="14"/>
      <c r="I55" s="14"/>
      <c r="J55" s="14"/>
      <c r="K55" s="14" t="s">
        <v>152</v>
      </c>
      <c r="L55" s="14"/>
      <c r="M55" s="14"/>
      <c r="N55" s="14"/>
      <c r="O55" s="14" t="s">
        <v>262</v>
      </c>
      <c r="P55" s="14"/>
      <c r="Q55" s="14"/>
      <c r="R55" s="14"/>
      <c r="S55" s="25" t="str">
        <f>"0.00"</f>
        <v>0.00</v>
      </c>
      <c r="T55" s="26" t="str">
        <f>"0,0000"</f>
        <v>0,0000</v>
      </c>
      <c r="U55" s="13" t="s">
        <v>641</v>
      </c>
    </row>
    <row r="57" spans="1:21" ht="15" x14ac:dyDescent="0.2">
      <c r="A57" s="35" t="s">
        <v>165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21" x14ac:dyDescent="0.2">
      <c r="A58" s="7" t="s">
        <v>301</v>
      </c>
      <c r="B58" s="7" t="s">
        <v>300</v>
      </c>
      <c r="C58" s="7" t="s">
        <v>299</v>
      </c>
      <c r="D58" s="7" t="str">
        <f>"0,5314"</f>
        <v>0,5314</v>
      </c>
      <c r="E58" s="7" t="s">
        <v>170</v>
      </c>
      <c r="F58" s="7" t="s">
        <v>171</v>
      </c>
      <c r="G58" s="9" t="s">
        <v>294</v>
      </c>
      <c r="H58" s="9" t="s">
        <v>314</v>
      </c>
      <c r="I58" s="9" t="s">
        <v>545</v>
      </c>
      <c r="J58" s="8"/>
      <c r="K58" s="9" t="s">
        <v>147</v>
      </c>
      <c r="L58" s="9" t="s">
        <v>237</v>
      </c>
      <c r="M58" s="8" t="s">
        <v>326</v>
      </c>
      <c r="N58" s="8"/>
      <c r="O58" s="9" t="s">
        <v>256</v>
      </c>
      <c r="P58" s="8" t="s">
        <v>298</v>
      </c>
      <c r="Q58" s="8" t="s">
        <v>298</v>
      </c>
      <c r="R58" s="8"/>
      <c r="S58" s="21" t="str">
        <f>"710,0"</f>
        <v>710,0</v>
      </c>
      <c r="T58" s="22" t="str">
        <f>"377,2940"</f>
        <v>377,2940</v>
      </c>
      <c r="U58" s="7" t="s">
        <v>172</v>
      </c>
    </row>
    <row r="60" spans="1:21" ht="15" x14ac:dyDescent="0.2">
      <c r="A60" s="35" t="s">
        <v>640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21" x14ac:dyDescent="0.2">
      <c r="A61" s="10" t="s">
        <v>639</v>
      </c>
      <c r="B61" s="10" t="s">
        <v>638</v>
      </c>
      <c r="C61" s="10" t="s">
        <v>637</v>
      </c>
      <c r="D61" s="10" t="str">
        <f>"0,5150"</f>
        <v>0,5150</v>
      </c>
      <c r="E61" s="10" t="s">
        <v>170</v>
      </c>
      <c r="F61" s="10" t="s">
        <v>171</v>
      </c>
      <c r="G61" s="12" t="s">
        <v>81</v>
      </c>
      <c r="H61" s="12" t="s">
        <v>82</v>
      </c>
      <c r="I61" s="12" t="s">
        <v>107</v>
      </c>
      <c r="J61" s="11"/>
      <c r="K61" s="12" t="s">
        <v>469</v>
      </c>
      <c r="L61" s="12" t="s">
        <v>63</v>
      </c>
      <c r="M61" s="11" t="s">
        <v>64</v>
      </c>
      <c r="N61" s="11"/>
      <c r="O61" s="11" t="s">
        <v>83</v>
      </c>
      <c r="P61" s="11" t="s">
        <v>83</v>
      </c>
      <c r="Q61" s="12" t="s">
        <v>83</v>
      </c>
      <c r="R61" s="11"/>
      <c r="S61" s="23" t="str">
        <f>"375,0"</f>
        <v>375,0</v>
      </c>
      <c r="T61" s="24" t="str">
        <f>"218,2312"</f>
        <v>218,2312</v>
      </c>
      <c r="U61" s="10" t="s">
        <v>172</v>
      </c>
    </row>
    <row r="62" spans="1:21" x14ac:dyDescent="0.2">
      <c r="A62" s="13" t="s">
        <v>636</v>
      </c>
      <c r="B62" s="13" t="s">
        <v>635</v>
      </c>
      <c r="C62" s="13" t="s">
        <v>634</v>
      </c>
      <c r="D62" s="13" t="str">
        <f>"0,5178"</f>
        <v>0,5178</v>
      </c>
      <c r="E62" s="13" t="s">
        <v>170</v>
      </c>
      <c r="F62" s="13" t="s">
        <v>171</v>
      </c>
      <c r="G62" s="15" t="s">
        <v>314</v>
      </c>
      <c r="H62" s="15" t="s">
        <v>293</v>
      </c>
      <c r="I62" s="15" t="s">
        <v>335</v>
      </c>
      <c r="J62" s="14"/>
      <c r="K62" s="15" t="s">
        <v>107</v>
      </c>
      <c r="L62" s="15" t="s">
        <v>234</v>
      </c>
      <c r="M62" s="15" t="s">
        <v>158</v>
      </c>
      <c r="N62" s="14"/>
      <c r="O62" s="15" t="s">
        <v>314</v>
      </c>
      <c r="P62" s="15" t="s">
        <v>545</v>
      </c>
      <c r="Q62" s="15" t="s">
        <v>335</v>
      </c>
      <c r="R62" s="14"/>
      <c r="S62" s="25" t="str">
        <f>"690,0"</f>
        <v>690,0</v>
      </c>
      <c r="T62" s="26" t="str">
        <f>"357,2544"</f>
        <v>357,2544</v>
      </c>
      <c r="U62" s="13" t="s">
        <v>172</v>
      </c>
    </row>
    <row r="64" spans="1:21" ht="15" x14ac:dyDescent="0.2">
      <c r="E64" s="19" t="s">
        <v>176</v>
      </c>
    </row>
    <row r="65" spans="1:5" ht="15" x14ac:dyDescent="0.2">
      <c r="E65" s="19" t="s">
        <v>177</v>
      </c>
    </row>
    <row r="66" spans="1:5" ht="15" x14ac:dyDescent="0.2">
      <c r="E66" s="19" t="s">
        <v>178</v>
      </c>
    </row>
    <row r="67" spans="1:5" ht="15" x14ac:dyDescent="0.2">
      <c r="E67" s="19" t="s">
        <v>179</v>
      </c>
    </row>
    <row r="68" spans="1:5" ht="15" x14ac:dyDescent="0.2">
      <c r="E68" s="19" t="s">
        <v>179</v>
      </c>
    </row>
    <row r="69" spans="1:5" ht="15" x14ac:dyDescent="0.2">
      <c r="E69" s="19" t="s">
        <v>180</v>
      </c>
    </row>
    <row r="70" spans="1:5" ht="15" x14ac:dyDescent="0.2">
      <c r="E70" s="19"/>
    </row>
    <row r="72" spans="1:5" ht="18" x14ac:dyDescent="0.25">
      <c r="A72" s="29" t="s">
        <v>181</v>
      </c>
      <c r="B72" s="29"/>
    </row>
    <row r="73" spans="1:5" ht="15" x14ac:dyDescent="0.2">
      <c r="A73" s="30" t="s">
        <v>182</v>
      </c>
      <c r="B73" s="30"/>
    </row>
    <row r="74" spans="1:5" ht="14.25" x14ac:dyDescent="0.2">
      <c r="A74" s="32"/>
      <c r="B74" s="33" t="s">
        <v>183</v>
      </c>
    </row>
    <row r="75" spans="1:5" ht="15" x14ac:dyDescent="0.2">
      <c r="A75" s="34" t="s">
        <v>184</v>
      </c>
      <c r="B75" s="34" t="s">
        <v>185</v>
      </c>
      <c r="C75" s="34" t="s">
        <v>186</v>
      </c>
      <c r="D75" s="34" t="s">
        <v>526</v>
      </c>
      <c r="E75" s="34" t="s">
        <v>188</v>
      </c>
    </row>
    <row r="76" spans="1:5" x14ac:dyDescent="0.2">
      <c r="A76" s="31" t="s">
        <v>38</v>
      </c>
      <c r="B76" s="4" t="s">
        <v>183</v>
      </c>
      <c r="C76" s="4" t="s">
        <v>189</v>
      </c>
      <c r="D76" s="4" t="s">
        <v>262</v>
      </c>
      <c r="E76" s="20" t="s">
        <v>633</v>
      </c>
    </row>
    <row r="77" spans="1:5" x14ac:dyDescent="0.2">
      <c r="A77" s="31" t="s">
        <v>289</v>
      </c>
      <c r="B77" s="4" t="s">
        <v>183</v>
      </c>
      <c r="C77" s="4" t="s">
        <v>196</v>
      </c>
      <c r="D77" s="4" t="s">
        <v>330</v>
      </c>
      <c r="E77" s="20" t="s">
        <v>632</v>
      </c>
    </row>
    <row r="78" spans="1:5" x14ac:dyDescent="0.2">
      <c r="A78" s="31" t="s">
        <v>631</v>
      </c>
      <c r="B78" s="4" t="s">
        <v>183</v>
      </c>
      <c r="C78" s="4" t="s">
        <v>217</v>
      </c>
      <c r="D78" s="4" t="s">
        <v>73</v>
      </c>
      <c r="E78" s="20" t="s">
        <v>630</v>
      </c>
    </row>
    <row r="80" spans="1:5" ht="14.25" x14ac:dyDescent="0.2">
      <c r="A80" s="32"/>
      <c r="B80" s="33" t="s">
        <v>198</v>
      </c>
    </row>
    <row r="81" spans="1:5" ht="15" x14ac:dyDescent="0.2">
      <c r="A81" s="34" t="s">
        <v>184</v>
      </c>
      <c r="B81" s="34" t="s">
        <v>185</v>
      </c>
      <c r="C81" s="34" t="s">
        <v>186</v>
      </c>
      <c r="D81" s="34" t="s">
        <v>526</v>
      </c>
      <c r="E81" s="34" t="s">
        <v>188</v>
      </c>
    </row>
    <row r="82" spans="1:5" x14ac:dyDescent="0.2">
      <c r="A82" s="31" t="s">
        <v>57</v>
      </c>
      <c r="B82" s="4" t="s">
        <v>199</v>
      </c>
      <c r="C82" s="4" t="s">
        <v>200</v>
      </c>
      <c r="D82" s="4" t="s">
        <v>629</v>
      </c>
      <c r="E82" s="20" t="s">
        <v>628</v>
      </c>
    </row>
    <row r="85" spans="1:5" ht="15" x14ac:dyDescent="0.2">
      <c r="A85" s="30" t="s">
        <v>202</v>
      </c>
      <c r="B85" s="30"/>
    </row>
    <row r="86" spans="1:5" ht="14.25" x14ac:dyDescent="0.2">
      <c r="A86" s="32"/>
      <c r="B86" s="33" t="s">
        <v>203</v>
      </c>
    </row>
    <row r="87" spans="1:5" ht="15" x14ac:dyDescent="0.2">
      <c r="A87" s="34" t="s">
        <v>184</v>
      </c>
      <c r="B87" s="34" t="s">
        <v>185</v>
      </c>
      <c r="C87" s="34" t="s">
        <v>186</v>
      </c>
      <c r="D87" s="34" t="s">
        <v>526</v>
      </c>
      <c r="E87" s="34" t="s">
        <v>188</v>
      </c>
    </row>
    <row r="88" spans="1:5" x14ac:dyDescent="0.2">
      <c r="A88" s="31" t="s">
        <v>627</v>
      </c>
      <c r="B88" s="4" t="s">
        <v>204</v>
      </c>
      <c r="C88" s="4" t="s">
        <v>196</v>
      </c>
      <c r="D88" s="4" t="s">
        <v>626</v>
      </c>
      <c r="E88" s="20" t="s">
        <v>625</v>
      </c>
    </row>
    <row r="89" spans="1:5" x14ac:dyDescent="0.2">
      <c r="A89" s="31" t="s">
        <v>624</v>
      </c>
      <c r="B89" s="4" t="s">
        <v>270</v>
      </c>
      <c r="C89" s="4" t="s">
        <v>196</v>
      </c>
      <c r="D89" s="4" t="s">
        <v>623</v>
      </c>
      <c r="E89" s="20" t="s">
        <v>622</v>
      </c>
    </row>
    <row r="90" spans="1:5" x14ac:dyDescent="0.2">
      <c r="A90" s="31" t="s">
        <v>268</v>
      </c>
      <c r="B90" s="4" t="s">
        <v>204</v>
      </c>
      <c r="C90" s="4" t="s">
        <v>189</v>
      </c>
      <c r="D90" s="4" t="s">
        <v>621</v>
      </c>
      <c r="E90" s="20" t="s">
        <v>620</v>
      </c>
    </row>
    <row r="91" spans="1:5" x14ac:dyDescent="0.2">
      <c r="A91" s="31" t="s">
        <v>432</v>
      </c>
      <c r="B91" s="4" t="s">
        <v>270</v>
      </c>
      <c r="C91" s="4" t="s">
        <v>196</v>
      </c>
      <c r="D91" s="4" t="s">
        <v>619</v>
      </c>
      <c r="E91" s="20" t="s">
        <v>618</v>
      </c>
    </row>
    <row r="92" spans="1:5" x14ac:dyDescent="0.2">
      <c r="A92" s="31" t="s">
        <v>438</v>
      </c>
      <c r="B92" s="4" t="s">
        <v>204</v>
      </c>
      <c r="C92" s="4" t="s">
        <v>437</v>
      </c>
      <c r="D92" s="4" t="s">
        <v>335</v>
      </c>
      <c r="E92" s="20" t="s">
        <v>617</v>
      </c>
    </row>
    <row r="93" spans="1:5" x14ac:dyDescent="0.2">
      <c r="A93" s="31" t="s">
        <v>616</v>
      </c>
      <c r="B93" s="4" t="s">
        <v>615</v>
      </c>
      <c r="C93" s="4" t="s">
        <v>205</v>
      </c>
      <c r="D93" s="4" t="s">
        <v>614</v>
      </c>
      <c r="E93" s="20" t="s">
        <v>613</v>
      </c>
    </row>
    <row r="94" spans="1:5" x14ac:dyDescent="0.2">
      <c r="A94" s="31" t="s">
        <v>612</v>
      </c>
      <c r="B94" s="4" t="s">
        <v>270</v>
      </c>
      <c r="C94" s="4" t="s">
        <v>593</v>
      </c>
      <c r="D94" s="4" t="s">
        <v>611</v>
      </c>
      <c r="E94" s="20" t="s">
        <v>610</v>
      </c>
    </row>
    <row r="95" spans="1:5" x14ac:dyDescent="0.2">
      <c r="A95" s="31" t="s">
        <v>609</v>
      </c>
      <c r="B95" s="4" t="s">
        <v>270</v>
      </c>
      <c r="C95" s="4" t="s">
        <v>217</v>
      </c>
      <c r="D95" s="4" t="s">
        <v>314</v>
      </c>
      <c r="E95" s="20" t="s">
        <v>608</v>
      </c>
    </row>
    <row r="96" spans="1:5" x14ac:dyDescent="0.2">
      <c r="A96" s="31" t="s">
        <v>607</v>
      </c>
      <c r="B96" s="4" t="s">
        <v>270</v>
      </c>
      <c r="C96" s="4" t="s">
        <v>213</v>
      </c>
      <c r="D96" s="4" t="s">
        <v>606</v>
      </c>
      <c r="E96" s="20" t="s">
        <v>605</v>
      </c>
    </row>
    <row r="98" spans="1:5" ht="14.25" x14ac:dyDescent="0.2">
      <c r="A98" s="32"/>
      <c r="B98" s="33" t="s">
        <v>207</v>
      </c>
    </row>
    <row r="99" spans="1:5" ht="15" x14ac:dyDescent="0.2">
      <c r="A99" s="34" t="s">
        <v>184</v>
      </c>
      <c r="B99" s="34" t="s">
        <v>185</v>
      </c>
      <c r="C99" s="34" t="s">
        <v>186</v>
      </c>
      <c r="D99" s="34" t="s">
        <v>526</v>
      </c>
      <c r="E99" s="34" t="s">
        <v>188</v>
      </c>
    </row>
    <row r="100" spans="1:5" x14ac:dyDescent="0.2">
      <c r="A100" s="31" t="s">
        <v>604</v>
      </c>
      <c r="B100" s="4" t="s">
        <v>208</v>
      </c>
      <c r="C100" s="4" t="s">
        <v>200</v>
      </c>
      <c r="D100" s="4" t="s">
        <v>603</v>
      </c>
      <c r="E100" s="20" t="s">
        <v>602</v>
      </c>
    </row>
    <row r="102" spans="1:5" ht="14.25" x14ac:dyDescent="0.2">
      <c r="A102" s="32"/>
      <c r="B102" s="33" t="s">
        <v>183</v>
      </c>
    </row>
    <row r="103" spans="1:5" ht="15" x14ac:dyDescent="0.2">
      <c r="A103" s="34" t="s">
        <v>184</v>
      </c>
      <c r="B103" s="34" t="s">
        <v>185</v>
      </c>
      <c r="C103" s="34" t="s">
        <v>186</v>
      </c>
      <c r="D103" s="34" t="s">
        <v>526</v>
      </c>
      <c r="E103" s="34" t="s">
        <v>188</v>
      </c>
    </row>
    <row r="104" spans="1:5" x14ac:dyDescent="0.2">
      <c r="A104" s="31" t="s">
        <v>601</v>
      </c>
      <c r="B104" s="4" t="s">
        <v>183</v>
      </c>
      <c r="C104" s="4" t="s">
        <v>200</v>
      </c>
      <c r="D104" s="4" t="s">
        <v>600</v>
      </c>
      <c r="E104" s="20" t="s">
        <v>599</v>
      </c>
    </row>
    <row r="105" spans="1:5" x14ac:dyDescent="0.2">
      <c r="A105" s="31" t="s">
        <v>257</v>
      </c>
      <c r="B105" s="4" t="s">
        <v>183</v>
      </c>
      <c r="C105" s="4" t="s">
        <v>215</v>
      </c>
      <c r="D105" s="4" t="s">
        <v>598</v>
      </c>
      <c r="E105" s="20" t="s">
        <v>597</v>
      </c>
    </row>
    <row r="106" spans="1:5" x14ac:dyDescent="0.2">
      <c r="A106" s="31" t="s">
        <v>260</v>
      </c>
      <c r="B106" s="4" t="s">
        <v>183</v>
      </c>
      <c r="C106" s="4" t="s">
        <v>205</v>
      </c>
      <c r="D106" s="4" t="s">
        <v>596</v>
      </c>
      <c r="E106" s="20" t="s">
        <v>595</v>
      </c>
    </row>
    <row r="107" spans="1:5" x14ac:dyDescent="0.2">
      <c r="A107" s="31" t="s">
        <v>594</v>
      </c>
      <c r="B107" s="4" t="s">
        <v>183</v>
      </c>
      <c r="C107" s="4" t="s">
        <v>593</v>
      </c>
      <c r="D107" s="4" t="s">
        <v>592</v>
      </c>
      <c r="E107" s="20" t="s">
        <v>591</v>
      </c>
    </row>
    <row r="108" spans="1:5" x14ac:dyDescent="0.2">
      <c r="A108" s="31" t="s">
        <v>590</v>
      </c>
      <c r="B108" s="4" t="s">
        <v>183</v>
      </c>
      <c r="C108" s="4" t="s">
        <v>200</v>
      </c>
      <c r="D108" s="4" t="s">
        <v>589</v>
      </c>
      <c r="E108" s="20" t="s">
        <v>588</v>
      </c>
    </row>
    <row r="109" spans="1:5" x14ac:dyDescent="0.2">
      <c r="A109" s="31" t="s">
        <v>245</v>
      </c>
      <c r="B109" s="4" t="s">
        <v>183</v>
      </c>
      <c r="C109" s="4" t="s">
        <v>200</v>
      </c>
      <c r="D109" s="4" t="s">
        <v>587</v>
      </c>
      <c r="E109" s="20" t="s">
        <v>586</v>
      </c>
    </row>
    <row r="110" spans="1:5" x14ac:dyDescent="0.2">
      <c r="A110" s="31" t="s">
        <v>585</v>
      </c>
      <c r="B110" s="4" t="s">
        <v>183</v>
      </c>
      <c r="C110" s="4" t="s">
        <v>213</v>
      </c>
      <c r="D110" s="4" t="s">
        <v>584</v>
      </c>
      <c r="E110" s="20" t="s">
        <v>583</v>
      </c>
    </row>
    <row r="111" spans="1:5" x14ac:dyDescent="0.2">
      <c r="A111" s="31" t="s">
        <v>582</v>
      </c>
      <c r="B111" s="4" t="s">
        <v>183</v>
      </c>
      <c r="C111" s="4" t="s">
        <v>200</v>
      </c>
      <c r="D111" s="4" t="s">
        <v>581</v>
      </c>
      <c r="E111" s="20" t="s">
        <v>580</v>
      </c>
    </row>
    <row r="112" spans="1:5" x14ac:dyDescent="0.2">
      <c r="A112" s="31" t="s">
        <v>579</v>
      </c>
      <c r="B112" s="4" t="s">
        <v>183</v>
      </c>
      <c r="C112" s="4" t="s">
        <v>217</v>
      </c>
      <c r="D112" s="4" t="s">
        <v>573</v>
      </c>
      <c r="E112" s="20" t="s">
        <v>578</v>
      </c>
    </row>
    <row r="113" spans="1:5" x14ac:dyDescent="0.2">
      <c r="A113" s="31" t="s">
        <v>577</v>
      </c>
      <c r="B113" s="4" t="s">
        <v>183</v>
      </c>
      <c r="C113" s="4" t="s">
        <v>210</v>
      </c>
      <c r="D113" s="4" t="s">
        <v>576</v>
      </c>
      <c r="E113" s="20" t="s">
        <v>575</v>
      </c>
    </row>
    <row r="114" spans="1:5" x14ac:dyDescent="0.2">
      <c r="A114" s="31" t="s">
        <v>574</v>
      </c>
      <c r="B114" s="4" t="s">
        <v>183</v>
      </c>
      <c r="C114" s="4" t="s">
        <v>196</v>
      </c>
      <c r="D114" s="4" t="s">
        <v>573</v>
      </c>
      <c r="E114" s="20" t="s">
        <v>572</v>
      </c>
    </row>
    <row r="115" spans="1:5" x14ac:dyDescent="0.2">
      <c r="A115" s="31" t="s">
        <v>571</v>
      </c>
      <c r="B115" s="4" t="s">
        <v>183</v>
      </c>
      <c r="C115" s="4" t="s">
        <v>189</v>
      </c>
      <c r="D115" s="4" t="s">
        <v>335</v>
      </c>
      <c r="E115" s="20" t="s">
        <v>570</v>
      </c>
    </row>
    <row r="116" spans="1:5" x14ac:dyDescent="0.2">
      <c r="A116" s="31" t="s">
        <v>569</v>
      </c>
      <c r="B116" s="4" t="s">
        <v>183</v>
      </c>
      <c r="C116" s="4" t="s">
        <v>193</v>
      </c>
      <c r="D116" s="4" t="s">
        <v>124</v>
      </c>
      <c r="E116" s="20" t="s">
        <v>568</v>
      </c>
    </row>
    <row r="118" spans="1:5" ht="14.25" x14ac:dyDescent="0.2">
      <c r="A118" s="32"/>
      <c r="B118" s="33" t="s">
        <v>198</v>
      </c>
    </row>
    <row r="119" spans="1:5" ht="15" x14ac:dyDescent="0.2">
      <c r="A119" s="34" t="s">
        <v>184</v>
      </c>
      <c r="B119" s="34" t="s">
        <v>185</v>
      </c>
      <c r="C119" s="34" t="s">
        <v>186</v>
      </c>
      <c r="D119" s="34" t="s">
        <v>526</v>
      </c>
      <c r="E119" s="34" t="s">
        <v>188</v>
      </c>
    </row>
    <row r="120" spans="1:5" x14ac:dyDescent="0.2">
      <c r="A120" s="31" t="s">
        <v>567</v>
      </c>
      <c r="B120" s="4" t="s">
        <v>199</v>
      </c>
      <c r="C120" s="4" t="s">
        <v>210</v>
      </c>
      <c r="D120" s="4" t="s">
        <v>566</v>
      </c>
      <c r="E120" s="20" t="s">
        <v>565</v>
      </c>
    </row>
  </sheetData>
  <mergeCells count="28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23:R23"/>
    <mergeCell ref="S3:S4"/>
    <mergeCell ref="T3:T4"/>
    <mergeCell ref="U3:U4"/>
    <mergeCell ref="A5:R5"/>
    <mergeCell ref="A8:R8"/>
    <mergeCell ref="A11:R11"/>
    <mergeCell ref="A14:R14"/>
    <mergeCell ref="A17:R17"/>
    <mergeCell ref="A20:R20"/>
    <mergeCell ref="A57:R57"/>
    <mergeCell ref="A60:R60"/>
    <mergeCell ref="A27:R27"/>
    <mergeCell ref="A31:R31"/>
    <mergeCell ref="A37:R37"/>
    <mergeCell ref="A44:R44"/>
    <mergeCell ref="A48:R48"/>
    <mergeCell ref="A52:R52"/>
  </mergeCells>
  <pageMargins left="0.7" right="0.7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workbookViewId="0">
      <selection activeCell="F10" sqref="F10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20" bestFit="1" customWidth="1"/>
    <col min="20" max="20" width="8.5703125" style="2" bestFit="1" customWidth="1"/>
    <col min="21" max="21" width="14" style="4" bestFit="1" customWidth="1"/>
    <col min="22" max="16384" width="9.140625" style="3"/>
  </cols>
  <sheetData>
    <row r="1" spans="1:21" s="2" customFormat="1" ht="29.1" customHeight="1" x14ac:dyDescent="0.2">
      <c r="A1" s="41" t="s">
        <v>711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563</v>
      </c>
      <c r="H3" s="39"/>
      <c r="I3" s="39"/>
      <c r="J3" s="39"/>
      <c r="K3" s="39" t="s">
        <v>10</v>
      </c>
      <c r="L3" s="39"/>
      <c r="M3" s="39"/>
      <c r="N3" s="39"/>
      <c r="O3" s="39" t="s">
        <v>401</v>
      </c>
      <c r="P3" s="39"/>
      <c r="Q3" s="39"/>
      <c r="R3" s="39"/>
      <c r="S3" s="39" t="s">
        <v>562</v>
      </c>
      <c r="T3" s="39" t="s">
        <v>2</v>
      </c>
      <c r="U3" s="50" t="s">
        <v>1</v>
      </c>
    </row>
    <row r="4" spans="1:21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40"/>
      <c r="T4" s="40"/>
      <c r="U4" s="51"/>
    </row>
    <row r="5" spans="1:21" ht="15" x14ac:dyDescent="0.2">
      <c r="A5" s="37" t="s">
        <v>67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x14ac:dyDescent="0.2">
      <c r="A6" s="7" t="s">
        <v>710</v>
      </c>
      <c r="B6" s="7" t="s">
        <v>709</v>
      </c>
      <c r="C6" s="7" t="s">
        <v>373</v>
      </c>
      <c r="D6" s="7" t="str">
        <f>"0,7788"</f>
        <v>0,7788</v>
      </c>
      <c r="E6" s="7" t="s">
        <v>72</v>
      </c>
      <c r="F6" s="7" t="s">
        <v>28</v>
      </c>
      <c r="G6" s="8" t="s">
        <v>73</v>
      </c>
      <c r="H6" s="9" t="s">
        <v>47</v>
      </c>
      <c r="I6" s="8" t="s">
        <v>133</v>
      </c>
      <c r="J6" s="8"/>
      <c r="K6" s="9" t="s">
        <v>18</v>
      </c>
      <c r="L6" s="8" t="s">
        <v>19</v>
      </c>
      <c r="M6" s="9" t="s">
        <v>19</v>
      </c>
      <c r="N6" s="8"/>
      <c r="O6" s="9" t="s">
        <v>73</v>
      </c>
      <c r="P6" s="9" t="s">
        <v>281</v>
      </c>
      <c r="Q6" s="8" t="s">
        <v>666</v>
      </c>
      <c r="R6" s="8"/>
      <c r="S6" s="21" t="str">
        <f>"290,0"</f>
        <v>290,0</v>
      </c>
      <c r="T6" s="22" t="str">
        <f>"232,6126"</f>
        <v>232,6126</v>
      </c>
      <c r="U6" s="7" t="s">
        <v>544</v>
      </c>
    </row>
    <row r="8" spans="1:21" ht="15" x14ac:dyDescent="0.2">
      <c r="E8" s="19" t="s">
        <v>176</v>
      </c>
    </row>
    <row r="9" spans="1:21" ht="15" x14ac:dyDescent="0.2">
      <c r="E9" s="19" t="s">
        <v>177</v>
      </c>
    </row>
    <row r="10" spans="1:21" ht="15" x14ac:dyDescent="0.2">
      <c r="E10" s="19" t="s">
        <v>178</v>
      </c>
    </row>
    <row r="11" spans="1:21" ht="15" x14ac:dyDescent="0.2">
      <c r="E11" s="19" t="s">
        <v>179</v>
      </c>
    </row>
    <row r="12" spans="1:21" ht="15" x14ac:dyDescent="0.2">
      <c r="E12" s="19" t="s">
        <v>179</v>
      </c>
    </row>
    <row r="13" spans="1:21" ht="15" x14ac:dyDescent="0.2">
      <c r="E13" s="19" t="s">
        <v>180</v>
      </c>
    </row>
    <row r="14" spans="1:21" ht="15" x14ac:dyDescent="0.2">
      <c r="E14" s="19"/>
    </row>
    <row r="16" spans="1:21" ht="18" x14ac:dyDescent="0.25">
      <c r="A16" s="29" t="s">
        <v>181</v>
      </c>
      <c r="B16" s="29"/>
    </row>
    <row r="17" spans="1:5" ht="15" x14ac:dyDescent="0.2">
      <c r="A17" s="30" t="s">
        <v>182</v>
      </c>
      <c r="B17" s="30"/>
    </row>
    <row r="18" spans="1:5" ht="14.25" x14ac:dyDescent="0.2">
      <c r="A18" s="32"/>
      <c r="B18" s="33" t="s">
        <v>708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526</v>
      </c>
      <c r="E19" s="34" t="s">
        <v>188</v>
      </c>
    </row>
    <row r="20" spans="1:5" x14ac:dyDescent="0.2">
      <c r="A20" s="31" t="s">
        <v>707</v>
      </c>
      <c r="B20" s="4" t="s">
        <v>208</v>
      </c>
      <c r="C20" s="4" t="s">
        <v>217</v>
      </c>
      <c r="D20" s="4" t="s">
        <v>621</v>
      </c>
      <c r="E20" s="20" t="s">
        <v>706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workbookViewId="0">
      <selection activeCell="F11" sqref="F1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6" width="5.5703125" style="3" customWidth="1"/>
    <col min="17" max="17" width="2.140625" style="3" customWidth="1"/>
    <col min="18" max="18" width="4.85546875" style="3" customWidth="1"/>
    <col min="19" max="19" width="7.85546875" style="20" bestFit="1" customWidth="1"/>
    <col min="20" max="20" width="8.5703125" style="2" bestFit="1" customWidth="1"/>
    <col min="21" max="21" width="10" style="4" bestFit="1" customWidth="1"/>
    <col min="22" max="16384" width="9.140625" style="3"/>
  </cols>
  <sheetData>
    <row r="1" spans="1:21" s="2" customFormat="1" ht="29.1" customHeight="1" x14ac:dyDescent="0.2">
      <c r="A1" s="41" t="s">
        <v>719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563</v>
      </c>
      <c r="H3" s="39"/>
      <c r="I3" s="39"/>
      <c r="J3" s="39"/>
      <c r="K3" s="39" t="s">
        <v>10</v>
      </c>
      <c r="L3" s="39"/>
      <c r="M3" s="39"/>
      <c r="N3" s="39"/>
      <c r="O3" s="39" t="s">
        <v>401</v>
      </c>
      <c r="P3" s="39"/>
      <c r="Q3" s="39"/>
      <c r="R3" s="39"/>
      <c r="S3" s="39" t="s">
        <v>562</v>
      </c>
      <c r="T3" s="39" t="s">
        <v>2</v>
      </c>
      <c r="U3" s="50" t="s">
        <v>1</v>
      </c>
    </row>
    <row r="4" spans="1:21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40"/>
      <c r="T4" s="40"/>
      <c r="U4" s="51"/>
    </row>
    <row r="5" spans="1:21" ht="15" x14ac:dyDescent="0.2">
      <c r="A5" s="37" t="s">
        <v>99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x14ac:dyDescent="0.2">
      <c r="A6" s="7" t="s">
        <v>718</v>
      </c>
      <c r="B6" s="7" t="s">
        <v>717</v>
      </c>
      <c r="C6" s="7" t="s">
        <v>716</v>
      </c>
      <c r="D6" s="7" t="str">
        <f>"0,5926"</f>
        <v>0,5926</v>
      </c>
      <c r="E6" s="7" t="s">
        <v>27</v>
      </c>
      <c r="F6" s="7" t="s">
        <v>28</v>
      </c>
      <c r="G6" s="9" t="s">
        <v>262</v>
      </c>
      <c r="H6" s="9" t="s">
        <v>715</v>
      </c>
      <c r="I6" s="8" t="s">
        <v>298</v>
      </c>
      <c r="J6" s="8"/>
      <c r="K6" s="9" t="s">
        <v>107</v>
      </c>
      <c r="L6" s="9" t="s">
        <v>234</v>
      </c>
      <c r="M6" s="8" t="s">
        <v>158</v>
      </c>
      <c r="N6" s="8"/>
      <c r="O6" s="9" t="s">
        <v>621</v>
      </c>
      <c r="P6" s="8" t="s">
        <v>298</v>
      </c>
      <c r="Q6" s="8"/>
      <c r="R6" s="8"/>
      <c r="S6" s="21" t="str">
        <f>"735,0"</f>
        <v>735,0</v>
      </c>
      <c r="T6" s="22" t="str">
        <f>"435,5610"</f>
        <v>435,5610</v>
      </c>
      <c r="U6" s="7" t="s">
        <v>349</v>
      </c>
    </row>
    <row r="8" spans="1:21" ht="15" x14ac:dyDescent="0.2">
      <c r="E8" s="19" t="s">
        <v>176</v>
      </c>
    </row>
    <row r="9" spans="1:21" ht="15" x14ac:dyDescent="0.2">
      <c r="E9" s="19" t="s">
        <v>177</v>
      </c>
    </row>
    <row r="10" spans="1:21" ht="15" x14ac:dyDescent="0.2">
      <c r="E10" s="19" t="s">
        <v>178</v>
      </c>
    </row>
    <row r="11" spans="1:21" ht="15" x14ac:dyDescent="0.2">
      <c r="E11" s="19" t="s">
        <v>179</v>
      </c>
    </row>
    <row r="12" spans="1:21" ht="15" x14ac:dyDescent="0.2">
      <c r="E12" s="19" t="s">
        <v>179</v>
      </c>
    </row>
    <row r="13" spans="1:21" ht="15" x14ac:dyDescent="0.2">
      <c r="E13" s="19" t="s">
        <v>180</v>
      </c>
    </row>
    <row r="14" spans="1:21" ht="15" x14ac:dyDescent="0.2">
      <c r="E14" s="19"/>
    </row>
    <row r="16" spans="1:21" ht="18" x14ac:dyDescent="0.25">
      <c r="A16" s="29" t="s">
        <v>181</v>
      </c>
      <c r="B16" s="29"/>
    </row>
    <row r="17" spans="1:5" ht="15" x14ac:dyDescent="0.2">
      <c r="A17" s="30" t="s">
        <v>202</v>
      </c>
      <c r="B17" s="30"/>
    </row>
    <row r="18" spans="1:5" ht="14.25" x14ac:dyDescent="0.2">
      <c r="A18" s="32"/>
      <c r="B18" s="33" t="s">
        <v>183</v>
      </c>
    </row>
    <row r="19" spans="1:5" ht="15" x14ac:dyDescent="0.2">
      <c r="A19" s="34" t="s">
        <v>184</v>
      </c>
      <c r="B19" s="34" t="s">
        <v>185</v>
      </c>
      <c r="C19" s="34" t="s">
        <v>186</v>
      </c>
      <c r="D19" s="34" t="s">
        <v>526</v>
      </c>
      <c r="E19" s="34" t="s">
        <v>188</v>
      </c>
    </row>
    <row r="20" spans="1:5" x14ac:dyDescent="0.2">
      <c r="A20" s="31" t="s">
        <v>714</v>
      </c>
      <c r="B20" s="4" t="s">
        <v>183</v>
      </c>
      <c r="C20" s="4" t="s">
        <v>205</v>
      </c>
      <c r="D20" s="4" t="s">
        <v>713</v>
      </c>
      <c r="E20" s="20" t="s">
        <v>712</v>
      </c>
    </row>
  </sheetData>
  <mergeCells count="14">
    <mergeCell ref="C3:C4"/>
    <mergeCell ref="U3:U4"/>
    <mergeCell ref="F3:F4"/>
    <mergeCell ref="E3:E4"/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</mergeCells>
  <pageMargins left="0.19685039370078741" right="0.47244094488188981" top="0.43307086614173229" bottom="0.47244094488188981" header="0.51181102362204722" footer="0.51181102362204722"/>
  <pageSetup scale="61" fitToHeight="100" orientation="landscape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20" bestFit="1" customWidth="1"/>
    <col min="16" max="16" width="8.5703125" style="2" bestFit="1" customWidth="1"/>
    <col min="17" max="17" width="26.42578125" style="4" bestFit="1" customWidth="1"/>
    <col min="18" max="16384" width="9.140625" style="3"/>
  </cols>
  <sheetData>
    <row r="1" spans="1:17" s="2" customFormat="1" ht="29.1" customHeight="1" x14ac:dyDescent="0.2">
      <c r="A1" s="41" t="s">
        <v>733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 x14ac:dyDescent="0.2">
      <c r="A3" s="47" t="s">
        <v>0</v>
      </c>
      <c r="B3" s="49" t="s">
        <v>5</v>
      </c>
      <c r="C3" s="49" t="s">
        <v>7</v>
      </c>
      <c r="D3" s="39" t="s">
        <v>9</v>
      </c>
      <c r="E3" s="39" t="s">
        <v>3</v>
      </c>
      <c r="F3" s="39" t="s">
        <v>6</v>
      </c>
      <c r="G3" s="39" t="s">
        <v>732</v>
      </c>
      <c r="H3" s="39"/>
      <c r="I3" s="39"/>
      <c r="J3" s="39"/>
      <c r="K3" s="39" t="s">
        <v>515</v>
      </c>
      <c r="L3" s="39"/>
      <c r="M3" s="39"/>
      <c r="N3" s="39"/>
      <c r="O3" s="39" t="s">
        <v>562</v>
      </c>
      <c r="P3" s="39" t="s">
        <v>2</v>
      </c>
      <c r="Q3" s="50" t="s">
        <v>1</v>
      </c>
    </row>
    <row r="4" spans="1:17" s="1" customFormat="1" ht="21" customHeight="1" thickBot="1" x14ac:dyDescent="0.25">
      <c r="A4" s="48"/>
      <c r="B4" s="40"/>
      <c r="C4" s="40"/>
      <c r="D4" s="40"/>
      <c r="E4" s="40"/>
      <c r="F4" s="40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40"/>
      <c r="P4" s="40"/>
      <c r="Q4" s="51"/>
    </row>
    <row r="5" spans="1:17" ht="15" x14ac:dyDescent="0.2">
      <c r="A5" s="37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x14ac:dyDescent="0.2">
      <c r="A6" s="10" t="s">
        <v>24</v>
      </c>
      <c r="B6" s="10" t="s">
        <v>25</v>
      </c>
      <c r="C6" s="10" t="s">
        <v>26</v>
      </c>
      <c r="D6" s="10" t="str">
        <f>"0,9754"</f>
        <v>0,9754</v>
      </c>
      <c r="E6" s="10" t="s">
        <v>27</v>
      </c>
      <c r="F6" s="10" t="s">
        <v>28</v>
      </c>
      <c r="G6" s="12" t="s">
        <v>454</v>
      </c>
      <c r="H6" s="12" t="s">
        <v>456</v>
      </c>
      <c r="I6" s="12" t="s">
        <v>501</v>
      </c>
      <c r="J6" s="11"/>
      <c r="K6" s="12" t="s">
        <v>456</v>
      </c>
      <c r="L6" s="11" t="s">
        <v>501</v>
      </c>
      <c r="M6" s="11" t="s">
        <v>501</v>
      </c>
      <c r="N6" s="11"/>
      <c r="O6" s="23" t="str">
        <f>"72,5"</f>
        <v>72,5</v>
      </c>
      <c r="P6" s="24" t="str">
        <f>"70,7201"</f>
        <v>70,7201</v>
      </c>
      <c r="Q6" s="10" t="s">
        <v>30</v>
      </c>
    </row>
    <row r="7" spans="1:17" x14ac:dyDescent="0.2">
      <c r="A7" s="13" t="s">
        <v>32</v>
      </c>
      <c r="B7" s="13" t="s">
        <v>33</v>
      </c>
      <c r="C7" s="13" t="s">
        <v>34</v>
      </c>
      <c r="D7" s="13" t="str">
        <f>"0,9693"</f>
        <v>0,9693</v>
      </c>
      <c r="E7" s="13" t="s">
        <v>27</v>
      </c>
      <c r="F7" s="13" t="s">
        <v>28</v>
      </c>
      <c r="G7" s="15" t="s">
        <v>454</v>
      </c>
      <c r="H7" s="15" t="s">
        <v>458</v>
      </c>
      <c r="I7" s="14" t="s">
        <v>456</v>
      </c>
      <c r="J7" s="14"/>
      <c r="K7" s="15" t="s">
        <v>454</v>
      </c>
      <c r="L7" s="14" t="s">
        <v>458</v>
      </c>
      <c r="M7" s="14" t="s">
        <v>458</v>
      </c>
      <c r="N7" s="14"/>
      <c r="O7" s="25" t="str">
        <f>"62,5"</f>
        <v>62,5</v>
      </c>
      <c r="P7" s="26" t="str">
        <f>"60,5844"</f>
        <v>60,5844</v>
      </c>
      <c r="Q7" s="13" t="s">
        <v>30</v>
      </c>
    </row>
    <row r="9" spans="1:17" ht="15" x14ac:dyDescent="0.2">
      <c r="A9" s="35" t="s">
        <v>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7" x14ac:dyDescent="0.2">
      <c r="A10" s="7" t="s">
        <v>392</v>
      </c>
      <c r="B10" s="7" t="s">
        <v>391</v>
      </c>
      <c r="C10" s="7" t="s">
        <v>390</v>
      </c>
      <c r="D10" s="7" t="str">
        <f>"0,8807"</f>
        <v>0,8807</v>
      </c>
      <c r="E10" s="7" t="s">
        <v>320</v>
      </c>
      <c r="F10" s="7" t="s">
        <v>43</v>
      </c>
      <c r="G10" s="9" t="s">
        <v>462</v>
      </c>
      <c r="H10" s="8" t="s">
        <v>35</v>
      </c>
      <c r="I10" s="8" t="s">
        <v>35</v>
      </c>
      <c r="J10" s="8"/>
      <c r="K10" s="9" t="s">
        <v>454</v>
      </c>
      <c r="L10" s="9" t="s">
        <v>456</v>
      </c>
      <c r="M10" s="8" t="s">
        <v>501</v>
      </c>
      <c r="N10" s="8"/>
      <c r="O10" s="21" t="str">
        <f>"75,0"</f>
        <v>75,0</v>
      </c>
      <c r="P10" s="22" t="str">
        <f>"66,6470"</f>
        <v>66,6470</v>
      </c>
      <c r="Q10" s="7" t="s">
        <v>389</v>
      </c>
    </row>
    <row r="12" spans="1:17" ht="15" x14ac:dyDescent="0.2">
      <c r="A12" s="35" t="s">
        <v>67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7" x14ac:dyDescent="0.2">
      <c r="A13" s="10" t="s">
        <v>372</v>
      </c>
      <c r="B13" s="10" t="s">
        <v>371</v>
      </c>
      <c r="C13" s="10" t="s">
        <v>370</v>
      </c>
      <c r="D13" s="10" t="str">
        <f>"0,7377"</f>
        <v>0,7377</v>
      </c>
      <c r="E13" s="10" t="s">
        <v>320</v>
      </c>
      <c r="F13" s="10" t="s">
        <v>43</v>
      </c>
      <c r="G13" s="12" t="s">
        <v>19</v>
      </c>
      <c r="H13" s="12" t="s">
        <v>29</v>
      </c>
      <c r="I13" s="11" t="s">
        <v>45</v>
      </c>
      <c r="J13" s="11"/>
      <c r="K13" s="12" t="s">
        <v>462</v>
      </c>
      <c r="L13" s="12" t="s">
        <v>35</v>
      </c>
      <c r="M13" s="11" t="s">
        <v>36</v>
      </c>
      <c r="N13" s="11"/>
      <c r="O13" s="23" t="str">
        <f>"105,0"</f>
        <v>105,0</v>
      </c>
      <c r="P13" s="24" t="str">
        <f>"77,4585"</f>
        <v>77,4585</v>
      </c>
      <c r="Q13" s="10" t="s">
        <v>319</v>
      </c>
    </row>
    <row r="14" spans="1:17" x14ac:dyDescent="0.2">
      <c r="A14" s="13" t="s">
        <v>369</v>
      </c>
      <c r="B14" s="13" t="s">
        <v>368</v>
      </c>
      <c r="C14" s="13" t="s">
        <v>367</v>
      </c>
      <c r="D14" s="13" t="str">
        <f>"0,7580"</f>
        <v>0,7580</v>
      </c>
      <c r="E14" s="13" t="s">
        <v>320</v>
      </c>
      <c r="F14" s="13" t="s">
        <v>43</v>
      </c>
      <c r="G14" s="15" t="s">
        <v>456</v>
      </c>
      <c r="H14" s="14" t="s">
        <v>462</v>
      </c>
      <c r="I14" s="15" t="s">
        <v>462</v>
      </c>
      <c r="J14" s="14"/>
      <c r="K14" s="14" t="s">
        <v>731</v>
      </c>
      <c r="L14" s="15" t="s">
        <v>449</v>
      </c>
      <c r="M14" s="15" t="s">
        <v>700</v>
      </c>
      <c r="N14" s="14"/>
      <c r="O14" s="25" t="str">
        <f>"67,5"</f>
        <v>67,5</v>
      </c>
      <c r="P14" s="26" t="str">
        <f>"51,1650"</f>
        <v>51,1650</v>
      </c>
      <c r="Q14" s="13" t="s">
        <v>319</v>
      </c>
    </row>
    <row r="16" spans="1:17" ht="15" x14ac:dyDescent="0.2">
      <c r="A16" s="35" t="s">
        <v>56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7" x14ac:dyDescent="0.2">
      <c r="A17" s="10" t="s">
        <v>348</v>
      </c>
      <c r="B17" s="10" t="s">
        <v>347</v>
      </c>
      <c r="C17" s="10" t="s">
        <v>346</v>
      </c>
      <c r="D17" s="10" t="str">
        <f>"0,6219"</f>
        <v>0,6219</v>
      </c>
      <c r="E17" s="10" t="s">
        <v>320</v>
      </c>
      <c r="F17" s="10" t="s">
        <v>43</v>
      </c>
      <c r="G17" s="11" t="s">
        <v>469</v>
      </c>
      <c r="H17" s="12" t="s">
        <v>558</v>
      </c>
      <c r="I17" s="12" t="s">
        <v>396</v>
      </c>
      <c r="J17" s="11"/>
      <c r="K17" s="12" t="s">
        <v>18</v>
      </c>
      <c r="L17" s="12" t="s">
        <v>29</v>
      </c>
      <c r="M17" s="12" t="s">
        <v>45</v>
      </c>
      <c r="N17" s="11"/>
      <c r="O17" s="23" t="str">
        <f>"150,0"</f>
        <v>150,0</v>
      </c>
      <c r="P17" s="24" t="str">
        <f>"93,2850"</f>
        <v>93,2850</v>
      </c>
      <c r="Q17" s="10" t="s">
        <v>319</v>
      </c>
    </row>
    <row r="18" spans="1:17" x14ac:dyDescent="0.2">
      <c r="A18" s="13" t="s">
        <v>730</v>
      </c>
      <c r="B18" s="13" t="s">
        <v>477</v>
      </c>
      <c r="C18" s="13" t="s">
        <v>476</v>
      </c>
      <c r="D18" s="13" t="str">
        <f>"0,6394"</f>
        <v>0,6394</v>
      </c>
      <c r="E18" s="13" t="s">
        <v>320</v>
      </c>
      <c r="F18" s="13" t="s">
        <v>43</v>
      </c>
      <c r="G18" s="15" t="s">
        <v>469</v>
      </c>
      <c r="H18" s="15" t="s">
        <v>558</v>
      </c>
      <c r="I18" s="15" t="s">
        <v>428</v>
      </c>
      <c r="J18" s="14"/>
      <c r="K18" s="15" t="s">
        <v>19</v>
      </c>
      <c r="L18" s="15" t="s">
        <v>29</v>
      </c>
      <c r="M18" s="15" t="s">
        <v>45</v>
      </c>
      <c r="N18" s="14"/>
      <c r="O18" s="25" t="str">
        <f>"142,5"</f>
        <v>142,5</v>
      </c>
      <c r="P18" s="26" t="str">
        <f>"91,1145"</f>
        <v>91,1145</v>
      </c>
      <c r="Q18" s="13" t="s">
        <v>389</v>
      </c>
    </row>
    <row r="20" spans="1:17" ht="15" x14ac:dyDescent="0.2">
      <c r="A20" s="35" t="s">
        <v>99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7" x14ac:dyDescent="0.2">
      <c r="A21" s="7" t="s">
        <v>338</v>
      </c>
      <c r="B21" s="7" t="s">
        <v>337</v>
      </c>
      <c r="C21" s="7" t="s">
        <v>336</v>
      </c>
      <c r="D21" s="7" t="str">
        <f>"0,5889"</f>
        <v>0,5889</v>
      </c>
      <c r="E21" s="7" t="s">
        <v>320</v>
      </c>
      <c r="F21" s="7" t="s">
        <v>43</v>
      </c>
      <c r="G21" s="9" t="s">
        <v>90</v>
      </c>
      <c r="H21" s="9" t="s">
        <v>674</v>
      </c>
      <c r="I21" s="9" t="s">
        <v>98</v>
      </c>
      <c r="J21" s="8"/>
      <c r="K21" s="9" t="s">
        <v>469</v>
      </c>
      <c r="L21" s="9" t="s">
        <v>428</v>
      </c>
      <c r="M21" s="9" t="s">
        <v>64</v>
      </c>
      <c r="N21" s="8"/>
      <c r="O21" s="21" t="str">
        <f>"190,0"</f>
        <v>190,0</v>
      </c>
      <c r="P21" s="22" t="str">
        <f>"111,8910"</f>
        <v>111,8910</v>
      </c>
      <c r="Q21" s="7" t="s">
        <v>319</v>
      </c>
    </row>
    <row r="23" spans="1:17" ht="15" x14ac:dyDescent="0.2">
      <c r="A23" s="35" t="s">
        <v>110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7" x14ac:dyDescent="0.2">
      <c r="A24" s="7" t="s">
        <v>729</v>
      </c>
      <c r="B24" s="7" t="s">
        <v>322</v>
      </c>
      <c r="C24" s="7" t="s">
        <v>321</v>
      </c>
      <c r="D24" s="7" t="str">
        <f>"0,5786"</f>
        <v>0,5786</v>
      </c>
      <c r="E24" s="7" t="s">
        <v>320</v>
      </c>
      <c r="F24" s="7" t="s">
        <v>43</v>
      </c>
      <c r="G24" s="9" t="s">
        <v>19</v>
      </c>
      <c r="H24" s="9" t="s">
        <v>29</v>
      </c>
      <c r="I24" s="8" t="s">
        <v>45</v>
      </c>
      <c r="J24" s="8"/>
      <c r="K24" s="9" t="s">
        <v>35</v>
      </c>
      <c r="L24" s="9" t="s">
        <v>18</v>
      </c>
      <c r="M24" s="9" t="s">
        <v>19</v>
      </c>
      <c r="N24" s="8"/>
      <c r="O24" s="21" t="str">
        <f>"115,0"</f>
        <v>115,0</v>
      </c>
      <c r="P24" s="22" t="str">
        <f>"66,5390"</f>
        <v>66,5390</v>
      </c>
      <c r="Q24" s="7" t="s">
        <v>319</v>
      </c>
    </row>
    <row r="26" spans="1:17" ht="15" x14ac:dyDescent="0.2">
      <c r="E26" s="19" t="s">
        <v>176</v>
      </c>
    </row>
    <row r="27" spans="1:17" ht="15" x14ac:dyDescent="0.2">
      <c r="E27" s="19" t="s">
        <v>177</v>
      </c>
    </row>
    <row r="28" spans="1:17" ht="15" x14ac:dyDescent="0.2">
      <c r="E28" s="19" t="s">
        <v>178</v>
      </c>
    </row>
    <row r="29" spans="1:17" ht="15" x14ac:dyDescent="0.2">
      <c r="E29" s="19" t="s">
        <v>179</v>
      </c>
    </row>
    <row r="30" spans="1:17" ht="15" x14ac:dyDescent="0.2">
      <c r="E30" s="19" t="s">
        <v>179</v>
      </c>
    </row>
    <row r="31" spans="1:17" ht="15" x14ac:dyDescent="0.2">
      <c r="E31" s="19" t="s">
        <v>180</v>
      </c>
    </row>
    <row r="32" spans="1:17" ht="15" x14ac:dyDescent="0.2">
      <c r="E32" s="19"/>
    </row>
    <row r="34" spans="1:5" ht="18" x14ac:dyDescent="0.25">
      <c r="A34" s="29" t="s">
        <v>181</v>
      </c>
      <c r="B34" s="29"/>
    </row>
    <row r="35" spans="1:5" ht="15" x14ac:dyDescent="0.2">
      <c r="A35" s="30" t="s">
        <v>182</v>
      </c>
      <c r="B35" s="30"/>
    </row>
    <row r="36" spans="1:5" ht="14.25" x14ac:dyDescent="0.2">
      <c r="A36" s="32"/>
      <c r="B36" s="33" t="s">
        <v>183</v>
      </c>
    </row>
    <row r="37" spans="1:5" ht="15" x14ac:dyDescent="0.2">
      <c r="A37" s="34" t="s">
        <v>184</v>
      </c>
      <c r="B37" s="34" t="s">
        <v>185</v>
      </c>
      <c r="C37" s="34" t="s">
        <v>186</v>
      </c>
      <c r="D37" s="34" t="s">
        <v>526</v>
      </c>
      <c r="E37" s="34" t="s">
        <v>188</v>
      </c>
    </row>
    <row r="38" spans="1:5" x14ac:dyDescent="0.2">
      <c r="A38" s="31" t="s">
        <v>23</v>
      </c>
      <c r="B38" s="4" t="s">
        <v>183</v>
      </c>
      <c r="C38" s="4" t="s">
        <v>193</v>
      </c>
      <c r="D38" s="4" t="s">
        <v>482</v>
      </c>
      <c r="E38" s="20" t="s">
        <v>728</v>
      </c>
    </row>
    <row r="39" spans="1:5" x14ac:dyDescent="0.2">
      <c r="A39" s="31" t="s">
        <v>31</v>
      </c>
      <c r="B39" s="4" t="s">
        <v>183</v>
      </c>
      <c r="C39" s="4" t="s">
        <v>193</v>
      </c>
      <c r="D39" s="4" t="s">
        <v>44</v>
      </c>
      <c r="E39" s="20" t="s">
        <v>727</v>
      </c>
    </row>
    <row r="41" spans="1:5" ht="14.25" x14ac:dyDescent="0.2">
      <c r="A41" s="32"/>
      <c r="B41" s="33" t="s">
        <v>198</v>
      </c>
    </row>
    <row r="42" spans="1:5" ht="15" x14ac:dyDescent="0.2">
      <c r="A42" s="34" t="s">
        <v>184</v>
      </c>
      <c r="B42" s="34" t="s">
        <v>185</v>
      </c>
      <c r="C42" s="34" t="s">
        <v>186</v>
      </c>
      <c r="D42" s="34" t="s">
        <v>526</v>
      </c>
      <c r="E42" s="34" t="s">
        <v>188</v>
      </c>
    </row>
    <row r="43" spans="1:5" x14ac:dyDescent="0.2">
      <c r="A43" s="31" t="s">
        <v>282</v>
      </c>
      <c r="B43" s="4" t="s">
        <v>227</v>
      </c>
      <c r="C43" s="4" t="s">
        <v>189</v>
      </c>
      <c r="D43" s="4" t="s">
        <v>558</v>
      </c>
      <c r="E43" s="20" t="s">
        <v>726</v>
      </c>
    </row>
    <row r="46" spans="1:5" ht="15" x14ac:dyDescent="0.2">
      <c r="A46" s="30" t="s">
        <v>202</v>
      </c>
      <c r="B46" s="30"/>
    </row>
    <row r="47" spans="1:5" ht="14.25" x14ac:dyDescent="0.2">
      <c r="A47" s="32"/>
      <c r="B47" s="33" t="s">
        <v>183</v>
      </c>
    </row>
    <row r="48" spans="1:5" ht="15" x14ac:dyDescent="0.2">
      <c r="A48" s="34" t="s">
        <v>184</v>
      </c>
      <c r="B48" s="34" t="s">
        <v>185</v>
      </c>
      <c r="C48" s="34" t="s">
        <v>186</v>
      </c>
      <c r="D48" s="34" t="s">
        <v>526</v>
      </c>
      <c r="E48" s="34" t="s">
        <v>188</v>
      </c>
    </row>
    <row r="49" spans="1:5" x14ac:dyDescent="0.2">
      <c r="A49" s="31" t="s">
        <v>263</v>
      </c>
      <c r="B49" s="4" t="s">
        <v>183</v>
      </c>
      <c r="C49" s="4" t="s">
        <v>205</v>
      </c>
      <c r="D49" s="4" t="s">
        <v>237</v>
      </c>
      <c r="E49" s="20" t="s">
        <v>725</v>
      </c>
    </row>
    <row r="50" spans="1:5" x14ac:dyDescent="0.2">
      <c r="A50" s="31" t="s">
        <v>254</v>
      </c>
      <c r="B50" s="4" t="s">
        <v>183</v>
      </c>
      <c r="C50" s="4" t="s">
        <v>200</v>
      </c>
      <c r="D50" s="4" t="s">
        <v>107</v>
      </c>
      <c r="E50" s="20" t="s">
        <v>724</v>
      </c>
    </row>
    <row r="51" spans="1:5" x14ac:dyDescent="0.2">
      <c r="A51" s="31" t="s">
        <v>422</v>
      </c>
      <c r="B51" s="4" t="s">
        <v>183</v>
      </c>
      <c r="C51" s="4" t="s">
        <v>200</v>
      </c>
      <c r="D51" s="4" t="s">
        <v>550</v>
      </c>
      <c r="E51" s="20" t="s">
        <v>723</v>
      </c>
    </row>
    <row r="52" spans="1:5" x14ac:dyDescent="0.2">
      <c r="A52" s="31" t="s">
        <v>241</v>
      </c>
      <c r="B52" s="4" t="s">
        <v>183</v>
      </c>
      <c r="C52" s="4" t="s">
        <v>217</v>
      </c>
      <c r="D52" s="4" t="s">
        <v>46</v>
      </c>
      <c r="E52" s="20" t="s">
        <v>722</v>
      </c>
    </row>
    <row r="53" spans="1:5" x14ac:dyDescent="0.2">
      <c r="A53" s="31" t="s">
        <v>235</v>
      </c>
      <c r="B53" s="4" t="s">
        <v>183</v>
      </c>
      <c r="C53" s="4" t="s">
        <v>210</v>
      </c>
      <c r="D53" s="4" t="s">
        <v>47</v>
      </c>
      <c r="E53" s="20" t="s">
        <v>721</v>
      </c>
    </row>
    <row r="55" spans="1:5" ht="14.25" x14ac:dyDescent="0.2">
      <c r="A55" s="32"/>
      <c r="B55" s="33" t="s">
        <v>198</v>
      </c>
    </row>
    <row r="56" spans="1:5" ht="15" x14ac:dyDescent="0.2">
      <c r="A56" s="34" t="s">
        <v>184</v>
      </c>
      <c r="B56" s="34" t="s">
        <v>185</v>
      </c>
      <c r="C56" s="34" t="s">
        <v>186</v>
      </c>
      <c r="D56" s="34" t="s">
        <v>526</v>
      </c>
      <c r="E56" s="34" t="s">
        <v>188</v>
      </c>
    </row>
    <row r="57" spans="1:5" x14ac:dyDescent="0.2">
      <c r="A57" s="31" t="s">
        <v>228</v>
      </c>
      <c r="B57" s="4" t="s">
        <v>227</v>
      </c>
      <c r="C57" s="4" t="s">
        <v>217</v>
      </c>
      <c r="D57" s="4" t="s">
        <v>440</v>
      </c>
      <c r="E57" s="20" t="s">
        <v>720</v>
      </c>
    </row>
  </sheetData>
  <mergeCells count="18">
    <mergeCell ref="F3:F4"/>
    <mergeCell ref="E3:E4"/>
    <mergeCell ref="A23:N23"/>
    <mergeCell ref="A5:N5"/>
    <mergeCell ref="A9:N9"/>
    <mergeCell ref="A12:N12"/>
    <mergeCell ref="A16:N16"/>
    <mergeCell ref="A20:N20"/>
    <mergeCell ref="D3:D4"/>
    <mergeCell ref="O3:O4"/>
    <mergeCell ref="P3:P4"/>
    <mergeCell ref="A1:Q2"/>
    <mergeCell ref="G3:J3"/>
    <mergeCell ref="K3:N3"/>
    <mergeCell ref="A3:A4"/>
    <mergeCell ref="B3:B4"/>
    <mergeCell ref="C3:C4"/>
    <mergeCell ref="Q3:Q4"/>
  </mergeCells>
  <pageMargins left="0.19685039370078741" right="0.47244094488188981" top="0.43307086614173229" bottom="0.47244094488188981" header="0.51181102362204722" footer="0.51181102362204722"/>
  <pageSetup scale="62" fitToHeight="100" orientation="landscape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люб.жим бэ</vt:lpstr>
      <vt:lpstr>люб.тяга бэ</vt:lpstr>
      <vt:lpstr>люб.народ.тяга</vt:lpstr>
      <vt:lpstr>люб.одиноч.бицепс</vt:lpstr>
      <vt:lpstr>ПРО ПЛ. б.э.</vt:lpstr>
      <vt:lpstr>Люб. ПЛ. б.э.</vt:lpstr>
      <vt:lpstr>Люб. ПЛ. 1.петельная софт</vt:lpstr>
      <vt:lpstr>ПРО ПЛ. 1.петельная софт</vt:lpstr>
      <vt:lpstr>люб.пауэрспорт</vt:lpstr>
      <vt:lpstr>про жим софт.многоп.</vt:lpstr>
      <vt:lpstr>про народ.жим 1 вес</vt:lpstr>
      <vt:lpstr>люб.русс.тяга 55 кг</vt:lpstr>
      <vt:lpstr>люб.русс.тяга 100 кг</vt:lpstr>
      <vt:lpstr>про русс.тяга 150 кг</vt:lpstr>
      <vt:lpstr>про русс.биц. 50 кг</vt:lpstr>
      <vt:lpstr>про рж 55 кг</vt:lpstr>
      <vt:lpstr>про рж 100 кг</vt:lpstr>
      <vt:lpstr>люб.силовое двоеб</vt:lpstr>
      <vt:lpstr>про силовое двоеб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2021-12-30T15:35:44Z</dcterms:modified>
</cp:coreProperties>
</file>