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28" activeTab="28"/>
  </bookViews>
  <sheets>
    <sheet name="Двоеборье проф." sheetId="51" r:id="rId1"/>
    <sheet name="Люб. ЖД" sheetId="50" r:id="rId2"/>
    <sheet name="Двоеборье люб" sheetId="49" r:id="rId3"/>
    <sheet name="ПРО присед б.э." sheetId="46" r:id="rId4"/>
    <sheet name="Люб. присед б.э." sheetId="45" r:id="rId5"/>
    <sheet name="ПРО тяга б.э." sheetId="37" r:id="rId6"/>
    <sheet name="Люб. тяга б.э." sheetId="36" r:id="rId7"/>
    <sheet name="ПРО жим софт мн.петельная" sheetId="30" r:id="rId8"/>
    <sheet name="Люб. жим софт мн.петельная" sheetId="29" r:id="rId9"/>
    <sheet name="ПРО жим софт 1 петельная" sheetId="28" r:id="rId10"/>
    <sheet name="Люб. жим 1 петельная" sheetId="27" r:id="rId11"/>
    <sheet name="ПРО жим б.э." sheetId="26" r:id="rId12"/>
    <sheet name="Люб. жим б.э." sheetId="25" r:id="rId13"/>
    <sheet name="ПРО жим 1.слой" sheetId="24" r:id="rId14"/>
    <sheet name="Люб. жим 1.слой" sheetId="23" r:id="rId15"/>
    <sheet name="СОВ жим" sheetId="22" r:id="rId16"/>
    <sheet name="ПРО жим мн.слой" sheetId="21" r:id="rId17"/>
    <sheet name="Люб. жим мн.слой" sheetId="20" r:id="rId18"/>
    <sheet name="ПРО Военный жим класс." sheetId="19" r:id="rId19"/>
    <sheet name="Люб. Военный жим класс." sheetId="17" r:id="rId20"/>
    <sheet name="ПРО ПЛ. мн.петельная софт" sheetId="16" r:id="rId21"/>
    <sheet name="ПРО ПЛ. б.э." sheetId="14" r:id="rId22"/>
    <sheet name="Люб. ПЛ. б.э." sheetId="13" r:id="rId23"/>
    <sheet name="Люб. ПЛ. 1.петельная софт" sheetId="12" r:id="rId24"/>
    <sheet name="ПРО ПЛ. 1.петельная софт" sheetId="11" r:id="rId25"/>
    <sheet name="Люб. ПЛ. 1.слой" sheetId="9" r:id="rId26"/>
    <sheet name="Проф. становая тяга" sheetId="54" r:id="rId27"/>
    <sheet name="Проф. народный жим 1_2 вес" sheetId="55" r:id="rId28"/>
    <sheet name="Проф. народный жим 1 вес" sheetId="56" r:id="rId29"/>
    <sheet name="Люб. народный жим 1_2 вес" sheetId="57" r:id="rId30"/>
    <sheet name="Люб. народный жим 1 вес" sheetId="58" r:id="rId31"/>
    <sheet name="Русская тяга люб. 150 кг." sheetId="59" r:id="rId32"/>
    <sheet name="Русская тяга люб. 100 кг." sheetId="60" r:id="rId33"/>
    <sheet name="Русская тяга люб. 55 кг." sheetId="61" r:id="rId34"/>
    <sheet name="РЖ любители 75 кг." sheetId="62" r:id="rId35"/>
    <sheet name="РЖ любители 55 кг." sheetId="63" r:id="rId36"/>
    <sheet name="РЖ Проф 55 кг." sheetId="64" r:id="rId37"/>
    <sheet name="РЖ Проф 35 кг." sheetId="65" r:id="rId38"/>
    <sheet name="Пауэрспорт Профессионалы" sheetId="66" r:id="rId39"/>
    <sheet name="Пауэрспорт Любители" sheetId="67" r:id="rId40"/>
    <sheet name="Бицепс Профессионалы" sheetId="68" r:id="rId41"/>
    <sheet name="Бицепс Любители" sheetId="69" r:id="rId42"/>
    <sheet name="Жим стоя Любители" sheetId="70" r:id="rId43"/>
    <sheet name="Судейский корпус" sheetId="71" r:id="rId44"/>
  </sheets>
  <definedNames>
    <definedName name="_FilterDatabase" localSheetId="42" hidden="1">'Жим стоя Любители'!$A$1:$L$3</definedName>
    <definedName name="_FilterDatabase" localSheetId="30" hidden="1">'Люб. народный жим 1 вес'!$A$1:$J$3</definedName>
    <definedName name="_FilterDatabase" localSheetId="37" hidden="1">'РЖ Проф 35 кг.'!$A$1:$J$3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64" l="1"/>
  <c r="J7" i="64"/>
  <c r="E7" i="64"/>
  <c r="E6" i="70"/>
  <c r="L6" i="70"/>
  <c r="M6" i="70"/>
  <c r="E9" i="70"/>
  <c r="L9" i="70"/>
  <c r="M9" i="70"/>
  <c r="E6" i="69"/>
  <c r="L6" i="69"/>
  <c r="M6" i="69"/>
  <c r="E9" i="69"/>
  <c r="L9" i="69"/>
  <c r="M9" i="69"/>
  <c r="E12" i="69"/>
  <c r="L12" i="69"/>
  <c r="M12" i="69"/>
  <c r="E15" i="69"/>
  <c r="L15" i="69"/>
  <c r="M15" i="69"/>
  <c r="E18" i="69"/>
  <c r="L18" i="69"/>
  <c r="M18" i="69"/>
  <c r="E21" i="69"/>
  <c r="L21" i="69"/>
  <c r="M21" i="69"/>
  <c r="E22" i="69"/>
  <c r="L22" i="69"/>
  <c r="M22" i="69"/>
  <c r="E23" i="69"/>
  <c r="L23" i="69"/>
  <c r="M23" i="69"/>
  <c r="E26" i="69"/>
  <c r="L26" i="69"/>
  <c r="M26" i="69"/>
  <c r="E27" i="69"/>
  <c r="L27" i="69"/>
  <c r="M27" i="69"/>
  <c r="E30" i="69"/>
  <c r="L30" i="69"/>
  <c r="M30" i="69"/>
  <c r="E31" i="69"/>
  <c r="L31" i="69"/>
  <c r="M31" i="69"/>
  <c r="E32" i="69"/>
  <c r="L32" i="69"/>
  <c r="M32" i="69"/>
  <c r="E33" i="69"/>
  <c r="L33" i="69"/>
  <c r="M33" i="69"/>
  <c r="E36" i="69"/>
  <c r="L36" i="69"/>
  <c r="M36" i="69"/>
  <c r="E39" i="69"/>
  <c r="L39" i="69"/>
  <c r="M39" i="69"/>
  <c r="E40" i="69"/>
  <c r="L40" i="69"/>
  <c r="M40" i="69"/>
  <c r="E43" i="69"/>
  <c r="L43" i="69"/>
  <c r="M43" i="69"/>
  <c r="E44" i="69"/>
  <c r="L44" i="69"/>
  <c r="M44" i="69"/>
  <c r="E6" i="68"/>
  <c r="L6" i="68"/>
  <c r="M6" i="68"/>
  <c r="E9" i="68"/>
  <c r="L9" i="68"/>
  <c r="M9" i="68"/>
  <c r="E12" i="68"/>
  <c r="L12" i="68"/>
  <c r="M12" i="68"/>
  <c r="E15" i="68"/>
  <c r="L15" i="68"/>
  <c r="M15" i="68"/>
  <c r="E18" i="68"/>
  <c r="L18" i="68"/>
  <c r="M18" i="68"/>
  <c r="E21" i="68"/>
  <c r="L21" i="68"/>
  <c r="M21" i="68"/>
  <c r="E6" i="67"/>
  <c r="P6" i="67"/>
  <c r="Q6" i="67"/>
  <c r="E9" i="67"/>
  <c r="P9" i="67"/>
  <c r="Q9" i="67"/>
  <c r="E12" i="67"/>
  <c r="P12" i="67"/>
  <c r="Q12" i="67"/>
  <c r="E15" i="67"/>
  <c r="P15" i="67"/>
  <c r="Q15" i="67"/>
  <c r="E16" i="67"/>
  <c r="P16" i="67"/>
  <c r="Q16" i="67"/>
  <c r="E19" i="67"/>
  <c r="P19" i="67"/>
  <c r="Q19" i="67"/>
  <c r="E20" i="67"/>
  <c r="P20" i="67"/>
  <c r="Q20" i="67"/>
  <c r="E6" i="66"/>
  <c r="P6" i="66"/>
  <c r="Q6" i="66"/>
  <c r="E6" i="65"/>
  <c r="J6" i="65"/>
  <c r="K6" i="65"/>
  <c r="E6" i="64"/>
  <c r="J6" i="64"/>
  <c r="K6" i="64"/>
  <c r="E8" i="64"/>
  <c r="J8" i="64"/>
  <c r="K8" i="64"/>
  <c r="E6" i="63"/>
  <c r="J6" i="63"/>
  <c r="K6" i="63"/>
  <c r="E7" i="63"/>
  <c r="J7" i="63"/>
  <c r="K7" i="63"/>
  <c r="E8" i="63"/>
  <c r="J8" i="63"/>
  <c r="K8" i="63"/>
  <c r="E9" i="63"/>
  <c r="J9" i="63"/>
  <c r="K9" i="63"/>
  <c r="E10" i="63"/>
  <c r="J10" i="63"/>
  <c r="K10" i="63"/>
  <c r="E11" i="63"/>
  <c r="J11" i="63"/>
  <c r="K11" i="63"/>
  <c r="E12" i="63"/>
  <c r="J12" i="63"/>
  <c r="K12" i="63"/>
  <c r="E13" i="63"/>
  <c r="J13" i="63"/>
  <c r="K13" i="63"/>
  <c r="E14" i="63"/>
  <c r="J14" i="63"/>
  <c r="K14" i="63"/>
  <c r="E15" i="63"/>
  <c r="J15" i="63"/>
  <c r="K15" i="63"/>
  <c r="E16" i="63"/>
  <c r="J16" i="63"/>
  <c r="K16" i="63"/>
  <c r="E6" i="62"/>
  <c r="J6" i="62"/>
  <c r="K6" i="62"/>
  <c r="E6" i="61"/>
  <c r="J6" i="61"/>
  <c r="K6" i="61"/>
  <c r="E6" i="60"/>
  <c r="J6" i="60"/>
  <c r="K6" i="60"/>
  <c r="E6" i="59"/>
  <c r="J6" i="59"/>
  <c r="K6" i="59"/>
  <c r="E7" i="59"/>
  <c r="J7" i="59"/>
  <c r="K7" i="59"/>
  <c r="E6" i="58"/>
  <c r="J6" i="58"/>
  <c r="K6" i="58"/>
  <c r="E9" i="58"/>
  <c r="J9" i="58"/>
  <c r="K9" i="58"/>
  <c r="E10" i="58"/>
  <c r="J10" i="58"/>
  <c r="K10" i="58"/>
  <c r="E13" i="58"/>
  <c r="J13" i="58"/>
  <c r="K13" i="58"/>
  <c r="E6" i="57"/>
  <c r="J6" i="57"/>
  <c r="K6" i="57"/>
  <c r="E9" i="57"/>
  <c r="J9" i="57"/>
  <c r="K9" i="57"/>
  <c r="E12" i="57"/>
  <c r="J12" i="57"/>
  <c r="K12" i="57"/>
  <c r="E15" i="57"/>
  <c r="J15" i="57"/>
  <c r="K15" i="57"/>
  <c r="E6" i="56"/>
  <c r="J6" i="56"/>
  <c r="K6" i="56"/>
  <c r="E7" i="56"/>
  <c r="J7" i="56"/>
  <c r="K7" i="56"/>
  <c r="E8" i="56"/>
  <c r="J8" i="56"/>
  <c r="K8" i="56"/>
  <c r="E6" i="55"/>
  <c r="J6" i="55"/>
  <c r="K6" i="55"/>
  <c r="E9" i="55"/>
  <c r="J9" i="55"/>
  <c r="K9" i="55"/>
  <c r="E6" i="54"/>
  <c r="J6" i="54"/>
  <c r="K6" i="54"/>
  <c r="Q13" i="51"/>
  <c r="P13" i="51"/>
  <c r="E13" i="51"/>
  <c r="Q10" i="51"/>
  <c r="P10" i="51"/>
  <c r="E10" i="51"/>
  <c r="Q7" i="51"/>
  <c r="P7" i="51"/>
  <c r="E7" i="51"/>
  <c r="Q6" i="51"/>
  <c r="P6" i="51"/>
  <c r="E6" i="51"/>
  <c r="O6" i="50"/>
  <c r="N6" i="50"/>
  <c r="E6" i="50"/>
  <c r="Q12" i="49"/>
  <c r="P12" i="49"/>
  <c r="E12" i="49"/>
  <c r="Q9" i="49"/>
  <c r="P9" i="49"/>
  <c r="E9" i="49"/>
  <c r="Q6" i="49"/>
  <c r="P6" i="49"/>
  <c r="E6" i="49"/>
  <c r="M6" i="46"/>
  <c r="L6" i="46"/>
  <c r="E6" i="46"/>
  <c r="M6" i="45"/>
  <c r="L6" i="45"/>
  <c r="E6" i="45"/>
  <c r="M27" i="37"/>
  <c r="L27" i="37"/>
  <c r="E27" i="37"/>
  <c r="M26" i="37"/>
  <c r="L26" i="37"/>
  <c r="E26" i="37"/>
  <c r="M23" i="37"/>
  <c r="L23" i="37"/>
  <c r="E23" i="37"/>
  <c r="M20" i="37"/>
  <c r="L20" i="37"/>
  <c r="E20" i="37"/>
  <c r="M19" i="37"/>
  <c r="L19" i="37"/>
  <c r="E19" i="37"/>
  <c r="M16" i="37"/>
  <c r="L16" i="37"/>
  <c r="E16" i="37"/>
  <c r="M13" i="37"/>
  <c r="L13" i="37"/>
  <c r="E13" i="37"/>
  <c r="M10" i="37"/>
  <c r="L10" i="37"/>
  <c r="E10" i="37"/>
  <c r="M7" i="37"/>
  <c r="L7" i="37"/>
  <c r="E7" i="37"/>
  <c r="M6" i="37"/>
  <c r="L6" i="37"/>
  <c r="E6" i="37"/>
  <c r="M34" i="36"/>
  <c r="L34" i="36"/>
  <c r="E34" i="36"/>
  <c r="M33" i="36"/>
  <c r="L33" i="36"/>
  <c r="E33" i="36"/>
  <c r="M32" i="36"/>
  <c r="L32" i="36"/>
  <c r="E32" i="36"/>
  <c r="M29" i="36"/>
  <c r="L29" i="36"/>
  <c r="E29" i="36"/>
  <c r="M28" i="36"/>
  <c r="L28" i="36"/>
  <c r="E28" i="36"/>
  <c r="M25" i="36"/>
  <c r="L25" i="36"/>
  <c r="E25" i="36"/>
  <c r="M24" i="36"/>
  <c r="L24" i="36"/>
  <c r="E24" i="36"/>
  <c r="M23" i="36"/>
  <c r="L23" i="36"/>
  <c r="E23" i="36"/>
  <c r="M20" i="36"/>
  <c r="L20" i="36"/>
  <c r="E20" i="36"/>
  <c r="M17" i="36"/>
  <c r="L17" i="36"/>
  <c r="E17" i="36"/>
  <c r="M16" i="36"/>
  <c r="L16" i="36"/>
  <c r="E16" i="36"/>
  <c r="M13" i="36"/>
  <c r="L13" i="36"/>
  <c r="E13" i="36"/>
  <c r="M10" i="36"/>
  <c r="L10" i="36"/>
  <c r="E10" i="36"/>
  <c r="M9" i="36"/>
  <c r="L9" i="36"/>
  <c r="E9" i="36"/>
  <c r="M6" i="36"/>
  <c r="L6" i="36"/>
  <c r="E6" i="36"/>
  <c r="M16" i="30"/>
  <c r="L16" i="30"/>
  <c r="E16" i="30"/>
  <c r="M13" i="30"/>
  <c r="L13" i="30"/>
  <c r="E13" i="30"/>
  <c r="M12" i="30"/>
  <c r="L12" i="30"/>
  <c r="E12" i="30"/>
  <c r="M9" i="30"/>
  <c r="L9" i="30"/>
  <c r="E9" i="30"/>
  <c r="M6" i="30"/>
  <c r="L6" i="30"/>
  <c r="E6" i="30"/>
  <c r="M7" i="29"/>
  <c r="L7" i="29"/>
  <c r="E7" i="29"/>
  <c r="M6" i="29"/>
  <c r="L6" i="29"/>
  <c r="E6" i="29"/>
  <c r="M13" i="28"/>
  <c r="L13" i="28"/>
  <c r="E13" i="28"/>
  <c r="M12" i="28"/>
  <c r="L12" i="28"/>
  <c r="E12" i="28"/>
  <c r="M9" i="28"/>
  <c r="L9" i="28"/>
  <c r="E9" i="28"/>
  <c r="M6" i="28"/>
  <c r="L6" i="28"/>
  <c r="E6" i="28"/>
  <c r="M19" i="27"/>
  <c r="L19" i="27"/>
  <c r="E19" i="27"/>
  <c r="M16" i="27"/>
  <c r="L16" i="27"/>
  <c r="E16" i="27"/>
  <c r="M15" i="27"/>
  <c r="L15" i="27"/>
  <c r="E15" i="27"/>
  <c r="M12" i="27"/>
  <c r="L12" i="27"/>
  <c r="E12" i="27"/>
  <c r="M9" i="27"/>
  <c r="L9" i="27"/>
  <c r="E9" i="27"/>
  <c r="M6" i="27"/>
  <c r="L6" i="27"/>
  <c r="E6" i="27"/>
  <c r="M37" i="26"/>
  <c r="L37" i="26"/>
  <c r="E37" i="26"/>
  <c r="M34" i="26"/>
  <c r="L34" i="26"/>
  <c r="E34" i="26"/>
  <c r="M31" i="26"/>
  <c r="L31" i="26"/>
  <c r="E31" i="26"/>
  <c r="M30" i="26"/>
  <c r="L30" i="26"/>
  <c r="E30" i="26"/>
  <c r="M29" i="26"/>
  <c r="L29" i="26"/>
  <c r="E29" i="26"/>
  <c r="M26" i="26"/>
  <c r="L26" i="26"/>
  <c r="E26" i="26"/>
  <c r="M25" i="26"/>
  <c r="L25" i="26"/>
  <c r="E25" i="26"/>
  <c r="M24" i="26"/>
  <c r="L24" i="26"/>
  <c r="E24" i="26"/>
  <c r="M23" i="26"/>
  <c r="L23" i="26"/>
  <c r="E23" i="26"/>
  <c r="M20" i="26"/>
  <c r="L20" i="26"/>
  <c r="E20" i="26"/>
  <c r="M19" i="26"/>
  <c r="L19" i="26"/>
  <c r="E19" i="26"/>
  <c r="M18" i="26"/>
  <c r="L18" i="26"/>
  <c r="E18" i="26"/>
  <c r="M15" i="26"/>
  <c r="L15" i="26"/>
  <c r="E15" i="26"/>
  <c r="M14" i="26"/>
  <c r="L14" i="26"/>
  <c r="E14" i="26"/>
  <c r="M13" i="26"/>
  <c r="L13" i="26"/>
  <c r="E13" i="26"/>
  <c r="M10" i="26"/>
  <c r="L10" i="26"/>
  <c r="E10" i="26"/>
  <c r="M7" i="26"/>
  <c r="L7" i="26"/>
  <c r="E7" i="26"/>
  <c r="M6" i="26"/>
  <c r="L6" i="26"/>
  <c r="E6" i="26"/>
  <c r="M92" i="25"/>
  <c r="L92" i="25"/>
  <c r="E92" i="25"/>
  <c r="M89" i="25"/>
  <c r="L89" i="25"/>
  <c r="E89" i="25"/>
  <c r="M88" i="25"/>
  <c r="L88" i="25"/>
  <c r="E88" i="25"/>
  <c r="M87" i="25"/>
  <c r="L87" i="25"/>
  <c r="E87" i="25"/>
  <c r="M84" i="25"/>
  <c r="L84" i="25"/>
  <c r="E84" i="25"/>
  <c r="M83" i="25"/>
  <c r="L83" i="25"/>
  <c r="E83" i="25"/>
  <c r="M82" i="25"/>
  <c r="L82" i="25"/>
  <c r="E82" i="25"/>
  <c r="M81" i="25"/>
  <c r="L81" i="25"/>
  <c r="E81" i="25"/>
  <c r="M80" i="25"/>
  <c r="L80" i="25"/>
  <c r="E80" i="25"/>
  <c r="M79" i="25"/>
  <c r="L79" i="25"/>
  <c r="E79" i="25"/>
  <c r="M78" i="25"/>
  <c r="L78" i="25"/>
  <c r="E78" i="25"/>
  <c r="M77" i="25"/>
  <c r="L77" i="25"/>
  <c r="E77" i="25"/>
  <c r="M74" i="25"/>
  <c r="L74" i="25"/>
  <c r="E74" i="25"/>
  <c r="M73" i="25"/>
  <c r="L73" i="25"/>
  <c r="E73" i="25"/>
  <c r="M72" i="25"/>
  <c r="L72" i="25"/>
  <c r="E72" i="25"/>
  <c r="M71" i="25"/>
  <c r="L71" i="25"/>
  <c r="E71" i="25"/>
  <c r="M70" i="25"/>
  <c r="L70" i="25"/>
  <c r="E70" i="25"/>
  <c r="M69" i="25"/>
  <c r="L69" i="25"/>
  <c r="E69" i="25"/>
  <c r="M68" i="25"/>
  <c r="L68" i="25"/>
  <c r="E68" i="25"/>
  <c r="M67" i="25"/>
  <c r="L67" i="25"/>
  <c r="E67" i="25"/>
  <c r="M64" i="25"/>
  <c r="L64" i="25"/>
  <c r="E64" i="25"/>
  <c r="M63" i="25"/>
  <c r="L63" i="25"/>
  <c r="E63" i="25"/>
  <c r="M62" i="25"/>
  <c r="L62" i="25"/>
  <c r="E62" i="25"/>
  <c r="M61" i="25"/>
  <c r="L61" i="25"/>
  <c r="E61" i="25"/>
  <c r="M60" i="25"/>
  <c r="L60" i="25"/>
  <c r="E60" i="25"/>
  <c r="M59" i="25"/>
  <c r="L59" i="25"/>
  <c r="E59" i="25"/>
  <c r="M58" i="25"/>
  <c r="L58" i="25"/>
  <c r="E58" i="25"/>
  <c r="M55" i="25"/>
  <c r="L55" i="25"/>
  <c r="E55" i="25"/>
  <c r="M54" i="25"/>
  <c r="L54" i="25"/>
  <c r="E54" i="25"/>
  <c r="M53" i="25"/>
  <c r="L53" i="25"/>
  <c r="E53" i="25"/>
  <c r="M52" i="25"/>
  <c r="L52" i="25"/>
  <c r="E52" i="25"/>
  <c r="M51" i="25"/>
  <c r="L51" i="25"/>
  <c r="E51" i="25"/>
  <c r="M48" i="25"/>
  <c r="L48" i="25"/>
  <c r="E48" i="25"/>
  <c r="M45" i="25"/>
  <c r="L45" i="25"/>
  <c r="E45" i="25"/>
  <c r="M44" i="25"/>
  <c r="L44" i="25"/>
  <c r="E44" i="25"/>
  <c r="M41" i="25"/>
  <c r="L41" i="25"/>
  <c r="E41" i="25"/>
  <c r="M38" i="25"/>
  <c r="L38" i="25"/>
  <c r="E38" i="25"/>
  <c r="M37" i="25"/>
  <c r="L37" i="25"/>
  <c r="E37" i="25"/>
  <c r="M34" i="25"/>
  <c r="L34" i="25"/>
  <c r="E34" i="25"/>
  <c r="M31" i="25"/>
  <c r="L31" i="25"/>
  <c r="E31" i="25"/>
  <c r="M28" i="25"/>
  <c r="L28" i="25"/>
  <c r="E28" i="25"/>
  <c r="M25" i="25"/>
  <c r="L25" i="25"/>
  <c r="E25" i="25"/>
  <c r="M22" i="25"/>
  <c r="L22" i="25"/>
  <c r="E22" i="25"/>
  <c r="M19" i="25"/>
  <c r="L19" i="25"/>
  <c r="E19" i="25"/>
  <c r="M18" i="25"/>
  <c r="L18" i="25"/>
  <c r="E18" i="25"/>
  <c r="M17" i="25"/>
  <c r="L17" i="25"/>
  <c r="E17" i="25"/>
  <c r="M16" i="25"/>
  <c r="L16" i="25"/>
  <c r="E16" i="25"/>
  <c r="M15" i="25"/>
  <c r="L15" i="25"/>
  <c r="E15" i="25"/>
  <c r="M12" i="25"/>
  <c r="L12" i="25"/>
  <c r="E12" i="25"/>
  <c r="M11" i="25"/>
  <c r="L11" i="25"/>
  <c r="E11" i="25"/>
  <c r="M8" i="25"/>
  <c r="L8" i="25"/>
  <c r="E8" i="25"/>
  <c r="M7" i="25"/>
  <c r="L7" i="25"/>
  <c r="E7" i="25"/>
  <c r="M6" i="25"/>
  <c r="L6" i="25"/>
  <c r="E6" i="25"/>
  <c r="M7" i="24"/>
  <c r="L7" i="24"/>
  <c r="E7" i="24"/>
  <c r="M6" i="24"/>
  <c r="L6" i="24"/>
  <c r="E6" i="24"/>
  <c r="M6" i="23"/>
  <c r="L6" i="23"/>
  <c r="E6" i="23"/>
  <c r="M20" i="22"/>
  <c r="L20" i="22"/>
  <c r="E20" i="22"/>
  <c r="M19" i="22"/>
  <c r="L19" i="22"/>
  <c r="E19" i="22"/>
  <c r="M16" i="22"/>
  <c r="L16" i="22"/>
  <c r="E16" i="22"/>
  <c r="M13" i="22"/>
  <c r="L13" i="22"/>
  <c r="E13" i="22"/>
  <c r="M12" i="22"/>
  <c r="L12" i="22"/>
  <c r="E12" i="22"/>
  <c r="M9" i="22"/>
  <c r="L9" i="22"/>
  <c r="E9" i="22"/>
  <c r="M6" i="22"/>
  <c r="L6" i="22"/>
  <c r="E6" i="22"/>
  <c r="M15" i="21"/>
  <c r="L15" i="21"/>
  <c r="E15" i="21"/>
  <c r="M12" i="21"/>
  <c r="L12" i="21"/>
  <c r="E12" i="21"/>
  <c r="M9" i="21"/>
  <c r="L9" i="21"/>
  <c r="E9" i="21"/>
  <c r="M6" i="21"/>
  <c r="L6" i="21"/>
  <c r="E6" i="21"/>
  <c r="M6" i="20"/>
  <c r="L6" i="20"/>
  <c r="E6" i="20"/>
  <c r="M10" i="19"/>
  <c r="L10" i="19"/>
  <c r="E10" i="19"/>
  <c r="M7" i="19"/>
  <c r="L7" i="19"/>
  <c r="E7" i="19"/>
  <c r="M6" i="19"/>
  <c r="L6" i="19"/>
  <c r="E6" i="19"/>
  <c r="M22" i="17"/>
  <c r="L22" i="17"/>
  <c r="E22" i="17"/>
  <c r="M19" i="17"/>
  <c r="L19" i="17"/>
  <c r="E19" i="17"/>
  <c r="M16" i="17"/>
  <c r="L16" i="17"/>
  <c r="E16" i="17"/>
  <c r="M15" i="17"/>
  <c r="L15" i="17"/>
  <c r="E15" i="17"/>
  <c r="M14" i="17"/>
  <c r="L14" i="17"/>
  <c r="E14" i="17"/>
  <c r="M11" i="17"/>
  <c r="L11" i="17"/>
  <c r="E11" i="17"/>
  <c r="M8" i="17"/>
  <c r="L8" i="17"/>
  <c r="E8" i="17"/>
  <c r="M7" i="17"/>
  <c r="L7" i="17"/>
  <c r="E7" i="17"/>
  <c r="M6" i="17"/>
  <c r="L6" i="17"/>
  <c r="E6" i="17"/>
  <c r="U6" i="16"/>
  <c r="T6" i="16"/>
  <c r="E6" i="16"/>
  <c r="U41" i="14"/>
  <c r="T41" i="14"/>
  <c r="E41" i="14"/>
  <c r="U38" i="14"/>
  <c r="T38" i="14"/>
  <c r="E38" i="14"/>
  <c r="U35" i="14"/>
  <c r="T35" i="14"/>
  <c r="E35" i="14"/>
  <c r="U32" i="14"/>
  <c r="T32" i="14"/>
  <c r="E32" i="14"/>
  <c r="U31" i="14"/>
  <c r="T31" i="14"/>
  <c r="E31" i="14"/>
  <c r="U30" i="14"/>
  <c r="T30" i="14"/>
  <c r="E30" i="14"/>
  <c r="U29" i="14"/>
  <c r="T29" i="14"/>
  <c r="E29" i="14"/>
  <c r="U26" i="14"/>
  <c r="T26" i="14"/>
  <c r="E26" i="14"/>
  <c r="U25" i="14"/>
  <c r="T25" i="14"/>
  <c r="E25" i="14"/>
  <c r="U24" i="14"/>
  <c r="T24" i="14"/>
  <c r="E24" i="14"/>
  <c r="U23" i="14"/>
  <c r="T23" i="14"/>
  <c r="E23" i="14"/>
  <c r="U20" i="14"/>
  <c r="T20" i="14"/>
  <c r="E20" i="14"/>
  <c r="U19" i="14"/>
  <c r="T19" i="14"/>
  <c r="E19" i="14"/>
  <c r="U16" i="14"/>
  <c r="T16" i="14"/>
  <c r="E16" i="14"/>
  <c r="U13" i="14"/>
  <c r="T13" i="14"/>
  <c r="E13" i="14"/>
  <c r="U12" i="14"/>
  <c r="T12" i="14"/>
  <c r="E12" i="14"/>
  <c r="U11" i="14"/>
  <c r="T11" i="14"/>
  <c r="E11" i="14"/>
  <c r="U10" i="14"/>
  <c r="T10" i="14"/>
  <c r="E10" i="14"/>
  <c r="U7" i="14"/>
  <c r="T7" i="14"/>
  <c r="E7" i="14"/>
  <c r="U6" i="14"/>
  <c r="T6" i="14"/>
  <c r="E6" i="14"/>
  <c r="U46" i="13"/>
  <c r="T46" i="13"/>
  <c r="E46" i="13"/>
  <c r="U45" i="13"/>
  <c r="T45" i="13"/>
  <c r="E45" i="13"/>
  <c r="U42" i="13"/>
  <c r="T42" i="13"/>
  <c r="E42" i="13"/>
  <c r="U41" i="13"/>
  <c r="T41" i="13"/>
  <c r="E41" i="13"/>
  <c r="U40" i="13"/>
  <c r="T40" i="13"/>
  <c r="E40" i="13"/>
  <c r="U39" i="13"/>
  <c r="T39" i="13"/>
  <c r="E39" i="13"/>
  <c r="U36" i="13"/>
  <c r="T36" i="13"/>
  <c r="E36" i="13"/>
  <c r="U35" i="13"/>
  <c r="T35" i="13"/>
  <c r="E35" i="13"/>
  <c r="U34" i="13"/>
  <c r="T34" i="13"/>
  <c r="E34" i="13"/>
  <c r="U31" i="13"/>
  <c r="T31" i="13"/>
  <c r="E31" i="13"/>
  <c r="U28" i="13"/>
  <c r="T28" i="13"/>
  <c r="E28" i="13"/>
  <c r="U27" i="13"/>
  <c r="T27" i="13"/>
  <c r="E27" i="13"/>
  <c r="U24" i="13"/>
  <c r="T24" i="13"/>
  <c r="E24" i="13"/>
  <c r="U21" i="13"/>
  <c r="T21" i="13"/>
  <c r="E21" i="13"/>
  <c r="U18" i="13"/>
  <c r="T18" i="13"/>
  <c r="E18" i="13"/>
  <c r="U17" i="13"/>
  <c r="T17" i="13"/>
  <c r="E17" i="13"/>
  <c r="U16" i="13"/>
  <c r="T16" i="13"/>
  <c r="E16" i="13"/>
  <c r="U13" i="13"/>
  <c r="T13" i="13"/>
  <c r="E13" i="13"/>
  <c r="U10" i="13"/>
  <c r="T10" i="13"/>
  <c r="E10" i="13"/>
  <c r="U9" i="13"/>
  <c r="T9" i="13"/>
  <c r="E9" i="13"/>
  <c r="U6" i="13"/>
  <c r="T6" i="13"/>
  <c r="E6" i="13"/>
  <c r="U9" i="12"/>
  <c r="T9" i="12"/>
  <c r="E9" i="12"/>
  <c r="U6" i="12"/>
  <c r="T6" i="12"/>
  <c r="E6" i="12"/>
  <c r="U9" i="11"/>
  <c r="T9" i="11"/>
  <c r="E9" i="11"/>
  <c r="U6" i="11"/>
  <c r="T6" i="11"/>
  <c r="E6" i="11"/>
  <c r="U9" i="9"/>
  <c r="T9" i="9"/>
  <c r="E9" i="9"/>
  <c r="U6" i="9"/>
  <c r="T6" i="9"/>
  <c r="E6" i="9"/>
</calcChain>
</file>

<file path=xl/sharedStrings.xml><?xml version="1.0" encoding="utf-8"?>
<sst xmlns="http://schemas.openxmlformats.org/spreadsheetml/2006/main" count="4946" uniqueCount="872">
  <si>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</si>
  <si>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</si>
  <si>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</si>
  <si>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</si>
  <si>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</si>
  <si>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</si>
  <si>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</si>
  <si>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</si>
  <si>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</si>
  <si>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</si>
  <si>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</si>
  <si>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</si>
  <si>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</si>
  <si>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 xml:space="preserve">Абсолютный зачёт </t>
  </si>
  <si>
    <t/>
  </si>
  <si>
    <t>Место</t>
  </si>
  <si>
    <t>Shv/Mel</t>
  </si>
  <si>
    <t>Приседание</t>
  </si>
  <si>
    <t>Жим лёжа</t>
  </si>
  <si>
    <t>Становая тяга</t>
  </si>
  <si>
    <t>ВЕСОВАЯ КАТЕГОРИЯ   90</t>
  </si>
  <si>
    <t xml:space="preserve">лично </t>
  </si>
  <si>
    <t>330,0</t>
  </si>
  <si>
    <t>345,0</t>
  </si>
  <si>
    <t>175,0</t>
  </si>
  <si>
    <t>180,0</t>
  </si>
  <si>
    <t>187,5</t>
  </si>
  <si>
    <t>305,0</t>
  </si>
  <si>
    <t>320,0</t>
  </si>
  <si>
    <t>0,0</t>
  </si>
  <si>
    <t xml:space="preserve"> </t>
  </si>
  <si>
    <t xml:space="preserve">Новосибирск/Новосибирская область </t>
  </si>
  <si>
    <t>160,0</t>
  </si>
  <si>
    <t>ВЕСОВАЯ КАТЕГОРИЯ   100</t>
  </si>
  <si>
    <t>99,40</t>
  </si>
  <si>
    <t>215,0</t>
  </si>
  <si>
    <t>232,5</t>
  </si>
  <si>
    <t>ВЕСОВАЯ КАТЕГОРИЯ   125</t>
  </si>
  <si>
    <t xml:space="preserve">Москва </t>
  </si>
  <si>
    <t>200,0</t>
  </si>
  <si>
    <t>210,0</t>
  </si>
  <si>
    <t>355,0</t>
  </si>
  <si>
    <t xml:space="preserve">Томск/Томская область </t>
  </si>
  <si>
    <t>325,0</t>
  </si>
  <si>
    <t>340,0</t>
  </si>
  <si>
    <t>222,5</t>
  </si>
  <si>
    <t>300,0</t>
  </si>
  <si>
    <t>310,0</t>
  </si>
  <si>
    <t>ВЕСОВАЯ КАТЕГОРИЯ   140</t>
  </si>
  <si>
    <t>192,5</t>
  </si>
  <si>
    <t>ВЕСОВАЯ КАТЕГОРИЯ   140+</t>
  </si>
  <si>
    <t>230,0</t>
  </si>
  <si>
    <t>240,0</t>
  </si>
  <si>
    <t>250,0</t>
  </si>
  <si>
    <t>Свиридов Владимир</t>
  </si>
  <si>
    <t>146,80</t>
  </si>
  <si>
    <t xml:space="preserve">Искитим/Новосибирская область </t>
  </si>
  <si>
    <t>190,0</t>
  </si>
  <si>
    <t>Мастера 40 - 44 (09.08.1979)/41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</si>
  <si>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</si>
  <si>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</si>
  <si>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</si>
  <si>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</si>
  <si>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</si>
  <si>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</si>
  <si>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</si>
  <si>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100</t>
  </si>
  <si>
    <t>125</t>
  </si>
  <si>
    <t>90</t>
  </si>
  <si>
    <t>1</t>
  </si>
  <si>
    <t>-</t>
  </si>
  <si>
    <t>2</t>
  </si>
  <si>
    <t>SIBERIAN POWER SHOW
Любители пауэрлифтинг в однослойной экипировке
Красноярск/Красноярский край 3 - 5 апреля 2021 г.</t>
  </si>
  <si>
    <t>ВЕСОВАЯ КАТЕГОРИЯ   82.5</t>
  </si>
  <si>
    <t>Рогатенко Александр</t>
  </si>
  <si>
    <t>Открытая (07.05.1982)/38</t>
  </si>
  <si>
    <t>82,10</t>
  </si>
  <si>
    <t xml:space="preserve">Красноярск/Красноярский край </t>
  </si>
  <si>
    <t>245,0</t>
  </si>
  <si>
    <t>255,0</t>
  </si>
  <si>
    <t>195,0</t>
  </si>
  <si>
    <t>Моргунов Александр</t>
  </si>
  <si>
    <t>Юноши 16 - 17 (18.01.2004)/17</t>
  </si>
  <si>
    <t>87,80</t>
  </si>
  <si>
    <t>265,0</t>
  </si>
  <si>
    <t>280,0</t>
  </si>
  <si>
    <t>162,5</t>
  </si>
  <si>
    <t>172,5</t>
  </si>
  <si>
    <t>177,5</t>
  </si>
  <si>
    <t>SIBERIAN POWER SHOW
ПРО пауэрлифтинг в однопетельной софт экипировке
Красноярск/Красноярский край 3 - 5 апреля 2021 г.</t>
  </si>
  <si>
    <t>ВЕСОВАЯ КАТЕГОРИЯ   56</t>
  </si>
  <si>
    <t>Лапин Егор</t>
  </si>
  <si>
    <t>Юноши 0-13 (07.04.2009)/11</t>
  </si>
  <si>
    <t>55,80</t>
  </si>
  <si>
    <t xml:space="preserve">Богучаны/Красноярский край </t>
  </si>
  <si>
    <t>90,0</t>
  </si>
  <si>
    <t>100,0</t>
  </si>
  <si>
    <t>105,0</t>
  </si>
  <si>
    <t>40,0</t>
  </si>
  <si>
    <t>45,0</t>
  </si>
  <si>
    <t>50,0</t>
  </si>
  <si>
    <t>95,0</t>
  </si>
  <si>
    <t>107,5</t>
  </si>
  <si>
    <t xml:space="preserve">Чепурин Максим </t>
  </si>
  <si>
    <t>Склянов Илья</t>
  </si>
  <si>
    <t>Открытая (14.05.1992)/28</t>
  </si>
  <si>
    <t>110,90</t>
  </si>
  <si>
    <t xml:space="preserve">Саянск/Иркутская область </t>
  </si>
  <si>
    <t>260,0</t>
  </si>
  <si>
    <t>275,0</t>
  </si>
  <si>
    <t>150,0</t>
  </si>
  <si>
    <t>157,5</t>
  </si>
  <si>
    <t>285,0</t>
  </si>
  <si>
    <t>56</t>
  </si>
  <si>
    <t>257,5</t>
  </si>
  <si>
    <t>SIBERIAN POWER SHOW
Любители пауэрлифтинг в однопетельной софт экипировке
Красноярск/Красноярский край 3 - 5 апреля 2021 г.</t>
  </si>
  <si>
    <t>Иванов Павел</t>
  </si>
  <si>
    <t>Открытая (06.01.1983)/38</t>
  </si>
  <si>
    <t>96,00</t>
  </si>
  <si>
    <t>220,0</t>
  </si>
  <si>
    <t>140,0</t>
  </si>
  <si>
    <t>152,5</t>
  </si>
  <si>
    <t xml:space="preserve">Мистратов Виктор </t>
  </si>
  <si>
    <t>Малахов Максим</t>
  </si>
  <si>
    <t>Открытая (10.12.1985)/35</t>
  </si>
  <si>
    <t>116,30</t>
  </si>
  <si>
    <t>147,5</t>
  </si>
  <si>
    <t>235,0</t>
  </si>
  <si>
    <t>SIBERIAN POWER SHOW
Любители пауэрлифтинг без экипировки
Красноярск/Красноярский край 3 - 5 апреля 2021 г.</t>
  </si>
  <si>
    <t>ВЕСОВАЯ КАТЕГОРИЯ   44</t>
  </si>
  <si>
    <t>Курзова Анастасия</t>
  </si>
  <si>
    <t>Девушки 0-13 (30.01.2009)/12</t>
  </si>
  <si>
    <t>41,80</t>
  </si>
  <si>
    <t>30,0</t>
  </si>
  <si>
    <t>35,0</t>
  </si>
  <si>
    <t>25,0</t>
  </si>
  <si>
    <t>27,5</t>
  </si>
  <si>
    <t>60,0</t>
  </si>
  <si>
    <t>65,0</t>
  </si>
  <si>
    <t>67,5</t>
  </si>
  <si>
    <t>Пежемская Мария</t>
  </si>
  <si>
    <t>Открытая (10.04.1995)/25</t>
  </si>
  <si>
    <t>54,50</t>
  </si>
  <si>
    <t xml:space="preserve">Братск/Иркутская область </t>
  </si>
  <si>
    <t>112,5</t>
  </si>
  <si>
    <t>115,0</t>
  </si>
  <si>
    <t>70,0</t>
  </si>
  <si>
    <t>137,5</t>
  </si>
  <si>
    <t>142,5</t>
  </si>
  <si>
    <t>Дедюхина Юлия</t>
  </si>
  <si>
    <t>Открытая (30.08.1986)/34</t>
  </si>
  <si>
    <t>56,00</t>
  </si>
  <si>
    <t>77,5</t>
  </si>
  <si>
    <t>85,0</t>
  </si>
  <si>
    <t>52,5</t>
  </si>
  <si>
    <t>110,0</t>
  </si>
  <si>
    <t>120,0</t>
  </si>
  <si>
    <t>ВЕСОВАЯ КАТЕГОРИЯ   60</t>
  </si>
  <si>
    <t>Зайцева Наталья</t>
  </si>
  <si>
    <t>Открытая (22.08.1996)/24</t>
  </si>
  <si>
    <t>58,50</t>
  </si>
  <si>
    <t>55,0</t>
  </si>
  <si>
    <t>62,5</t>
  </si>
  <si>
    <t>ВЕСОВАЯ КАТЕГОРИЯ   67.5</t>
  </si>
  <si>
    <t>Сайфулина Наталья</t>
  </si>
  <si>
    <t>Открытая (14.01.1982)/39</t>
  </si>
  <si>
    <t>67,00</t>
  </si>
  <si>
    <t xml:space="preserve">Норильск/Красноярский край </t>
  </si>
  <si>
    <t>130,0</t>
  </si>
  <si>
    <t>75,0</t>
  </si>
  <si>
    <t>80,0</t>
  </si>
  <si>
    <t>82,5</t>
  </si>
  <si>
    <t>135,0</t>
  </si>
  <si>
    <t>145,0</t>
  </si>
  <si>
    <t>155,0</t>
  </si>
  <si>
    <t>Леоненко Лилия</t>
  </si>
  <si>
    <t>Открытая (06.03.1986)/35</t>
  </si>
  <si>
    <t>66,30</t>
  </si>
  <si>
    <t>Капитонова Лариса</t>
  </si>
  <si>
    <t>Мастера 45 - 49 (22.02.1975)/46</t>
  </si>
  <si>
    <t>66,70</t>
  </si>
  <si>
    <t xml:space="preserve">Санкт-Петербург </t>
  </si>
  <si>
    <t>ВЕСОВАЯ КАТЕГОРИЯ   75</t>
  </si>
  <si>
    <t>Милованова Александра</t>
  </si>
  <si>
    <t>Открытая (04.06.1987)/33</t>
  </si>
  <si>
    <t>68,70</t>
  </si>
  <si>
    <t xml:space="preserve">Шарыпово/Красноярский край </t>
  </si>
  <si>
    <t>125,0</t>
  </si>
  <si>
    <t>Попенкова Маргарита</t>
  </si>
  <si>
    <t>Мастера 45 - 49 (04.01.1972)/49</t>
  </si>
  <si>
    <t>81,40</t>
  </si>
  <si>
    <t>47,5</t>
  </si>
  <si>
    <t>Филимонов Сергей</t>
  </si>
  <si>
    <t>Открытая (18.02.1972)/49</t>
  </si>
  <si>
    <t>66,60</t>
  </si>
  <si>
    <t>170,0</t>
  </si>
  <si>
    <t>185,0</t>
  </si>
  <si>
    <t>Мастера 45 - 49 (18.02.1972)/49</t>
  </si>
  <si>
    <t>Денисов Денис</t>
  </si>
  <si>
    <t>Открытая (17.11.1988)/32</t>
  </si>
  <si>
    <t>74,50</t>
  </si>
  <si>
    <t xml:space="preserve">Кызыл/Тыва </t>
  </si>
  <si>
    <t xml:space="preserve">Григорьев И. </t>
  </si>
  <si>
    <t>Павлов Роман</t>
  </si>
  <si>
    <t>Юниоры 20 - 23 (23.02.2000)/21</t>
  </si>
  <si>
    <t>82,50</t>
  </si>
  <si>
    <t>122,5</t>
  </si>
  <si>
    <t>97,5</t>
  </si>
  <si>
    <t>102,5</t>
  </si>
  <si>
    <t>Булгаков Андрей</t>
  </si>
  <si>
    <t>Открытая (08.01.1997)/24</t>
  </si>
  <si>
    <t>79,90</t>
  </si>
  <si>
    <t>Коптелов Максим</t>
  </si>
  <si>
    <t>Открытая (03.09.1988)/32</t>
  </si>
  <si>
    <t>81,20</t>
  </si>
  <si>
    <t>217,5</t>
  </si>
  <si>
    <t>Мисютинский Виталий</t>
  </si>
  <si>
    <t>Открытая (02.09.1967)/53</t>
  </si>
  <si>
    <t>88,60</t>
  </si>
  <si>
    <t xml:space="preserve">Одесса </t>
  </si>
  <si>
    <t>205,0</t>
  </si>
  <si>
    <t>Ларкин Николай</t>
  </si>
  <si>
    <t>Открытая (17.05.1992)/28</t>
  </si>
  <si>
    <t>87,30</t>
  </si>
  <si>
    <t>182,5</t>
  </si>
  <si>
    <t xml:space="preserve">Свиридов В. </t>
  </si>
  <si>
    <t>Мастера 50 - 54 (02.09.1967)/53</t>
  </si>
  <si>
    <t>Люляков Роман</t>
  </si>
  <si>
    <t>Мастера 50 - 54 (17.10.1969)/51</t>
  </si>
  <si>
    <t>88,40</t>
  </si>
  <si>
    <t xml:space="preserve">Ачинск/Красноярский край </t>
  </si>
  <si>
    <t>Кириенко Роман</t>
  </si>
  <si>
    <t>Открытая (15.03.1987)/34</t>
  </si>
  <si>
    <t>97,30</t>
  </si>
  <si>
    <t>Товбов Александр</t>
  </si>
  <si>
    <t>Открытая (01.05.1986)/34</t>
  </si>
  <si>
    <t>97,70</t>
  </si>
  <si>
    <t xml:space="preserve">Железногорск-Илимский/Иркутская область </t>
  </si>
  <si>
    <t>225,0</t>
  </si>
  <si>
    <t>165,0</t>
  </si>
  <si>
    <t xml:space="preserve">Женщины </t>
  </si>
  <si>
    <t>44</t>
  </si>
  <si>
    <t>303,0950</t>
  </si>
  <si>
    <t>67.5</t>
  </si>
  <si>
    <t>377,5</t>
  </si>
  <si>
    <t>296,0355</t>
  </si>
  <si>
    <t>261,1290</t>
  </si>
  <si>
    <t>82.5</t>
  </si>
  <si>
    <t>645,0</t>
  </si>
  <si>
    <t>408,6075</t>
  </si>
  <si>
    <t>75</t>
  </si>
  <si>
    <t>555,0</t>
  </si>
  <si>
    <t>370,7400</t>
  </si>
  <si>
    <t>620,0</t>
  </si>
  <si>
    <t>366,4200</t>
  </si>
  <si>
    <t>SIBERIAN POWER SHOW
ПРО пауэрлифтинг без экипировки
Красноярск/Красноярский край 3 - 5 апреля 2021 г.</t>
  </si>
  <si>
    <t>Волобуева Вера</t>
  </si>
  <si>
    <t>Открытая (03.03.1957)/64</t>
  </si>
  <si>
    <t>66,20</t>
  </si>
  <si>
    <t xml:space="preserve">Новоалтайск/Алтайский край </t>
  </si>
  <si>
    <t>72,5</t>
  </si>
  <si>
    <t>132,5</t>
  </si>
  <si>
    <t>Мастера 60 - 64 (03.03.1957)/64</t>
  </si>
  <si>
    <t>Дорохова Анастасия</t>
  </si>
  <si>
    <t>Девушки 18 - 19 (18.02.2002)/19</t>
  </si>
  <si>
    <t>73,20</t>
  </si>
  <si>
    <t>Зотова Ирина</t>
  </si>
  <si>
    <t>Открытая (29.11.1973)/47</t>
  </si>
  <si>
    <t>73,80</t>
  </si>
  <si>
    <t>Чудная Оксана</t>
  </si>
  <si>
    <t>Мастера 40 - 44 (30.05.1977)/43</t>
  </si>
  <si>
    <t>73,70</t>
  </si>
  <si>
    <t>127,5</t>
  </si>
  <si>
    <t>Мастера 45 - 49 (29.11.1973)/47</t>
  </si>
  <si>
    <t>Яковлев Артём</t>
  </si>
  <si>
    <t>Юниоры 20 - 23 (01.07.2000)/20</t>
  </si>
  <si>
    <t>72,20</t>
  </si>
  <si>
    <t>Милинчук Артём</t>
  </si>
  <si>
    <t>Открытая (02.02.1994)/27</t>
  </si>
  <si>
    <t>81,10</t>
  </si>
  <si>
    <t xml:space="preserve">Юрга/Кемеровская область </t>
  </si>
  <si>
    <t>267,5</t>
  </si>
  <si>
    <t>167,5</t>
  </si>
  <si>
    <t>270,0</t>
  </si>
  <si>
    <t xml:space="preserve">Бочарников А. </t>
  </si>
  <si>
    <t>Холопов Денис</t>
  </si>
  <si>
    <t>Открытая (03.03.1983)/38</t>
  </si>
  <si>
    <t>82,40</t>
  </si>
  <si>
    <t>207,5</t>
  </si>
  <si>
    <t>212,5</t>
  </si>
  <si>
    <t>Иванов Максим</t>
  </si>
  <si>
    <t>Открытая (16.06.1989)/31</t>
  </si>
  <si>
    <t>89,60</t>
  </si>
  <si>
    <t>295,0</t>
  </si>
  <si>
    <t>Аун Виктор</t>
  </si>
  <si>
    <t>Открытая (29.05.1978)/42</t>
  </si>
  <si>
    <t>86,50</t>
  </si>
  <si>
    <t>Буйнов Виталий</t>
  </si>
  <si>
    <t>Открытая (05.02.1982)/39</t>
  </si>
  <si>
    <t>88,70</t>
  </si>
  <si>
    <t>Мастера 40 - 44 (29.05.1978)/42</t>
  </si>
  <si>
    <t>Баталов Евгений</t>
  </si>
  <si>
    <t>Открытая (18.07.1993)/27</t>
  </si>
  <si>
    <t>96,30</t>
  </si>
  <si>
    <t xml:space="preserve">Киселёвск/Кемеровская область </t>
  </si>
  <si>
    <t>290,0</t>
  </si>
  <si>
    <t>Шмидт Алексей</t>
  </si>
  <si>
    <t>Открытая (10.03.1994)/27</t>
  </si>
  <si>
    <t>287,5</t>
  </si>
  <si>
    <t>292,5</t>
  </si>
  <si>
    <t>Гафаров Радик</t>
  </si>
  <si>
    <t>Открытая (30.05.1987)/33</t>
  </si>
  <si>
    <t>98,80</t>
  </si>
  <si>
    <t>Гореявчев Евгений</t>
  </si>
  <si>
    <t>Открытая (14.12.1988)/32</t>
  </si>
  <si>
    <t>95,30</t>
  </si>
  <si>
    <t>ВЕСОВАЯ КАТЕГОРИЯ   110</t>
  </si>
  <si>
    <t>Бузениус Иван</t>
  </si>
  <si>
    <t>Юниоры 20 - 23 (04.04.1997)/24</t>
  </si>
  <si>
    <t>104,20</t>
  </si>
  <si>
    <t xml:space="preserve">Куйбышев/Новосибирская область </t>
  </si>
  <si>
    <t>252,5</t>
  </si>
  <si>
    <t>Пичкулян Иван</t>
  </si>
  <si>
    <t>Открытая (12.09.1988)/32</t>
  </si>
  <si>
    <t>123,30</t>
  </si>
  <si>
    <t>315,0</t>
  </si>
  <si>
    <t>335,0</t>
  </si>
  <si>
    <t>197,5</t>
  </si>
  <si>
    <t>110</t>
  </si>
  <si>
    <t>875,0</t>
  </si>
  <si>
    <t>457,9750</t>
  </si>
  <si>
    <t>727,5</t>
  </si>
  <si>
    <t>455,9970</t>
  </si>
  <si>
    <t>717,5</t>
  </si>
  <si>
    <t>421,1007</t>
  </si>
  <si>
    <t>3</t>
  </si>
  <si>
    <t>4</t>
  </si>
  <si>
    <t>SIBERIAN POWER SHOW
ПРО пауэрлифтинг в многопетельной софт экипировке
Красноярск/Красноярский край 3 - 5 апреля 2021 г.</t>
  </si>
  <si>
    <t>Чепурин Максим</t>
  </si>
  <si>
    <t>Мастера 40 - 44 (05.04.1979)/41</t>
  </si>
  <si>
    <t>120,30</t>
  </si>
  <si>
    <t>SIBERIAN POWER SHOW
Любители военный жим классический
Красноярск/Красноярский край 3 - 5 апреля 2021 г.</t>
  </si>
  <si>
    <t>Ратников Александр</t>
  </si>
  <si>
    <t>Открытая (11.05.1983)/37</t>
  </si>
  <si>
    <t>72,80</t>
  </si>
  <si>
    <t xml:space="preserve">Черногорск/Хакасия </t>
  </si>
  <si>
    <t>Басловяк Юрий</t>
  </si>
  <si>
    <t>Открытая (06.05.1982)/38</t>
  </si>
  <si>
    <t>74,00</t>
  </si>
  <si>
    <t>Сафимов Виктор</t>
  </si>
  <si>
    <t>Мастера 70 - 74 (15.08.1949)/71</t>
  </si>
  <si>
    <t>73,40</t>
  </si>
  <si>
    <t>Маликов Евгений</t>
  </si>
  <si>
    <t>Мастера 45 - 49 (05.01.1975)/46</t>
  </si>
  <si>
    <t>80,60</t>
  </si>
  <si>
    <t>117,5</t>
  </si>
  <si>
    <t>Генза Александр</t>
  </si>
  <si>
    <t>Открытая (02.01.1987)/34</t>
  </si>
  <si>
    <t>87,20</t>
  </si>
  <si>
    <t>166,0</t>
  </si>
  <si>
    <t>Миколенко Сергей</t>
  </si>
  <si>
    <t>Открытая (28.12.1985)/35</t>
  </si>
  <si>
    <t>89,70</t>
  </si>
  <si>
    <t>84,00</t>
  </si>
  <si>
    <t>Черепанов Григорий</t>
  </si>
  <si>
    <t>Открытая (20.01.1992)/29</t>
  </si>
  <si>
    <t>97,10</t>
  </si>
  <si>
    <t>Попов Виктор</t>
  </si>
  <si>
    <t>Мастера 55 - 59 (25.06.1964)/56</t>
  </si>
  <si>
    <t>131,70</t>
  </si>
  <si>
    <t xml:space="preserve">Результат </t>
  </si>
  <si>
    <t>Результат</t>
  </si>
  <si>
    <t>SIBERIAN POWER SHOW
ПРО военный жим классический
Красноярск/Красноярский край 3 - 5 апреля 2021 г.</t>
  </si>
  <si>
    <t>Иргит Сухраб</t>
  </si>
  <si>
    <t>Открытая (20.01.1999)/22</t>
  </si>
  <si>
    <t>88,30</t>
  </si>
  <si>
    <t>92,5</t>
  </si>
  <si>
    <t>Андрис Виктор</t>
  </si>
  <si>
    <t>Мастера 45 - 49 (26.11.1974)/46</t>
  </si>
  <si>
    <t>87,70</t>
  </si>
  <si>
    <t xml:space="preserve">Чита/Забайкальский край </t>
  </si>
  <si>
    <t>Дубинин Максим</t>
  </si>
  <si>
    <t>Открытая (25.08.1983)/37</t>
  </si>
  <si>
    <t>105,00</t>
  </si>
  <si>
    <t xml:space="preserve">Шелехов/Иркутская область </t>
  </si>
  <si>
    <t>SIBERIAN POWER SHOW
Любители жим лежа в многослойной экипировке
Красноярск/Красноярский край 3 - 5 апреля 2021 г.</t>
  </si>
  <si>
    <t>Андрианов Ярослав</t>
  </si>
  <si>
    <t>Открытая (11.07.1986)/34</t>
  </si>
  <si>
    <t>112,00</t>
  </si>
  <si>
    <t>SIBERIAN POWER SHOW
ПРО жим лежа в многослойной экипировке
Красноярск/Красноярский край 3 - 5 апреля 2021 г.</t>
  </si>
  <si>
    <t>Зайцева Екатерина</t>
  </si>
  <si>
    <t>Открытая (12.02.1987)/34</t>
  </si>
  <si>
    <t>82,00</t>
  </si>
  <si>
    <t xml:space="preserve">Магнитогорск/Челябинская область </t>
  </si>
  <si>
    <t>Палей Андрей</t>
  </si>
  <si>
    <t>Мастера 55 - 59 (11.10.1961)/59</t>
  </si>
  <si>
    <t>100,00</t>
  </si>
  <si>
    <t xml:space="preserve">Рогожников К.В. </t>
  </si>
  <si>
    <t>Мистратов Виктор</t>
  </si>
  <si>
    <t>Открытая (10.02.1981)/40</t>
  </si>
  <si>
    <t>109,00</t>
  </si>
  <si>
    <t>Ребушев Роман</t>
  </si>
  <si>
    <t>Открытая (16.07.1986)/34</t>
  </si>
  <si>
    <t>134,00</t>
  </si>
  <si>
    <t>SIBERIAN POWER SHOW
СОВ жим лежа
Красноярск/Красноярский край 3 - 5 апреля 2021 г.</t>
  </si>
  <si>
    <t>Манкевич Нина</t>
  </si>
  <si>
    <t>Мастера 65 - 69 (23.02.1952)/69</t>
  </si>
  <si>
    <t>65,90</t>
  </si>
  <si>
    <t>Самонова Юлия</t>
  </si>
  <si>
    <t>Мастера 40 - 44 (19.02.1981)/40</t>
  </si>
  <si>
    <t>Ярушина Елена</t>
  </si>
  <si>
    <t>Мастера 40 - 44 (04.10.1978)/42</t>
  </si>
  <si>
    <t xml:space="preserve">Минусинск/Красноярский край </t>
  </si>
  <si>
    <t>Игнатенко Ольга</t>
  </si>
  <si>
    <t>Мастера 60 - 64 (13.01.1960)/61</t>
  </si>
  <si>
    <t>78,60</t>
  </si>
  <si>
    <t xml:space="preserve">Ужур/Красноярский край </t>
  </si>
  <si>
    <t>37,5</t>
  </si>
  <si>
    <t>Самонов Виктор</t>
  </si>
  <si>
    <t>Мастера 50 - 54 (15.02.1967)/54</t>
  </si>
  <si>
    <t>Романов Иван</t>
  </si>
  <si>
    <t>Мастера 40 - 44 (30.05.1980)/40</t>
  </si>
  <si>
    <t>Григорьев Сергей</t>
  </si>
  <si>
    <t>Мастера 65 - 69 (22.08.1954)/66</t>
  </si>
  <si>
    <t>77,00</t>
  </si>
  <si>
    <t xml:space="preserve">Заозёрный/Красноярский край </t>
  </si>
  <si>
    <t>SIBERIAN POWER SHOW
Любители жим лежа в однослойной экипировке
Красноярск/Красноярский край 3 - 5 апреля 2021 г.</t>
  </si>
  <si>
    <t>SIBERIAN POWER SHOW
ПРО жим лежа в однослойной экипировке
Красноярск/Красноярский край 3 - 5 апреля 2021 г.</t>
  </si>
  <si>
    <t>Резинкин Александр</t>
  </si>
  <si>
    <t>Открытая (08.10.1982)/38</t>
  </si>
  <si>
    <t xml:space="preserve">Плешков К. </t>
  </si>
  <si>
    <t>Кокорев Илья</t>
  </si>
  <si>
    <t>Мастера 45 - 49 (19.01.1973)/48</t>
  </si>
  <si>
    <t>80,70</t>
  </si>
  <si>
    <t xml:space="preserve">Ярославль/Ярославская область </t>
  </si>
  <si>
    <t>SIBERIAN POWER SHOW
Любители жим лежа без экипировки
Красноярск/Красноярский край 3 - 5 апреля 2021 г.</t>
  </si>
  <si>
    <t>Кеслер Жанна</t>
  </si>
  <si>
    <t>Юниорки 20 - 23 (25.09.1998)/22</t>
  </si>
  <si>
    <t>43,40</t>
  </si>
  <si>
    <t xml:space="preserve">Абакан/Хакасия </t>
  </si>
  <si>
    <t>57,5</t>
  </si>
  <si>
    <t>67,0</t>
  </si>
  <si>
    <t>Открытая (25.09.1998)/22</t>
  </si>
  <si>
    <t>Антощук Виктория</t>
  </si>
  <si>
    <t>Открытая (12.06.1995)/25</t>
  </si>
  <si>
    <t>43,90</t>
  </si>
  <si>
    <t>ВЕСОВАЯ КАТЕГОРИЯ   52</t>
  </si>
  <si>
    <t>Тяжева Светлана</t>
  </si>
  <si>
    <t>Девушки 0-13 (18.12.2007)/13</t>
  </si>
  <si>
    <t>49,60</t>
  </si>
  <si>
    <t>Бабина Шура</t>
  </si>
  <si>
    <t>Девушки 0-13 (01.07.2007)/13</t>
  </si>
  <si>
    <t>51,80</t>
  </si>
  <si>
    <t xml:space="preserve">Бабин С. </t>
  </si>
  <si>
    <t>Прибыткова Виктория</t>
  </si>
  <si>
    <t>Девушки 18 - 19 (10.08.2001)/19</t>
  </si>
  <si>
    <t>54,60</t>
  </si>
  <si>
    <t xml:space="preserve">Барнаул/Алтайский край </t>
  </si>
  <si>
    <t>Открытая (10.08.2001)/19</t>
  </si>
  <si>
    <t>Краснянская Анна</t>
  </si>
  <si>
    <t>Открытая (21.01.1983)/38</t>
  </si>
  <si>
    <t>55,90</t>
  </si>
  <si>
    <t>Волоценко Марина</t>
  </si>
  <si>
    <t>Открытая (20.04.1984)/36</t>
  </si>
  <si>
    <t>55,00</t>
  </si>
  <si>
    <t>Грязнова Виктория</t>
  </si>
  <si>
    <t>Девушки 16 - 17 (05.06.2003)/17</t>
  </si>
  <si>
    <t>59,10</t>
  </si>
  <si>
    <t>Халявина Ольга</t>
  </si>
  <si>
    <t>Мастера 45 - 49 (14.11.1975)/45</t>
  </si>
  <si>
    <t>Русакова Мария</t>
  </si>
  <si>
    <t>Открытая (30.01.1995)/26</t>
  </si>
  <si>
    <t>ВЕСОВАЯ КАТЕГОРИЯ   90+</t>
  </si>
  <si>
    <t>Вязова Юлия</t>
  </si>
  <si>
    <t>Открытая (17.03.1992)/29</t>
  </si>
  <si>
    <t>121,60</t>
  </si>
  <si>
    <t>Селютин Виталий</t>
  </si>
  <si>
    <t>Юноши 0-13 (05.03.2013)/8</t>
  </si>
  <si>
    <t>25,00</t>
  </si>
  <si>
    <t>15,0</t>
  </si>
  <si>
    <t>16,0</t>
  </si>
  <si>
    <t>17,5</t>
  </si>
  <si>
    <t>Селютин Григорий</t>
  </si>
  <si>
    <t>Юноши 14-15 (12.02.2007)/14</t>
  </si>
  <si>
    <t>44,00</t>
  </si>
  <si>
    <t>39,0</t>
  </si>
  <si>
    <t>Лейзер Герман</t>
  </si>
  <si>
    <t>Юноши 18 - 19 (24.06.2002)/18</t>
  </si>
  <si>
    <t>Тарадина Анастасия</t>
  </si>
  <si>
    <t>Юноши 16 - 17 (20.08.2003)/17</t>
  </si>
  <si>
    <t>58,40</t>
  </si>
  <si>
    <t>Шалык Долаан</t>
  </si>
  <si>
    <t>Открытая (02.09.1992)/28</t>
  </si>
  <si>
    <t>57,50</t>
  </si>
  <si>
    <t>Степаненко Владимир</t>
  </si>
  <si>
    <t>Юноши 18 - 19 (25.02.2003)/18</t>
  </si>
  <si>
    <t>71,60</t>
  </si>
  <si>
    <t xml:space="preserve">Железногорск/Красноярский край </t>
  </si>
  <si>
    <t>Яковлев Данил</t>
  </si>
  <si>
    <t>Юниоры 20 - 23 (01.11.1999)/21</t>
  </si>
  <si>
    <t>74,10</t>
  </si>
  <si>
    <t>Суслопаров Алексей</t>
  </si>
  <si>
    <t>Открытая (20.04.1982)/38</t>
  </si>
  <si>
    <t>74,30</t>
  </si>
  <si>
    <t>Васильев Алексей</t>
  </si>
  <si>
    <t>Мастера 40 - 44 (30.11.1979)/41</t>
  </si>
  <si>
    <t>71,80</t>
  </si>
  <si>
    <t>Артемов Дмитрий</t>
  </si>
  <si>
    <t>Мастера 45 - 49 (14.10.1975)/45</t>
  </si>
  <si>
    <t>74,90</t>
  </si>
  <si>
    <t xml:space="preserve">Прокопьевск/Кемеровская область </t>
  </si>
  <si>
    <t>Баксанов Макар</t>
  </si>
  <si>
    <t>Юноши 16 - 17 (01.08.2004)/16</t>
  </si>
  <si>
    <t>78,50</t>
  </si>
  <si>
    <t>87,5</t>
  </si>
  <si>
    <t>Ковалев Андрей</t>
  </si>
  <si>
    <t>Открытая (11.02.1991)/30</t>
  </si>
  <si>
    <t>80,50</t>
  </si>
  <si>
    <t xml:space="preserve">Ангарск/Иркутская область </t>
  </si>
  <si>
    <t xml:space="preserve">Вяхирев И. </t>
  </si>
  <si>
    <t>Кочуров Дмитрий</t>
  </si>
  <si>
    <t>Открытая (22.09.1991)/29</t>
  </si>
  <si>
    <t>Малаховский Валентин</t>
  </si>
  <si>
    <t>Открытая (18.06.1993)/27</t>
  </si>
  <si>
    <t>82,30</t>
  </si>
  <si>
    <t>Омельчук Игорь</t>
  </si>
  <si>
    <t>Мастера 60 - 64 (29.05.1960)/60</t>
  </si>
  <si>
    <t xml:space="preserve">Дивногорск/Красноярский край </t>
  </si>
  <si>
    <t>Ильин Александр</t>
  </si>
  <si>
    <t>Мастера 60 - 64 (13.08.1960)/60</t>
  </si>
  <si>
    <t>80,00</t>
  </si>
  <si>
    <t>Миронов Артём</t>
  </si>
  <si>
    <t>Открытая (21.10.1991)/29</t>
  </si>
  <si>
    <t>83,10</t>
  </si>
  <si>
    <t>Шпагин Михаил</t>
  </si>
  <si>
    <t>Открытая (25.10.1988)/32</t>
  </si>
  <si>
    <t>88,80</t>
  </si>
  <si>
    <t>Фомин Иван</t>
  </si>
  <si>
    <t>Открытая (02.03.1995)/26</t>
  </si>
  <si>
    <t>89,20</t>
  </si>
  <si>
    <t>Мушников Кирилл</t>
  </si>
  <si>
    <t>Открытая (16.11.1982)/38</t>
  </si>
  <si>
    <t>Домрачев Алексей</t>
  </si>
  <si>
    <t>Открытая (28.06.1986)/34</t>
  </si>
  <si>
    <t>89,30</t>
  </si>
  <si>
    <t>Архипенко Иван</t>
  </si>
  <si>
    <t>Мастера 40 - 44 (10.07.1979)/41</t>
  </si>
  <si>
    <t>87,10</t>
  </si>
  <si>
    <t>Клатик Сергей</t>
  </si>
  <si>
    <t>Мастера 65 - 69 (12.09.1955)/65</t>
  </si>
  <si>
    <t>151,0</t>
  </si>
  <si>
    <t>Бахарев Михаил</t>
  </si>
  <si>
    <t>Юноши 16 - 17 (16.11.2003)/17</t>
  </si>
  <si>
    <t>91,80</t>
  </si>
  <si>
    <t>Мирзоев Эльвин</t>
  </si>
  <si>
    <t>Юниоры 20 - 23 (01.08.1999)/21</t>
  </si>
  <si>
    <t>96,60</t>
  </si>
  <si>
    <t>Головатый Олег</t>
  </si>
  <si>
    <t>Открытая (24.07.1994)/26</t>
  </si>
  <si>
    <t>95,60</t>
  </si>
  <si>
    <t xml:space="preserve">Бородино/Красноярский край </t>
  </si>
  <si>
    <t>Шаповалов Алексей</t>
  </si>
  <si>
    <t>Открытая (10.09.1993)/27</t>
  </si>
  <si>
    <t>97,40</t>
  </si>
  <si>
    <t>Алексеев Владимир</t>
  </si>
  <si>
    <t>Мастера 55 - 59 (21.05.1963)/57</t>
  </si>
  <si>
    <t>97,60</t>
  </si>
  <si>
    <t>Глумов Андрей</t>
  </si>
  <si>
    <t>Открытая (19.03.1989)/32</t>
  </si>
  <si>
    <t>107,50</t>
  </si>
  <si>
    <t>Логинов Егор</t>
  </si>
  <si>
    <t>Открытая (28.08.1991)/29</t>
  </si>
  <si>
    <t>104,00</t>
  </si>
  <si>
    <t>Тяжев Павел</t>
  </si>
  <si>
    <t>Открытая (04.02.1985)/36</t>
  </si>
  <si>
    <t>109,80</t>
  </si>
  <si>
    <t>Аполинарьев Евгений</t>
  </si>
  <si>
    <t>Мастера 40 - 44 (28.08.1978)/42</t>
  </si>
  <si>
    <t>135,30</t>
  </si>
  <si>
    <t>70,0625</t>
  </si>
  <si>
    <t>64,6965</t>
  </si>
  <si>
    <t>62,9505</t>
  </si>
  <si>
    <t>107,9600</t>
  </si>
  <si>
    <t>106,1250</t>
  </si>
  <si>
    <t>104,7540</t>
  </si>
  <si>
    <t>5</t>
  </si>
  <si>
    <t>6</t>
  </si>
  <si>
    <t>SIBERIAN POWER SHOW
ПРО жим лежа без экипировки
Красноярск/Красноярский край 3 - 5 апреля 2021 г.</t>
  </si>
  <si>
    <t>Лялякичева Татьяна</t>
  </si>
  <si>
    <t>Открытая (21.03.1978)/43</t>
  </si>
  <si>
    <t>66,40</t>
  </si>
  <si>
    <t xml:space="preserve">Серпухов/Московская область </t>
  </si>
  <si>
    <t>Мастера 40 - 44 (21.03.1978)/43</t>
  </si>
  <si>
    <t>Панфилов Максим</t>
  </si>
  <si>
    <t>Открытая (24.01.1992)/29</t>
  </si>
  <si>
    <t xml:space="preserve">Кемерово/Кемеровская область </t>
  </si>
  <si>
    <t>Замалиев Сергей</t>
  </si>
  <si>
    <t>Мастера 40 - 44 (15.11.1977)/43</t>
  </si>
  <si>
    <t>88,00</t>
  </si>
  <si>
    <t xml:space="preserve">Омск/Омская область </t>
  </si>
  <si>
    <t>Арболишвили Шота</t>
  </si>
  <si>
    <t>Мастера 40 - 44 (24.07.1977)/43</t>
  </si>
  <si>
    <t>Коваженко Константин</t>
  </si>
  <si>
    <t>Открытая (17.04.1978)/42</t>
  </si>
  <si>
    <t>Колесников Виктор</t>
  </si>
  <si>
    <t>Открытая (25.03.1993)/28</t>
  </si>
  <si>
    <t>Быховец Артем</t>
  </si>
  <si>
    <t>Открытая (19.07.1983)/37</t>
  </si>
  <si>
    <t>98,00</t>
  </si>
  <si>
    <t>Григорьев Илья</t>
  </si>
  <si>
    <t>Открытая (12.01.1993)/28</t>
  </si>
  <si>
    <t>97,90</t>
  </si>
  <si>
    <t>Корчагин Дмитрий</t>
  </si>
  <si>
    <t>Открытая (22.01.1992)/29</t>
  </si>
  <si>
    <t>102,50</t>
  </si>
  <si>
    <t>Ефременко Виталий</t>
  </si>
  <si>
    <t>Открытая (12.02.1985)/36</t>
  </si>
  <si>
    <t>108,60</t>
  </si>
  <si>
    <t>Дятлов Александр</t>
  </si>
  <si>
    <t>Мастера 50 - 54 (14.10.1969)/51</t>
  </si>
  <si>
    <t>104,70</t>
  </si>
  <si>
    <t xml:space="preserve">Алматы/ </t>
  </si>
  <si>
    <t>Открытая (05.04.1979)/41</t>
  </si>
  <si>
    <t>Гладков Сергей</t>
  </si>
  <si>
    <t>Открытая (25.08.1994)/26</t>
  </si>
  <si>
    <t>149,90</t>
  </si>
  <si>
    <t>118,2300</t>
  </si>
  <si>
    <t>117,9275</t>
  </si>
  <si>
    <t>114,6630</t>
  </si>
  <si>
    <t>SIBERIAN POWER SHOW
Любители жим лежа в Софт экипировка однопетельная
Красноярск/Красноярский край 3 - 5 апреля 2021 г.</t>
  </si>
  <si>
    <t>Неня Сергей</t>
  </si>
  <si>
    <t>Открытая (04.06.1989)/31</t>
  </si>
  <si>
    <t>95,10</t>
  </si>
  <si>
    <t xml:space="preserve">Уяр/Красноярский край </t>
  </si>
  <si>
    <t>Симанов Александр</t>
  </si>
  <si>
    <t>Мастера 40 - 44 (09.09.1968)/52</t>
  </si>
  <si>
    <t>SIBERIAN POWER SHOW
ПРО жим лежа Софт экипировка однопетельная
Красноярск/Красноярский край 3 - 5 апреля 2021 г.</t>
  </si>
  <si>
    <t>Суфимов Юрий</t>
  </si>
  <si>
    <t>Открытая (20.04.1970)/50</t>
  </si>
  <si>
    <t>116,80</t>
  </si>
  <si>
    <t>Мастера 50 - 54 (20.04.1970)/50</t>
  </si>
  <si>
    <t>SIBERIAN POWER SHOW
Любители жим лежа в Софт экипировка многопетельная
Красноярск/Красноярский край 3 - 5 апреля 2021 г.</t>
  </si>
  <si>
    <t>54,30</t>
  </si>
  <si>
    <t>SIBERIAN POWER SHOW
ПРО жим лежа в Софт экипировка многопетельная
Красноярск/Красноярский край 3 - 5 апреля 2021 г.</t>
  </si>
  <si>
    <t>Медведева Юлия</t>
  </si>
  <si>
    <t>Открытая (08.07.1979)/41</t>
  </si>
  <si>
    <t>Дьяков Артём</t>
  </si>
  <si>
    <t>Открытая (04.04.1992)/29</t>
  </si>
  <si>
    <t>81,80</t>
  </si>
  <si>
    <t>Открытая (15.11.1977)/43</t>
  </si>
  <si>
    <t>Савченко Дмитрий</t>
  </si>
  <si>
    <t>Открытая (03.08.1981)/39</t>
  </si>
  <si>
    <t>94,40</t>
  </si>
  <si>
    <t>SIBERIAN POWER SHOW
Любители становая тяга без экипировки
Красноярск/Красноярский край 3 - 5 апреля 2021 г.</t>
  </si>
  <si>
    <t>Кривчикова Милана</t>
  </si>
  <si>
    <t>Открытая (25.03.1990)/31</t>
  </si>
  <si>
    <t>53,60</t>
  </si>
  <si>
    <t>Стегасова Диана</t>
  </si>
  <si>
    <t>Открытая (14.05.1995)/25</t>
  </si>
  <si>
    <t>71,50</t>
  </si>
  <si>
    <t>Стариков Дмитрий</t>
  </si>
  <si>
    <t>Открытая (27.11.1981)/39</t>
  </si>
  <si>
    <t>Пронин Никита</t>
  </si>
  <si>
    <t>Юниоры 20 - 23 (08.01.2001)/20</t>
  </si>
  <si>
    <t>Лапин Михаил</t>
  </si>
  <si>
    <t>Мастера 45 - 49 (06.08.1972)/48</t>
  </si>
  <si>
    <t>87,50</t>
  </si>
  <si>
    <t>Грейдин Сергей</t>
  </si>
  <si>
    <t>Открытая (09.11.1989)/31</t>
  </si>
  <si>
    <t>98,20</t>
  </si>
  <si>
    <t>Легезин Дмитрий</t>
  </si>
  <si>
    <t>Мастера 40 - 44 (23.07.1980)/40</t>
  </si>
  <si>
    <t>SIBERIAN POWER SHOW
ПРО становая тяга без экипировки
Красноярск/Красноярский край 3 - 5 апреля 2021 г.</t>
  </si>
  <si>
    <t>Величко Елена</t>
  </si>
  <si>
    <t>Открытая (14.05.1981)/39</t>
  </si>
  <si>
    <t>Дроздов Алексей</t>
  </si>
  <si>
    <t>Открытая (23.02.1982)/39</t>
  </si>
  <si>
    <t>Лопатин Александр</t>
  </si>
  <si>
    <t>Открытая (02.12.1981)/39</t>
  </si>
  <si>
    <t>Павлов Михаил</t>
  </si>
  <si>
    <t>Открытая (14.04.1981)/39</t>
  </si>
  <si>
    <t>Усманов Алексей</t>
  </si>
  <si>
    <t>Открытая (27.02.1973)/48</t>
  </si>
  <si>
    <t>87,60</t>
  </si>
  <si>
    <t>Мастера 45 - 49 (27.02.1973)/48</t>
  </si>
  <si>
    <t>Лопин Владимир</t>
  </si>
  <si>
    <t>112,30</t>
  </si>
  <si>
    <t xml:space="preserve">Асбест/Свердловская область </t>
  </si>
  <si>
    <t>Лившиц Олег</t>
  </si>
  <si>
    <t>Мастера 45 - 49 (03.10.1973)/47</t>
  </si>
  <si>
    <t>122,60</t>
  </si>
  <si>
    <t>SIBERIAN POWER SHOW
Любители присед без экипировки
Красноярск/Красноярский край 3 - 5 апреля 2021 г.</t>
  </si>
  <si>
    <t>SIBERIAN POWER SHOW
ПРО присед без экипировки
Красноярск/Красноярский край 3 - 5 апреля 2021 г.</t>
  </si>
  <si>
    <t>SIBERIAN POWER SHOW
Силовое двоеборье любители
Красноярск/Красноярский край 3 - 5 апреля 2021 г.</t>
  </si>
  <si>
    <t>ВЕСОВАЯ КАТЕГОРИЯ   48</t>
  </si>
  <si>
    <t>Павлова Софья</t>
  </si>
  <si>
    <t>Девушки 0-13 (10.11.2008)/12</t>
  </si>
  <si>
    <t>46,50</t>
  </si>
  <si>
    <t>Вдовенко Игорь</t>
  </si>
  <si>
    <t>Юниоры 20 - 23 (19.04.1997)/23</t>
  </si>
  <si>
    <t>65,10</t>
  </si>
  <si>
    <t>SIBERIAN POWER SHOW
Любители жимовое двоеборье
Красноярск/Красноярский край 3 - 5 апреля 2021 г.</t>
  </si>
  <si>
    <t>Мн.повт. жим</t>
  </si>
  <si>
    <t>34,0</t>
  </si>
  <si>
    <t>Shv/Mel/Залуцкий</t>
  </si>
  <si>
    <t>SIBERIAN POWER SHOW
Силовое двоеборье профессионалы
Красноярск/Красноярский край 3 - 5 апреля 2021 г.</t>
  </si>
  <si>
    <t>Водяникова Оксана</t>
  </si>
  <si>
    <t>Мастера 45 - 49 (28.02.1972)/49</t>
  </si>
  <si>
    <t>86,80</t>
  </si>
  <si>
    <t>Леонтьев Ярослав</t>
  </si>
  <si>
    <t>Юниоры 20 - 23 (29.05.1999)/21</t>
  </si>
  <si>
    <t xml:space="preserve">Реутов/Московская область </t>
  </si>
  <si>
    <t>Самостоятельно</t>
  </si>
  <si>
    <t>Самонов В.</t>
  </si>
  <si>
    <t>Мистратов В.</t>
  </si>
  <si>
    <t>Палей А.</t>
  </si>
  <si>
    <t xml:space="preserve">Ипатов А. </t>
  </si>
  <si>
    <t xml:space="preserve">Николаев В. </t>
  </si>
  <si>
    <t>Тоннаж</t>
  </si>
  <si>
    <t>Народная становая</t>
  </si>
  <si>
    <t>НАП Н.Ж.</t>
  </si>
  <si>
    <t>SIBERIAN POWER SHOW
Профессионалы народная становая тяга
Красноярск/Красноярский край 3 - 5 апреля 2021 г.</t>
  </si>
  <si>
    <t>133,0</t>
  </si>
  <si>
    <t>38,0</t>
  </si>
  <si>
    <t>Народный жим</t>
  </si>
  <si>
    <t>SIBERIAN POWER SHOW
Профессионалы народный жим (1/2 вес)
Красноярск/Красноярский край 3 - 5 апреля 2021 г.</t>
  </si>
  <si>
    <t>17,0</t>
  </si>
  <si>
    <t>93,20</t>
  </si>
  <si>
    <t>Мастера 40 - 44 (09.08.1978)/42</t>
  </si>
  <si>
    <t>Свиридов Пётр</t>
  </si>
  <si>
    <t>14,0</t>
  </si>
  <si>
    <t>SIBERIAN POWER SHOW
Профессионалы народный жим (1 вес)
Красноярск/Красноярский край 3 - 5 апреля 2021 г.</t>
  </si>
  <si>
    <t>36,0</t>
  </si>
  <si>
    <t>Юноши 18 - 19 (05.08.2002)/18</t>
  </si>
  <si>
    <t>Переплетчиков Александр</t>
  </si>
  <si>
    <t>26,0</t>
  </si>
  <si>
    <t>49,20</t>
  </si>
  <si>
    <t>Юноши 0-13 (13.08.2008)/12</t>
  </si>
  <si>
    <t>Коршовский Матвей</t>
  </si>
  <si>
    <t xml:space="preserve">Заплатин А. </t>
  </si>
  <si>
    <t>9,0</t>
  </si>
  <si>
    <t>Девушки 16 - 17 (04.02.2004)/17</t>
  </si>
  <si>
    <t>Щуплова Влада</t>
  </si>
  <si>
    <t>SIBERIAN POWER SHOW
Любители народный жим (1/2 вес)
Красноярск/Красноярский край 3 - 5 апреля 2021 г.</t>
  </si>
  <si>
    <t>27,0</t>
  </si>
  <si>
    <t xml:space="preserve">Усть-Кут/Иркутская область </t>
  </si>
  <si>
    <t>84,70</t>
  </si>
  <si>
    <t>Открытая (27.10.1986)/34</t>
  </si>
  <si>
    <t>Антипин Денис</t>
  </si>
  <si>
    <t>29,0</t>
  </si>
  <si>
    <t>SIBERIAN POWER SHOW
Любители народный жим (1 вес)
Красноярск/Красноярский край 3 - 5 апреля 2021 г.</t>
  </si>
  <si>
    <t>21,0</t>
  </si>
  <si>
    <t>ВЕСОВАЯ КАТЕГОРИЯ   All</t>
  </si>
  <si>
    <t>Русская становая</t>
  </si>
  <si>
    <t>Атлетизм</t>
  </si>
  <si>
    <t>SIBERIAN POWER SHOW
Русская станова тяга любители 150 кг.
Красноярск/Красноярский край 3 - 5 апреля 2021 г.</t>
  </si>
  <si>
    <t xml:space="preserve">Пермь/Пермский край </t>
  </si>
  <si>
    <t>49,00</t>
  </si>
  <si>
    <t>Мастера 40 - 44 (24.08.1980)/40</t>
  </si>
  <si>
    <t>Михалева Татьяна</t>
  </si>
  <si>
    <t>SIBERIAN POWER SHOW
Русская станова тяга любители 100 кг.
Красноярск/Красноярский край 3 - 5 апреля 2021 г.</t>
  </si>
  <si>
    <t>SIBERIAN POWER SHOW
Русская станова тяга любители 55 кг.
Красноярск/Красноярский край 3 - 5 апреля 2021 г.</t>
  </si>
  <si>
    <t>41,0</t>
  </si>
  <si>
    <t>85,10</t>
  </si>
  <si>
    <t>Селякин Владислав</t>
  </si>
  <si>
    <t>Русский жим</t>
  </si>
  <si>
    <t>SIBERIAN POWER SHOW
Русский жим любители 75 кг.
Красноярск/Красноярский край 3 - 5 апреля 2021 г.</t>
  </si>
  <si>
    <t>37,0</t>
  </si>
  <si>
    <t>75,00</t>
  </si>
  <si>
    <t>Мастера 55 - 59 (18.03.1964)/57</t>
  </si>
  <si>
    <t>Литвин Виктор</t>
  </si>
  <si>
    <t>80,90</t>
  </si>
  <si>
    <t>Мастера 55 - 59 (14.10.1965)/55</t>
  </si>
  <si>
    <t>Юшков Игорь</t>
  </si>
  <si>
    <t>44,0</t>
  </si>
  <si>
    <t>78,40</t>
  </si>
  <si>
    <t>Мастера 55 - 59 (18.08.1963)/57</t>
  </si>
  <si>
    <t>Фарбштейн Вадим</t>
  </si>
  <si>
    <t>66,0</t>
  </si>
  <si>
    <t>77,0</t>
  </si>
  <si>
    <t>84,80</t>
  </si>
  <si>
    <t>Мастера 55 - 59 (22.09.1965)/55</t>
  </si>
  <si>
    <t>Шеин Юрий</t>
  </si>
  <si>
    <t>43,0</t>
  </si>
  <si>
    <t xml:space="preserve">Иркутск/Иркутская область </t>
  </si>
  <si>
    <t>73,90</t>
  </si>
  <si>
    <t>Мастера 40 - 44 (29.05.1980)/40</t>
  </si>
  <si>
    <t>Шевченко Валерий</t>
  </si>
  <si>
    <t>32,0</t>
  </si>
  <si>
    <t>64,90</t>
  </si>
  <si>
    <t>Открытая (09.04.1996)/24</t>
  </si>
  <si>
    <t>Пойлов Сергей</t>
  </si>
  <si>
    <t>58,0</t>
  </si>
  <si>
    <t>73,10</t>
  </si>
  <si>
    <t>Открытая (18.01.1983)/38</t>
  </si>
  <si>
    <t>Сороковых Евгений</t>
  </si>
  <si>
    <t>81,0</t>
  </si>
  <si>
    <t>Открытая (05.08.1983)/37</t>
  </si>
  <si>
    <t>Балко Александр</t>
  </si>
  <si>
    <t>82,0</t>
  </si>
  <si>
    <t>124,0</t>
  </si>
  <si>
    <t>Юниоры 20 - 23 (28.07.1997)/23</t>
  </si>
  <si>
    <t>Янсонс Альберт</t>
  </si>
  <si>
    <t>SIBERIAN POWER SHOW
Русский жим любители 55 кг.
Красноярск/Красноярский край 3 - 5 апреля 2021 г.</t>
  </si>
  <si>
    <t>Открытая (19.12.1989)/31</t>
  </si>
  <si>
    <t>Желиховский Семен</t>
  </si>
  <si>
    <t>28,0</t>
  </si>
  <si>
    <t>Юниоры 20 - 23 (20.06.1997)/23</t>
  </si>
  <si>
    <t>Лунев Анатолий</t>
  </si>
  <si>
    <t>SIBERIAN POWER SHOW
Русский жим профессионалы 55 кг.
Красноярск/Красноярский край 3 - 5 апреля 2021 г.</t>
  </si>
  <si>
    <t>19,0</t>
  </si>
  <si>
    <t>SIBERIAN POWER SHOW
Русский жим профессионалы 35 кг.
Красноярск/Красноярский край 3 - 5 апреля 2021 г.</t>
  </si>
  <si>
    <t>101,00</t>
  </si>
  <si>
    <t>Открытая (17.11.1989)/31</t>
  </si>
  <si>
    <t>Воронцов Александр</t>
  </si>
  <si>
    <t>Подъем на бицепс</t>
  </si>
  <si>
    <t>Жим стоя</t>
  </si>
  <si>
    <t>SIBERIAN POWER SHOW
Пауэрспорт Профессионалы
Красноярск/Красноярский край 3 - 5 апреля 2021 г.</t>
  </si>
  <si>
    <t>74,40</t>
  </si>
  <si>
    <t>Открытая (02.07.1988)/32</t>
  </si>
  <si>
    <t>Дочупайло Владислав</t>
  </si>
  <si>
    <t>42,5</t>
  </si>
  <si>
    <t>56,0</t>
  </si>
  <si>
    <t>58,90</t>
  </si>
  <si>
    <t>Открытая (03.08.1990)/30</t>
  </si>
  <si>
    <t>Веселков Константин</t>
  </si>
  <si>
    <t xml:space="preserve">Зеленоград/Московская область </t>
  </si>
  <si>
    <t>51,30</t>
  </si>
  <si>
    <t>Открытая (08.09.1990)/30</t>
  </si>
  <si>
    <t>Дегтярева Юлия</t>
  </si>
  <si>
    <t>SIBERIAN POWER SHOW
Пауэрспорт Любители
Красноярск/Красноярский край 3 - 5 апреля 2021 г.</t>
  </si>
  <si>
    <t>91,70</t>
  </si>
  <si>
    <t>Юноши 16 - 17 (18.07.2003)/17</t>
  </si>
  <si>
    <t>Сакулин Андрей</t>
  </si>
  <si>
    <t>85,70</t>
  </si>
  <si>
    <t>Открытая (18.01.1987)/34</t>
  </si>
  <si>
    <t>Иванов Александр</t>
  </si>
  <si>
    <t>67,20</t>
  </si>
  <si>
    <t>Открытая (04.06.1994)/26</t>
  </si>
  <si>
    <t>Страшко Никита</t>
  </si>
  <si>
    <t>SIBERIAN POWER SHOW
Одиночный подъём штанги на бицепс Профессионалы
Красноярск/Красноярский край 3 - 5 апреля 2021 г.</t>
  </si>
  <si>
    <t>135,10</t>
  </si>
  <si>
    <t>Юниоры 20 - 23 (01.12.1999)/21</t>
  </si>
  <si>
    <t>Пасечник Александр</t>
  </si>
  <si>
    <t xml:space="preserve">Горно-Алтайск/Алтайский край </t>
  </si>
  <si>
    <t>95,50</t>
  </si>
  <si>
    <t>Мастера 40 - 44 (13.05.1977)/43</t>
  </si>
  <si>
    <t>Парабина Марчел</t>
  </si>
  <si>
    <t>Юноши 18 - 19 (24.08.2001)/19</t>
  </si>
  <si>
    <t>Окунев Никита</t>
  </si>
  <si>
    <t>67,50</t>
  </si>
  <si>
    <t>Мастера 45 - 49 (26.02.1976)/45</t>
  </si>
  <si>
    <t>Шакин Дмитрий</t>
  </si>
  <si>
    <t>32,5</t>
  </si>
  <si>
    <t>22,5</t>
  </si>
  <si>
    <t>20,0</t>
  </si>
  <si>
    <t>SIBERIAN POWER SHOW
Одиночный подъём штанги на бицепс Любители
Красноярск/Красноярский край 3 - 5 апреля 2021 г.</t>
  </si>
  <si>
    <t>SIBERIAN POWER SHOW
Одиночный жим штанги стоя Любители
Красноярск/Красноярский край 3 - 5 апреля 2021 г.</t>
  </si>
  <si>
    <t>Репницын Андрей/ МК, Екатеринбург</t>
  </si>
  <si>
    <t>Судьи:</t>
  </si>
  <si>
    <t>Секретари:</t>
  </si>
  <si>
    <t>Сорокина Татьяна/ НК, Красноярск</t>
  </si>
  <si>
    <t>Ковалёва Анастасия/НК,Красноярск</t>
  </si>
  <si>
    <t>Бойкова Ксения/РК,Красноярск</t>
  </si>
  <si>
    <t>Плешков Константин/НК,Красноярск</t>
  </si>
  <si>
    <t>Бойков Сергей /НК,Красноярск</t>
  </si>
  <si>
    <t>Мансуров Максим/РК,Красноярск</t>
  </si>
  <si>
    <t>Ермолин Максим/РК,Красноярск</t>
  </si>
  <si>
    <t>Антощук Виктория/РК,Красноярск</t>
  </si>
  <si>
    <t>Шакин Дмитрий/РК,Красноярск</t>
  </si>
  <si>
    <t>Селютина Альбина/РК,Красноярск</t>
  </si>
  <si>
    <t xml:space="preserve">Судейская коллегия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</si>
</sst>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  <font>
      <sz val="18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R13" sqref="R13"/>
    </sheetView>
  </sheetViews>
  <sheetFormatPr defaultRowHeight="12.75" x14ac:dyDescent="0.2"/>
  <cols>
    <col min="1" max="1" width="7.42578125" style="5" bestFit="1" customWidth="1"/>
    <col min="2" max="2" width="18.425781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6" width="7.85546875" style="6" bestFit="1" customWidth="1"/>
    <col min="17" max="17" width="8.5703125" style="6" bestFit="1" customWidth="1"/>
    <col min="18" max="18" width="15.140625" style="5" bestFit="1" customWidth="1"/>
    <col min="19" max="16384" width="9.140625" style="3"/>
  </cols>
  <sheetData>
    <row r="1" spans="1:18" s="2" customFormat="1" ht="29.1" customHeight="1" x14ac:dyDescent="0.2">
      <c r="A1" s="65" t="s">
        <v>705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18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19</v>
      </c>
      <c r="M3" s="59"/>
      <c r="N3" s="59"/>
      <c r="O3" s="59"/>
      <c r="P3" s="59" t="s">
        <v>1</v>
      </c>
      <c r="Q3" s="59" t="s">
        <v>3</v>
      </c>
      <c r="R3" s="61" t="s">
        <v>2</v>
      </c>
    </row>
    <row r="4" spans="1:18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60"/>
      <c r="Q4" s="60"/>
      <c r="R4" s="62"/>
    </row>
    <row r="5" spans="1:18" ht="15" x14ac:dyDescent="0.2">
      <c r="A5" s="63" t="s">
        <v>182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8" x14ac:dyDescent="0.2">
      <c r="A6" s="10" t="s">
        <v>69</v>
      </c>
      <c r="B6" s="9" t="s">
        <v>269</v>
      </c>
      <c r="C6" s="9" t="s">
        <v>270</v>
      </c>
      <c r="D6" s="9" t="s">
        <v>271</v>
      </c>
      <c r="E6" s="9" t="str">
        <f>"0,7311"</f>
        <v>0,7311</v>
      </c>
      <c r="F6" s="9" t="s">
        <v>21</v>
      </c>
      <c r="G6" s="9" t="s">
        <v>31</v>
      </c>
      <c r="H6" s="22" t="s">
        <v>154</v>
      </c>
      <c r="I6" s="22" t="s">
        <v>137</v>
      </c>
      <c r="J6" s="23" t="s">
        <v>162</v>
      </c>
      <c r="K6" s="10"/>
      <c r="L6" s="22" t="s">
        <v>145</v>
      </c>
      <c r="M6" s="22" t="s">
        <v>187</v>
      </c>
      <c r="N6" s="22" t="s">
        <v>261</v>
      </c>
      <c r="O6" s="10"/>
      <c r="P6" s="10" t="str">
        <f>"192,5"</f>
        <v>192,5</v>
      </c>
      <c r="Q6" s="10" t="str">
        <f>"143,2798"</f>
        <v>143,2798</v>
      </c>
      <c r="R6" s="9" t="s">
        <v>712</v>
      </c>
    </row>
    <row r="7" spans="1:18" x14ac:dyDescent="0.2">
      <c r="A7" s="12" t="s">
        <v>69</v>
      </c>
      <c r="B7" s="11" t="s">
        <v>266</v>
      </c>
      <c r="C7" s="11" t="s">
        <v>273</v>
      </c>
      <c r="D7" s="11" t="s">
        <v>268</v>
      </c>
      <c r="E7" s="11" t="str">
        <f>"0,7304"</f>
        <v>0,7304</v>
      </c>
      <c r="F7" s="11" t="s">
        <v>21</v>
      </c>
      <c r="G7" s="11" t="s">
        <v>259</v>
      </c>
      <c r="H7" s="27" t="s">
        <v>95</v>
      </c>
      <c r="I7" s="27" t="s">
        <v>101</v>
      </c>
      <c r="J7" s="24" t="s">
        <v>96</v>
      </c>
      <c r="K7" s="12"/>
      <c r="L7" s="27" t="s">
        <v>32</v>
      </c>
      <c r="M7" s="27" t="s">
        <v>195</v>
      </c>
      <c r="N7" s="27" t="s">
        <v>25</v>
      </c>
      <c r="O7" s="12"/>
      <c r="P7" s="12" t="str">
        <f>"275,0"</f>
        <v>275,0</v>
      </c>
      <c r="Q7" s="12" t="str">
        <f>"219,3541"</f>
        <v>219,3541</v>
      </c>
      <c r="R7" s="11" t="s">
        <v>712</v>
      </c>
    </row>
    <row r="8" spans="1:18" x14ac:dyDescent="0.2">
      <c r="B8" s="5" t="s">
        <v>14</v>
      </c>
    </row>
    <row r="9" spans="1:18" ht="15" x14ac:dyDescent="0.2">
      <c r="A9" s="55" t="s">
        <v>20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8" x14ac:dyDescent="0.2">
      <c r="A10" s="15" t="s">
        <v>69</v>
      </c>
      <c r="B10" s="14" t="s">
        <v>706</v>
      </c>
      <c r="C10" s="14" t="s">
        <v>707</v>
      </c>
      <c r="D10" s="14" t="s">
        <v>708</v>
      </c>
      <c r="E10" s="14" t="str">
        <f>"0,6484"</f>
        <v>0,6484</v>
      </c>
      <c r="F10" s="14" t="s">
        <v>21</v>
      </c>
      <c r="G10" s="14" t="s">
        <v>259</v>
      </c>
      <c r="H10" s="26" t="s">
        <v>162</v>
      </c>
      <c r="I10" s="25" t="s">
        <v>162</v>
      </c>
      <c r="J10" s="25" t="s">
        <v>139</v>
      </c>
      <c r="K10" s="15"/>
      <c r="L10" s="25" t="s">
        <v>187</v>
      </c>
      <c r="M10" s="25" t="s">
        <v>261</v>
      </c>
      <c r="N10" s="25" t="s">
        <v>120</v>
      </c>
      <c r="O10" s="15"/>
      <c r="P10" s="15" t="str">
        <f>"207,5"</f>
        <v>207,5</v>
      </c>
      <c r="Q10" s="15" t="str">
        <f>"153,9172"</f>
        <v>153,9172</v>
      </c>
      <c r="R10" s="14" t="s">
        <v>712</v>
      </c>
    </row>
    <row r="11" spans="1:18" x14ac:dyDescent="0.2">
      <c r="B11" s="5" t="s">
        <v>14</v>
      </c>
    </row>
    <row r="12" spans="1:18" ht="15" x14ac:dyDescent="0.2">
      <c r="A12" s="55" t="s">
        <v>20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8" x14ac:dyDescent="0.2">
      <c r="A13" s="15" t="s">
        <v>69</v>
      </c>
      <c r="B13" s="14" t="s">
        <v>709</v>
      </c>
      <c r="C13" s="14" t="s">
        <v>710</v>
      </c>
      <c r="D13" s="14" t="s">
        <v>229</v>
      </c>
      <c r="E13" s="14" t="str">
        <f>"0,5918"</f>
        <v>0,5918</v>
      </c>
      <c r="F13" s="14" t="s">
        <v>21</v>
      </c>
      <c r="G13" s="14" t="s">
        <v>711</v>
      </c>
      <c r="H13" s="25" t="s">
        <v>156</v>
      </c>
      <c r="I13" s="25" t="s">
        <v>168</v>
      </c>
      <c r="J13" s="26" t="s">
        <v>120</v>
      </c>
      <c r="K13" s="15"/>
      <c r="L13" s="25" t="s">
        <v>119</v>
      </c>
      <c r="M13" s="25" t="s">
        <v>52</v>
      </c>
      <c r="N13" s="25" t="s">
        <v>53</v>
      </c>
      <c r="O13" s="15"/>
      <c r="P13" s="15" t="str">
        <f>"380,0"</f>
        <v>380,0</v>
      </c>
      <c r="Q13" s="15" t="str">
        <f>"229,3817"</f>
        <v>229,3817</v>
      </c>
      <c r="R13" s="14" t="s">
        <v>712</v>
      </c>
    </row>
    <row r="14" spans="1:18" x14ac:dyDescent="0.2">
      <c r="B14" s="5" t="s">
        <v>14</v>
      </c>
    </row>
    <row r="15" spans="1:18" ht="15" x14ac:dyDescent="0.2">
      <c r="B15" s="5" t="s">
        <v>14</v>
      </c>
      <c r="F15" s="7"/>
    </row>
    <row r="16" spans="1:18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ht="15" x14ac:dyDescent="0.2">
      <c r="B18" s="5" t="s">
        <v>14</v>
      </c>
      <c r="F18" s="7"/>
    </row>
    <row r="19" spans="2:7" ht="15" x14ac:dyDescent="0.2">
      <c r="B19" s="5" t="s">
        <v>14</v>
      </c>
      <c r="F19" s="7"/>
    </row>
    <row r="20" spans="2:7" ht="15" x14ac:dyDescent="0.2">
      <c r="B20" s="5" t="s">
        <v>14</v>
      </c>
      <c r="F20" s="7"/>
    </row>
    <row r="21" spans="2:7" ht="15" x14ac:dyDescent="0.2">
      <c r="B21" s="5" t="s">
        <v>14</v>
      </c>
      <c r="F21" s="7"/>
    </row>
    <row r="22" spans="2:7" x14ac:dyDescent="0.2">
      <c r="B22" s="5" t="s">
        <v>14</v>
      </c>
    </row>
    <row r="23" spans="2:7" ht="18" x14ac:dyDescent="0.2">
      <c r="B23" s="5" t="s">
        <v>14</v>
      </c>
      <c r="C23" s="8"/>
      <c r="D23" s="8"/>
    </row>
    <row r="24" spans="2:7" ht="15" x14ac:dyDescent="0.2">
      <c r="B24" s="5" t="s">
        <v>14</v>
      </c>
      <c r="C24" s="18"/>
      <c r="D24" s="18"/>
    </row>
    <row r="25" spans="2:7" ht="14.25" x14ac:dyDescent="0.2">
      <c r="B25" s="5" t="s">
        <v>14</v>
      </c>
      <c r="C25" s="19"/>
      <c r="D25" s="20"/>
    </row>
    <row r="26" spans="2:7" ht="15" x14ac:dyDescent="0.2">
      <c r="B26" s="5" t="s">
        <v>14</v>
      </c>
      <c r="C26" s="1"/>
      <c r="D26" s="1"/>
      <c r="E26" s="1"/>
      <c r="F26" s="1"/>
      <c r="G26" s="1"/>
    </row>
    <row r="27" spans="2:7" x14ac:dyDescent="0.2">
      <c r="B27" s="5" t="s">
        <v>14</v>
      </c>
      <c r="E27" s="6"/>
      <c r="F27" s="6"/>
      <c r="G27" s="6"/>
    </row>
    <row r="28" spans="2:7" x14ac:dyDescent="0.2">
      <c r="B28" s="5" t="s">
        <v>14</v>
      </c>
      <c r="E28" s="6"/>
      <c r="F28" s="6"/>
      <c r="G28" s="6"/>
    </row>
    <row r="29" spans="2:7" x14ac:dyDescent="0.2">
      <c r="B29" s="5" t="s">
        <v>14</v>
      </c>
      <c r="E29" s="6"/>
      <c r="F29" s="6"/>
      <c r="G29" s="6"/>
    </row>
    <row r="30" spans="2:7" x14ac:dyDescent="0.2">
      <c r="B30" s="5" t="s">
        <v>14</v>
      </c>
    </row>
    <row r="31" spans="2:7" x14ac:dyDescent="0.2">
      <c r="B31" s="5" t="s">
        <v>14</v>
      </c>
    </row>
    <row r="32" spans="2:7" ht="15" x14ac:dyDescent="0.2">
      <c r="B32" s="5" t="s">
        <v>14</v>
      </c>
      <c r="C32" s="18"/>
      <c r="D32" s="18"/>
    </row>
    <row r="33" spans="2:7" ht="14.25" x14ac:dyDescent="0.2">
      <c r="B33" s="5" t="s">
        <v>14</v>
      </c>
      <c r="C33" s="19"/>
      <c r="D33" s="20"/>
    </row>
    <row r="34" spans="2:7" ht="15" x14ac:dyDescent="0.2">
      <c r="B34" s="5" t="s">
        <v>14</v>
      </c>
      <c r="C34" s="1"/>
      <c r="D34" s="1"/>
      <c r="E34" s="1"/>
      <c r="F34" s="1"/>
      <c r="G34" s="1"/>
    </row>
    <row r="35" spans="2:7" x14ac:dyDescent="0.2">
      <c r="B35" s="5" t="s">
        <v>14</v>
      </c>
      <c r="E35" s="6"/>
      <c r="F35" s="6"/>
      <c r="G35" s="6"/>
    </row>
    <row r="36" spans="2:7" x14ac:dyDescent="0.2">
      <c r="B36" s="5" t="s">
        <v>14</v>
      </c>
    </row>
  </sheetData>
  <mergeCells count="16"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A9:O9"/>
    <mergeCell ref="A12:O12"/>
    <mergeCell ref="B3:B4"/>
    <mergeCell ref="P3:P4"/>
    <mergeCell ref="Q3:Q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N15" sqref="N15"/>
    </sheetView>
  </sheetViews>
  <sheetFormatPr defaultRowHeight="12.75" x14ac:dyDescent="0.2"/>
  <cols>
    <col min="1" max="1" width="7.42578125" style="5" bestFit="1" customWidth="1"/>
    <col min="2" max="2" width="14.855468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636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410</v>
      </c>
      <c r="C6" s="14" t="s">
        <v>411</v>
      </c>
      <c r="D6" s="14" t="s">
        <v>354</v>
      </c>
      <c r="E6" s="14" t="str">
        <f>"0,6851"</f>
        <v>0,6851</v>
      </c>
      <c r="F6" s="14" t="s">
        <v>21</v>
      </c>
      <c r="G6" s="14" t="s">
        <v>412</v>
      </c>
      <c r="H6" s="25" t="s">
        <v>170</v>
      </c>
      <c r="I6" s="25" t="s">
        <v>153</v>
      </c>
      <c r="J6" s="25" t="s">
        <v>95</v>
      </c>
      <c r="K6" s="15"/>
      <c r="L6" s="15" t="str">
        <f>"90,0"</f>
        <v>90,0</v>
      </c>
      <c r="M6" s="15" t="str">
        <f>"62,2139"</f>
        <v>62,2139</v>
      </c>
      <c r="N6" s="14" t="s">
        <v>712</v>
      </c>
    </row>
    <row r="7" spans="1:14" x14ac:dyDescent="0.2">
      <c r="B7" s="5" t="s">
        <v>14</v>
      </c>
    </row>
    <row r="8" spans="1:14" ht="15" x14ac:dyDescent="0.2">
      <c r="A8" s="55" t="s">
        <v>33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5" t="s">
        <v>70</v>
      </c>
      <c r="B9" s="14" t="s">
        <v>606</v>
      </c>
      <c r="C9" s="14" t="s">
        <v>607</v>
      </c>
      <c r="D9" s="14" t="s">
        <v>608</v>
      </c>
      <c r="E9" s="14" t="str">
        <f>"0,5591"</f>
        <v>0,5591</v>
      </c>
      <c r="F9" s="14" t="s">
        <v>21</v>
      </c>
      <c r="G9" s="14" t="s">
        <v>31</v>
      </c>
      <c r="H9" s="26" t="s">
        <v>238</v>
      </c>
      <c r="I9" s="15"/>
      <c r="J9" s="15"/>
      <c r="K9" s="15"/>
      <c r="L9" s="15" t="str">
        <f>"0.00"</f>
        <v>0.00</v>
      </c>
      <c r="M9" s="15" t="str">
        <f>"0,0000"</f>
        <v>0,0000</v>
      </c>
      <c r="N9" s="14" t="s">
        <v>712</v>
      </c>
    </row>
    <row r="10" spans="1:14" x14ac:dyDescent="0.2">
      <c r="B10" s="5" t="s">
        <v>14</v>
      </c>
    </row>
    <row r="11" spans="1:14" ht="15" x14ac:dyDescent="0.2">
      <c r="A11" s="55" t="s">
        <v>37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10" t="s">
        <v>69</v>
      </c>
      <c r="B12" s="9" t="s">
        <v>637</v>
      </c>
      <c r="C12" s="9" t="s">
        <v>638</v>
      </c>
      <c r="D12" s="9" t="s">
        <v>639</v>
      </c>
      <c r="E12" s="9" t="str">
        <f>"0,5298"</f>
        <v>0,5298</v>
      </c>
      <c r="F12" s="9" t="s">
        <v>21</v>
      </c>
      <c r="G12" s="9" t="s">
        <v>230</v>
      </c>
      <c r="H12" s="22" t="s">
        <v>52</v>
      </c>
      <c r="I12" s="22" t="s">
        <v>84</v>
      </c>
      <c r="J12" s="22" t="s">
        <v>109</v>
      </c>
      <c r="K12" s="10"/>
      <c r="L12" s="10" t="str">
        <f>"275,0"</f>
        <v>275,0</v>
      </c>
      <c r="M12" s="10" t="str">
        <f>"145,6950"</f>
        <v>145,6950</v>
      </c>
      <c r="N12" s="9" t="s">
        <v>712</v>
      </c>
    </row>
    <row r="13" spans="1:14" x14ac:dyDescent="0.2">
      <c r="A13" s="12" t="s">
        <v>69</v>
      </c>
      <c r="B13" s="11" t="s">
        <v>637</v>
      </c>
      <c r="C13" s="11" t="s">
        <v>640</v>
      </c>
      <c r="D13" s="11" t="s">
        <v>639</v>
      </c>
      <c r="E13" s="11" t="str">
        <f>"0,5298"</f>
        <v>0,5298</v>
      </c>
      <c r="F13" s="11" t="s">
        <v>21</v>
      </c>
      <c r="G13" s="11" t="s">
        <v>230</v>
      </c>
      <c r="H13" s="27" t="s">
        <v>52</v>
      </c>
      <c r="I13" s="27" t="s">
        <v>84</v>
      </c>
      <c r="J13" s="27" t="s">
        <v>109</v>
      </c>
      <c r="K13" s="12"/>
      <c r="L13" s="12" t="str">
        <f>"275,0"</f>
        <v>275,0</v>
      </c>
      <c r="M13" s="12" t="str">
        <f>"170,9002"</f>
        <v>170,9002</v>
      </c>
      <c r="N13" s="11" t="s">
        <v>712</v>
      </c>
    </row>
    <row r="14" spans="1:14" x14ac:dyDescent="0.2">
      <c r="B14" s="5" t="s">
        <v>14</v>
      </c>
    </row>
    <row r="15" spans="1:14" ht="15" x14ac:dyDescent="0.2">
      <c r="B15" s="5" t="s">
        <v>14</v>
      </c>
      <c r="F15" s="7"/>
    </row>
    <row r="16" spans="1:14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ht="15" x14ac:dyDescent="0.2">
      <c r="B18" s="5" t="s">
        <v>14</v>
      </c>
      <c r="F18" s="7"/>
    </row>
    <row r="19" spans="2:7" ht="15" x14ac:dyDescent="0.2">
      <c r="B19" s="5" t="s">
        <v>14</v>
      </c>
      <c r="F19" s="7"/>
    </row>
    <row r="20" spans="2:7" ht="15" x14ac:dyDescent="0.2">
      <c r="B20" s="5" t="s">
        <v>14</v>
      </c>
      <c r="F20" s="7"/>
    </row>
    <row r="21" spans="2:7" ht="15" x14ac:dyDescent="0.2">
      <c r="B21" s="5" t="s">
        <v>14</v>
      </c>
      <c r="F21" s="7"/>
    </row>
    <row r="22" spans="2:7" x14ac:dyDescent="0.2">
      <c r="B22" s="5" t="s">
        <v>14</v>
      </c>
    </row>
    <row r="23" spans="2:7" ht="18" x14ac:dyDescent="0.2">
      <c r="B23" s="5" t="s">
        <v>14</v>
      </c>
      <c r="C23" s="8"/>
      <c r="D23" s="8"/>
    </row>
    <row r="24" spans="2:7" ht="15" x14ac:dyDescent="0.2">
      <c r="B24" s="5" t="s">
        <v>14</v>
      </c>
      <c r="C24" s="18"/>
      <c r="D24" s="18"/>
    </row>
    <row r="25" spans="2:7" ht="14.25" x14ac:dyDescent="0.2">
      <c r="B25" s="5" t="s">
        <v>14</v>
      </c>
      <c r="C25" s="19"/>
      <c r="D25" s="20"/>
    </row>
    <row r="26" spans="2:7" ht="15" x14ac:dyDescent="0.2">
      <c r="B26" s="5" t="s">
        <v>14</v>
      </c>
      <c r="C26" s="1"/>
      <c r="D26" s="1"/>
      <c r="E26" s="1"/>
      <c r="F26" s="1"/>
      <c r="G26" s="1"/>
    </row>
    <row r="27" spans="2:7" x14ac:dyDescent="0.2">
      <c r="B27" s="5" t="s">
        <v>14</v>
      </c>
      <c r="E27" s="6"/>
      <c r="F27" s="6"/>
      <c r="G27" s="6"/>
    </row>
    <row r="28" spans="2:7" x14ac:dyDescent="0.2">
      <c r="B28" s="5" t="s">
        <v>14</v>
      </c>
    </row>
    <row r="29" spans="2:7" x14ac:dyDescent="0.2">
      <c r="B29" s="5" t="s">
        <v>14</v>
      </c>
    </row>
    <row r="30" spans="2:7" ht="15" x14ac:dyDescent="0.2">
      <c r="B30" s="5" t="s">
        <v>14</v>
      </c>
      <c r="C30" s="18"/>
      <c r="D30" s="18"/>
    </row>
    <row r="31" spans="2:7" ht="14.25" x14ac:dyDescent="0.2">
      <c r="B31" s="5" t="s">
        <v>14</v>
      </c>
      <c r="C31" s="19"/>
      <c r="D31" s="20"/>
    </row>
    <row r="32" spans="2:7" ht="15" x14ac:dyDescent="0.2">
      <c r="B32" s="5" t="s">
        <v>14</v>
      </c>
      <c r="C32" s="1"/>
      <c r="D32" s="1"/>
      <c r="E32" s="1"/>
      <c r="F32" s="1"/>
      <c r="G32" s="1"/>
    </row>
    <row r="33" spans="2:7" x14ac:dyDescent="0.2">
      <c r="B33" s="5" t="s">
        <v>14</v>
      </c>
      <c r="E33" s="6"/>
      <c r="F33" s="6"/>
      <c r="G33" s="6"/>
    </row>
    <row r="34" spans="2:7" x14ac:dyDescent="0.2">
      <c r="B34" s="5" t="s">
        <v>14</v>
      </c>
    </row>
    <row r="35" spans="2:7" ht="14.25" x14ac:dyDescent="0.2">
      <c r="B35" s="5" t="s">
        <v>14</v>
      </c>
      <c r="C35" s="19"/>
      <c r="D35" s="20"/>
    </row>
    <row r="36" spans="2:7" ht="15" x14ac:dyDescent="0.2">
      <c r="B36" s="5" t="s">
        <v>14</v>
      </c>
      <c r="C36" s="1"/>
      <c r="D36" s="1"/>
      <c r="E36" s="1"/>
      <c r="F36" s="1"/>
      <c r="G36" s="1"/>
    </row>
    <row r="37" spans="2:7" x14ac:dyDescent="0.2">
      <c r="B37" s="5" t="s">
        <v>14</v>
      </c>
      <c r="E37" s="6"/>
      <c r="F37" s="6"/>
      <c r="G37" s="6"/>
    </row>
    <row r="38" spans="2:7" x14ac:dyDescent="0.2">
      <c r="B38" s="5" t="s">
        <v>14</v>
      </c>
    </row>
  </sheetData>
  <mergeCells count="15"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9" workbookViewId="0">
      <selection activeCell="C21" sqref="C21:I48"/>
    </sheetView>
  </sheetViews>
  <sheetFormatPr defaultRowHeight="12.75" x14ac:dyDescent="0.2"/>
  <cols>
    <col min="1" max="1" width="7.42578125" style="5" bestFit="1" customWidth="1"/>
    <col min="2" max="2" width="18.71093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2.42578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7.28515625" style="5" bestFit="1" customWidth="1"/>
    <col min="15" max="16384" width="9.140625" style="3"/>
  </cols>
  <sheetData>
    <row r="1" spans="1:14" s="2" customFormat="1" ht="29.1" customHeight="1" x14ac:dyDescent="0.2">
      <c r="A1" s="65" t="s">
        <v>629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90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459</v>
      </c>
      <c r="C6" s="14" t="s">
        <v>460</v>
      </c>
      <c r="D6" s="14" t="s">
        <v>461</v>
      </c>
      <c r="E6" s="14" t="str">
        <f>"0,9133"</f>
        <v>0,9133</v>
      </c>
      <c r="F6" s="14" t="s">
        <v>21</v>
      </c>
      <c r="G6" s="14" t="s">
        <v>77</v>
      </c>
      <c r="H6" s="26" t="s">
        <v>95</v>
      </c>
      <c r="I6" s="25" t="s">
        <v>95</v>
      </c>
      <c r="J6" s="26" t="s">
        <v>96</v>
      </c>
      <c r="K6" s="15"/>
      <c r="L6" s="15" t="str">
        <f>"90,0"</f>
        <v>90,0</v>
      </c>
      <c r="M6" s="15" t="str">
        <f>"82,1970"</f>
        <v>82,1970</v>
      </c>
      <c r="N6" s="14" t="s">
        <v>122</v>
      </c>
    </row>
    <row r="7" spans="1:14" x14ac:dyDescent="0.2">
      <c r="B7" s="5" t="s">
        <v>14</v>
      </c>
    </row>
    <row r="8" spans="1:14" ht="15" x14ac:dyDescent="0.2">
      <c r="A8" s="55" t="s">
        <v>182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5" t="s">
        <v>69</v>
      </c>
      <c r="B9" s="14" t="s">
        <v>507</v>
      </c>
      <c r="C9" s="14" t="s">
        <v>508</v>
      </c>
      <c r="D9" s="14" t="s">
        <v>509</v>
      </c>
      <c r="E9" s="14" t="str">
        <f>"0,6652"</f>
        <v>0,6652</v>
      </c>
      <c r="F9" s="14" t="s">
        <v>21</v>
      </c>
      <c r="G9" s="14" t="s">
        <v>510</v>
      </c>
      <c r="H9" s="26" t="s">
        <v>195</v>
      </c>
      <c r="I9" s="25" t="s">
        <v>195</v>
      </c>
      <c r="J9" s="26" t="s">
        <v>196</v>
      </c>
      <c r="K9" s="15"/>
      <c r="L9" s="15" t="str">
        <f>"170,0"</f>
        <v>170,0</v>
      </c>
      <c r="M9" s="15" t="str">
        <f>"118,5120"</f>
        <v>118,5120</v>
      </c>
      <c r="N9" s="14" t="s">
        <v>712</v>
      </c>
    </row>
    <row r="10" spans="1:14" x14ac:dyDescent="0.2">
      <c r="B10" s="5" t="s">
        <v>14</v>
      </c>
    </row>
    <row r="11" spans="1:14" ht="15" x14ac:dyDescent="0.2">
      <c r="A11" s="55" t="s">
        <v>20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15" t="s">
        <v>69</v>
      </c>
      <c r="B12" s="14" t="s">
        <v>545</v>
      </c>
      <c r="C12" s="14" t="s">
        <v>546</v>
      </c>
      <c r="D12" s="14" t="s">
        <v>547</v>
      </c>
      <c r="E12" s="14" t="str">
        <f>"0,5973"</f>
        <v>0,5973</v>
      </c>
      <c r="F12" s="14" t="s">
        <v>21</v>
      </c>
      <c r="G12" s="14" t="s">
        <v>77</v>
      </c>
      <c r="H12" s="25" t="s">
        <v>32</v>
      </c>
      <c r="I12" s="25" t="s">
        <v>195</v>
      </c>
      <c r="J12" s="25" t="s">
        <v>25</v>
      </c>
      <c r="K12" s="15"/>
      <c r="L12" s="15" t="str">
        <f>"180,0"</f>
        <v>180,0</v>
      </c>
      <c r="M12" s="15" t="str">
        <f>"107,8365"</f>
        <v>107,8365</v>
      </c>
      <c r="N12" s="14" t="s">
        <v>712</v>
      </c>
    </row>
    <row r="13" spans="1:14" x14ac:dyDescent="0.2">
      <c r="B13" s="5" t="s">
        <v>14</v>
      </c>
    </row>
    <row r="14" spans="1:14" ht="15" x14ac:dyDescent="0.2">
      <c r="A14" s="55" t="s">
        <v>33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</row>
    <row r="15" spans="1:14" x14ac:dyDescent="0.2">
      <c r="A15" s="10" t="s">
        <v>69</v>
      </c>
      <c r="B15" s="9" t="s">
        <v>630</v>
      </c>
      <c r="C15" s="9" t="s">
        <v>631</v>
      </c>
      <c r="D15" s="9" t="s">
        <v>632</v>
      </c>
      <c r="E15" s="9" t="str">
        <f>"0,5675"</f>
        <v>0,5675</v>
      </c>
      <c r="F15" s="9" t="s">
        <v>21</v>
      </c>
      <c r="G15" s="9" t="s">
        <v>633</v>
      </c>
      <c r="H15" s="22" t="s">
        <v>51</v>
      </c>
      <c r="I15" s="22" t="s">
        <v>127</v>
      </c>
      <c r="J15" s="23" t="s">
        <v>52</v>
      </c>
      <c r="K15" s="10"/>
      <c r="L15" s="10" t="str">
        <f>"235,0"</f>
        <v>235,0</v>
      </c>
      <c r="M15" s="10" t="str">
        <f>"133,3625"</f>
        <v>133,3625</v>
      </c>
      <c r="N15" s="9" t="s">
        <v>712</v>
      </c>
    </row>
    <row r="16" spans="1:14" x14ac:dyDescent="0.2">
      <c r="A16" s="12" t="s">
        <v>69</v>
      </c>
      <c r="B16" s="11" t="s">
        <v>634</v>
      </c>
      <c r="C16" s="11" t="s">
        <v>635</v>
      </c>
      <c r="D16" s="11" t="s">
        <v>563</v>
      </c>
      <c r="E16" s="11" t="str">
        <f>"0,5608"</f>
        <v>0,5608</v>
      </c>
      <c r="F16" s="11" t="s">
        <v>21</v>
      </c>
      <c r="G16" s="11" t="s">
        <v>230</v>
      </c>
      <c r="H16" s="27" t="s">
        <v>57</v>
      </c>
      <c r="I16" s="27" t="s">
        <v>327</v>
      </c>
      <c r="J16" s="27" t="s">
        <v>220</v>
      </c>
      <c r="K16" s="12"/>
      <c r="L16" s="12" t="str">
        <f>"205,0"</f>
        <v>205,0</v>
      </c>
      <c r="M16" s="12" t="str">
        <f>"138,9915"</f>
        <v>138,9915</v>
      </c>
      <c r="N16" s="11" t="s">
        <v>712</v>
      </c>
    </row>
    <row r="17" spans="1:14" x14ac:dyDescent="0.2">
      <c r="B17" s="5" t="s">
        <v>14</v>
      </c>
    </row>
    <row r="18" spans="1:14" ht="15" x14ac:dyDescent="0.2">
      <c r="A18" s="55" t="s">
        <v>316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4" x14ac:dyDescent="0.2">
      <c r="A19" s="15" t="s">
        <v>69</v>
      </c>
      <c r="B19" s="14" t="s">
        <v>567</v>
      </c>
      <c r="C19" s="14" t="s">
        <v>568</v>
      </c>
      <c r="D19" s="14" t="s">
        <v>569</v>
      </c>
      <c r="E19" s="14" t="str">
        <f>"0,5398"</f>
        <v>0,5398</v>
      </c>
      <c r="F19" s="14" t="s">
        <v>21</v>
      </c>
      <c r="G19" s="14" t="s">
        <v>77</v>
      </c>
      <c r="H19" s="25" t="s">
        <v>53</v>
      </c>
      <c r="I19" s="26" t="s">
        <v>84</v>
      </c>
      <c r="J19" s="25" t="s">
        <v>283</v>
      </c>
      <c r="K19" s="15"/>
      <c r="L19" s="15" t="str">
        <f>"270,0"</f>
        <v>270,0</v>
      </c>
      <c r="M19" s="15" t="str">
        <f>"145,7460"</f>
        <v>145,7460</v>
      </c>
      <c r="N19" s="14" t="s">
        <v>712</v>
      </c>
    </row>
    <row r="20" spans="1:14" x14ac:dyDescent="0.2">
      <c r="B20" s="5" t="s">
        <v>14</v>
      </c>
    </row>
    <row r="21" spans="1:14" ht="15" x14ac:dyDescent="0.2">
      <c r="B21" s="5" t="s">
        <v>14</v>
      </c>
      <c r="F21" s="7"/>
    </row>
    <row r="22" spans="1:14" ht="15" x14ac:dyDescent="0.2">
      <c r="B22" s="5" t="s">
        <v>14</v>
      </c>
      <c r="F22" s="7"/>
    </row>
    <row r="23" spans="1:14" ht="15" x14ac:dyDescent="0.2">
      <c r="B23" s="5" t="s">
        <v>14</v>
      </c>
      <c r="F23" s="7"/>
    </row>
    <row r="24" spans="1:14" ht="15" x14ac:dyDescent="0.2">
      <c r="B24" s="5" t="s">
        <v>14</v>
      </c>
      <c r="F24" s="7"/>
    </row>
    <row r="25" spans="1:14" ht="15" x14ac:dyDescent="0.2">
      <c r="B25" s="5" t="s">
        <v>14</v>
      </c>
      <c r="F25" s="7"/>
    </row>
    <row r="26" spans="1:14" ht="15" x14ac:dyDescent="0.2">
      <c r="B26" s="5" t="s">
        <v>14</v>
      </c>
      <c r="F26" s="7"/>
    </row>
    <row r="27" spans="1:14" ht="15" x14ac:dyDescent="0.2">
      <c r="B27" s="5" t="s">
        <v>14</v>
      </c>
      <c r="F27" s="7"/>
    </row>
    <row r="28" spans="1:14" x14ac:dyDescent="0.2">
      <c r="B28" s="5" t="s">
        <v>14</v>
      </c>
    </row>
    <row r="29" spans="1:14" ht="18" x14ac:dyDescent="0.2">
      <c r="B29" s="5" t="s">
        <v>14</v>
      </c>
      <c r="C29" s="8"/>
      <c r="D29" s="8"/>
    </row>
    <row r="30" spans="1:14" ht="15" x14ac:dyDescent="0.2">
      <c r="B30" s="5" t="s">
        <v>14</v>
      </c>
      <c r="C30" s="18"/>
      <c r="D30" s="18"/>
    </row>
    <row r="31" spans="1:14" ht="14.25" x14ac:dyDescent="0.2">
      <c r="B31" s="5" t="s">
        <v>14</v>
      </c>
      <c r="C31" s="19"/>
      <c r="D31" s="20"/>
    </row>
    <row r="32" spans="1:14" ht="15" x14ac:dyDescent="0.2">
      <c r="B32" s="5" t="s">
        <v>14</v>
      </c>
      <c r="C32" s="1"/>
      <c r="D32" s="1"/>
      <c r="E32" s="1"/>
      <c r="F32" s="1"/>
      <c r="G32" s="1"/>
    </row>
    <row r="33" spans="2:7" x14ac:dyDescent="0.2">
      <c r="B33" s="5" t="s">
        <v>14</v>
      </c>
      <c r="E33" s="6"/>
      <c r="F33" s="6"/>
      <c r="G33" s="6"/>
    </row>
    <row r="34" spans="2:7" x14ac:dyDescent="0.2">
      <c r="B34" s="5" t="s">
        <v>14</v>
      </c>
    </row>
    <row r="35" spans="2:7" x14ac:dyDescent="0.2">
      <c r="B35" s="5" t="s">
        <v>14</v>
      </c>
    </row>
    <row r="36" spans="2:7" ht="15" x14ac:dyDescent="0.2">
      <c r="B36" s="5" t="s">
        <v>14</v>
      </c>
      <c r="C36" s="18"/>
      <c r="D36" s="18"/>
    </row>
    <row r="37" spans="2:7" ht="14.25" x14ac:dyDescent="0.2">
      <c r="B37" s="5" t="s">
        <v>14</v>
      </c>
      <c r="C37" s="19"/>
      <c r="D37" s="20"/>
    </row>
    <row r="38" spans="2:7" ht="15" x14ac:dyDescent="0.2">
      <c r="B38" s="5" t="s">
        <v>14</v>
      </c>
      <c r="C38" s="1"/>
      <c r="D38" s="1"/>
      <c r="E38" s="1"/>
      <c r="F38" s="1"/>
      <c r="G38" s="1"/>
    </row>
    <row r="39" spans="2:7" x14ac:dyDescent="0.2">
      <c r="B39" s="5" t="s">
        <v>14</v>
      </c>
      <c r="E39" s="6"/>
      <c r="F39" s="6"/>
      <c r="G39" s="6"/>
    </row>
    <row r="40" spans="2:7" x14ac:dyDescent="0.2">
      <c r="B40" s="5" t="s">
        <v>14</v>
      </c>
      <c r="E40" s="6"/>
      <c r="F40" s="6"/>
      <c r="G40" s="6"/>
    </row>
    <row r="41" spans="2:7" x14ac:dyDescent="0.2">
      <c r="B41" s="5" t="s">
        <v>14</v>
      </c>
    </row>
    <row r="42" spans="2:7" ht="14.25" x14ac:dyDescent="0.2">
      <c r="B42" s="5" t="s">
        <v>14</v>
      </c>
      <c r="C42" s="19"/>
      <c r="D42" s="20"/>
    </row>
    <row r="43" spans="2:7" ht="15" x14ac:dyDescent="0.2">
      <c r="B43" s="5" t="s">
        <v>14</v>
      </c>
      <c r="C43" s="1"/>
      <c r="D43" s="1"/>
      <c r="E43" s="1"/>
      <c r="F43" s="1"/>
      <c r="G43" s="1"/>
    </row>
    <row r="44" spans="2:7" x14ac:dyDescent="0.2">
      <c r="B44" s="5" t="s">
        <v>14</v>
      </c>
      <c r="E44" s="6"/>
      <c r="F44" s="6"/>
      <c r="G44" s="6"/>
    </row>
    <row r="45" spans="2:7" x14ac:dyDescent="0.2">
      <c r="B45" s="5" t="s">
        <v>14</v>
      </c>
      <c r="E45" s="6"/>
      <c r="F45" s="6"/>
      <c r="G45" s="6"/>
    </row>
    <row r="46" spans="2:7" x14ac:dyDescent="0.2">
      <c r="B46" s="5" t="s">
        <v>14</v>
      </c>
      <c r="E46" s="6"/>
      <c r="F46" s="6"/>
      <c r="G46" s="6"/>
    </row>
    <row r="47" spans="2:7" x14ac:dyDescent="0.2">
      <c r="B47" s="5" t="s">
        <v>14</v>
      </c>
    </row>
  </sheetData>
  <mergeCells count="17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A14:K14"/>
    <mergeCell ref="A18:K18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C34" workbookViewId="0">
      <selection activeCell="N41" sqref="N41"/>
    </sheetView>
  </sheetViews>
  <sheetFormatPr defaultRowHeight="12.75" x14ac:dyDescent="0.2"/>
  <cols>
    <col min="1" max="1" width="7.42578125" style="5" bestFit="1" customWidth="1"/>
    <col min="2" max="2" width="20.7109375" style="5" bestFit="1" customWidth="1"/>
    <col min="3" max="3" width="29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1" width="5.570312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587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163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588</v>
      </c>
      <c r="C6" s="9" t="s">
        <v>589</v>
      </c>
      <c r="D6" s="9" t="s">
        <v>590</v>
      </c>
      <c r="E6" s="9" t="str">
        <f>"0,7903"</f>
        <v>0,7903</v>
      </c>
      <c r="F6" s="9" t="s">
        <v>21</v>
      </c>
      <c r="G6" s="9" t="s">
        <v>591</v>
      </c>
      <c r="H6" s="22" t="s">
        <v>153</v>
      </c>
      <c r="I6" s="22" t="s">
        <v>376</v>
      </c>
      <c r="J6" s="22" t="s">
        <v>96</v>
      </c>
      <c r="K6" s="22" t="s">
        <v>208</v>
      </c>
      <c r="L6" s="10" t="str">
        <f>"100,0"</f>
        <v>100,0</v>
      </c>
      <c r="M6" s="10" t="str">
        <f>"79,0300"</f>
        <v>79,0300</v>
      </c>
      <c r="N6" s="9" t="s">
        <v>712</v>
      </c>
    </row>
    <row r="7" spans="1:14" x14ac:dyDescent="0.2">
      <c r="A7" s="12" t="s">
        <v>69</v>
      </c>
      <c r="B7" s="11" t="s">
        <v>588</v>
      </c>
      <c r="C7" s="11" t="s">
        <v>592</v>
      </c>
      <c r="D7" s="11" t="s">
        <v>590</v>
      </c>
      <c r="E7" s="11" t="str">
        <f>"0,7903"</f>
        <v>0,7903</v>
      </c>
      <c r="F7" s="11" t="s">
        <v>21</v>
      </c>
      <c r="G7" s="11" t="s">
        <v>591</v>
      </c>
      <c r="H7" s="27" t="s">
        <v>153</v>
      </c>
      <c r="I7" s="27" t="s">
        <v>376</v>
      </c>
      <c r="J7" s="27" t="s">
        <v>96</v>
      </c>
      <c r="K7" s="27" t="s">
        <v>208</v>
      </c>
      <c r="L7" s="12" t="str">
        <f>"100,0"</f>
        <v>100,0</v>
      </c>
      <c r="M7" s="12" t="str">
        <f>"80,4525"</f>
        <v>80,4525</v>
      </c>
      <c r="N7" s="11" t="s">
        <v>712</v>
      </c>
    </row>
    <row r="8" spans="1:14" x14ac:dyDescent="0.2">
      <c r="B8" s="5" t="s">
        <v>14</v>
      </c>
    </row>
    <row r="9" spans="1:14" ht="15" x14ac:dyDescent="0.2">
      <c r="A9" s="55" t="s">
        <v>182</v>
      </c>
      <c r="B9" s="55"/>
      <c r="C9" s="56"/>
      <c r="D9" s="56"/>
      <c r="E9" s="56"/>
      <c r="F9" s="56"/>
      <c r="G9" s="56"/>
      <c r="H9" s="56"/>
      <c r="I9" s="56"/>
      <c r="J9" s="56"/>
      <c r="K9" s="56"/>
    </row>
    <row r="10" spans="1:14" x14ac:dyDescent="0.2">
      <c r="A10" s="15" t="s">
        <v>69</v>
      </c>
      <c r="B10" s="14" t="s">
        <v>263</v>
      </c>
      <c r="C10" s="14" t="s">
        <v>264</v>
      </c>
      <c r="D10" s="14" t="s">
        <v>265</v>
      </c>
      <c r="E10" s="14" t="str">
        <f>"0,7347"</f>
        <v>0,7347</v>
      </c>
      <c r="F10" s="14" t="s">
        <v>21</v>
      </c>
      <c r="G10" s="14" t="s">
        <v>31</v>
      </c>
      <c r="H10" s="25" t="s">
        <v>145</v>
      </c>
      <c r="I10" s="25" t="s">
        <v>156</v>
      </c>
      <c r="J10" s="25" t="s">
        <v>206</v>
      </c>
      <c r="K10" s="15"/>
      <c r="L10" s="15" t="str">
        <f>"122,5"</f>
        <v>122,5</v>
      </c>
      <c r="M10" s="15" t="str">
        <f>"93,6008"</f>
        <v>93,6008</v>
      </c>
      <c r="N10" s="14" t="s">
        <v>712</v>
      </c>
    </row>
    <row r="11" spans="1:14" x14ac:dyDescent="0.2">
      <c r="B11" s="5" t="s">
        <v>14</v>
      </c>
    </row>
    <row r="12" spans="1:14" ht="15" x14ac:dyDescent="0.2">
      <c r="A12" s="55" t="s">
        <v>73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</row>
    <row r="13" spans="1:14" x14ac:dyDescent="0.2">
      <c r="A13" s="10" t="s">
        <v>69</v>
      </c>
      <c r="B13" s="9" t="s">
        <v>593</v>
      </c>
      <c r="C13" s="9" t="s">
        <v>594</v>
      </c>
      <c r="D13" s="9" t="s">
        <v>287</v>
      </c>
      <c r="E13" s="9" t="str">
        <f>"0,6198"</f>
        <v>0,6198</v>
      </c>
      <c r="F13" s="9" t="s">
        <v>21</v>
      </c>
      <c r="G13" s="9" t="s">
        <v>595</v>
      </c>
      <c r="H13" s="22" t="s">
        <v>195</v>
      </c>
      <c r="I13" s="22" t="s">
        <v>196</v>
      </c>
      <c r="J13" s="23" t="s">
        <v>39</v>
      </c>
      <c r="K13" s="10"/>
      <c r="L13" s="10" t="str">
        <f>"185,0"</f>
        <v>185,0</v>
      </c>
      <c r="M13" s="10" t="str">
        <f>"114,6630"</f>
        <v>114,6630</v>
      </c>
      <c r="N13" s="9" t="s">
        <v>712</v>
      </c>
    </row>
    <row r="14" spans="1:14" x14ac:dyDescent="0.2">
      <c r="A14" s="17" t="s">
        <v>70</v>
      </c>
      <c r="B14" s="16" t="s">
        <v>431</v>
      </c>
      <c r="C14" s="16" t="s">
        <v>432</v>
      </c>
      <c r="D14" s="16" t="s">
        <v>433</v>
      </c>
      <c r="E14" s="16" t="str">
        <f>"0,6290"</f>
        <v>0,6290</v>
      </c>
      <c r="F14" s="16" t="s">
        <v>21</v>
      </c>
      <c r="G14" s="16" t="s">
        <v>434</v>
      </c>
      <c r="H14" s="17" t="s">
        <v>40</v>
      </c>
      <c r="I14" s="17"/>
      <c r="J14" s="17"/>
      <c r="K14" s="17"/>
      <c r="L14" s="17" t="str">
        <f>"0.00"</f>
        <v>0.00</v>
      </c>
      <c r="M14" s="17" t="str">
        <f>"0,0000"</f>
        <v>0,0000</v>
      </c>
      <c r="N14" s="16" t="s">
        <v>712</v>
      </c>
    </row>
    <row r="15" spans="1:14" x14ac:dyDescent="0.2">
      <c r="A15" s="12" t="s">
        <v>69</v>
      </c>
      <c r="B15" s="11" t="s">
        <v>422</v>
      </c>
      <c r="C15" s="11" t="s">
        <v>423</v>
      </c>
      <c r="D15" s="11" t="s">
        <v>424</v>
      </c>
      <c r="E15" s="11" t="str">
        <f>"0,6511"</f>
        <v>0,6511</v>
      </c>
      <c r="F15" s="11" t="s">
        <v>21</v>
      </c>
      <c r="G15" s="11" t="s">
        <v>425</v>
      </c>
      <c r="H15" s="27" t="s">
        <v>101</v>
      </c>
      <c r="I15" s="27" t="s">
        <v>97</v>
      </c>
      <c r="J15" s="27" t="s">
        <v>155</v>
      </c>
      <c r="K15" s="12"/>
      <c r="L15" s="12" t="str">
        <f>"110,0"</f>
        <v>110,0</v>
      </c>
      <c r="M15" s="12" t="str">
        <f>"141,0934"</f>
        <v>141,0934</v>
      </c>
      <c r="N15" s="11" t="s">
        <v>712</v>
      </c>
    </row>
    <row r="16" spans="1:14" x14ac:dyDescent="0.2">
      <c r="B16" s="5" t="s">
        <v>14</v>
      </c>
    </row>
    <row r="17" spans="1:14" ht="15" x14ac:dyDescent="0.2">
      <c r="A17" s="55" t="s">
        <v>20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</row>
    <row r="18" spans="1:14" x14ac:dyDescent="0.2">
      <c r="A18" s="10" t="s">
        <v>69</v>
      </c>
      <c r="B18" s="9" t="s">
        <v>596</v>
      </c>
      <c r="C18" s="9" t="s">
        <v>597</v>
      </c>
      <c r="D18" s="9" t="s">
        <v>598</v>
      </c>
      <c r="E18" s="9" t="str">
        <f>"0,5935"</f>
        <v>0,5935</v>
      </c>
      <c r="F18" s="9" t="s">
        <v>21</v>
      </c>
      <c r="G18" s="9" t="s">
        <v>599</v>
      </c>
      <c r="H18" s="22" t="s">
        <v>195</v>
      </c>
      <c r="I18" s="22" t="s">
        <v>25</v>
      </c>
      <c r="J18" s="10"/>
      <c r="K18" s="10"/>
      <c r="L18" s="10" t="str">
        <f>"180,0"</f>
        <v>180,0</v>
      </c>
      <c r="M18" s="10" t="str">
        <f>"108,7529"</f>
        <v>108,7529</v>
      </c>
      <c r="N18" s="9" t="s">
        <v>712</v>
      </c>
    </row>
    <row r="19" spans="1:14" x14ac:dyDescent="0.2">
      <c r="A19" s="17" t="s">
        <v>71</v>
      </c>
      <c r="B19" s="16" t="s">
        <v>600</v>
      </c>
      <c r="C19" s="16" t="s">
        <v>601</v>
      </c>
      <c r="D19" s="16" t="s">
        <v>223</v>
      </c>
      <c r="E19" s="16" t="str">
        <f>"0,5965"</f>
        <v>0,5965</v>
      </c>
      <c r="F19" s="16" t="s">
        <v>21</v>
      </c>
      <c r="G19" s="16" t="s">
        <v>77</v>
      </c>
      <c r="H19" s="28" t="s">
        <v>187</v>
      </c>
      <c r="I19" s="28" t="s">
        <v>168</v>
      </c>
      <c r="J19" s="28" t="s">
        <v>147</v>
      </c>
      <c r="K19" s="17"/>
      <c r="L19" s="17" t="str">
        <f>"137,5"</f>
        <v>137,5</v>
      </c>
      <c r="M19" s="17" t="str">
        <f>"83,4951"</f>
        <v>83,4951</v>
      </c>
      <c r="N19" s="16" t="s">
        <v>712</v>
      </c>
    </row>
    <row r="20" spans="1:14" x14ac:dyDescent="0.2">
      <c r="A20" s="12" t="s">
        <v>69</v>
      </c>
      <c r="B20" s="11" t="s">
        <v>377</v>
      </c>
      <c r="C20" s="11" t="s">
        <v>378</v>
      </c>
      <c r="D20" s="11" t="s">
        <v>379</v>
      </c>
      <c r="E20" s="11" t="str">
        <f>"0,5947"</f>
        <v>0,5947</v>
      </c>
      <c r="F20" s="11" t="s">
        <v>21</v>
      </c>
      <c r="G20" s="11" t="s">
        <v>380</v>
      </c>
      <c r="H20" s="27" t="s">
        <v>25</v>
      </c>
      <c r="I20" s="24" t="s">
        <v>49</v>
      </c>
      <c r="J20" s="27" t="s">
        <v>49</v>
      </c>
      <c r="K20" s="12"/>
      <c r="L20" s="12" t="str">
        <f>"192,5"</f>
        <v>192,5</v>
      </c>
      <c r="M20" s="12" t="str">
        <f>"122,3788"</f>
        <v>122,3788</v>
      </c>
      <c r="N20" s="11" t="s">
        <v>712</v>
      </c>
    </row>
    <row r="21" spans="1:14" x14ac:dyDescent="0.2">
      <c r="B21" s="5" t="s">
        <v>14</v>
      </c>
    </row>
    <row r="22" spans="1:14" ht="15" x14ac:dyDescent="0.2">
      <c r="A22" s="55" t="s">
        <v>33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</row>
    <row r="23" spans="1:14" x14ac:dyDescent="0.2">
      <c r="A23" s="10" t="s">
        <v>69</v>
      </c>
      <c r="B23" s="9" t="s">
        <v>602</v>
      </c>
      <c r="C23" s="9" t="s">
        <v>603</v>
      </c>
      <c r="D23" s="9" t="s">
        <v>556</v>
      </c>
      <c r="E23" s="9" t="str">
        <f>"0,5630"</f>
        <v>0,5630</v>
      </c>
      <c r="F23" s="9" t="s">
        <v>21</v>
      </c>
      <c r="G23" s="9" t="s">
        <v>42</v>
      </c>
      <c r="H23" s="22" t="s">
        <v>39</v>
      </c>
      <c r="I23" s="22" t="s">
        <v>40</v>
      </c>
      <c r="J23" s="23" t="s">
        <v>35</v>
      </c>
      <c r="K23" s="10"/>
      <c r="L23" s="10" t="str">
        <f>"210,0"</f>
        <v>210,0</v>
      </c>
      <c r="M23" s="10" t="str">
        <f>"118,2300"</f>
        <v>118,2300</v>
      </c>
      <c r="N23" s="9" t="s">
        <v>712</v>
      </c>
    </row>
    <row r="24" spans="1:14" x14ac:dyDescent="0.2">
      <c r="A24" s="17" t="s">
        <v>71</v>
      </c>
      <c r="B24" s="16" t="s">
        <v>604</v>
      </c>
      <c r="C24" s="16" t="s">
        <v>605</v>
      </c>
      <c r="D24" s="16" t="s">
        <v>34</v>
      </c>
      <c r="E24" s="16" t="str">
        <f>"0,5555"</f>
        <v>0,5555</v>
      </c>
      <c r="F24" s="16" t="s">
        <v>21</v>
      </c>
      <c r="G24" s="16" t="s">
        <v>77</v>
      </c>
      <c r="H24" s="28" t="s">
        <v>196</v>
      </c>
      <c r="I24" s="28" t="s">
        <v>57</v>
      </c>
      <c r="J24" s="28" t="s">
        <v>327</v>
      </c>
      <c r="K24" s="29" t="s">
        <v>39</v>
      </c>
      <c r="L24" s="17" t="str">
        <f>"197,5"</f>
        <v>197,5</v>
      </c>
      <c r="M24" s="17" t="str">
        <f>"109,7112"</f>
        <v>109,7112</v>
      </c>
      <c r="N24" s="16" t="s">
        <v>712</v>
      </c>
    </row>
    <row r="25" spans="1:14" x14ac:dyDescent="0.2">
      <c r="A25" s="17" t="s">
        <v>335</v>
      </c>
      <c r="B25" s="16" t="s">
        <v>606</v>
      </c>
      <c r="C25" s="16" t="s">
        <v>607</v>
      </c>
      <c r="D25" s="16" t="s">
        <v>608</v>
      </c>
      <c r="E25" s="16" t="str">
        <f>"0,5591"</f>
        <v>0,5591</v>
      </c>
      <c r="F25" s="16" t="s">
        <v>21</v>
      </c>
      <c r="G25" s="16" t="s">
        <v>31</v>
      </c>
      <c r="H25" s="28" t="s">
        <v>196</v>
      </c>
      <c r="I25" s="28" t="s">
        <v>80</v>
      </c>
      <c r="J25" s="29" t="s">
        <v>39</v>
      </c>
      <c r="K25" s="17"/>
      <c r="L25" s="17" t="str">
        <f>"195,0"</f>
        <v>195,0</v>
      </c>
      <c r="M25" s="17" t="str">
        <f>"109,0245"</f>
        <v>109,0245</v>
      </c>
      <c r="N25" s="16" t="s">
        <v>712</v>
      </c>
    </row>
    <row r="26" spans="1:14" x14ac:dyDescent="0.2">
      <c r="A26" s="12" t="s">
        <v>336</v>
      </c>
      <c r="B26" s="11" t="s">
        <v>609</v>
      </c>
      <c r="C26" s="11" t="s">
        <v>610</v>
      </c>
      <c r="D26" s="11" t="s">
        <v>611</v>
      </c>
      <c r="E26" s="11" t="str">
        <f>"0,5594"</f>
        <v>0,5594</v>
      </c>
      <c r="F26" s="11" t="s">
        <v>21</v>
      </c>
      <c r="G26" s="11" t="s">
        <v>201</v>
      </c>
      <c r="H26" s="27" t="s">
        <v>196</v>
      </c>
      <c r="I26" s="27" t="s">
        <v>49</v>
      </c>
      <c r="J26" s="24" t="s">
        <v>327</v>
      </c>
      <c r="K26" s="12"/>
      <c r="L26" s="12" t="str">
        <f>"192,5"</f>
        <v>192,5</v>
      </c>
      <c r="M26" s="12" t="str">
        <f>"107,6845"</f>
        <v>107,6845</v>
      </c>
      <c r="N26" s="11" t="s">
        <v>712</v>
      </c>
    </row>
    <row r="27" spans="1:14" x14ac:dyDescent="0.2">
      <c r="B27" s="5" t="s">
        <v>14</v>
      </c>
    </row>
    <row r="28" spans="1:14" ht="15" x14ac:dyDescent="0.2">
      <c r="A28" s="55" t="s">
        <v>316</v>
      </c>
      <c r="B28" s="55"/>
      <c r="C28" s="56"/>
      <c r="D28" s="56"/>
      <c r="E28" s="56"/>
      <c r="F28" s="56"/>
      <c r="G28" s="56"/>
      <c r="H28" s="56"/>
      <c r="I28" s="56"/>
      <c r="J28" s="56"/>
      <c r="K28" s="56"/>
    </row>
    <row r="29" spans="1:14" x14ac:dyDescent="0.2">
      <c r="A29" s="10" t="s">
        <v>69</v>
      </c>
      <c r="B29" s="9" t="s">
        <v>612</v>
      </c>
      <c r="C29" s="9" t="s">
        <v>613</v>
      </c>
      <c r="D29" s="9" t="s">
        <v>614</v>
      </c>
      <c r="E29" s="9" t="str">
        <f>"0,5485"</f>
        <v>0,5485</v>
      </c>
      <c r="F29" s="9" t="s">
        <v>21</v>
      </c>
      <c r="G29" s="9" t="s">
        <v>77</v>
      </c>
      <c r="H29" s="22" t="s">
        <v>220</v>
      </c>
      <c r="I29" s="22" t="s">
        <v>40</v>
      </c>
      <c r="J29" s="22" t="s">
        <v>35</v>
      </c>
      <c r="K29" s="23" t="s">
        <v>119</v>
      </c>
      <c r="L29" s="10" t="str">
        <f>"215,0"</f>
        <v>215,0</v>
      </c>
      <c r="M29" s="10" t="str">
        <f>"117,9275"</f>
        <v>117,9275</v>
      </c>
      <c r="N29" s="9" t="s">
        <v>712</v>
      </c>
    </row>
    <row r="30" spans="1:14" x14ac:dyDescent="0.2">
      <c r="A30" s="17" t="s">
        <v>71</v>
      </c>
      <c r="B30" s="16" t="s">
        <v>615</v>
      </c>
      <c r="C30" s="16" t="s">
        <v>616</v>
      </c>
      <c r="D30" s="16" t="s">
        <v>617</v>
      </c>
      <c r="E30" s="16" t="str">
        <f>"0,5382"</f>
        <v>0,5382</v>
      </c>
      <c r="F30" s="16" t="s">
        <v>21</v>
      </c>
      <c r="G30" s="16" t="s">
        <v>595</v>
      </c>
      <c r="H30" s="28" t="s">
        <v>195</v>
      </c>
      <c r="I30" s="28" t="s">
        <v>25</v>
      </c>
      <c r="J30" s="29" t="s">
        <v>57</v>
      </c>
      <c r="K30" s="17"/>
      <c r="L30" s="17" t="str">
        <f>"180,0"</f>
        <v>180,0</v>
      </c>
      <c r="M30" s="17" t="str">
        <f>"96,8760"</f>
        <v>96,8760</v>
      </c>
      <c r="N30" s="16" t="s">
        <v>712</v>
      </c>
    </row>
    <row r="31" spans="1:14" x14ac:dyDescent="0.2">
      <c r="A31" s="12" t="s">
        <v>69</v>
      </c>
      <c r="B31" s="11" t="s">
        <v>618</v>
      </c>
      <c r="C31" s="11" t="s">
        <v>619</v>
      </c>
      <c r="D31" s="11" t="s">
        <v>620</v>
      </c>
      <c r="E31" s="11" t="str">
        <f>"0,5443"</f>
        <v>0,5443</v>
      </c>
      <c r="F31" s="11" t="s">
        <v>21</v>
      </c>
      <c r="G31" s="11" t="s">
        <v>621</v>
      </c>
      <c r="H31" s="27" t="s">
        <v>173</v>
      </c>
      <c r="I31" s="27" t="s">
        <v>174</v>
      </c>
      <c r="J31" s="27" t="s">
        <v>239</v>
      </c>
      <c r="K31" s="12"/>
      <c r="L31" s="12" t="str">
        <f>"165,0"</f>
        <v>165,0</v>
      </c>
      <c r="M31" s="12" t="str">
        <f>"108,1306"</f>
        <v>108,1306</v>
      </c>
      <c r="N31" s="11" t="s">
        <v>712</v>
      </c>
    </row>
    <row r="32" spans="1:14" x14ac:dyDescent="0.2">
      <c r="B32" s="5" t="s">
        <v>14</v>
      </c>
    </row>
    <row r="33" spans="1:14" ht="15" x14ac:dyDescent="0.2">
      <c r="A33" s="55" t="s">
        <v>37</v>
      </c>
      <c r="B33" s="55"/>
      <c r="C33" s="56"/>
      <c r="D33" s="56"/>
      <c r="E33" s="56"/>
      <c r="F33" s="56"/>
      <c r="G33" s="56"/>
      <c r="H33" s="56"/>
      <c r="I33" s="56"/>
      <c r="J33" s="56"/>
      <c r="K33" s="56"/>
    </row>
    <row r="34" spans="1:14" x14ac:dyDescent="0.2">
      <c r="A34" s="15" t="s">
        <v>69</v>
      </c>
      <c r="B34" s="14" t="s">
        <v>338</v>
      </c>
      <c r="C34" s="14" t="s">
        <v>622</v>
      </c>
      <c r="D34" s="14" t="s">
        <v>340</v>
      </c>
      <c r="E34" s="14" t="str">
        <f>"0,5267"</f>
        <v>0,5267</v>
      </c>
      <c r="F34" s="14" t="s">
        <v>21</v>
      </c>
      <c r="G34" s="14" t="s">
        <v>94</v>
      </c>
      <c r="H34" s="25" t="s">
        <v>25</v>
      </c>
      <c r="I34" s="25" t="s">
        <v>57</v>
      </c>
      <c r="J34" s="26" t="s">
        <v>39</v>
      </c>
      <c r="K34" s="15"/>
      <c r="L34" s="15" t="str">
        <f>"190,0"</f>
        <v>190,0</v>
      </c>
      <c r="M34" s="15" t="str">
        <f>"100,0730"</f>
        <v>100,0730</v>
      </c>
      <c r="N34" s="14" t="s">
        <v>712</v>
      </c>
    </row>
    <row r="35" spans="1:14" x14ac:dyDescent="0.2">
      <c r="B35" s="5" t="s">
        <v>14</v>
      </c>
    </row>
    <row r="36" spans="1:14" ht="15" x14ac:dyDescent="0.2">
      <c r="A36" s="55" t="s">
        <v>50</v>
      </c>
      <c r="B36" s="55"/>
      <c r="C36" s="56"/>
      <c r="D36" s="56"/>
      <c r="E36" s="56"/>
      <c r="F36" s="56"/>
      <c r="G36" s="56"/>
      <c r="H36" s="56"/>
      <c r="I36" s="56"/>
      <c r="J36" s="56"/>
      <c r="K36" s="56"/>
    </row>
    <row r="37" spans="1:14" x14ac:dyDescent="0.2">
      <c r="A37" s="15" t="s">
        <v>69</v>
      </c>
      <c r="B37" s="14" t="s">
        <v>623</v>
      </c>
      <c r="C37" s="14" t="s">
        <v>624</v>
      </c>
      <c r="D37" s="14" t="s">
        <v>625</v>
      </c>
      <c r="E37" s="14" t="str">
        <f>"0,4931"</f>
        <v>0,4931</v>
      </c>
      <c r="F37" s="14" t="s">
        <v>21</v>
      </c>
      <c r="G37" s="14" t="s">
        <v>77</v>
      </c>
      <c r="H37" s="25" t="s">
        <v>40</v>
      </c>
      <c r="I37" s="25" t="s">
        <v>119</v>
      </c>
      <c r="J37" s="26" t="s">
        <v>51</v>
      </c>
      <c r="K37" s="15"/>
      <c r="L37" s="15" t="str">
        <f>"220,0"</f>
        <v>220,0</v>
      </c>
      <c r="M37" s="15" t="str">
        <f>"108,4820"</f>
        <v>108,4820</v>
      </c>
      <c r="N37" s="14" t="s">
        <v>712</v>
      </c>
    </row>
    <row r="38" spans="1:14" x14ac:dyDescent="0.2">
      <c r="B38" s="5" t="s">
        <v>14</v>
      </c>
    </row>
    <row r="39" spans="1:14" ht="15" x14ac:dyDescent="0.2">
      <c r="B39" s="5" t="s">
        <v>14</v>
      </c>
      <c r="F39" s="7"/>
    </row>
    <row r="40" spans="1:14" ht="15" x14ac:dyDescent="0.2">
      <c r="B40" s="5" t="s">
        <v>14</v>
      </c>
      <c r="F40" s="7"/>
    </row>
    <row r="41" spans="1:14" ht="15" x14ac:dyDescent="0.2">
      <c r="B41" s="5" t="s">
        <v>14</v>
      </c>
      <c r="F41" s="7"/>
    </row>
    <row r="42" spans="1:14" ht="15" x14ac:dyDescent="0.2">
      <c r="B42" s="5" t="s">
        <v>14</v>
      </c>
      <c r="F42" s="7"/>
    </row>
    <row r="43" spans="1:14" ht="15" x14ac:dyDescent="0.2">
      <c r="B43" s="5" t="s">
        <v>14</v>
      </c>
      <c r="F43" s="7"/>
    </row>
    <row r="44" spans="1:14" ht="15" x14ac:dyDescent="0.2">
      <c r="B44" s="5" t="s">
        <v>14</v>
      </c>
      <c r="F44" s="7"/>
    </row>
    <row r="45" spans="1:14" ht="15" x14ac:dyDescent="0.2">
      <c r="B45" s="5" t="s">
        <v>14</v>
      </c>
      <c r="F45" s="7"/>
    </row>
    <row r="46" spans="1:14" x14ac:dyDescent="0.2">
      <c r="B46" s="5" t="s">
        <v>14</v>
      </c>
    </row>
    <row r="47" spans="1:14" ht="18" x14ac:dyDescent="0.2">
      <c r="B47" s="5" t="s">
        <v>14</v>
      </c>
      <c r="C47" s="8" t="s">
        <v>13</v>
      </c>
      <c r="D47" s="8"/>
    </row>
    <row r="48" spans="1:14" ht="15" x14ac:dyDescent="0.2">
      <c r="B48" s="5" t="s">
        <v>14</v>
      </c>
      <c r="C48" s="18" t="s">
        <v>59</v>
      </c>
      <c r="D48" s="18"/>
    </row>
    <row r="49" spans="2:7" ht="14.25" x14ac:dyDescent="0.2">
      <c r="B49" s="5" t="s">
        <v>14</v>
      </c>
      <c r="C49" s="19"/>
      <c r="D49" s="20" t="s">
        <v>60</v>
      </c>
    </row>
    <row r="50" spans="2:7" ht="15" x14ac:dyDescent="0.2">
      <c r="B50" s="5" t="s">
        <v>14</v>
      </c>
      <c r="C50" s="21" t="s">
        <v>61</v>
      </c>
      <c r="D50" s="21" t="s">
        <v>62</v>
      </c>
      <c r="E50" s="21" t="s">
        <v>63</v>
      </c>
      <c r="F50" s="21" t="s">
        <v>370</v>
      </c>
      <c r="G50" s="21" t="s">
        <v>65</v>
      </c>
    </row>
    <row r="51" spans="2:7" x14ac:dyDescent="0.2">
      <c r="B51" s="5" t="s">
        <v>14</v>
      </c>
      <c r="C51" s="5" t="s">
        <v>602</v>
      </c>
      <c r="D51" s="5" t="s">
        <v>60</v>
      </c>
      <c r="E51" s="6" t="s">
        <v>66</v>
      </c>
      <c r="F51" s="6" t="s">
        <v>40</v>
      </c>
      <c r="G51" s="6" t="s">
        <v>626</v>
      </c>
    </row>
    <row r="52" spans="2:7" x14ac:dyDescent="0.2">
      <c r="B52" s="5" t="s">
        <v>14</v>
      </c>
      <c r="C52" s="5" t="s">
        <v>612</v>
      </c>
      <c r="D52" s="5" t="s">
        <v>60</v>
      </c>
      <c r="E52" s="6" t="s">
        <v>328</v>
      </c>
      <c r="F52" s="6" t="s">
        <v>35</v>
      </c>
      <c r="G52" s="6" t="s">
        <v>627</v>
      </c>
    </row>
    <row r="53" spans="2:7" x14ac:dyDescent="0.2">
      <c r="B53" s="5" t="s">
        <v>14</v>
      </c>
      <c r="C53" s="5" t="s">
        <v>593</v>
      </c>
      <c r="D53" s="5" t="s">
        <v>60</v>
      </c>
      <c r="E53" s="6" t="s">
        <v>247</v>
      </c>
      <c r="F53" s="6" t="s">
        <v>196</v>
      </c>
      <c r="G53" s="6" t="s">
        <v>628</v>
      </c>
    </row>
    <row r="54" spans="2:7" ht="15" x14ac:dyDescent="0.2">
      <c r="B54" s="5" t="s">
        <v>14</v>
      </c>
      <c r="C54" s="1"/>
      <c r="D54" s="1"/>
      <c r="E54" s="1"/>
      <c r="F54" s="1"/>
      <c r="G54" s="1"/>
    </row>
    <row r="55" spans="2:7" x14ac:dyDescent="0.2">
      <c r="B55" s="5" t="s">
        <v>14</v>
      </c>
      <c r="E55" s="6"/>
      <c r="F55" s="6"/>
      <c r="G55" s="6"/>
    </row>
    <row r="56" spans="2:7" x14ac:dyDescent="0.2">
      <c r="B56" s="5" t="s">
        <v>14</v>
      </c>
    </row>
    <row r="57" spans="2:7" ht="14.25" x14ac:dyDescent="0.2">
      <c r="B57" s="5" t="s">
        <v>14</v>
      </c>
      <c r="C57" s="19"/>
      <c r="D57" s="20"/>
    </row>
    <row r="58" spans="2:7" ht="15" x14ac:dyDescent="0.2">
      <c r="B58" s="5" t="s">
        <v>14</v>
      </c>
      <c r="C58" s="1"/>
      <c r="D58" s="1"/>
      <c r="E58" s="1"/>
      <c r="F58" s="1"/>
      <c r="G58" s="1"/>
    </row>
    <row r="59" spans="2:7" x14ac:dyDescent="0.2">
      <c r="B59" s="5" t="s">
        <v>14</v>
      </c>
      <c r="E59" s="6"/>
      <c r="F59" s="6"/>
      <c r="G59" s="6"/>
    </row>
    <row r="60" spans="2:7" x14ac:dyDescent="0.2">
      <c r="B60" s="5" t="s">
        <v>14</v>
      </c>
    </row>
    <row r="61" spans="2:7" x14ac:dyDescent="0.2">
      <c r="B61" s="5" t="s">
        <v>14</v>
      </c>
    </row>
    <row r="62" spans="2:7" ht="15" x14ac:dyDescent="0.2">
      <c r="B62" s="5" t="s">
        <v>14</v>
      </c>
      <c r="C62" s="18"/>
      <c r="D62" s="18"/>
    </row>
    <row r="63" spans="2:7" ht="14.25" x14ac:dyDescent="0.2">
      <c r="B63" s="5" t="s">
        <v>14</v>
      </c>
      <c r="C63" s="19"/>
      <c r="D63" s="20"/>
    </row>
    <row r="64" spans="2:7" ht="15" x14ac:dyDescent="0.2">
      <c r="B64" s="5" t="s">
        <v>14</v>
      </c>
      <c r="C64" s="1"/>
      <c r="D64" s="1"/>
      <c r="E64" s="1"/>
      <c r="F64" s="1"/>
      <c r="G64" s="1"/>
    </row>
    <row r="65" spans="2:7" x14ac:dyDescent="0.2">
      <c r="B65" s="5" t="s">
        <v>14</v>
      </c>
      <c r="E65" s="6"/>
      <c r="F65" s="6"/>
      <c r="G65" s="6"/>
    </row>
    <row r="66" spans="2:7" x14ac:dyDescent="0.2">
      <c r="B66" s="5" t="s">
        <v>14</v>
      </c>
      <c r="E66" s="6"/>
      <c r="F66" s="6"/>
      <c r="G66" s="6"/>
    </row>
    <row r="67" spans="2:7" x14ac:dyDescent="0.2">
      <c r="B67" s="5" t="s">
        <v>14</v>
      </c>
      <c r="E67" s="6"/>
      <c r="F67" s="6"/>
      <c r="G67" s="6"/>
    </row>
    <row r="68" spans="2:7" x14ac:dyDescent="0.2">
      <c r="B68" s="5" t="s">
        <v>14</v>
      </c>
    </row>
    <row r="69" spans="2:7" ht="14.25" x14ac:dyDescent="0.2">
      <c r="B69" s="5" t="s">
        <v>14</v>
      </c>
      <c r="C69" s="19"/>
      <c r="D69" s="20"/>
    </row>
    <row r="70" spans="2:7" ht="15" x14ac:dyDescent="0.2">
      <c r="B70" s="5" t="s">
        <v>14</v>
      </c>
      <c r="C70" s="1"/>
      <c r="D70" s="1"/>
      <c r="E70" s="1"/>
      <c r="F70" s="1"/>
      <c r="G70" s="1"/>
    </row>
    <row r="71" spans="2:7" x14ac:dyDescent="0.2">
      <c r="B71" s="5" t="s">
        <v>14</v>
      </c>
      <c r="E71" s="6"/>
      <c r="F71" s="6"/>
      <c r="G71" s="6"/>
    </row>
    <row r="72" spans="2:7" x14ac:dyDescent="0.2">
      <c r="B72" s="5" t="s">
        <v>14</v>
      </c>
      <c r="E72" s="6"/>
      <c r="F72" s="6"/>
      <c r="G72" s="6"/>
    </row>
    <row r="73" spans="2:7" x14ac:dyDescent="0.2">
      <c r="B73" s="5" t="s">
        <v>14</v>
      </c>
      <c r="E73" s="6"/>
      <c r="F73" s="6"/>
      <c r="G73" s="6"/>
    </row>
    <row r="74" spans="2:7" x14ac:dyDescent="0.2">
      <c r="B74" s="5" t="s">
        <v>14</v>
      </c>
    </row>
  </sheetData>
  <mergeCells count="2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6:K36"/>
    <mergeCell ref="B3:B4"/>
    <mergeCell ref="A9:K9"/>
    <mergeCell ref="A12:K12"/>
    <mergeCell ref="A17:K17"/>
    <mergeCell ref="A22:K22"/>
    <mergeCell ref="A28:K28"/>
    <mergeCell ref="A33:K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workbookViewId="0">
      <selection activeCell="N95" sqref="N95"/>
    </sheetView>
  </sheetViews>
  <sheetFormatPr defaultRowHeight="12.75" x14ac:dyDescent="0.2"/>
  <cols>
    <col min="1" max="1" width="7.42578125" style="5" bestFit="1" customWidth="1"/>
    <col min="2" max="2" width="21.42578125" style="5" bestFit="1" customWidth="1"/>
    <col min="3" max="3" width="29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40.140625" style="5" bestFit="1" customWidth="1"/>
    <col min="8" max="11" width="5.5703125" style="6" customWidth="1"/>
    <col min="12" max="12" width="7.85546875" style="6" bestFit="1" customWidth="1"/>
    <col min="13" max="13" width="8.5703125" style="6" bestFit="1" customWidth="1"/>
    <col min="14" max="14" width="17.28515625" style="5" bestFit="1" customWidth="1"/>
    <col min="15" max="16384" width="9.140625" style="3"/>
  </cols>
  <sheetData>
    <row r="1" spans="1:14" s="2" customFormat="1" ht="29.1" customHeight="1" x14ac:dyDescent="0.2">
      <c r="A1" s="65" t="s">
        <v>435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129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436</v>
      </c>
      <c r="C6" s="9" t="s">
        <v>437</v>
      </c>
      <c r="D6" s="9" t="s">
        <v>438</v>
      </c>
      <c r="E6" s="9" t="str">
        <f>"1,1210"</f>
        <v>1,1210</v>
      </c>
      <c r="F6" s="9" t="s">
        <v>21</v>
      </c>
      <c r="G6" s="9" t="s">
        <v>439</v>
      </c>
      <c r="H6" s="22" t="s">
        <v>440</v>
      </c>
      <c r="I6" s="22" t="s">
        <v>137</v>
      </c>
      <c r="J6" s="22" t="s">
        <v>162</v>
      </c>
      <c r="K6" s="23" t="s">
        <v>441</v>
      </c>
      <c r="L6" s="10" t="str">
        <f>"62,5"</f>
        <v>62,5</v>
      </c>
      <c r="M6" s="10" t="str">
        <f>"70,7631"</f>
        <v>70,7631</v>
      </c>
      <c r="N6" s="9" t="s">
        <v>712</v>
      </c>
    </row>
    <row r="7" spans="1:14" x14ac:dyDescent="0.2">
      <c r="A7" s="17" t="s">
        <v>69</v>
      </c>
      <c r="B7" s="16" t="s">
        <v>436</v>
      </c>
      <c r="C7" s="16" t="s">
        <v>442</v>
      </c>
      <c r="D7" s="16" t="s">
        <v>438</v>
      </c>
      <c r="E7" s="16" t="str">
        <f>"1,1210"</f>
        <v>1,1210</v>
      </c>
      <c r="F7" s="16" t="s">
        <v>21</v>
      </c>
      <c r="G7" s="16" t="s">
        <v>439</v>
      </c>
      <c r="H7" s="28" t="s">
        <v>440</v>
      </c>
      <c r="I7" s="28" t="s">
        <v>137</v>
      </c>
      <c r="J7" s="28" t="s">
        <v>162</v>
      </c>
      <c r="K7" s="29" t="s">
        <v>441</v>
      </c>
      <c r="L7" s="17" t="str">
        <f>"62,5"</f>
        <v>62,5</v>
      </c>
      <c r="M7" s="17" t="str">
        <f>"70,0625"</f>
        <v>70,0625</v>
      </c>
      <c r="N7" s="16" t="s">
        <v>712</v>
      </c>
    </row>
    <row r="8" spans="1:14" x14ac:dyDescent="0.2">
      <c r="A8" s="12" t="s">
        <v>71</v>
      </c>
      <c r="B8" s="11" t="s">
        <v>443</v>
      </c>
      <c r="C8" s="11" t="s">
        <v>444</v>
      </c>
      <c r="D8" s="11" t="s">
        <v>445</v>
      </c>
      <c r="E8" s="11" t="str">
        <f>"1,1109"</f>
        <v>1,1109</v>
      </c>
      <c r="F8" s="11" t="s">
        <v>21</v>
      </c>
      <c r="G8" s="11" t="s">
        <v>77</v>
      </c>
      <c r="H8" s="27" t="s">
        <v>191</v>
      </c>
      <c r="I8" s="27" t="s">
        <v>100</v>
      </c>
      <c r="J8" s="24" t="s">
        <v>154</v>
      </c>
      <c r="K8" s="12"/>
      <c r="L8" s="12" t="str">
        <f>"50,0"</f>
        <v>50,0</v>
      </c>
      <c r="M8" s="12" t="str">
        <f>"55,5450"</f>
        <v>55,5450</v>
      </c>
      <c r="N8" s="11" t="s">
        <v>712</v>
      </c>
    </row>
    <row r="9" spans="1:14" x14ac:dyDescent="0.2">
      <c r="B9" s="5" t="s">
        <v>14</v>
      </c>
    </row>
    <row r="10" spans="1:14" ht="15" x14ac:dyDescent="0.2">
      <c r="A10" s="55" t="s">
        <v>446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</row>
    <row r="11" spans="1:14" x14ac:dyDescent="0.2">
      <c r="A11" s="10" t="s">
        <v>69</v>
      </c>
      <c r="B11" s="9" t="s">
        <v>447</v>
      </c>
      <c r="C11" s="9" t="s">
        <v>448</v>
      </c>
      <c r="D11" s="9" t="s">
        <v>449</v>
      </c>
      <c r="E11" s="9" t="str">
        <f>"1,0073"</f>
        <v>1,0073</v>
      </c>
      <c r="F11" s="9" t="s">
        <v>21</v>
      </c>
      <c r="G11" s="9" t="s">
        <v>143</v>
      </c>
      <c r="H11" s="22" t="s">
        <v>98</v>
      </c>
      <c r="I11" s="22" t="s">
        <v>99</v>
      </c>
      <c r="J11" s="23" t="s">
        <v>191</v>
      </c>
      <c r="K11" s="10"/>
      <c r="L11" s="10" t="str">
        <f>"45,0"</f>
        <v>45,0</v>
      </c>
      <c r="M11" s="10" t="str">
        <f>"55,7568"</f>
        <v>55,7568</v>
      </c>
      <c r="N11" s="9" t="s">
        <v>712</v>
      </c>
    </row>
    <row r="12" spans="1:14" x14ac:dyDescent="0.2">
      <c r="A12" s="12" t="s">
        <v>71</v>
      </c>
      <c r="B12" s="11" t="s">
        <v>450</v>
      </c>
      <c r="C12" s="11" t="s">
        <v>451</v>
      </c>
      <c r="D12" s="11" t="s">
        <v>452</v>
      </c>
      <c r="E12" s="11" t="str">
        <f>"0,9724"</f>
        <v>0,9724</v>
      </c>
      <c r="F12" s="11" t="s">
        <v>21</v>
      </c>
      <c r="G12" s="11" t="s">
        <v>230</v>
      </c>
      <c r="H12" s="27" t="s">
        <v>417</v>
      </c>
      <c r="I12" s="27" t="s">
        <v>98</v>
      </c>
      <c r="J12" s="24" t="s">
        <v>99</v>
      </c>
      <c r="K12" s="12"/>
      <c r="L12" s="12" t="str">
        <f>"40,0"</f>
        <v>40,0</v>
      </c>
      <c r="M12" s="12" t="str">
        <f>"47,8396"</f>
        <v>47,8396</v>
      </c>
      <c r="N12" s="11" t="s">
        <v>453</v>
      </c>
    </row>
    <row r="13" spans="1:14" x14ac:dyDescent="0.2">
      <c r="B13" s="5" t="s">
        <v>14</v>
      </c>
    </row>
    <row r="14" spans="1:14" ht="15" x14ac:dyDescent="0.2">
      <c r="A14" s="55" t="s">
        <v>90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</row>
    <row r="15" spans="1:14" x14ac:dyDescent="0.2">
      <c r="A15" s="10" t="s">
        <v>69</v>
      </c>
      <c r="B15" s="9" t="s">
        <v>454</v>
      </c>
      <c r="C15" s="9" t="s">
        <v>455</v>
      </c>
      <c r="D15" s="9" t="s">
        <v>456</v>
      </c>
      <c r="E15" s="9" t="str">
        <f>"0,9312"</f>
        <v>0,9312</v>
      </c>
      <c r="F15" s="9" t="s">
        <v>21</v>
      </c>
      <c r="G15" s="9" t="s">
        <v>457</v>
      </c>
      <c r="H15" s="22" t="s">
        <v>139</v>
      </c>
      <c r="I15" s="23" t="s">
        <v>260</v>
      </c>
      <c r="J15" s="23" t="s">
        <v>260</v>
      </c>
      <c r="K15" s="10"/>
      <c r="L15" s="10" t="str">
        <f>"67,5"</f>
        <v>67,5</v>
      </c>
      <c r="M15" s="10" t="str">
        <f>"65,3702"</f>
        <v>65,3702</v>
      </c>
      <c r="N15" s="9" t="s">
        <v>712</v>
      </c>
    </row>
    <row r="16" spans="1:14" x14ac:dyDescent="0.2">
      <c r="A16" s="17" t="s">
        <v>69</v>
      </c>
      <c r="B16" s="16" t="s">
        <v>140</v>
      </c>
      <c r="C16" s="16" t="s">
        <v>141</v>
      </c>
      <c r="D16" s="16" t="s">
        <v>142</v>
      </c>
      <c r="E16" s="16" t="str">
        <f>"0,9326"</f>
        <v>0,9326</v>
      </c>
      <c r="F16" s="16" t="s">
        <v>21</v>
      </c>
      <c r="G16" s="16" t="s">
        <v>143</v>
      </c>
      <c r="H16" s="28" t="s">
        <v>138</v>
      </c>
      <c r="I16" s="28" t="s">
        <v>139</v>
      </c>
      <c r="J16" s="29" t="s">
        <v>146</v>
      </c>
      <c r="K16" s="17"/>
      <c r="L16" s="17" t="str">
        <f>"67,5"</f>
        <v>67,5</v>
      </c>
      <c r="M16" s="17" t="str">
        <f>"62,9505"</f>
        <v>62,9505</v>
      </c>
      <c r="N16" s="16" t="s">
        <v>712</v>
      </c>
    </row>
    <row r="17" spans="1:14" x14ac:dyDescent="0.2">
      <c r="A17" s="17" t="s">
        <v>71</v>
      </c>
      <c r="B17" s="16" t="s">
        <v>454</v>
      </c>
      <c r="C17" s="16" t="s">
        <v>458</v>
      </c>
      <c r="D17" s="16" t="s">
        <v>456</v>
      </c>
      <c r="E17" s="16" t="str">
        <f>"0,9312"</f>
        <v>0,9312</v>
      </c>
      <c r="F17" s="16" t="s">
        <v>21</v>
      </c>
      <c r="G17" s="16" t="s">
        <v>457</v>
      </c>
      <c r="H17" s="28" t="s">
        <v>139</v>
      </c>
      <c r="I17" s="29" t="s">
        <v>260</v>
      </c>
      <c r="J17" s="29" t="s">
        <v>260</v>
      </c>
      <c r="K17" s="17"/>
      <c r="L17" s="17" t="str">
        <f>"67,5"</f>
        <v>67,5</v>
      </c>
      <c r="M17" s="17" t="str">
        <f>"62,8560"</f>
        <v>62,8560</v>
      </c>
      <c r="N17" s="16" t="s">
        <v>712</v>
      </c>
    </row>
    <row r="18" spans="1:14" x14ac:dyDescent="0.2">
      <c r="A18" s="17" t="s">
        <v>335</v>
      </c>
      <c r="B18" s="16" t="s">
        <v>459</v>
      </c>
      <c r="C18" s="16" t="s">
        <v>460</v>
      </c>
      <c r="D18" s="16" t="s">
        <v>461</v>
      </c>
      <c r="E18" s="16" t="str">
        <f>"0,9133"</f>
        <v>0,9133</v>
      </c>
      <c r="F18" s="16" t="s">
        <v>21</v>
      </c>
      <c r="G18" s="16" t="s">
        <v>77</v>
      </c>
      <c r="H18" s="28" t="s">
        <v>138</v>
      </c>
      <c r="I18" s="29" t="s">
        <v>146</v>
      </c>
      <c r="J18" s="29" t="s">
        <v>146</v>
      </c>
      <c r="K18" s="17"/>
      <c r="L18" s="17" t="str">
        <f>"65,0"</f>
        <v>65,0</v>
      </c>
      <c r="M18" s="17" t="str">
        <f>"59,3645"</f>
        <v>59,3645</v>
      </c>
      <c r="N18" s="16" t="s">
        <v>122</v>
      </c>
    </row>
    <row r="19" spans="1:14" x14ac:dyDescent="0.2">
      <c r="A19" s="12" t="s">
        <v>336</v>
      </c>
      <c r="B19" s="11" t="s">
        <v>462</v>
      </c>
      <c r="C19" s="11" t="s">
        <v>463</v>
      </c>
      <c r="D19" s="11" t="s">
        <v>464</v>
      </c>
      <c r="E19" s="11" t="str">
        <f>"0,9256"</f>
        <v>0,9256</v>
      </c>
      <c r="F19" s="11" t="s">
        <v>21</v>
      </c>
      <c r="G19" s="11" t="s">
        <v>31</v>
      </c>
      <c r="H19" s="27" t="s">
        <v>161</v>
      </c>
      <c r="I19" s="24" t="s">
        <v>137</v>
      </c>
      <c r="J19" s="24" t="s">
        <v>137</v>
      </c>
      <c r="K19" s="12"/>
      <c r="L19" s="12" t="str">
        <f>"55,0"</f>
        <v>55,0</v>
      </c>
      <c r="M19" s="12" t="str">
        <f>"50,9080"</f>
        <v>50,9080</v>
      </c>
      <c r="N19" s="11" t="s">
        <v>712</v>
      </c>
    </row>
    <row r="20" spans="1:14" x14ac:dyDescent="0.2">
      <c r="B20" s="5" t="s">
        <v>14</v>
      </c>
    </row>
    <row r="21" spans="1:14" ht="15" x14ac:dyDescent="0.2">
      <c r="A21" s="55" t="s">
        <v>157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</row>
    <row r="22" spans="1:14" x14ac:dyDescent="0.2">
      <c r="A22" s="15" t="s">
        <v>69</v>
      </c>
      <c r="B22" s="14" t="s">
        <v>465</v>
      </c>
      <c r="C22" s="14" t="s">
        <v>466</v>
      </c>
      <c r="D22" s="14" t="s">
        <v>467</v>
      </c>
      <c r="E22" s="14" t="str">
        <f>"0,8719"</f>
        <v>0,8719</v>
      </c>
      <c r="F22" s="14" t="s">
        <v>21</v>
      </c>
      <c r="G22" s="14" t="s">
        <v>230</v>
      </c>
      <c r="H22" s="25" t="s">
        <v>98</v>
      </c>
      <c r="I22" s="25" t="s">
        <v>99</v>
      </c>
      <c r="J22" s="25" t="s">
        <v>154</v>
      </c>
      <c r="K22" s="15"/>
      <c r="L22" s="15" t="str">
        <f>"52,5"</f>
        <v>52,5</v>
      </c>
      <c r="M22" s="15" t="str">
        <f>"49,4367"</f>
        <v>49,4367</v>
      </c>
      <c r="N22" s="14" t="s">
        <v>712</v>
      </c>
    </row>
    <row r="23" spans="1:14" x14ac:dyDescent="0.2">
      <c r="B23" s="5" t="s">
        <v>14</v>
      </c>
    </row>
    <row r="24" spans="1:14" ht="15" x14ac:dyDescent="0.2">
      <c r="A24" s="55" t="s">
        <v>163</v>
      </c>
      <c r="B24" s="55"/>
      <c r="C24" s="56"/>
      <c r="D24" s="56"/>
      <c r="E24" s="56"/>
      <c r="F24" s="56"/>
      <c r="G24" s="56"/>
      <c r="H24" s="56"/>
      <c r="I24" s="56"/>
      <c r="J24" s="56"/>
      <c r="K24" s="56"/>
    </row>
    <row r="25" spans="1:14" x14ac:dyDescent="0.2">
      <c r="A25" s="15" t="s">
        <v>69</v>
      </c>
      <c r="B25" s="14" t="s">
        <v>164</v>
      </c>
      <c r="C25" s="14" t="s">
        <v>165</v>
      </c>
      <c r="D25" s="14" t="s">
        <v>166</v>
      </c>
      <c r="E25" s="14" t="str">
        <f>"0,7842"</f>
        <v>0,7842</v>
      </c>
      <c r="F25" s="14" t="s">
        <v>21</v>
      </c>
      <c r="G25" s="14" t="s">
        <v>167</v>
      </c>
      <c r="H25" s="25" t="s">
        <v>169</v>
      </c>
      <c r="I25" s="25" t="s">
        <v>170</v>
      </c>
      <c r="J25" s="25" t="s">
        <v>171</v>
      </c>
      <c r="K25" s="15"/>
      <c r="L25" s="15" t="str">
        <f>"82,5"</f>
        <v>82,5</v>
      </c>
      <c r="M25" s="15" t="str">
        <f>"64,6965"</f>
        <v>64,6965</v>
      </c>
      <c r="N25" s="14" t="s">
        <v>712</v>
      </c>
    </row>
    <row r="26" spans="1:14" x14ac:dyDescent="0.2">
      <c r="B26" s="5" t="s">
        <v>14</v>
      </c>
    </row>
    <row r="27" spans="1:14" ht="15" x14ac:dyDescent="0.2">
      <c r="A27" s="55" t="s">
        <v>182</v>
      </c>
      <c r="B27" s="55"/>
      <c r="C27" s="56"/>
      <c r="D27" s="56"/>
      <c r="E27" s="56"/>
      <c r="F27" s="56"/>
      <c r="G27" s="56"/>
      <c r="H27" s="56"/>
      <c r="I27" s="56"/>
      <c r="J27" s="56"/>
      <c r="K27" s="56"/>
    </row>
    <row r="28" spans="1:14" x14ac:dyDescent="0.2">
      <c r="A28" s="15" t="s">
        <v>69</v>
      </c>
      <c r="B28" s="14" t="s">
        <v>468</v>
      </c>
      <c r="C28" s="14" t="s">
        <v>469</v>
      </c>
      <c r="D28" s="14" t="s">
        <v>348</v>
      </c>
      <c r="E28" s="14" t="str">
        <f>"0,7290"</f>
        <v>0,7290</v>
      </c>
      <c r="F28" s="14" t="s">
        <v>21</v>
      </c>
      <c r="G28" s="14" t="s">
        <v>56</v>
      </c>
      <c r="H28" s="25" t="s">
        <v>98</v>
      </c>
      <c r="I28" s="25" t="s">
        <v>191</v>
      </c>
      <c r="J28" s="26" t="s">
        <v>100</v>
      </c>
      <c r="K28" s="15"/>
      <c r="L28" s="15" t="str">
        <f>"47,5"</f>
        <v>47,5</v>
      </c>
      <c r="M28" s="15" t="str">
        <f>"36,2871"</f>
        <v>36,2871</v>
      </c>
      <c r="N28" s="14" t="s">
        <v>225</v>
      </c>
    </row>
    <row r="29" spans="1:14" x14ac:dyDescent="0.2">
      <c r="B29" s="5" t="s">
        <v>14</v>
      </c>
    </row>
    <row r="30" spans="1:14" ht="15" x14ac:dyDescent="0.2">
      <c r="A30" s="55" t="s">
        <v>73</v>
      </c>
      <c r="B30" s="55"/>
      <c r="C30" s="56"/>
      <c r="D30" s="56"/>
      <c r="E30" s="56"/>
      <c r="F30" s="56"/>
      <c r="G30" s="56"/>
      <c r="H30" s="56"/>
      <c r="I30" s="56"/>
      <c r="J30" s="56"/>
      <c r="K30" s="56"/>
    </row>
    <row r="31" spans="1:14" x14ac:dyDescent="0.2">
      <c r="A31" s="15" t="s">
        <v>69</v>
      </c>
      <c r="B31" s="14" t="s">
        <v>470</v>
      </c>
      <c r="C31" s="14" t="s">
        <v>471</v>
      </c>
      <c r="D31" s="14" t="s">
        <v>392</v>
      </c>
      <c r="E31" s="14" t="str">
        <f>"0,6764"</f>
        <v>0,6764</v>
      </c>
      <c r="F31" s="14" t="s">
        <v>21</v>
      </c>
      <c r="G31" s="14" t="s">
        <v>230</v>
      </c>
      <c r="H31" s="25" t="s">
        <v>153</v>
      </c>
      <c r="I31" s="25" t="s">
        <v>95</v>
      </c>
      <c r="J31" s="26" t="s">
        <v>101</v>
      </c>
      <c r="K31" s="15"/>
      <c r="L31" s="15" t="str">
        <f>"90,0"</f>
        <v>90,0</v>
      </c>
      <c r="M31" s="15" t="str">
        <f>"60,8760"</f>
        <v>60,8760</v>
      </c>
      <c r="N31" s="14" t="s">
        <v>712</v>
      </c>
    </row>
    <row r="32" spans="1:14" x14ac:dyDescent="0.2">
      <c r="B32" s="5" t="s">
        <v>14</v>
      </c>
    </row>
    <row r="33" spans="1:14" ht="15" x14ac:dyDescent="0.2">
      <c r="A33" s="55" t="s">
        <v>472</v>
      </c>
      <c r="B33" s="55"/>
      <c r="C33" s="56"/>
      <c r="D33" s="56"/>
      <c r="E33" s="56"/>
      <c r="F33" s="56"/>
      <c r="G33" s="56"/>
      <c r="H33" s="56"/>
      <c r="I33" s="56"/>
      <c r="J33" s="56"/>
      <c r="K33" s="56"/>
    </row>
    <row r="34" spans="1:14" x14ac:dyDescent="0.2">
      <c r="A34" s="15" t="s">
        <v>69</v>
      </c>
      <c r="B34" s="14" t="s">
        <v>473</v>
      </c>
      <c r="C34" s="14" t="s">
        <v>474</v>
      </c>
      <c r="D34" s="14" t="s">
        <v>475</v>
      </c>
      <c r="E34" s="14" t="str">
        <f>"0,5540"</f>
        <v>0,5540</v>
      </c>
      <c r="F34" s="14" t="s">
        <v>21</v>
      </c>
      <c r="G34" s="14" t="s">
        <v>77</v>
      </c>
      <c r="H34" s="25" t="s">
        <v>191</v>
      </c>
      <c r="I34" s="25" t="s">
        <v>154</v>
      </c>
      <c r="J34" s="25" t="s">
        <v>161</v>
      </c>
      <c r="K34" s="15"/>
      <c r="L34" s="15" t="str">
        <f>"55,0"</f>
        <v>55,0</v>
      </c>
      <c r="M34" s="15" t="str">
        <f>"30,4700"</f>
        <v>30,4700</v>
      </c>
      <c r="N34" s="14" t="s">
        <v>712</v>
      </c>
    </row>
    <row r="35" spans="1:14" x14ac:dyDescent="0.2">
      <c r="B35" s="5" t="s">
        <v>14</v>
      </c>
    </row>
    <row r="36" spans="1:14" ht="15" x14ac:dyDescent="0.2">
      <c r="A36" s="55" t="s">
        <v>446</v>
      </c>
      <c r="B36" s="55"/>
      <c r="C36" s="56"/>
      <c r="D36" s="56"/>
      <c r="E36" s="56"/>
      <c r="F36" s="56"/>
      <c r="G36" s="56"/>
      <c r="H36" s="56"/>
      <c r="I36" s="56"/>
      <c r="J36" s="56"/>
      <c r="K36" s="56"/>
    </row>
    <row r="37" spans="1:14" x14ac:dyDescent="0.2">
      <c r="A37" s="10" t="s">
        <v>69</v>
      </c>
      <c r="B37" s="9" t="s">
        <v>476</v>
      </c>
      <c r="C37" s="9" t="s">
        <v>477</v>
      </c>
      <c r="D37" s="9" t="s">
        <v>478</v>
      </c>
      <c r="E37" s="9" t="str">
        <f>"1,3133"</f>
        <v>1,3133</v>
      </c>
      <c r="F37" s="9" t="s">
        <v>21</v>
      </c>
      <c r="G37" s="9" t="s">
        <v>77</v>
      </c>
      <c r="H37" s="22" t="s">
        <v>479</v>
      </c>
      <c r="I37" s="22" t="s">
        <v>480</v>
      </c>
      <c r="J37" s="22" t="s">
        <v>481</v>
      </c>
      <c r="K37" s="10"/>
      <c r="L37" s="10" t="str">
        <f>"17,5"</f>
        <v>17,5</v>
      </c>
      <c r="M37" s="10" t="str">
        <f>"28,2688"</f>
        <v>28,2688</v>
      </c>
      <c r="N37" s="9" t="s">
        <v>712</v>
      </c>
    </row>
    <row r="38" spans="1:14" x14ac:dyDescent="0.2">
      <c r="A38" s="12" t="s">
        <v>69</v>
      </c>
      <c r="B38" s="11" t="s">
        <v>482</v>
      </c>
      <c r="C38" s="11" t="s">
        <v>483</v>
      </c>
      <c r="D38" s="11" t="s">
        <v>484</v>
      </c>
      <c r="E38" s="11" t="str">
        <f>"1,1657"</f>
        <v>1,1657</v>
      </c>
      <c r="F38" s="11" t="s">
        <v>21</v>
      </c>
      <c r="G38" s="11" t="s">
        <v>77</v>
      </c>
      <c r="H38" s="27" t="s">
        <v>417</v>
      </c>
      <c r="I38" s="24" t="s">
        <v>485</v>
      </c>
      <c r="J38" s="27" t="s">
        <v>98</v>
      </c>
      <c r="K38" s="12"/>
      <c r="L38" s="12" t="str">
        <f>"40,0"</f>
        <v>40,0</v>
      </c>
      <c r="M38" s="12" t="str">
        <f>"57,3524"</f>
        <v>57,3524</v>
      </c>
      <c r="N38" s="11" t="s">
        <v>712</v>
      </c>
    </row>
    <row r="39" spans="1:14" x14ac:dyDescent="0.2">
      <c r="B39" s="5" t="s">
        <v>14</v>
      </c>
    </row>
    <row r="40" spans="1:14" ht="15" x14ac:dyDescent="0.2">
      <c r="A40" s="55" t="s">
        <v>90</v>
      </c>
      <c r="B40" s="55"/>
      <c r="C40" s="56"/>
      <c r="D40" s="56"/>
      <c r="E40" s="56"/>
      <c r="F40" s="56"/>
      <c r="G40" s="56"/>
      <c r="H40" s="56"/>
      <c r="I40" s="56"/>
      <c r="J40" s="56"/>
      <c r="K40" s="56"/>
    </row>
    <row r="41" spans="1:14" x14ac:dyDescent="0.2">
      <c r="A41" s="15" t="s">
        <v>69</v>
      </c>
      <c r="B41" s="14" t="s">
        <v>486</v>
      </c>
      <c r="C41" s="14" t="s">
        <v>487</v>
      </c>
      <c r="D41" s="14" t="s">
        <v>93</v>
      </c>
      <c r="E41" s="14" t="str">
        <f>"0,8782"</f>
        <v>0,8782</v>
      </c>
      <c r="F41" s="14" t="s">
        <v>21</v>
      </c>
      <c r="G41" s="14" t="s">
        <v>439</v>
      </c>
      <c r="H41" s="26" t="s">
        <v>153</v>
      </c>
      <c r="I41" s="26" t="s">
        <v>376</v>
      </c>
      <c r="J41" s="25" t="s">
        <v>376</v>
      </c>
      <c r="K41" s="15"/>
      <c r="L41" s="15" t="str">
        <f>"92,5"</f>
        <v>92,5</v>
      </c>
      <c r="M41" s="15" t="str">
        <f>"86,1075"</f>
        <v>86,1075</v>
      </c>
      <c r="N41" s="14" t="s">
        <v>712</v>
      </c>
    </row>
    <row r="42" spans="1:14" x14ac:dyDescent="0.2">
      <c r="B42" s="5" t="s">
        <v>14</v>
      </c>
    </row>
    <row r="43" spans="1:14" ht="15" x14ac:dyDescent="0.2">
      <c r="A43" s="55" t="s">
        <v>157</v>
      </c>
      <c r="B43" s="55"/>
      <c r="C43" s="56"/>
      <c r="D43" s="56"/>
      <c r="E43" s="56"/>
      <c r="F43" s="56"/>
      <c r="G43" s="56"/>
      <c r="H43" s="56"/>
      <c r="I43" s="56"/>
      <c r="J43" s="56"/>
      <c r="K43" s="56"/>
    </row>
    <row r="44" spans="1:14" x14ac:dyDescent="0.2">
      <c r="A44" s="10" t="s">
        <v>69</v>
      </c>
      <c r="B44" s="9" t="s">
        <v>488</v>
      </c>
      <c r="C44" s="9" t="s">
        <v>489</v>
      </c>
      <c r="D44" s="9" t="s">
        <v>490</v>
      </c>
      <c r="E44" s="9" t="str">
        <f>"0,8361"</f>
        <v>0,8361</v>
      </c>
      <c r="F44" s="9" t="s">
        <v>21</v>
      </c>
      <c r="G44" s="9" t="s">
        <v>230</v>
      </c>
      <c r="H44" s="23" t="s">
        <v>100</v>
      </c>
      <c r="I44" s="22" t="s">
        <v>100</v>
      </c>
      <c r="J44" s="23" t="s">
        <v>440</v>
      </c>
      <c r="K44" s="10"/>
      <c r="L44" s="10" t="str">
        <f>"50,0"</f>
        <v>50,0</v>
      </c>
      <c r="M44" s="10" t="str">
        <f>"45,1494"</f>
        <v>45,1494</v>
      </c>
      <c r="N44" s="9" t="s">
        <v>712</v>
      </c>
    </row>
    <row r="45" spans="1:14" x14ac:dyDescent="0.2">
      <c r="A45" s="12" t="s">
        <v>69</v>
      </c>
      <c r="B45" s="11" t="s">
        <v>491</v>
      </c>
      <c r="C45" s="11" t="s">
        <v>492</v>
      </c>
      <c r="D45" s="11" t="s">
        <v>493</v>
      </c>
      <c r="E45" s="11" t="str">
        <f>"0,8500"</f>
        <v>0,8500</v>
      </c>
      <c r="F45" s="11" t="s">
        <v>21</v>
      </c>
      <c r="G45" s="11" t="s">
        <v>201</v>
      </c>
      <c r="H45" s="27" t="s">
        <v>97</v>
      </c>
      <c r="I45" s="27" t="s">
        <v>145</v>
      </c>
      <c r="J45" s="12"/>
      <c r="K45" s="12"/>
      <c r="L45" s="12" t="str">
        <f>"115,0"</f>
        <v>115,0</v>
      </c>
      <c r="M45" s="12" t="str">
        <f>"97,7500"</f>
        <v>97,7500</v>
      </c>
      <c r="N45" s="11" t="s">
        <v>712</v>
      </c>
    </row>
    <row r="46" spans="1:14" x14ac:dyDescent="0.2">
      <c r="B46" s="5" t="s">
        <v>14</v>
      </c>
    </row>
    <row r="47" spans="1:14" ht="15" x14ac:dyDescent="0.2">
      <c r="A47" s="55" t="s">
        <v>163</v>
      </c>
      <c r="B47" s="55"/>
      <c r="C47" s="56"/>
      <c r="D47" s="56"/>
      <c r="E47" s="56"/>
      <c r="F47" s="56"/>
      <c r="G47" s="56"/>
      <c r="H47" s="56"/>
      <c r="I47" s="56"/>
      <c r="J47" s="56"/>
      <c r="K47" s="56"/>
    </row>
    <row r="48" spans="1:14" x14ac:dyDescent="0.2">
      <c r="A48" s="15" t="s">
        <v>69</v>
      </c>
      <c r="B48" s="14" t="s">
        <v>192</v>
      </c>
      <c r="C48" s="14" t="s">
        <v>197</v>
      </c>
      <c r="D48" s="14" t="s">
        <v>194</v>
      </c>
      <c r="E48" s="14" t="str">
        <f>"0,7347"</f>
        <v>0,7347</v>
      </c>
      <c r="F48" s="14" t="s">
        <v>21</v>
      </c>
      <c r="G48" s="14" t="s">
        <v>143</v>
      </c>
      <c r="H48" s="26" t="s">
        <v>147</v>
      </c>
      <c r="I48" s="25" t="s">
        <v>120</v>
      </c>
      <c r="J48" s="25" t="s">
        <v>148</v>
      </c>
      <c r="K48" s="15"/>
      <c r="L48" s="15" t="str">
        <f>"142,5"</f>
        <v>142,5</v>
      </c>
      <c r="M48" s="15" t="str">
        <f>"119,7708"</f>
        <v>119,7708</v>
      </c>
      <c r="N48" s="14" t="s">
        <v>712</v>
      </c>
    </row>
    <row r="49" spans="1:14" x14ac:dyDescent="0.2">
      <c r="B49" s="5" t="s">
        <v>14</v>
      </c>
    </row>
    <row r="50" spans="1:14" ht="15" x14ac:dyDescent="0.2">
      <c r="A50" s="55" t="s">
        <v>182</v>
      </c>
      <c r="B50" s="55"/>
      <c r="C50" s="56"/>
      <c r="D50" s="56"/>
      <c r="E50" s="56"/>
      <c r="F50" s="56"/>
      <c r="G50" s="56"/>
      <c r="H50" s="56"/>
      <c r="I50" s="56"/>
      <c r="J50" s="56"/>
      <c r="K50" s="56"/>
    </row>
    <row r="51" spans="1:14" x14ac:dyDescent="0.2">
      <c r="A51" s="10" t="s">
        <v>69</v>
      </c>
      <c r="B51" s="9" t="s">
        <v>494</v>
      </c>
      <c r="C51" s="9" t="s">
        <v>495</v>
      </c>
      <c r="D51" s="9" t="s">
        <v>496</v>
      </c>
      <c r="E51" s="9" t="str">
        <f>"0,6898"</f>
        <v>0,6898</v>
      </c>
      <c r="F51" s="9" t="s">
        <v>21</v>
      </c>
      <c r="G51" s="9" t="s">
        <v>497</v>
      </c>
      <c r="H51" s="22" t="s">
        <v>96</v>
      </c>
      <c r="I51" s="22" t="s">
        <v>155</v>
      </c>
      <c r="J51" s="23" t="s">
        <v>156</v>
      </c>
      <c r="K51" s="10"/>
      <c r="L51" s="10" t="str">
        <f>"110,0"</f>
        <v>110,0</v>
      </c>
      <c r="M51" s="10" t="str">
        <f>"80,4307"</f>
        <v>80,4307</v>
      </c>
      <c r="N51" s="9" t="s">
        <v>712</v>
      </c>
    </row>
    <row r="52" spans="1:14" x14ac:dyDescent="0.2">
      <c r="A52" s="17" t="s">
        <v>69</v>
      </c>
      <c r="B52" s="16" t="s">
        <v>498</v>
      </c>
      <c r="C52" s="16" t="s">
        <v>499</v>
      </c>
      <c r="D52" s="16" t="s">
        <v>500</v>
      </c>
      <c r="E52" s="16" t="str">
        <f>"0,6708"</f>
        <v>0,6708</v>
      </c>
      <c r="F52" s="16" t="s">
        <v>21</v>
      </c>
      <c r="G52" s="16" t="s">
        <v>31</v>
      </c>
      <c r="H52" s="28" t="s">
        <v>120</v>
      </c>
      <c r="I52" s="28" t="s">
        <v>173</v>
      </c>
      <c r="J52" s="28" t="s">
        <v>121</v>
      </c>
      <c r="K52" s="17"/>
      <c r="L52" s="17" t="str">
        <f>"152,5"</f>
        <v>152,5</v>
      </c>
      <c r="M52" s="17" t="str">
        <f>"104,3429"</f>
        <v>104,3429</v>
      </c>
      <c r="N52" s="16" t="s">
        <v>712</v>
      </c>
    </row>
    <row r="53" spans="1:14" x14ac:dyDescent="0.2">
      <c r="A53" s="17" t="s">
        <v>69</v>
      </c>
      <c r="B53" s="16" t="s">
        <v>501</v>
      </c>
      <c r="C53" s="16" t="s">
        <v>502</v>
      </c>
      <c r="D53" s="16" t="s">
        <v>503</v>
      </c>
      <c r="E53" s="16" t="str">
        <f>"0,6694"</f>
        <v>0,6694</v>
      </c>
      <c r="F53" s="16" t="s">
        <v>21</v>
      </c>
      <c r="G53" s="16" t="s">
        <v>77</v>
      </c>
      <c r="H53" s="28" t="s">
        <v>187</v>
      </c>
      <c r="I53" s="28" t="s">
        <v>168</v>
      </c>
      <c r="J53" s="28" t="s">
        <v>147</v>
      </c>
      <c r="K53" s="17"/>
      <c r="L53" s="17" t="str">
        <f>"137,5"</f>
        <v>137,5</v>
      </c>
      <c r="M53" s="17" t="str">
        <f>"92,0425"</f>
        <v>92,0425</v>
      </c>
      <c r="N53" s="16" t="s">
        <v>712</v>
      </c>
    </row>
    <row r="54" spans="1:14" x14ac:dyDescent="0.2">
      <c r="A54" s="17" t="s">
        <v>69</v>
      </c>
      <c r="B54" s="16" t="s">
        <v>504</v>
      </c>
      <c r="C54" s="16" t="s">
        <v>505</v>
      </c>
      <c r="D54" s="16" t="s">
        <v>506</v>
      </c>
      <c r="E54" s="16" t="str">
        <f>"0,6882"</f>
        <v>0,6882</v>
      </c>
      <c r="F54" s="16" t="s">
        <v>21</v>
      </c>
      <c r="G54" s="16" t="s">
        <v>77</v>
      </c>
      <c r="H54" s="28" t="s">
        <v>145</v>
      </c>
      <c r="I54" s="29" t="s">
        <v>156</v>
      </c>
      <c r="J54" s="29" t="s">
        <v>156</v>
      </c>
      <c r="K54" s="17"/>
      <c r="L54" s="17" t="str">
        <f>"115,0"</f>
        <v>115,0</v>
      </c>
      <c r="M54" s="17" t="str">
        <f>"79,3804"</f>
        <v>79,3804</v>
      </c>
      <c r="N54" s="16" t="s">
        <v>712</v>
      </c>
    </row>
    <row r="55" spans="1:14" x14ac:dyDescent="0.2">
      <c r="A55" s="12" t="s">
        <v>69</v>
      </c>
      <c r="B55" s="11" t="s">
        <v>507</v>
      </c>
      <c r="C55" s="11" t="s">
        <v>508</v>
      </c>
      <c r="D55" s="11" t="s">
        <v>509</v>
      </c>
      <c r="E55" s="11" t="str">
        <f>"0,6652"</f>
        <v>0,6652</v>
      </c>
      <c r="F55" s="11" t="s">
        <v>21</v>
      </c>
      <c r="G55" s="11" t="s">
        <v>510</v>
      </c>
      <c r="H55" s="27" t="s">
        <v>187</v>
      </c>
      <c r="I55" s="24" t="s">
        <v>168</v>
      </c>
      <c r="J55" s="27" t="s">
        <v>172</v>
      </c>
      <c r="K55" s="12"/>
      <c r="L55" s="12" t="str">
        <f>"135,0"</f>
        <v>135,0</v>
      </c>
      <c r="M55" s="12" t="str">
        <f>"94,1125"</f>
        <v>94,1125</v>
      </c>
      <c r="N55" s="11" t="s">
        <v>712</v>
      </c>
    </row>
    <row r="56" spans="1:14" x14ac:dyDescent="0.2">
      <c r="B56" s="5" t="s">
        <v>14</v>
      </c>
    </row>
    <row r="57" spans="1:14" ht="15" x14ac:dyDescent="0.2">
      <c r="A57" s="55" t="s">
        <v>73</v>
      </c>
      <c r="B57" s="55"/>
      <c r="C57" s="56"/>
      <c r="D57" s="56"/>
      <c r="E57" s="56"/>
      <c r="F57" s="56"/>
      <c r="G57" s="56"/>
      <c r="H57" s="56"/>
      <c r="I57" s="56"/>
      <c r="J57" s="56"/>
      <c r="K57" s="56"/>
    </row>
    <row r="58" spans="1:14" x14ac:dyDescent="0.2">
      <c r="A58" s="10" t="s">
        <v>69</v>
      </c>
      <c r="B58" s="9" t="s">
        <v>511</v>
      </c>
      <c r="C58" s="9" t="s">
        <v>512</v>
      </c>
      <c r="D58" s="9" t="s">
        <v>513</v>
      </c>
      <c r="E58" s="9" t="str">
        <f>"0,6418"</f>
        <v>0,6418</v>
      </c>
      <c r="F58" s="9" t="s">
        <v>21</v>
      </c>
      <c r="G58" s="9" t="s">
        <v>230</v>
      </c>
      <c r="H58" s="22" t="s">
        <v>169</v>
      </c>
      <c r="I58" s="22" t="s">
        <v>170</v>
      </c>
      <c r="J58" s="22" t="s">
        <v>514</v>
      </c>
      <c r="K58" s="10"/>
      <c r="L58" s="10" t="str">
        <f>"87,5"</f>
        <v>87,5</v>
      </c>
      <c r="M58" s="10" t="str">
        <f>"63,4580"</f>
        <v>63,4580</v>
      </c>
      <c r="N58" s="9" t="s">
        <v>712</v>
      </c>
    </row>
    <row r="59" spans="1:14" x14ac:dyDescent="0.2">
      <c r="A59" s="17" t="s">
        <v>69</v>
      </c>
      <c r="B59" s="16" t="s">
        <v>515</v>
      </c>
      <c r="C59" s="16" t="s">
        <v>516</v>
      </c>
      <c r="D59" s="16" t="s">
        <v>517</v>
      </c>
      <c r="E59" s="16" t="str">
        <f>"0,6301"</f>
        <v>0,6301</v>
      </c>
      <c r="F59" s="16" t="s">
        <v>21</v>
      </c>
      <c r="G59" s="16" t="s">
        <v>518</v>
      </c>
      <c r="H59" s="28" t="s">
        <v>120</v>
      </c>
      <c r="I59" s="28" t="s">
        <v>173</v>
      </c>
      <c r="J59" s="28" t="s">
        <v>110</v>
      </c>
      <c r="K59" s="17"/>
      <c r="L59" s="17" t="str">
        <f>"150,0"</f>
        <v>150,0</v>
      </c>
      <c r="M59" s="17" t="str">
        <f>"94,5150"</f>
        <v>94,5150</v>
      </c>
      <c r="N59" s="16" t="s">
        <v>519</v>
      </c>
    </row>
    <row r="60" spans="1:14" x14ac:dyDescent="0.2">
      <c r="A60" s="17" t="s">
        <v>71</v>
      </c>
      <c r="B60" s="16" t="s">
        <v>520</v>
      </c>
      <c r="C60" s="16" t="s">
        <v>521</v>
      </c>
      <c r="D60" s="16" t="s">
        <v>517</v>
      </c>
      <c r="E60" s="16" t="str">
        <f>"0,6301"</f>
        <v>0,6301</v>
      </c>
      <c r="F60" s="16" t="s">
        <v>21</v>
      </c>
      <c r="G60" s="16" t="s">
        <v>42</v>
      </c>
      <c r="H60" s="29" t="s">
        <v>145</v>
      </c>
      <c r="I60" s="28" t="s">
        <v>156</v>
      </c>
      <c r="J60" s="29" t="s">
        <v>168</v>
      </c>
      <c r="K60" s="17"/>
      <c r="L60" s="17" t="str">
        <f>"120,0"</f>
        <v>120,0</v>
      </c>
      <c r="M60" s="17" t="str">
        <f>"75,6120"</f>
        <v>75,6120</v>
      </c>
      <c r="N60" s="16" t="s">
        <v>712</v>
      </c>
    </row>
    <row r="61" spans="1:14" x14ac:dyDescent="0.2">
      <c r="A61" s="17" t="s">
        <v>335</v>
      </c>
      <c r="B61" s="16" t="s">
        <v>522</v>
      </c>
      <c r="C61" s="16" t="s">
        <v>523</v>
      </c>
      <c r="D61" s="16" t="s">
        <v>524</v>
      </c>
      <c r="E61" s="16" t="str">
        <f>"0,6203"</f>
        <v>0,6203</v>
      </c>
      <c r="F61" s="16" t="s">
        <v>21</v>
      </c>
      <c r="G61" s="16" t="s">
        <v>77</v>
      </c>
      <c r="H61" s="28" t="s">
        <v>355</v>
      </c>
      <c r="I61" s="29" t="s">
        <v>187</v>
      </c>
      <c r="J61" s="29" t="s">
        <v>187</v>
      </c>
      <c r="K61" s="17"/>
      <c r="L61" s="17" t="str">
        <f>"117,5"</f>
        <v>117,5</v>
      </c>
      <c r="M61" s="17" t="str">
        <f>"72,8852"</f>
        <v>72,8852</v>
      </c>
      <c r="N61" s="16" t="s">
        <v>712</v>
      </c>
    </row>
    <row r="62" spans="1:14" x14ac:dyDescent="0.2">
      <c r="A62" s="17" t="s">
        <v>69</v>
      </c>
      <c r="B62" s="16" t="s">
        <v>352</v>
      </c>
      <c r="C62" s="16" t="s">
        <v>353</v>
      </c>
      <c r="D62" s="16" t="s">
        <v>354</v>
      </c>
      <c r="E62" s="16" t="str">
        <f>"0,6295"</f>
        <v>0,6295</v>
      </c>
      <c r="F62" s="16" t="s">
        <v>21</v>
      </c>
      <c r="G62" s="16" t="s">
        <v>230</v>
      </c>
      <c r="H62" s="28" t="s">
        <v>168</v>
      </c>
      <c r="I62" s="28" t="s">
        <v>172</v>
      </c>
      <c r="J62" s="29" t="s">
        <v>120</v>
      </c>
      <c r="K62" s="17"/>
      <c r="L62" s="17" t="str">
        <f>"135,0"</f>
        <v>135,0</v>
      </c>
      <c r="M62" s="17" t="str">
        <f>"90,8463"</f>
        <v>90,8463</v>
      </c>
      <c r="N62" s="16" t="s">
        <v>712</v>
      </c>
    </row>
    <row r="63" spans="1:14" x14ac:dyDescent="0.2">
      <c r="A63" s="17" t="s">
        <v>69</v>
      </c>
      <c r="B63" s="16" t="s">
        <v>525</v>
      </c>
      <c r="C63" s="16" t="s">
        <v>526</v>
      </c>
      <c r="D63" s="16" t="s">
        <v>214</v>
      </c>
      <c r="E63" s="16" t="str">
        <f>"0,6262"</f>
        <v>0,6262</v>
      </c>
      <c r="F63" s="16" t="s">
        <v>21</v>
      </c>
      <c r="G63" s="16" t="s">
        <v>527</v>
      </c>
      <c r="H63" s="28" t="s">
        <v>168</v>
      </c>
      <c r="I63" s="29" t="s">
        <v>172</v>
      </c>
      <c r="J63" s="28" t="s">
        <v>172</v>
      </c>
      <c r="K63" s="17"/>
      <c r="L63" s="17" t="str">
        <f>"135,0"</f>
        <v>135,0</v>
      </c>
      <c r="M63" s="17" t="str">
        <f>"139,0634"</f>
        <v>139,0634</v>
      </c>
      <c r="N63" s="16" t="s">
        <v>712</v>
      </c>
    </row>
    <row r="64" spans="1:14" x14ac:dyDescent="0.2">
      <c r="A64" s="12" t="s">
        <v>71</v>
      </c>
      <c r="B64" s="11" t="s">
        <v>528</v>
      </c>
      <c r="C64" s="11" t="s">
        <v>529</v>
      </c>
      <c r="D64" s="11" t="s">
        <v>530</v>
      </c>
      <c r="E64" s="11" t="str">
        <f>"0,6329"</f>
        <v>0,6329</v>
      </c>
      <c r="F64" s="11" t="s">
        <v>21</v>
      </c>
      <c r="G64" s="11" t="s">
        <v>230</v>
      </c>
      <c r="H64" s="27" t="s">
        <v>145</v>
      </c>
      <c r="I64" s="27" t="s">
        <v>156</v>
      </c>
      <c r="J64" s="24" t="s">
        <v>187</v>
      </c>
      <c r="K64" s="12"/>
      <c r="L64" s="12" t="str">
        <f>"120,0"</f>
        <v>120,0</v>
      </c>
      <c r="M64" s="12" t="str">
        <f>"124,9345"</f>
        <v>124,9345</v>
      </c>
      <c r="N64" s="11" t="s">
        <v>712</v>
      </c>
    </row>
    <row r="65" spans="1:14" x14ac:dyDescent="0.2">
      <c r="B65" s="5" t="s">
        <v>14</v>
      </c>
    </row>
    <row r="66" spans="1:14" ht="15" x14ac:dyDescent="0.2">
      <c r="A66" s="55" t="s">
        <v>20</v>
      </c>
      <c r="B66" s="55"/>
      <c r="C66" s="56"/>
      <c r="D66" s="56"/>
      <c r="E66" s="56"/>
      <c r="F66" s="56"/>
      <c r="G66" s="56"/>
      <c r="H66" s="56"/>
      <c r="I66" s="56"/>
      <c r="J66" s="56"/>
      <c r="K66" s="56"/>
    </row>
    <row r="67" spans="1:14" x14ac:dyDescent="0.2">
      <c r="A67" s="10" t="s">
        <v>69</v>
      </c>
      <c r="B67" s="9" t="s">
        <v>531</v>
      </c>
      <c r="C67" s="9" t="s">
        <v>532</v>
      </c>
      <c r="D67" s="9" t="s">
        <v>533</v>
      </c>
      <c r="E67" s="9" t="str">
        <f>"0,6162"</f>
        <v>0,6162</v>
      </c>
      <c r="F67" s="9" t="s">
        <v>21</v>
      </c>
      <c r="G67" s="9" t="s">
        <v>167</v>
      </c>
      <c r="H67" s="22" t="s">
        <v>111</v>
      </c>
      <c r="I67" s="22" t="s">
        <v>86</v>
      </c>
      <c r="J67" s="22" t="s">
        <v>195</v>
      </c>
      <c r="K67" s="10"/>
      <c r="L67" s="10" t="str">
        <f>"170,0"</f>
        <v>170,0</v>
      </c>
      <c r="M67" s="10" t="str">
        <f>"104,7540"</f>
        <v>104,7540</v>
      </c>
      <c r="N67" s="9" t="s">
        <v>712</v>
      </c>
    </row>
    <row r="68" spans="1:14" x14ac:dyDescent="0.2">
      <c r="A68" s="17" t="s">
        <v>71</v>
      </c>
      <c r="B68" s="16" t="s">
        <v>534</v>
      </c>
      <c r="C68" s="16" t="s">
        <v>535</v>
      </c>
      <c r="D68" s="16" t="s">
        <v>536</v>
      </c>
      <c r="E68" s="16" t="str">
        <f>"0,5901"</f>
        <v>0,5901</v>
      </c>
      <c r="F68" s="16" t="s">
        <v>21</v>
      </c>
      <c r="G68" s="16" t="s">
        <v>31</v>
      </c>
      <c r="H68" s="28" t="s">
        <v>195</v>
      </c>
      <c r="I68" s="29" t="s">
        <v>88</v>
      </c>
      <c r="J68" s="29" t="s">
        <v>88</v>
      </c>
      <c r="K68" s="17"/>
      <c r="L68" s="17" t="str">
        <f>"170,0"</f>
        <v>170,0</v>
      </c>
      <c r="M68" s="17" t="str">
        <f>"100,3170"</f>
        <v>100,3170</v>
      </c>
      <c r="N68" s="16" t="s">
        <v>712</v>
      </c>
    </row>
    <row r="69" spans="1:14" x14ac:dyDescent="0.2">
      <c r="A69" s="17" t="s">
        <v>335</v>
      </c>
      <c r="B69" s="16" t="s">
        <v>537</v>
      </c>
      <c r="C69" s="16" t="s">
        <v>538</v>
      </c>
      <c r="D69" s="16" t="s">
        <v>539</v>
      </c>
      <c r="E69" s="16" t="str">
        <f>"0,5885"</f>
        <v>0,5885</v>
      </c>
      <c r="F69" s="16" t="s">
        <v>21</v>
      </c>
      <c r="G69" s="16" t="s">
        <v>77</v>
      </c>
      <c r="H69" s="28" t="s">
        <v>173</v>
      </c>
      <c r="I69" s="28" t="s">
        <v>110</v>
      </c>
      <c r="J69" s="28" t="s">
        <v>121</v>
      </c>
      <c r="K69" s="17"/>
      <c r="L69" s="17" t="str">
        <f>"152,5"</f>
        <v>152,5</v>
      </c>
      <c r="M69" s="17" t="str">
        <f>"89,7463"</f>
        <v>89,7463</v>
      </c>
      <c r="N69" s="16" t="s">
        <v>712</v>
      </c>
    </row>
    <row r="70" spans="1:14" x14ac:dyDescent="0.2">
      <c r="A70" s="17" t="s">
        <v>336</v>
      </c>
      <c r="B70" s="16" t="s">
        <v>540</v>
      </c>
      <c r="C70" s="16" t="s">
        <v>541</v>
      </c>
      <c r="D70" s="16" t="s">
        <v>229</v>
      </c>
      <c r="E70" s="16" t="str">
        <f>"0,5918"</f>
        <v>0,5918</v>
      </c>
      <c r="F70" s="16" t="s">
        <v>21</v>
      </c>
      <c r="G70" s="16" t="s">
        <v>77</v>
      </c>
      <c r="H70" s="28" t="s">
        <v>173</v>
      </c>
      <c r="I70" s="28" t="s">
        <v>110</v>
      </c>
      <c r="J70" s="29" t="s">
        <v>174</v>
      </c>
      <c r="K70" s="17"/>
      <c r="L70" s="17" t="str">
        <f>"150,0"</f>
        <v>150,0</v>
      </c>
      <c r="M70" s="17" t="str">
        <f>"88,7700"</f>
        <v>88,7700</v>
      </c>
      <c r="N70" s="16" t="s">
        <v>712</v>
      </c>
    </row>
    <row r="71" spans="1:14" x14ac:dyDescent="0.2">
      <c r="A71" s="17" t="s">
        <v>585</v>
      </c>
      <c r="B71" s="16" t="s">
        <v>542</v>
      </c>
      <c r="C71" s="16" t="s">
        <v>543</v>
      </c>
      <c r="D71" s="16" t="s">
        <v>544</v>
      </c>
      <c r="E71" s="16" t="str">
        <f>"0,5881"</f>
        <v>0,5881</v>
      </c>
      <c r="F71" s="16" t="s">
        <v>21</v>
      </c>
      <c r="G71" s="16" t="s">
        <v>143</v>
      </c>
      <c r="H71" s="28" t="s">
        <v>173</v>
      </c>
      <c r="I71" s="28" t="s">
        <v>110</v>
      </c>
      <c r="J71" s="29" t="s">
        <v>174</v>
      </c>
      <c r="K71" s="17"/>
      <c r="L71" s="17" t="str">
        <f>"150,0"</f>
        <v>150,0</v>
      </c>
      <c r="M71" s="17" t="str">
        <f>"88,2150"</f>
        <v>88,2150</v>
      </c>
      <c r="N71" s="16" t="s">
        <v>712</v>
      </c>
    </row>
    <row r="72" spans="1:14" x14ac:dyDescent="0.2">
      <c r="A72" s="17" t="s">
        <v>586</v>
      </c>
      <c r="B72" s="16" t="s">
        <v>360</v>
      </c>
      <c r="C72" s="16" t="s">
        <v>361</v>
      </c>
      <c r="D72" s="16" t="s">
        <v>362</v>
      </c>
      <c r="E72" s="16" t="str">
        <f>"0,5865"</f>
        <v>0,5865</v>
      </c>
      <c r="F72" s="16" t="s">
        <v>21</v>
      </c>
      <c r="G72" s="16" t="s">
        <v>77</v>
      </c>
      <c r="H72" s="28" t="s">
        <v>168</v>
      </c>
      <c r="I72" s="28" t="s">
        <v>120</v>
      </c>
      <c r="J72" s="29" t="s">
        <v>173</v>
      </c>
      <c r="K72" s="17"/>
      <c r="L72" s="17" t="str">
        <f>"140,0"</f>
        <v>140,0</v>
      </c>
      <c r="M72" s="17" t="str">
        <f>"82,1100"</f>
        <v>82,1100</v>
      </c>
      <c r="N72" s="16" t="s">
        <v>712</v>
      </c>
    </row>
    <row r="73" spans="1:14" x14ac:dyDescent="0.2">
      <c r="A73" s="17" t="s">
        <v>69</v>
      </c>
      <c r="B73" s="16" t="s">
        <v>545</v>
      </c>
      <c r="C73" s="16" t="s">
        <v>546</v>
      </c>
      <c r="D73" s="16" t="s">
        <v>547</v>
      </c>
      <c r="E73" s="16" t="str">
        <f>"0,5973"</f>
        <v>0,5973</v>
      </c>
      <c r="F73" s="16" t="s">
        <v>21</v>
      </c>
      <c r="G73" s="16" t="s">
        <v>77</v>
      </c>
      <c r="H73" s="28" t="s">
        <v>145</v>
      </c>
      <c r="I73" s="28" t="s">
        <v>187</v>
      </c>
      <c r="J73" s="28" t="s">
        <v>172</v>
      </c>
      <c r="K73" s="17"/>
      <c r="L73" s="17" t="str">
        <f>"135,0"</f>
        <v>135,0</v>
      </c>
      <c r="M73" s="17" t="str">
        <f>"80,8774"</f>
        <v>80,8774</v>
      </c>
      <c r="N73" s="16" t="s">
        <v>712</v>
      </c>
    </row>
    <row r="74" spans="1:14" x14ac:dyDescent="0.2">
      <c r="A74" s="12" t="s">
        <v>69</v>
      </c>
      <c r="B74" s="11" t="s">
        <v>548</v>
      </c>
      <c r="C74" s="11" t="s">
        <v>549</v>
      </c>
      <c r="D74" s="11" t="s">
        <v>296</v>
      </c>
      <c r="E74" s="11" t="str">
        <f>"0,6000"</f>
        <v>0,6000</v>
      </c>
      <c r="F74" s="11" t="s">
        <v>21</v>
      </c>
      <c r="G74" s="11" t="s">
        <v>380</v>
      </c>
      <c r="H74" s="27" t="s">
        <v>147</v>
      </c>
      <c r="I74" s="27" t="s">
        <v>148</v>
      </c>
      <c r="J74" s="27" t="s">
        <v>173</v>
      </c>
      <c r="K74" s="27" t="s">
        <v>550</v>
      </c>
      <c r="L74" s="12" t="str">
        <f>"145,0"</f>
        <v>145,0</v>
      </c>
      <c r="M74" s="12" t="str">
        <f>"167,0400"</f>
        <v>167,0400</v>
      </c>
      <c r="N74" s="11" t="s">
        <v>712</v>
      </c>
    </row>
    <row r="75" spans="1:14" x14ac:dyDescent="0.2">
      <c r="B75" s="5" t="s">
        <v>14</v>
      </c>
    </row>
    <row r="76" spans="1:14" ht="15" x14ac:dyDescent="0.2">
      <c r="A76" s="55" t="s">
        <v>33</v>
      </c>
      <c r="B76" s="55"/>
      <c r="C76" s="56"/>
      <c r="D76" s="56"/>
      <c r="E76" s="56"/>
      <c r="F76" s="56"/>
      <c r="G76" s="56"/>
      <c r="H76" s="56"/>
      <c r="I76" s="56"/>
      <c r="J76" s="56"/>
      <c r="K76" s="56"/>
    </row>
    <row r="77" spans="1:14" x14ac:dyDescent="0.2">
      <c r="A77" s="10" t="s">
        <v>69</v>
      </c>
      <c r="B77" s="9" t="s">
        <v>551</v>
      </c>
      <c r="C77" s="9" t="s">
        <v>552</v>
      </c>
      <c r="D77" s="9" t="s">
        <v>553</v>
      </c>
      <c r="E77" s="9" t="str">
        <f>"0,5786"</f>
        <v>0,5786</v>
      </c>
      <c r="F77" s="9" t="s">
        <v>21</v>
      </c>
      <c r="G77" s="9" t="s">
        <v>77</v>
      </c>
      <c r="H77" s="22" t="s">
        <v>121</v>
      </c>
      <c r="I77" s="22" t="s">
        <v>111</v>
      </c>
      <c r="J77" s="22" t="s">
        <v>86</v>
      </c>
      <c r="K77" s="10"/>
      <c r="L77" s="10" t="str">
        <f>"162,5"</f>
        <v>162,5</v>
      </c>
      <c r="M77" s="10" t="str">
        <f>"101,5443"</f>
        <v>101,5443</v>
      </c>
      <c r="N77" s="9" t="s">
        <v>712</v>
      </c>
    </row>
    <row r="78" spans="1:14" x14ac:dyDescent="0.2">
      <c r="A78" s="17" t="s">
        <v>69</v>
      </c>
      <c r="B78" s="16" t="s">
        <v>554</v>
      </c>
      <c r="C78" s="16" t="s">
        <v>555</v>
      </c>
      <c r="D78" s="16" t="s">
        <v>556</v>
      </c>
      <c r="E78" s="16" t="str">
        <f>"0,5630"</f>
        <v>0,5630</v>
      </c>
      <c r="F78" s="16" t="s">
        <v>21</v>
      </c>
      <c r="G78" s="16" t="s">
        <v>56</v>
      </c>
      <c r="H78" s="28" t="s">
        <v>173</v>
      </c>
      <c r="I78" s="29" t="s">
        <v>110</v>
      </c>
      <c r="J78" s="17"/>
      <c r="K78" s="17"/>
      <c r="L78" s="17" t="str">
        <f>"145,0"</f>
        <v>145,0</v>
      </c>
      <c r="M78" s="17" t="str">
        <f>"83,2677"</f>
        <v>83,2677</v>
      </c>
      <c r="N78" s="16" t="s">
        <v>712</v>
      </c>
    </row>
    <row r="79" spans="1:14" x14ac:dyDescent="0.2">
      <c r="A79" s="17" t="s">
        <v>69</v>
      </c>
      <c r="B79" s="16" t="s">
        <v>557</v>
      </c>
      <c r="C79" s="16" t="s">
        <v>558</v>
      </c>
      <c r="D79" s="16" t="s">
        <v>559</v>
      </c>
      <c r="E79" s="16" t="str">
        <f>"0,5660"</f>
        <v>0,5660</v>
      </c>
      <c r="F79" s="16" t="s">
        <v>21</v>
      </c>
      <c r="G79" s="16" t="s">
        <v>560</v>
      </c>
      <c r="H79" s="28" t="s">
        <v>24</v>
      </c>
      <c r="I79" s="28" t="s">
        <v>224</v>
      </c>
      <c r="J79" s="28" t="s">
        <v>26</v>
      </c>
      <c r="K79" s="17"/>
      <c r="L79" s="17" t="str">
        <f>"187,5"</f>
        <v>187,5</v>
      </c>
      <c r="M79" s="17" t="str">
        <f>"106,1250"</f>
        <v>106,1250</v>
      </c>
      <c r="N79" s="16" t="s">
        <v>712</v>
      </c>
    </row>
    <row r="80" spans="1:14" x14ac:dyDescent="0.2">
      <c r="A80" s="17" t="s">
        <v>71</v>
      </c>
      <c r="B80" s="16" t="s">
        <v>561</v>
      </c>
      <c r="C80" s="16" t="s">
        <v>562</v>
      </c>
      <c r="D80" s="16" t="s">
        <v>563</v>
      </c>
      <c r="E80" s="16" t="str">
        <f>"0,5608"</f>
        <v>0,5608</v>
      </c>
      <c r="F80" s="16" t="s">
        <v>21</v>
      </c>
      <c r="G80" s="16" t="s">
        <v>77</v>
      </c>
      <c r="H80" s="28" t="s">
        <v>24</v>
      </c>
      <c r="I80" s="28" t="s">
        <v>25</v>
      </c>
      <c r="J80" s="28" t="s">
        <v>196</v>
      </c>
      <c r="K80" s="17"/>
      <c r="L80" s="17" t="str">
        <f>"185,0"</f>
        <v>185,0</v>
      </c>
      <c r="M80" s="17" t="str">
        <f>"103,7480"</f>
        <v>103,7480</v>
      </c>
      <c r="N80" s="16" t="s">
        <v>712</v>
      </c>
    </row>
    <row r="81" spans="1:14" x14ac:dyDescent="0.2">
      <c r="A81" s="17" t="s">
        <v>335</v>
      </c>
      <c r="B81" s="16" t="s">
        <v>364</v>
      </c>
      <c r="C81" s="16" t="s">
        <v>365</v>
      </c>
      <c r="D81" s="16" t="s">
        <v>366</v>
      </c>
      <c r="E81" s="16" t="str">
        <f>"0,5616"</f>
        <v>0,5616</v>
      </c>
      <c r="F81" s="16" t="s">
        <v>21</v>
      </c>
      <c r="G81" s="16" t="s">
        <v>201</v>
      </c>
      <c r="H81" s="28" t="s">
        <v>32</v>
      </c>
      <c r="I81" s="28" t="s">
        <v>239</v>
      </c>
      <c r="J81" s="28" t="s">
        <v>195</v>
      </c>
      <c r="K81" s="17"/>
      <c r="L81" s="17" t="str">
        <f>"170,0"</f>
        <v>170,0</v>
      </c>
      <c r="M81" s="17" t="str">
        <f>"95,4720"</f>
        <v>95,4720</v>
      </c>
      <c r="N81" s="16" t="s">
        <v>712</v>
      </c>
    </row>
    <row r="82" spans="1:14" x14ac:dyDescent="0.2">
      <c r="A82" s="17" t="s">
        <v>336</v>
      </c>
      <c r="B82" s="16" t="s">
        <v>234</v>
      </c>
      <c r="C82" s="16" t="s">
        <v>235</v>
      </c>
      <c r="D82" s="16" t="s">
        <v>236</v>
      </c>
      <c r="E82" s="16" t="str">
        <f>"0,5599"</f>
        <v>0,5599</v>
      </c>
      <c r="F82" s="16" t="s">
        <v>21</v>
      </c>
      <c r="G82" s="16" t="s">
        <v>237</v>
      </c>
      <c r="H82" s="28" t="s">
        <v>239</v>
      </c>
      <c r="I82" s="28" t="s">
        <v>195</v>
      </c>
      <c r="J82" s="29" t="s">
        <v>87</v>
      </c>
      <c r="K82" s="17"/>
      <c r="L82" s="17" t="str">
        <f>"170,0"</f>
        <v>170,0</v>
      </c>
      <c r="M82" s="17" t="str">
        <f>"95,1830"</f>
        <v>95,1830</v>
      </c>
      <c r="N82" s="16" t="s">
        <v>712</v>
      </c>
    </row>
    <row r="83" spans="1:14" x14ac:dyDescent="0.2">
      <c r="A83" s="17" t="s">
        <v>585</v>
      </c>
      <c r="B83" s="16" t="s">
        <v>231</v>
      </c>
      <c r="C83" s="16" t="s">
        <v>232</v>
      </c>
      <c r="D83" s="16" t="s">
        <v>233</v>
      </c>
      <c r="E83" s="16" t="str">
        <f>"0,5610"</f>
        <v>0,5610</v>
      </c>
      <c r="F83" s="16" t="s">
        <v>21</v>
      </c>
      <c r="G83" s="16" t="s">
        <v>143</v>
      </c>
      <c r="H83" s="28" t="s">
        <v>174</v>
      </c>
      <c r="I83" s="29" t="s">
        <v>86</v>
      </c>
      <c r="J83" s="28" t="s">
        <v>86</v>
      </c>
      <c r="K83" s="17"/>
      <c r="L83" s="17" t="str">
        <f>"162,5"</f>
        <v>162,5</v>
      </c>
      <c r="M83" s="17" t="str">
        <f>"91,1625"</f>
        <v>91,1625</v>
      </c>
      <c r="N83" s="16" t="s">
        <v>712</v>
      </c>
    </row>
    <row r="84" spans="1:14" x14ac:dyDescent="0.2">
      <c r="A84" s="12" t="s">
        <v>69</v>
      </c>
      <c r="B84" s="11" t="s">
        <v>564</v>
      </c>
      <c r="C84" s="11" t="s">
        <v>565</v>
      </c>
      <c r="D84" s="11" t="s">
        <v>566</v>
      </c>
      <c r="E84" s="11" t="str">
        <f>"0,5602"</f>
        <v>0,5602</v>
      </c>
      <c r="F84" s="11" t="s">
        <v>21</v>
      </c>
      <c r="G84" s="11" t="s">
        <v>380</v>
      </c>
      <c r="H84" s="27" t="s">
        <v>110</v>
      </c>
      <c r="I84" s="27" t="s">
        <v>111</v>
      </c>
      <c r="J84" s="12"/>
      <c r="K84" s="12"/>
      <c r="L84" s="12" t="str">
        <f>"157,5"</f>
        <v>157,5</v>
      </c>
      <c r="M84" s="12" t="str">
        <f>"130,5826"</f>
        <v>130,5826</v>
      </c>
      <c r="N84" s="11" t="s">
        <v>712</v>
      </c>
    </row>
    <row r="85" spans="1:14" x14ac:dyDescent="0.2">
      <c r="B85" s="5" t="s">
        <v>14</v>
      </c>
    </row>
    <row r="86" spans="1:14" ht="15" x14ac:dyDescent="0.2">
      <c r="A86" s="55" t="s">
        <v>316</v>
      </c>
      <c r="B86" s="55"/>
      <c r="C86" s="56"/>
      <c r="D86" s="56"/>
      <c r="E86" s="56"/>
      <c r="F86" s="56"/>
      <c r="G86" s="56"/>
      <c r="H86" s="56"/>
      <c r="I86" s="56"/>
      <c r="J86" s="56"/>
      <c r="K86" s="56"/>
    </row>
    <row r="87" spans="1:14" x14ac:dyDescent="0.2">
      <c r="A87" s="10" t="s">
        <v>69</v>
      </c>
      <c r="B87" s="9" t="s">
        <v>567</v>
      </c>
      <c r="C87" s="9" t="s">
        <v>568</v>
      </c>
      <c r="D87" s="9" t="s">
        <v>569</v>
      </c>
      <c r="E87" s="9" t="str">
        <f>"0,5398"</f>
        <v>0,5398</v>
      </c>
      <c r="F87" s="9" t="s">
        <v>21</v>
      </c>
      <c r="G87" s="9" t="s">
        <v>77</v>
      </c>
      <c r="H87" s="22" t="s">
        <v>196</v>
      </c>
      <c r="I87" s="22" t="s">
        <v>80</v>
      </c>
      <c r="J87" s="22" t="s">
        <v>39</v>
      </c>
      <c r="K87" s="10"/>
      <c r="L87" s="10" t="str">
        <f>"200,0"</f>
        <v>200,0</v>
      </c>
      <c r="M87" s="10" t="str">
        <f>"107,9600"</f>
        <v>107,9600</v>
      </c>
      <c r="N87" s="9" t="s">
        <v>712</v>
      </c>
    </row>
    <row r="88" spans="1:14" x14ac:dyDescent="0.2">
      <c r="A88" s="17" t="s">
        <v>71</v>
      </c>
      <c r="B88" s="16" t="s">
        <v>570</v>
      </c>
      <c r="C88" s="16" t="s">
        <v>571</v>
      </c>
      <c r="D88" s="16" t="s">
        <v>572</v>
      </c>
      <c r="E88" s="16" t="str">
        <f>"0,5455"</f>
        <v>0,5455</v>
      </c>
      <c r="F88" s="16" t="s">
        <v>21</v>
      </c>
      <c r="G88" s="16" t="s">
        <v>380</v>
      </c>
      <c r="H88" s="28" t="s">
        <v>282</v>
      </c>
      <c r="I88" s="28" t="s">
        <v>24</v>
      </c>
      <c r="J88" s="28" t="s">
        <v>25</v>
      </c>
      <c r="K88" s="17"/>
      <c r="L88" s="17" t="str">
        <f>"180,0"</f>
        <v>180,0</v>
      </c>
      <c r="M88" s="17" t="str">
        <f>"98,1900"</f>
        <v>98,1900</v>
      </c>
      <c r="N88" s="16" t="s">
        <v>712</v>
      </c>
    </row>
    <row r="89" spans="1:14" x14ac:dyDescent="0.2">
      <c r="A89" s="12" t="s">
        <v>335</v>
      </c>
      <c r="B89" s="11" t="s">
        <v>573</v>
      </c>
      <c r="C89" s="11" t="s">
        <v>574</v>
      </c>
      <c r="D89" s="11" t="s">
        <v>575</v>
      </c>
      <c r="E89" s="11" t="str">
        <f>"0,5367"</f>
        <v>0,5367</v>
      </c>
      <c r="F89" s="11" t="s">
        <v>21</v>
      </c>
      <c r="G89" s="11" t="s">
        <v>143</v>
      </c>
      <c r="H89" s="27" t="s">
        <v>111</v>
      </c>
      <c r="I89" s="27" t="s">
        <v>86</v>
      </c>
      <c r="J89" s="27" t="s">
        <v>282</v>
      </c>
      <c r="K89" s="12"/>
      <c r="L89" s="12" t="str">
        <f>"167,5"</f>
        <v>167,5</v>
      </c>
      <c r="M89" s="12" t="str">
        <f>"89,8973"</f>
        <v>89,8973</v>
      </c>
      <c r="N89" s="11" t="s">
        <v>712</v>
      </c>
    </row>
    <row r="90" spans="1:14" x14ac:dyDescent="0.2">
      <c r="B90" s="5" t="s">
        <v>14</v>
      </c>
    </row>
    <row r="91" spans="1:14" ht="15" x14ac:dyDescent="0.2">
      <c r="A91" s="55" t="s">
        <v>48</v>
      </c>
      <c r="B91" s="55"/>
      <c r="C91" s="56"/>
      <c r="D91" s="56"/>
      <c r="E91" s="56"/>
      <c r="F91" s="56"/>
      <c r="G91" s="56"/>
      <c r="H91" s="56"/>
      <c r="I91" s="56"/>
      <c r="J91" s="56"/>
      <c r="K91" s="56"/>
    </row>
    <row r="92" spans="1:14" x14ac:dyDescent="0.2">
      <c r="A92" s="15" t="s">
        <v>69</v>
      </c>
      <c r="B92" s="14" t="s">
        <v>576</v>
      </c>
      <c r="C92" s="14" t="s">
        <v>577</v>
      </c>
      <c r="D92" s="14" t="s">
        <v>578</v>
      </c>
      <c r="E92" s="14" t="str">
        <f>"0,5087"</f>
        <v>0,5087</v>
      </c>
      <c r="F92" s="14" t="s">
        <v>21</v>
      </c>
      <c r="G92" s="14" t="s">
        <v>77</v>
      </c>
      <c r="H92" s="25" t="s">
        <v>239</v>
      </c>
      <c r="I92" s="25" t="s">
        <v>87</v>
      </c>
      <c r="J92" s="25" t="s">
        <v>24</v>
      </c>
      <c r="K92" s="15"/>
      <c r="L92" s="15" t="str">
        <f>"175,0"</f>
        <v>175,0</v>
      </c>
      <c r="M92" s="15" t="str">
        <f>"89,8184"</f>
        <v>89,8184</v>
      </c>
      <c r="N92" s="14" t="s">
        <v>712</v>
      </c>
    </row>
    <row r="93" spans="1:14" x14ac:dyDescent="0.2">
      <c r="B93" s="5" t="s">
        <v>14</v>
      </c>
    </row>
    <row r="94" spans="1:14" ht="15" x14ac:dyDescent="0.2">
      <c r="B94" s="5" t="s">
        <v>14</v>
      </c>
      <c r="F94" s="7"/>
    </row>
    <row r="95" spans="1:14" ht="15" x14ac:dyDescent="0.2">
      <c r="B95" s="5" t="s">
        <v>14</v>
      </c>
      <c r="F95" s="7"/>
    </row>
    <row r="96" spans="1:14" ht="15" x14ac:dyDescent="0.2">
      <c r="B96" s="5" t="s">
        <v>14</v>
      </c>
      <c r="F96" s="7"/>
    </row>
    <row r="97" spans="2:7" ht="15" x14ac:dyDescent="0.2">
      <c r="B97" s="5" t="s">
        <v>14</v>
      </c>
      <c r="F97" s="7"/>
    </row>
    <row r="98" spans="2:7" ht="15" x14ac:dyDescent="0.2">
      <c r="B98" s="5" t="s">
        <v>14</v>
      </c>
      <c r="F98" s="7"/>
    </row>
    <row r="99" spans="2:7" ht="15" x14ac:dyDescent="0.2">
      <c r="B99" s="5" t="s">
        <v>14</v>
      </c>
      <c r="F99" s="7"/>
    </row>
    <row r="100" spans="2:7" ht="15" x14ac:dyDescent="0.2">
      <c r="B100" s="5" t="s">
        <v>14</v>
      </c>
      <c r="F100" s="7"/>
    </row>
    <row r="101" spans="2:7" x14ac:dyDescent="0.2">
      <c r="B101" s="5" t="s">
        <v>14</v>
      </c>
    </row>
    <row r="102" spans="2:7" ht="18" x14ac:dyDescent="0.2">
      <c r="B102" s="5" t="s">
        <v>14</v>
      </c>
      <c r="C102" s="8" t="s">
        <v>13</v>
      </c>
      <c r="D102" s="8"/>
    </row>
    <row r="103" spans="2:7" ht="15" x14ac:dyDescent="0.2">
      <c r="B103" s="5" t="s">
        <v>14</v>
      </c>
      <c r="C103" s="18" t="s">
        <v>240</v>
      </c>
      <c r="D103" s="18"/>
    </row>
    <row r="104" spans="2:7" ht="14.25" x14ac:dyDescent="0.2">
      <c r="B104" s="5" t="s">
        <v>14</v>
      </c>
      <c r="C104" s="19"/>
      <c r="D104" s="20" t="s">
        <v>60</v>
      </c>
    </row>
    <row r="105" spans="2:7" ht="15" x14ac:dyDescent="0.2">
      <c r="B105" s="5" t="s">
        <v>14</v>
      </c>
      <c r="C105" s="21" t="s">
        <v>61</v>
      </c>
      <c r="D105" s="21" t="s">
        <v>62</v>
      </c>
      <c r="E105" s="21" t="s">
        <v>63</v>
      </c>
      <c r="F105" s="21" t="s">
        <v>370</v>
      </c>
      <c r="G105" s="21" t="s">
        <v>65</v>
      </c>
    </row>
    <row r="106" spans="2:7" x14ac:dyDescent="0.2">
      <c r="B106" s="5" t="s">
        <v>14</v>
      </c>
      <c r="C106" s="5" t="s">
        <v>436</v>
      </c>
      <c r="D106" s="5" t="s">
        <v>60</v>
      </c>
      <c r="E106" s="6" t="s">
        <v>241</v>
      </c>
      <c r="F106" s="6" t="s">
        <v>162</v>
      </c>
      <c r="G106" s="6" t="s">
        <v>579</v>
      </c>
    </row>
    <row r="107" spans="2:7" x14ac:dyDescent="0.2">
      <c r="B107" s="5" t="s">
        <v>14</v>
      </c>
      <c r="C107" s="5" t="s">
        <v>164</v>
      </c>
      <c r="D107" s="5" t="s">
        <v>60</v>
      </c>
      <c r="E107" s="6" t="s">
        <v>243</v>
      </c>
      <c r="F107" s="6" t="s">
        <v>171</v>
      </c>
      <c r="G107" s="6" t="s">
        <v>580</v>
      </c>
    </row>
    <row r="108" spans="2:7" x14ac:dyDescent="0.2">
      <c r="B108" s="5" t="s">
        <v>14</v>
      </c>
      <c r="C108" s="5" t="s">
        <v>140</v>
      </c>
      <c r="D108" s="5" t="s">
        <v>60</v>
      </c>
      <c r="E108" s="6" t="s">
        <v>113</v>
      </c>
      <c r="F108" s="6" t="s">
        <v>139</v>
      </c>
      <c r="G108" s="6" t="s">
        <v>581</v>
      </c>
    </row>
    <row r="109" spans="2:7" x14ac:dyDescent="0.2">
      <c r="B109" s="5" t="s">
        <v>14</v>
      </c>
    </row>
    <row r="110" spans="2:7" ht="14.25" x14ac:dyDescent="0.2">
      <c r="B110" s="5" t="s">
        <v>14</v>
      </c>
      <c r="C110" s="19"/>
      <c r="D110" s="20"/>
    </row>
    <row r="111" spans="2:7" ht="15" x14ac:dyDescent="0.2">
      <c r="B111" s="5" t="s">
        <v>14</v>
      </c>
      <c r="C111" s="18" t="s">
        <v>59</v>
      </c>
      <c r="D111" s="1"/>
      <c r="E111" s="1"/>
      <c r="F111" s="1"/>
      <c r="G111" s="1"/>
    </row>
    <row r="112" spans="2:7" ht="14.25" x14ac:dyDescent="0.2">
      <c r="B112" s="5" t="s">
        <v>14</v>
      </c>
      <c r="C112" s="19"/>
      <c r="D112" s="20" t="s">
        <v>60</v>
      </c>
    </row>
    <row r="113" spans="2:7" ht="15" x14ac:dyDescent="0.2">
      <c r="B113" s="5" t="s">
        <v>14</v>
      </c>
      <c r="C113" s="21" t="s">
        <v>61</v>
      </c>
      <c r="D113" s="21" t="s">
        <v>62</v>
      </c>
      <c r="E113" s="21" t="s">
        <v>63</v>
      </c>
      <c r="F113" s="21" t="s">
        <v>370</v>
      </c>
      <c r="G113" s="21" t="s">
        <v>65</v>
      </c>
    </row>
    <row r="114" spans="2:7" x14ac:dyDescent="0.2">
      <c r="B114" s="5" t="s">
        <v>14</v>
      </c>
      <c r="C114" s="5" t="s">
        <v>567</v>
      </c>
      <c r="D114" s="5" t="s">
        <v>60</v>
      </c>
      <c r="E114" s="6" t="s">
        <v>328</v>
      </c>
      <c r="F114" s="6" t="s">
        <v>39</v>
      </c>
      <c r="G114" s="6" t="s">
        <v>582</v>
      </c>
    </row>
    <row r="115" spans="2:7" x14ac:dyDescent="0.2">
      <c r="B115" s="5" t="s">
        <v>14</v>
      </c>
      <c r="C115" s="5" t="s">
        <v>557</v>
      </c>
      <c r="D115" s="5" t="s">
        <v>60</v>
      </c>
      <c r="E115" s="6" t="s">
        <v>66</v>
      </c>
      <c r="F115" s="6" t="s">
        <v>26</v>
      </c>
      <c r="G115" s="6" t="s">
        <v>583</v>
      </c>
    </row>
    <row r="116" spans="2:7" x14ac:dyDescent="0.2">
      <c r="B116" s="5" t="s">
        <v>14</v>
      </c>
      <c r="C116" s="5" t="s">
        <v>531</v>
      </c>
      <c r="D116" s="5" t="s">
        <v>60</v>
      </c>
      <c r="E116" s="6" t="s">
        <v>68</v>
      </c>
      <c r="F116" s="6" t="s">
        <v>195</v>
      </c>
      <c r="G116" s="6" t="s">
        <v>584</v>
      </c>
    </row>
    <row r="117" spans="2:7" x14ac:dyDescent="0.2">
      <c r="B117" s="5" t="s">
        <v>14</v>
      </c>
    </row>
    <row r="118" spans="2:7" x14ac:dyDescent="0.2">
      <c r="B118" s="5" t="s">
        <v>14</v>
      </c>
      <c r="E118" s="6"/>
      <c r="F118" s="6"/>
      <c r="G118" s="6"/>
    </row>
    <row r="119" spans="2:7" x14ac:dyDescent="0.2">
      <c r="B119" s="5" t="s">
        <v>14</v>
      </c>
    </row>
    <row r="120" spans="2:7" ht="14.25" x14ac:dyDescent="0.2">
      <c r="B120" s="5" t="s">
        <v>14</v>
      </c>
      <c r="C120" s="19"/>
      <c r="D120" s="20"/>
    </row>
    <row r="121" spans="2:7" ht="15" x14ac:dyDescent="0.2">
      <c r="B121" s="5" t="s">
        <v>14</v>
      </c>
      <c r="C121" s="1"/>
      <c r="D121" s="1"/>
      <c r="E121" s="1"/>
      <c r="F121" s="1"/>
      <c r="G121" s="1"/>
    </row>
    <row r="122" spans="2:7" x14ac:dyDescent="0.2">
      <c r="B122" s="5" t="s">
        <v>14</v>
      </c>
      <c r="E122" s="6"/>
      <c r="F122" s="6"/>
      <c r="G122" s="6"/>
    </row>
    <row r="123" spans="2:7" x14ac:dyDescent="0.2">
      <c r="B123" s="5" t="s">
        <v>14</v>
      </c>
    </row>
    <row r="124" spans="2:7" x14ac:dyDescent="0.2">
      <c r="B124" s="5" t="s">
        <v>14</v>
      </c>
    </row>
    <row r="125" spans="2:7" ht="15" x14ac:dyDescent="0.2">
      <c r="B125" s="5" t="s">
        <v>14</v>
      </c>
      <c r="C125" s="18"/>
      <c r="D125" s="18"/>
    </row>
    <row r="126" spans="2:7" ht="14.25" x14ac:dyDescent="0.2">
      <c r="B126" s="5" t="s">
        <v>14</v>
      </c>
      <c r="C126" s="19"/>
      <c r="D126" s="20"/>
    </row>
    <row r="127" spans="2:7" ht="15" x14ac:dyDescent="0.2">
      <c r="B127" s="5" t="s">
        <v>14</v>
      </c>
      <c r="C127" s="1"/>
      <c r="D127" s="1"/>
      <c r="E127" s="1"/>
      <c r="F127" s="1"/>
      <c r="G127" s="1"/>
    </row>
    <row r="128" spans="2:7" x14ac:dyDescent="0.2">
      <c r="B128" s="5" t="s">
        <v>14</v>
      </c>
      <c r="E128" s="6"/>
      <c r="F128" s="6"/>
      <c r="G128" s="6"/>
    </row>
    <row r="129" spans="2:7" x14ac:dyDescent="0.2">
      <c r="B129" s="5" t="s">
        <v>14</v>
      </c>
      <c r="E129" s="6"/>
      <c r="F129" s="6"/>
      <c r="G129" s="6"/>
    </row>
    <row r="130" spans="2:7" x14ac:dyDescent="0.2">
      <c r="B130" s="5" t="s">
        <v>14</v>
      </c>
      <c r="E130" s="6"/>
      <c r="F130" s="6"/>
      <c r="G130" s="6"/>
    </row>
    <row r="131" spans="2:7" x14ac:dyDescent="0.2">
      <c r="B131" s="5" t="s">
        <v>14</v>
      </c>
    </row>
    <row r="132" spans="2:7" ht="14.25" x14ac:dyDescent="0.2">
      <c r="B132" s="5" t="s">
        <v>14</v>
      </c>
      <c r="C132" s="19"/>
      <c r="D132" s="20"/>
    </row>
    <row r="133" spans="2:7" ht="15" x14ac:dyDescent="0.2">
      <c r="B133" s="5" t="s">
        <v>14</v>
      </c>
      <c r="C133" s="1"/>
      <c r="D133" s="1"/>
      <c r="E133" s="1"/>
      <c r="F133" s="1"/>
      <c r="G133" s="1"/>
    </row>
    <row r="134" spans="2:7" x14ac:dyDescent="0.2">
      <c r="B134" s="5" t="s">
        <v>14</v>
      </c>
      <c r="E134" s="6"/>
      <c r="F134" s="6"/>
      <c r="G134" s="6"/>
    </row>
    <row r="135" spans="2:7" x14ac:dyDescent="0.2">
      <c r="B135" s="5" t="s">
        <v>14</v>
      </c>
      <c r="E135" s="6"/>
      <c r="F135" s="6"/>
      <c r="G135" s="6"/>
    </row>
    <row r="136" spans="2:7" x14ac:dyDescent="0.2">
      <c r="B136" s="5" t="s">
        <v>14</v>
      </c>
    </row>
    <row r="137" spans="2:7" ht="14.25" x14ac:dyDescent="0.2">
      <c r="B137" s="5" t="s">
        <v>14</v>
      </c>
      <c r="C137" s="19"/>
      <c r="D137" s="20"/>
    </row>
    <row r="138" spans="2:7" ht="15" x14ac:dyDescent="0.2">
      <c r="B138" s="5" t="s">
        <v>14</v>
      </c>
      <c r="C138" s="1"/>
      <c r="D138" s="1"/>
      <c r="E138" s="1"/>
      <c r="F138" s="1"/>
      <c r="G138" s="1"/>
    </row>
    <row r="139" spans="2:7" x14ac:dyDescent="0.2">
      <c r="B139" s="5" t="s">
        <v>14</v>
      </c>
      <c r="E139" s="6"/>
      <c r="F139" s="6"/>
      <c r="G139" s="6"/>
    </row>
    <row r="140" spans="2:7" x14ac:dyDescent="0.2">
      <c r="B140" s="5" t="s">
        <v>14</v>
      </c>
      <c r="E140" s="6"/>
      <c r="F140" s="6"/>
      <c r="G140" s="6"/>
    </row>
    <row r="141" spans="2:7" x14ac:dyDescent="0.2">
      <c r="B141" s="5" t="s">
        <v>14</v>
      </c>
      <c r="E141" s="6"/>
      <c r="F141" s="6"/>
      <c r="G141" s="6"/>
    </row>
    <row r="142" spans="2:7" x14ac:dyDescent="0.2">
      <c r="B142" s="5" t="s">
        <v>14</v>
      </c>
    </row>
    <row r="143" spans="2:7" ht="14.25" x14ac:dyDescent="0.2">
      <c r="B143" s="5" t="s">
        <v>14</v>
      </c>
      <c r="C143" s="19"/>
      <c r="D143" s="20"/>
    </row>
    <row r="144" spans="2:7" ht="15" x14ac:dyDescent="0.2">
      <c r="B144" s="5" t="s">
        <v>14</v>
      </c>
      <c r="C144" s="1"/>
      <c r="D144" s="1"/>
      <c r="E144" s="1"/>
      <c r="F144" s="1"/>
      <c r="G144" s="1"/>
    </row>
    <row r="145" spans="2:7" x14ac:dyDescent="0.2">
      <c r="B145" s="5" t="s">
        <v>14</v>
      </c>
      <c r="E145" s="6"/>
      <c r="F145" s="6"/>
      <c r="G145" s="6"/>
    </row>
    <row r="146" spans="2:7" x14ac:dyDescent="0.2">
      <c r="B146" s="5" t="s">
        <v>14</v>
      </c>
      <c r="E146" s="6"/>
      <c r="F146" s="6"/>
      <c r="G146" s="6"/>
    </row>
    <row r="147" spans="2:7" x14ac:dyDescent="0.2">
      <c r="B147" s="5" t="s">
        <v>14</v>
      </c>
      <c r="E147" s="6"/>
      <c r="F147" s="6"/>
      <c r="G147" s="6"/>
    </row>
    <row r="148" spans="2:7" x14ac:dyDescent="0.2">
      <c r="B148" s="5" t="s">
        <v>14</v>
      </c>
    </row>
  </sheetData>
  <mergeCells count="3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A47:K47"/>
    <mergeCell ref="A50:K50"/>
    <mergeCell ref="A10:K10"/>
    <mergeCell ref="A14:K14"/>
    <mergeCell ref="A21:K21"/>
    <mergeCell ref="A24:K24"/>
    <mergeCell ref="A27:K27"/>
    <mergeCell ref="A30:K30"/>
    <mergeCell ref="A33:K33"/>
    <mergeCell ref="A36:K36"/>
    <mergeCell ref="A40:K40"/>
    <mergeCell ref="A43:K43"/>
    <mergeCell ref="A57:K57"/>
    <mergeCell ref="A66:K66"/>
    <mergeCell ref="A76:K76"/>
    <mergeCell ref="A86:K86"/>
    <mergeCell ref="A91:K9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B1" workbookViewId="0">
      <selection activeCell="G11" sqref="G11"/>
    </sheetView>
  </sheetViews>
  <sheetFormatPr defaultRowHeight="12.75" x14ac:dyDescent="0.2"/>
  <cols>
    <col min="1" max="1" width="7.42578125" style="5" bestFit="1" customWidth="1"/>
    <col min="2" max="2" width="19.140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0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427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428</v>
      </c>
      <c r="C6" s="9" t="s">
        <v>429</v>
      </c>
      <c r="D6" s="9" t="s">
        <v>190</v>
      </c>
      <c r="E6" s="9" t="str">
        <f>"0,6251"</f>
        <v>0,6251</v>
      </c>
      <c r="F6" s="9" t="s">
        <v>21</v>
      </c>
      <c r="G6" s="9" t="s">
        <v>77</v>
      </c>
      <c r="H6" s="23" t="s">
        <v>224</v>
      </c>
      <c r="I6" s="22" t="s">
        <v>26</v>
      </c>
      <c r="J6" s="22" t="s">
        <v>49</v>
      </c>
      <c r="K6" s="10"/>
      <c r="L6" s="10" t="str">
        <f>"192,5"</f>
        <v>192,5</v>
      </c>
      <c r="M6" s="10" t="str">
        <f>"120,3318"</f>
        <v>120,3318</v>
      </c>
      <c r="N6" s="9" t="s">
        <v>430</v>
      </c>
    </row>
    <row r="7" spans="1:14" x14ac:dyDescent="0.2">
      <c r="A7" s="12" t="s">
        <v>69</v>
      </c>
      <c r="B7" s="11" t="s">
        <v>431</v>
      </c>
      <c r="C7" s="11" t="s">
        <v>432</v>
      </c>
      <c r="D7" s="11" t="s">
        <v>433</v>
      </c>
      <c r="E7" s="11" t="str">
        <f>"0,6290"</f>
        <v>0,6290</v>
      </c>
      <c r="F7" s="11" t="s">
        <v>21</v>
      </c>
      <c r="G7" s="11" t="s">
        <v>434</v>
      </c>
      <c r="H7" s="24" t="s">
        <v>40</v>
      </c>
      <c r="I7" s="27" t="s">
        <v>40</v>
      </c>
      <c r="J7" s="24" t="s">
        <v>51</v>
      </c>
      <c r="K7" s="12"/>
      <c r="L7" s="12" t="str">
        <f>"210,0"</f>
        <v>210,0</v>
      </c>
      <c r="M7" s="12" t="str">
        <f>"147,5445"</f>
        <v>147,5445</v>
      </c>
      <c r="N7" s="11" t="s">
        <v>712</v>
      </c>
    </row>
    <row r="8" spans="1:14" x14ac:dyDescent="0.2">
      <c r="B8" s="5" t="s">
        <v>14</v>
      </c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ht="15" x14ac:dyDescent="0.2">
      <c r="B15" s="5" t="s">
        <v>14</v>
      </c>
      <c r="F15" s="7"/>
    </row>
    <row r="16" spans="1:14" x14ac:dyDescent="0.2">
      <c r="B16" s="5" t="s">
        <v>14</v>
      </c>
    </row>
    <row r="17" spans="2:7" ht="18" x14ac:dyDescent="0.2">
      <c r="B17" s="5" t="s">
        <v>14</v>
      </c>
      <c r="C17" s="8"/>
      <c r="D17" s="8"/>
    </row>
    <row r="18" spans="2:7" ht="15" x14ac:dyDescent="0.2">
      <c r="B18" s="5" t="s">
        <v>14</v>
      </c>
      <c r="C18" s="18"/>
      <c r="D18" s="18"/>
    </row>
    <row r="19" spans="2:7" ht="14.25" x14ac:dyDescent="0.2">
      <c r="B19" s="5" t="s">
        <v>14</v>
      </c>
      <c r="C19" s="19"/>
      <c r="D19" s="20"/>
    </row>
    <row r="20" spans="2:7" ht="15" x14ac:dyDescent="0.2">
      <c r="B20" s="5" t="s">
        <v>14</v>
      </c>
      <c r="C20" s="1"/>
      <c r="D20" s="1"/>
      <c r="E20" s="1"/>
      <c r="F20" s="1"/>
      <c r="G20" s="1"/>
    </row>
    <row r="21" spans="2:7" x14ac:dyDescent="0.2">
      <c r="B21" s="5" t="s">
        <v>14</v>
      </c>
      <c r="E21" s="6"/>
      <c r="F21" s="6"/>
      <c r="G21" s="6"/>
    </row>
    <row r="22" spans="2:7" x14ac:dyDescent="0.2">
      <c r="B22" s="5" t="s">
        <v>14</v>
      </c>
    </row>
    <row r="23" spans="2:7" ht="14.25" x14ac:dyDescent="0.2">
      <c r="B23" s="5" t="s">
        <v>14</v>
      </c>
      <c r="C23" s="19"/>
      <c r="D23" s="20"/>
    </row>
    <row r="24" spans="2:7" ht="15" x14ac:dyDescent="0.2">
      <c r="B24" s="5" t="s">
        <v>14</v>
      </c>
      <c r="C24" s="1"/>
      <c r="D24" s="1"/>
      <c r="E24" s="1"/>
      <c r="F24" s="1"/>
      <c r="G24" s="1"/>
    </row>
    <row r="25" spans="2:7" x14ac:dyDescent="0.2">
      <c r="B25" s="5" t="s">
        <v>14</v>
      </c>
      <c r="E25" s="6"/>
      <c r="F25" s="6"/>
      <c r="G25" s="6"/>
    </row>
    <row r="26" spans="2:7" x14ac:dyDescent="0.2">
      <c r="B26" s="5" t="s">
        <v>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8" sqref="C8:G24"/>
    </sheetView>
  </sheetViews>
  <sheetFormatPr defaultRowHeight="12.75" x14ac:dyDescent="0.2"/>
  <cols>
    <col min="1" max="1" width="7.42578125" style="5" bestFit="1" customWidth="1"/>
    <col min="2" max="2" width="19.7109375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426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74</v>
      </c>
      <c r="C6" s="14" t="s">
        <v>75</v>
      </c>
      <c r="D6" s="14" t="s">
        <v>76</v>
      </c>
      <c r="E6" s="14" t="str">
        <f>"0,6214"</f>
        <v>0,6214</v>
      </c>
      <c r="F6" s="14" t="s">
        <v>21</v>
      </c>
      <c r="G6" s="14" t="s">
        <v>77</v>
      </c>
      <c r="H6" s="25" t="s">
        <v>57</v>
      </c>
      <c r="I6" s="25" t="s">
        <v>220</v>
      </c>
      <c r="J6" s="26" t="s">
        <v>45</v>
      </c>
      <c r="K6" s="15"/>
      <c r="L6" s="15" t="str">
        <f>"205,0"</f>
        <v>205,0</v>
      </c>
      <c r="M6" s="15" t="str">
        <f>"127,3870"</f>
        <v>127,3870</v>
      </c>
      <c r="N6" s="14" t="s">
        <v>712</v>
      </c>
    </row>
    <row r="7" spans="1:14" x14ac:dyDescent="0.2">
      <c r="B7" s="5" t="s">
        <v>14</v>
      </c>
    </row>
    <row r="8" spans="1:14" ht="15" x14ac:dyDescent="0.2">
      <c r="B8" s="5" t="s">
        <v>14</v>
      </c>
      <c r="F8" s="7"/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x14ac:dyDescent="0.2">
      <c r="B15" s="5" t="s">
        <v>14</v>
      </c>
    </row>
    <row r="16" spans="1:14" ht="18" x14ac:dyDescent="0.2">
      <c r="B16" s="5" t="s">
        <v>14</v>
      </c>
      <c r="C16" s="8"/>
      <c r="D16" s="8"/>
    </row>
    <row r="17" spans="2:7" ht="15" x14ac:dyDescent="0.2">
      <c r="B17" s="5" t="s">
        <v>14</v>
      </c>
      <c r="C17" s="18"/>
      <c r="D17" s="18"/>
    </row>
    <row r="18" spans="2:7" ht="14.25" x14ac:dyDescent="0.2">
      <c r="B18" s="5" t="s">
        <v>14</v>
      </c>
      <c r="C18" s="19"/>
      <c r="D18" s="20"/>
    </row>
    <row r="19" spans="2:7" ht="15" x14ac:dyDescent="0.2">
      <c r="B19" s="5" t="s">
        <v>14</v>
      </c>
      <c r="C19" s="1"/>
      <c r="D19" s="1"/>
      <c r="E19" s="1"/>
      <c r="F19" s="1"/>
      <c r="G19" s="1"/>
    </row>
    <row r="20" spans="2:7" x14ac:dyDescent="0.2">
      <c r="B20" s="5" t="s">
        <v>14</v>
      </c>
      <c r="E20" s="6"/>
      <c r="F20" s="6"/>
      <c r="G20" s="6"/>
    </row>
    <row r="21" spans="2:7" x14ac:dyDescent="0.2">
      <c r="B21" s="5" t="s">
        <v>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C22" sqref="C22:G48"/>
    </sheetView>
  </sheetViews>
  <sheetFormatPr defaultRowHeight="12.75" x14ac:dyDescent="0.2"/>
  <cols>
    <col min="1" max="1" width="7.42578125" style="5" bestFit="1" customWidth="1"/>
    <col min="2" max="2" width="16.425781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1" width="5.570312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404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163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405</v>
      </c>
      <c r="C6" s="14" t="s">
        <v>406</v>
      </c>
      <c r="D6" s="14" t="s">
        <v>407</v>
      </c>
      <c r="E6" s="14" t="str">
        <f>"0,7954"</f>
        <v>0,7954</v>
      </c>
      <c r="F6" s="14" t="s">
        <v>21</v>
      </c>
      <c r="G6" s="14" t="s">
        <v>77</v>
      </c>
      <c r="H6" s="25" t="s">
        <v>135</v>
      </c>
      <c r="I6" s="26" t="s">
        <v>133</v>
      </c>
      <c r="J6" s="26" t="s">
        <v>133</v>
      </c>
      <c r="K6" s="15"/>
      <c r="L6" s="15" t="str">
        <f>"25,0"</f>
        <v>25,0</v>
      </c>
      <c r="M6" s="15" t="str">
        <f>"40,7219"</f>
        <v>40,7219</v>
      </c>
      <c r="N6" s="14" t="s">
        <v>712</v>
      </c>
    </row>
    <row r="7" spans="1:14" x14ac:dyDescent="0.2">
      <c r="B7" s="5" t="s">
        <v>14</v>
      </c>
    </row>
    <row r="8" spans="1:14" ht="15" x14ac:dyDescent="0.2">
      <c r="A8" s="55" t="s">
        <v>182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5" t="s">
        <v>69</v>
      </c>
      <c r="B9" s="14" t="s">
        <v>408</v>
      </c>
      <c r="C9" s="14" t="s">
        <v>409</v>
      </c>
      <c r="D9" s="14" t="s">
        <v>351</v>
      </c>
      <c r="E9" s="14" t="str">
        <f>"0,7333"</f>
        <v>0,7333</v>
      </c>
      <c r="F9" s="14" t="s">
        <v>21</v>
      </c>
      <c r="G9" s="14" t="s">
        <v>77</v>
      </c>
      <c r="H9" s="25" t="s">
        <v>99</v>
      </c>
      <c r="I9" s="25" t="s">
        <v>191</v>
      </c>
      <c r="J9" s="15"/>
      <c r="K9" s="15"/>
      <c r="L9" s="15" t="str">
        <f>"47,5"</f>
        <v>47,5</v>
      </c>
      <c r="M9" s="15" t="str">
        <f>"34,8294"</f>
        <v>34,8294</v>
      </c>
      <c r="N9" s="14" t="s">
        <v>713</v>
      </c>
    </row>
    <row r="10" spans="1:14" x14ac:dyDescent="0.2">
      <c r="B10" s="5" t="s">
        <v>14</v>
      </c>
    </row>
    <row r="11" spans="1:14" ht="15" x14ac:dyDescent="0.2">
      <c r="A11" s="55" t="s">
        <v>73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10" t="s">
        <v>69</v>
      </c>
      <c r="B12" s="9" t="s">
        <v>410</v>
      </c>
      <c r="C12" s="9" t="s">
        <v>411</v>
      </c>
      <c r="D12" s="9" t="s">
        <v>354</v>
      </c>
      <c r="E12" s="9" t="str">
        <f>"0,6851"</f>
        <v>0,6851</v>
      </c>
      <c r="F12" s="9" t="s">
        <v>21</v>
      </c>
      <c r="G12" s="9" t="s">
        <v>412</v>
      </c>
      <c r="H12" s="22" t="s">
        <v>138</v>
      </c>
      <c r="I12" s="22" t="s">
        <v>146</v>
      </c>
      <c r="J12" s="23" t="s">
        <v>260</v>
      </c>
      <c r="K12" s="10"/>
      <c r="L12" s="10" t="str">
        <f>"70,0"</f>
        <v>70,0</v>
      </c>
      <c r="M12" s="10" t="str">
        <f>"48,3886"</f>
        <v>48,3886</v>
      </c>
      <c r="N12" s="9" t="s">
        <v>712</v>
      </c>
    </row>
    <row r="13" spans="1:14" x14ac:dyDescent="0.2">
      <c r="A13" s="12" t="s">
        <v>69</v>
      </c>
      <c r="B13" s="11" t="s">
        <v>413</v>
      </c>
      <c r="C13" s="11" t="s">
        <v>414</v>
      </c>
      <c r="D13" s="11" t="s">
        <v>415</v>
      </c>
      <c r="E13" s="11" t="str">
        <f>"0,6978"</f>
        <v>0,6978</v>
      </c>
      <c r="F13" s="11" t="s">
        <v>21</v>
      </c>
      <c r="G13" s="11" t="s">
        <v>416</v>
      </c>
      <c r="H13" s="27" t="s">
        <v>134</v>
      </c>
      <c r="I13" s="27" t="s">
        <v>417</v>
      </c>
      <c r="J13" s="27" t="s">
        <v>98</v>
      </c>
      <c r="K13" s="12"/>
      <c r="L13" s="12" t="str">
        <f>"40,0"</f>
        <v>40,0</v>
      </c>
      <c r="M13" s="12" t="str">
        <f>"47,4504"</f>
        <v>47,4504</v>
      </c>
      <c r="N13" s="11" t="s">
        <v>712</v>
      </c>
    </row>
    <row r="14" spans="1:14" x14ac:dyDescent="0.2">
      <c r="B14" s="5" t="s">
        <v>14</v>
      </c>
    </row>
    <row r="15" spans="1:14" ht="15" x14ac:dyDescent="0.2">
      <c r="A15" s="55" t="s">
        <v>163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4" x14ac:dyDescent="0.2">
      <c r="A16" s="15" t="s">
        <v>69</v>
      </c>
      <c r="B16" s="14" t="s">
        <v>418</v>
      </c>
      <c r="C16" s="14" t="s">
        <v>419</v>
      </c>
      <c r="D16" s="14" t="s">
        <v>166</v>
      </c>
      <c r="E16" s="14" t="str">
        <f>"0,7842"</f>
        <v>0,7842</v>
      </c>
      <c r="F16" s="14" t="s">
        <v>21</v>
      </c>
      <c r="G16" s="14" t="s">
        <v>77</v>
      </c>
      <c r="H16" s="25" t="s">
        <v>96</v>
      </c>
      <c r="I16" s="25" t="s">
        <v>97</v>
      </c>
      <c r="J16" s="15"/>
      <c r="K16" s="15"/>
      <c r="L16" s="15" t="str">
        <f>"105,0"</f>
        <v>105,0</v>
      </c>
      <c r="M16" s="15" t="str">
        <f>"109,5135"</f>
        <v>109,5135</v>
      </c>
      <c r="N16" s="14" t="s">
        <v>712</v>
      </c>
    </row>
    <row r="17" spans="1:14" x14ac:dyDescent="0.2">
      <c r="B17" s="5" t="s">
        <v>14</v>
      </c>
    </row>
    <row r="18" spans="1:14" ht="15" x14ac:dyDescent="0.2">
      <c r="A18" s="55" t="s">
        <v>73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4" x14ac:dyDescent="0.2">
      <c r="A19" s="10" t="s">
        <v>69</v>
      </c>
      <c r="B19" s="9" t="s">
        <v>420</v>
      </c>
      <c r="C19" s="9" t="s">
        <v>421</v>
      </c>
      <c r="D19" s="9" t="s">
        <v>211</v>
      </c>
      <c r="E19" s="9" t="str">
        <f>"0,6335"</f>
        <v>0,6335</v>
      </c>
      <c r="F19" s="9" t="s">
        <v>21</v>
      </c>
      <c r="G19" s="9" t="s">
        <v>77</v>
      </c>
      <c r="H19" s="22" t="s">
        <v>195</v>
      </c>
      <c r="I19" s="22" t="s">
        <v>196</v>
      </c>
      <c r="J19" s="22" t="s">
        <v>80</v>
      </c>
      <c r="K19" s="22" t="s">
        <v>39</v>
      </c>
      <c r="L19" s="10" t="str">
        <f>"195,0"</f>
        <v>195,0</v>
      </c>
      <c r="M19" s="10" t="str">
        <f>"123,5325"</f>
        <v>123,5325</v>
      </c>
      <c r="N19" s="9" t="s">
        <v>712</v>
      </c>
    </row>
    <row r="20" spans="1:14" x14ac:dyDescent="0.2">
      <c r="A20" s="12" t="s">
        <v>69</v>
      </c>
      <c r="B20" s="11" t="s">
        <v>422</v>
      </c>
      <c r="C20" s="11" t="s">
        <v>423</v>
      </c>
      <c r="D20" s="11" t="s">
        <v>424</v>
      </c>
      <c r="E20" s="11" t="str">
        <f>"0,6511"</f>
        <v>0,6511</v>
      </c>
      <c r="F20" s="11" t="s">
        <v>21</v>
      </c>
      <c r="G20" s="11" t="s">
        <v>425</v>
      </c>
      <c r="H20" s="27" t="s">
        <v>101</v>
      </c>
      <c r="I20" s="27" t="s">
        <v>97</v>
      </c>
      <c r="J20" s="27" t="s">
        <v>155</v>
      </c>
      <c r="K20" s="12"/>
      <c r="L20" s="12" t="str">
        <f>"110,0"</f>
        <v>110,0</v>
      </c>
      <c r="M20" s="12" t="str">
        <f>"141,0934"</f>
        <v>141,0934</v>
      </c>
      <c r="N20" s="11" t="s">
        <v>712</v>
      </c>
    </row>
    <row r="21" spans="1:14" x14ac:dyDescent="0.2">
      <c r="B21" s="5" t="s">
        <v>14</v>
      </c>
    </row>
    <row r="22" spans="1:14" ht="15" x14ac:dyDescent="0.2">
      <c r="B22" s="5" t="s">
        <v>14</v>
      </c>
      <c r="F22" s="7"/>
    </row>
    <row r="23" spans="1:14" ht="15" x14ac:dyDescent="0.2">
      <c r="B23" s="5" t="s">
        <v>14</v>
      </c>
      <c r="F23" s="7"/>
    </row>
    <row r="24" spans="1:14" ht="15" x14ac:dyDescent="0.2">
      <c r="B24" s="5" t="s">
        <v>14</v>
      </c>
      <c r="F24" s="7"/>
    </row>
    <row r="25" spans="1:14" ht="15" x14ac:dyDescent="0.2">
      <c r="B25" s="5" t="s">
        <v>14</v>
      </c>
      <c r="F25" s="7"/>
    </row>
    <row r="26" spans="1:14" ht="15" x14ac:dyDescent="0.2">
      <c r="B26" s="5" t="s">
        <v>14</v>
      </c>
      <c r="F26" s="7"/>
    </row>
    <row r="27" spans="1:14" ht="15" x14ac:dyDescent="0.2">
      <c r="B27" s="5" t="s">
        <v>14</v>
      </c>
      <c r="F27" s="7"/>
    </row>
    <row r="28" spans="1:14" ht="15" x14ac:dyDescent="0.2">
      <c r="B28" s="5" t="s">
        <v>14</v>
      </c>
      <c r="F28" s="7"/>
    </row>
    <row r="29" spans="1:14" x14ac:dyDescent="0.2">
      <c r="B29" s="5" t="s">
        <v>14</v>
      </c>
    </row>
    <row r="30" spans="1:14" ht="18" x14ac:dyDescent="0.2">
      <c r="B30" s="5" t="s">
        <v>14</v>
      </c>
      <c r="C30" s="8"/>
      <c r="D30" s="8"/>
    </row>
    <row r="31" spans="1:14" ht="15" x14ac:dyDescent="0.2">
      <c r="B31" s="5" t="s">
        <v>14</v>
      </c>
      <c r="C31" s="18"/>
      <c r="D31" s="18"/>
    </row>
    <row r="32" spans="1:14" ht="14.25" x14ac:dyDescent="0.2">
      <c r="B32" s="5" t="s">
        <v>14</v>
      </c>
      <c r="C32" s="19"/>
      <c r="D32" s="20"/>
    </row>
    <row r="33" spans="2:7" ht="15" x14ac:dyDescent="0.2">
      <c r="B33" s="5" t="s">
        <v>14</v>
      </c>
      <c r="C33" s="1"/>
      <c r="D33" s="1"/>
      <c r="E33" s="1"/>
      <c r="F33" s="1"/>
      <c r="G33" s="1"/>
    </row>
    <row r="34" spans="2:7" x14ac:dyDescent="0.2">
      <c r="B34" s="5" t="s">
        <v>14</v>
      </c>
      <c r="E34" s="6"/>
      <c r="F34" s="6"/>
      <c r="G34" s="6"/>
    </row>
    <row r="35" spans="2:7" x14ac:dyDescent="0.2">
      <c r="B35" s="5" t="s">
        <v>14</v>
      </c>
      <c r="E35" s="6"/>
      <c r="F35" s="6"/>
      <c r="G35" s="6"/>
    </row>
    <row r="36" spans="2:7" x14ac:dyDescent="0.2">
      <c r="B36" s="5" t="s">
        <v>14</v>
      </c>
      <c r="E36" s="6"/>
      <c r="F36" s="6"/>
      <c r="G36" s="6"/>
    </row>
    <row r="37" spans="2:7" x14ac:dyDescent="0.2">
      <c r="B37" s="5" t="s">
        <v>14</v>
      </c>
    </row>
    <row r="38" spans="2:7" x14ac:dyDescent="0.2">
      <c r="B38" s="5" t="s">
        <v>14</v>
      </c>
    </row>
    <row r="39" spans="2:7" ht="15" x14ac:dyDescent="0.2">
      <c r="B39" s="5" t="s">
        <v>14</v>
      </c>
      <c r="C39" s="18"/>
      <c r="D39" s="18"/>
    </row>
    <row r="40" spans="2:7" ht="14.25" x14ac:dyDescent="0.2">
      <c r="B40" s="5" t="s">
        <v>14</v>
      </c>
      <c r="C40" s="19"/>
      <c r="D40" s="20"/>
    </row>
    <row r="41" spans="2:7" ht="15" x14ac:dyDescent="0.2">
      <c r="B41" s="5" t="s">
        <v>14</v>
      </c>
      <c r="C41" s="1"/>
      <c r="D41" s="1"/>
      <c r="E41" s="1"/>
      <c r="F41" s="1"/>
      <c r="G41" s="1"/>
    </row>
    <row r="42" spans="2:7" x14ac:dyDescent="0.2">
      <c r="B42" s="5" t="s">
        <v>14</v>
      </c>
      <c r="E42" s="6"/>
      <c r="F42" s="6"/>
      <c r="G42" s="6"/>
    </row>
    <row r="43" spans="2:7" x14ac:dyDescent="0.2">
      <c r="B43" s="5" t="s">
        <v>14</v>
      </c>
      <c r="E43" s="6"/>
      <c r="F43" s="6"/>
      <c r="G43" s="6"/>
    </row>
    <row r="44" spans="2:7" x14ac:dyDescent="0.2">
      <c r="B44" s="5" t="s">
        <v>14</v>
      </c>
      <c r="E44" s="6"/>
      <c r="F44" s="6"/>
      <c r="G44" s="6"/>
    </row>
    <row r="45" spans="2:7" x14ac:dyDescent="0.2">
      <c r="B45" s="5" t="s">
        <v>14</v>
      </c>
    </row>
  </sheetData>
  <mergeCells count="17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A15:K15"/>
    <mergeCell ref="A18:K18"/>
    <mergeCell ref="B3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4" workbookViewId="0">
      <selection activeCell="N12" sqref="N12"/>
    </sheetView>
  </sheetViews>
  <sheetFormatPr defaultRowHeight="12.75" x14ac:dyDescent="0.2"/>
  <cols>
    <col min="1" max="1" width="7.42578125" style="5" bestFit="1" customWidth="1"/>
    <col min="2" max="2" width="17.855468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2.8554687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6" style="5" bestFit="1" customWidth="1"/>
    <col min="15" max="16384" width="9.140625" style="3"/>
  </cols>
  <sheetData>
    <row r="1" spans="1:14" s="2" customFormat="1" ht="29.1" customHeight="1" x14ac:dyDescent="0.2">
      <c r="A1" s="65" t="s">
        <v>389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390</v>
      </c>
      <c r="C6" s="14" t="s">
        <v>391</v>
      </c>
      <c r="D6" s="14" t="s">
        <v>392</v>
      </c>
      <c r="E6" s="14" t="str">
        <f>"0,6764"</f>
        <v>0,6764</v>
      </c>
      <c r="F6" s="14" t="s">
        <v>21</v>
      </c>
      <c r="G6" s="14" t="s">
        <v>393</v>
      </c>
      <c r="H6" s="25" t="s">
        <v>40</v>
      </c>
      <c r="I6" s="26" t="s">
        <v>215</v>
      </c>
      <c r="J6" s="26" t="s">
        <v>45</v>
      </c>
      <c r="K6" s="15"/>
      <c r="L6" s="15" t="str">
        <f>"210,0"</f>
        <v>210,0</v>
      </c>
      <c r="M6" s="15" t="str">
        <f>"142,0440"</f>
        <v>142,0440</v>
      </c>
      <c r="N6" s="14" t="s">
        <v>715</v>
      </c>
    </row>
    <row r="7" spans="1:14" x14ac:dyDescent="0.2">
      <c r="B7" s="5" t="s">
        <v>14</v>
      </c>
    </row>
    <row r="8" spans="1:14" ht="15" x14ac:dyDescent="0.2">
      <c r="A8" s="55" t="s">
        <v>33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5" t="s">
        <v>69</v>
      </c>
      <c r="B9" s="14" t="s">
        <v>394</v>
      </c>
      <c r="C9" s="14" t="s">
        <v>395</v>
      </c>
      <c r="D9" s="14" t="s">
        <v>396</v>
      </c>
      <c r="E9" s="14" t="str">
        <f>"0,5540"</f>
        <v>0,5540</v>
      </c>
      <c r="F9" s="14" t="s">
        <v>21</v>
      </c>
      <c r="G9" s="14" t="s">
        <v>393</v>
      </c>
      <c r="H9" s="25" t="s">
        <v>119</v>
      </c>
      <c r="I9" s="25" t="s">
        <v>51</v>
      </c>
      <c r="J9" s="25" t="s">
        <v>52</v>
      </c>
      <c r="K9" s="15"/>
      <c r="L9" s="15" t="str">
        <f>"240,0"</f>
        <v>240,0</v>
      </c>
      <c r="M9" s="15" t="str">
        <f>"211,4064"</f>
        <v>211,4064</v>
      </c>
      <c r="N9" s="14" t="s">
        <v>397</v>
      </c>
    </row>
    <row r="10" spans="1:14" x14ac:dyDescent="0.2">
      <c r="B10" s="5" t="s">
        <v>14</v>
      </c>
    </row>
    <row r="11" spans="1:14" ht="15" x14ac:dyDescent="0.2">
      <c r="A11" s="55" t="s">
        <v>316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15" t="s">
        <v>69</v>
      </c>
      <c r="B12" s="14" t="s">
        <v>398</v>
      </c>
      <c r="C12" s="14" t="s">
        <v>399</v>
      </c>
      <c r="D12" s="14" t="s">
        <v>400</v>
      </c>
      <c r="E12" s="14" t="str">
        <f>"0,5377"</f>
        <v>0,5377</v>
      </c>
      <c r="F12" s="14" t="s">
        <v>21</v>
      </c>
      <c r="G12" s="14" t="s">
        <v>77</v>
      </c>
      <c r="H12" s="25" t="s">
        <v>46</v>
      </c>
      <c r="I12" s="15"/>
      <c r="J12" s="15"/>
      <c r="K12" s="15"/>
      <c r="L12" s="15" t="str">
        <f>"300,0"</f>
        <v>300,0</v>
      </c>
      <c r="M12" s="15" t="str">
        <f>"161,3100"</f>
        <v>161,3100</v>
      </c>
      <c r="N12" s="14" t="s">
        <v>712</v>
      </c>
    </row>
    <row r="13" spans="1:14" x14ac:dyDescent="0.2">
      <c r="B13" s="5" t="s">
        <v>14</v>
      </c>
    </row>
    <row r="14" spans="1:14" ht="15" x14ac:dyDescent="0.2">
      <c r="A14" s="55" t="s">
        <v>48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</row>
    <row r="15" spans="1:14" x14ac:dyDescent="0.2">
      <c r="A15" s="15" t="s">
        <v>70</v>
      </c>
      <c r="B15" s="14" t="s">
        <v>401</v>
      </c>
      <c r="C15" s="14" t="s">
        <v>402</v>
      </c>
      <c r="D15" s="14" t="s">
        <v>403</v>
      </c>
      <c r="E15" s="14" t="str">
        <f>"0,5102"</f>
        <v>0,5102</v>
      </c>
      <c r="F15" s="14" t="s">
        <v>21</v>
      </c>
      <c r="G15" s="14" t="s">
        <v>77</v>
      </c>
      <c r="H15" s="26" t="s">
        <v>53</v>
      </c>
      <c r="I15" s="26" t="s">
        <v>53</v>
      </c>
      <c r="J15" s="26" t="s">
        <v>283</v>
      </c>
      <c r="K15" s="15"/>
      <c r="L15" s="15" t="str">
        <f>"0.00"</f>
        <v>0.00</v>
      </c>
      <c r="M15" s="15" t="str">
        <f>"0,0000"</f>
        <v>0,0000</v>
      </c>
      <c r="N15" s="14" t="s">
        <v>714</v>
      </c>
    </row>
    <row r="16" spans="1:14" x14ac:dyDescent="0.2">
      <c r="B16" s="5" t="s">
        <v>14</v>
      </c>
    </row>
    <row r="17" spans="2:7" ht="15" x14ac:dyDescent="0.2">
      <c r="B17" s="5" t="s">
        <v>14</v>
      </c>
      <c r="F17" s="7"/>
    </row>
    <row r="18" spans="2:7" ht="15" x14ac:dyDescent="0.2">
      <c r="B18" s="5" t="s">
        <v>14</v>
      </c>
      <c r="F18" s="7"/>
    </row>
    <row r="19" spans="2:7" ht="15" x14ac:dyDescent="0.2">
      <c r="B19" s="5" t="s">
        <v>14</v>
      </c>
      <c r="F19" s="7"/>
    </row>
    <row r="20" spans="2:7" ht="15" x14ac:dyDescent="0.2">
      <c r="B20" s="5" t="s">
        <v>14</v>
      </c>
      <c r="F20" s="7"/>
    </row>
    <row r="21" spans="2:7" ht="15" x14ac:dyDescent="0.2">
      <c r="B21" s="5" t="s">
        <v>14</v>
      </c>
      <c r="F21" s="7"/>
    </row>
    <row r="22" spans="2:7" ht="15" x14ac:dyDescent="0.2">
      <c r="B22" s="5" t="s">
        <v>14</v>
      </c>
      <c r="F22" s="7"/>
    </row>
    <row r="23" spans="2:7" ht="15" x14ac:dyDescent="0.2">
      <c r="B23" s="5" t="s">
        <v>14</v>
      </c>
      <c r="F23" s="7"/>
    </row>
    <row r="24" spans="2:7" x14ac:dyDescent="0.2">
      <c r="B24" s="5" t="s">
        <v>14</v>
      </c>
    </row>
    <row r="25" spans="2:7" ht="18" x14ac:dyDescent="0.2">
      <c r="B25" s="5" t="s">
        <v>14</v>
      </c>
      <c r="C25" s="8"/>
      <c r="D25" s="8"/>
    </row>
    <row r="26" spans="2:7" ht="15" x14ac:dyDescent="0.2">
      <c r="B26" s="5" t="s">
        <v>14</v>
      </c>
      <c r="C26" s="18"/>
      <c r="D26" s="18"/>
    </row>
    <row r="27" spans="2:7" ht="14.25" x14ac:dyDescent="0.2">
      <c r="B27" s="5" t="s">
        <v>14</v>
      </c>
      <c r="C27" s="19"/>
      <c r="D27" s="20"/>
    </row>
    <row r="28" spans="2:7" ht="15" x14ac:dyDescent="0.2">
      <c r="B28" s="5" t="s">
        <v>14</v>
      </c>
      <c r="C28" s="1"/>
      <c r="D28" s="1"/>
      <c r="E28" s="1"/>
      <c r="F28" s="1"/>
      <c r="G28" s="1"/>
    </row>
    <row r="29" spans="2:7" x14ac:dyDescent="0.2">
      <c r="B29" s="5" t="s">
        <v>14</v>
      </c>
      <c r="E29" s="6"/>
      <c r="F29" s="6"/>
      <c r="G29" s="6"/>
    </row>
    <row r="30" spans="2:7" x14ac:dyDescent="0.2">
      <c r="B30" s="5" t="s">
        <v>14</v>
      </c>
    </row>
    <row r="31" spans="2:7" x14ac:dyDescent="0.2">
      <c r="B31" s="5" t="s">
        <v>14</v>
      </c>
    </row>
    <row r="32" spans="2:7" ht="15" x14ac:dyDescent="0.2">
      <c r="B32" s="5" t="s">
        <v>14</v>
      </c>
      <c r="C32" s="18"/>
      <c r="D32" s="18"/>
    </row>
    <row r="33" spans="2:7" ht="14.25" x14ac:dyDescent="0.2">
      <c r="B33" s="5" t="s">
        <v>14</v>
      </c>
      <c r="C33" s="19"/>
      <c r="D33" s="20"/>
    </row>
    <row r="34" spans="2:7" ht="15" x14ac:dyDescent="0.2">
      <c r="B34" s="5" t="s">
        <v>14</v>
      </c>
      <c r="C34" s="1"/>
      <c r="D34" s="1"/>
      <c r="E34" s="1"/>
      <c r="F34" s="1"/>
      <c r="G34" s="1"/>
    </row>
    <row r="35" spans="2:7" x14ac:dyDescent="0.2">
      <c r="B35" s="5" t="s">
        <v>14</v>
      </c>
      <c r="E35" s="6"/>
      <c r="F35" s="6"/>
      <c r="G35" s="6"/>
    </row>
    <row r="36" spans="2:7" x14ac:dyDescent="0.2">
      <c r="B36" s="5" t="s">
        <v>14</v>
      </c>
    </row>
    <row r="37" spans="2:7" ht="14.25" x14ac:dyDescent="0.2">
      <c r="B37" s="5" t="s">
        <v>14</v>
      </c>
      <c r="C37" s="19"/>
      <c r="D37" s="20"/>
    </row>
    <row r="38" spans="2:7" ht="15" x14ac:dyDescent="0.2">
      <c r="B38" s="5" t="s">
        <v>14</v>
      </c>
      <c r="C38" s="1"/>
      <c r="D38" s="1"/>
      <c r="E38" s="1"/>
      <c r="F38" s="1"/>
      <c r="G38" s="1"/>
    </row>
    <row r="39" spans="2:7" x14ac:dyDescent="0.2">
      <c r="B39" s="5" t="s">
        <v>14</v>
      </c>
      <c r="E39" s="6"/>
      <c r="F39" s="6"/>
      <c r="G39" s="6"/>
    </row>
    <row r="40" spans="2:7" x14ac:dyDescent="0.2">
      <c r="B40" s="5" t="s">
        <v>14</v>
      </c>
    </row>
  </sheetData>
  <mergeCells count="16"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A14:K14"/>
    <mergeCell ref="B3:B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G12" sqref="G12"/>
    </sheetView>
  </sheetViews>
  <sheetFormatPr defaultRowHeight="12.75" x14ac:dyDescent="0.2"/>
  <cols>
    <col min="1" max="1" width="7.42578125" style="5" bestFit="1" customWidth="1"/>
    <col min="2" max="2" width="18.5703125" style="5" bestFit="1" customWidth="1"/>
    <col min="3" max="3" width="26.28515625" style="5" bestFit="1" customWidth="1"/>
    <col min="4" max="4" width="15.5703125" style="5" bestFit="1" customWidth="1"/>
    <col min="5" max="5" width="9.285156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6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385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37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70</v>
      </c>
      <c r="B6" s="14" t="s">
        <v>386</v>
      </c>
      <c r="C6" s="14" t="s">
        <v>387</v>
      </c>
      <c r="D6" s="14" t="s">
        <v>388</v>
      </c>
      <c r="E6" s="14" t="str">
        <f>"0,5342"</f>
        <v>0,5342</v>
      </c>
      <c r="F6" s="14" t="s">
        <v>21</v>
      </c>
      <c r="G6" s="14" t="s">
        <v>77</v>
      </c>
      <c r="H6" s="26" t="s">
        <v>28</v>
      </c>
      <c r="I6" s="26" t="s">
        <v>28</v>
      </c>
      <c r="J6" s="26" t="s">
        <v>326</v>
      </c>
      <c r="K6" s="15"/>
      <c r="L6" s="15" t="str">
        <f>"0.00"</f>
        <v>0.00</v>
      </c>
      <c r="M6" s="15" t="str">
        <f>"0,0000"</f>
        <v>0,0000</v>
      </c>
      <c r="N6" s="14" t="s">
        <v>712</v>
      </c>
    </row>
    <row r="7" spans="1:14" x14ac:dyDescent="0.2">
      <c r="B7" s="5" t="s">
        <v>14</v>
      </c>
    </row>
    <row r="8" spans="1:14" ht="15" x14ac:dyDescent="0.2">
      <c r="B8" s="5" t="s">
        <v>14</v>
      </c>
      <c r="F8" s="7"/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x14ac:dyDescent="0.2">
      <c r="B15" s="5" t="s">
        <v>14</v>
      </c>
    </row>
    <row r="17" spans="3:4" ht="18" x14ac:dyDescent="0.2">
      <c r="C17" s="8"/>
      <c r="D17" s="8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B1" workbookViewId="0">
      <selection activeCell="N10" sqref="N10"/>
    </sheetView>
  </sheetViews>
  <sheetFormatPr defaultRowHeight="12.75" x14ac:dyDescent="0.2"/>
  <cols>
    <col min="1" max="1" width="7.42578125" style="5" bestFit="1" customWidth="1"/>
    <col min="2" max="2" width="15.71093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372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20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373</v>
      </c>
      <c r="C6" s="9" t="s">
        <v>374</v>
      </c>
      <c r="D6" s="9" t="s">
        <v>375</v>
      </c>
      <c r="E6" s="9" t="str">
        <f>"0,5922"</f>
        <v>0,5922</v>
      </c>
      <c r="F6" s="9" t="s">
        <v>21</v>
      </c>
      <c r="G6" s="9" t="s">
        <v>77</v>
      </c>
      <c r="H6" s="22" t="s">
        <v>376</v>
      </c>
      <c r="I6" s="22" t="s">
        <v>208</v>
      </c>
      <c r="J6" s="23" t="s">
        <v>102</v>
      </c>
      <c r="K6" s="10"/>
      <c r="L6" s="10" t="str">
        <f>"102,5"</f>
        <v>102,5</v>
      </c>
      <c r="M6" s="10" t="str">
        <f>"60,7005"</f>
        <v>60,7005</v>
      </c>
      <c r="N6" s="9" t="s">
        <v>712</v>
      </c>
    </row>
    <row r="7" spans="1:14" x14ac:dyDescent="0.2">
      <c r="A7" s="12" t="s">
        <v>69</v>
      </c>
      <c r="B7" s="11" t="s">
        <v>377</v>
      </c>
      <c r="C7" s="11" t="s">
        <v>378</v>
      </c>
      <c r="D7" s="11" t="s">
        <v>379</v>
      </c>
      <c r="E7" s="11" t="str">
        <f>"0,5947"</f>
        <v>0,5947</v>
      </c>
      <c r="F7" s="11" t="s">
        <v>21</v>
      </c>
      <c r="G7" s="11" t="s">
        <v>380</v>
      </c>
      <c r="H7" s="27" t="s">
        <v>24</v>
      </c>
      <c r="I7" s="27" t="s">
        <v>88</v>
      </c>
      <c r="J7" s="27" t="s">
        <v>224</v>
      </c>
      <c r="K7" s="12"/>
      <c r="L7" s="12" t="str">
        <f>"182,5"</f>
        <v>182,5</v>
      </c>
      <c r="M7" s="12" t="str">
        <f>"116,0215"</f>
        <v>116,0215</v>
      </c>
      <c r="N7" s="11" t="s">
        <v>712</v>
      </c>
    </row>
    <row r="8" spans="1:14" x14ac:dyDescent="0.2">
      <c r="B8" s="5" t="s">
        <v>14</v>
      </c>
    </row>
    <row r="9" spans="1:14" ht="15" x14ac:dyDescent="0.2">
      <c r="A9" s="55" t="s">
        <v>316</v>
      </c>
      <c r="B9" s="55"/>
      <c r="C9" s="56"/>
      <c r="D9" s="56"/>
      <c r="E9" s="56"/>
      <c r="F9" s="56"/>
      <c r="G9" s="56"/>
      <c r="H9" s="56"/>
      <c r="I9" s="56"/>
      <c r="J9" s="56"/>
      <c r="K9" s="56"/>
    </row>
    <row r="10" spans="1:14" x14ac:dyDescent="0.2">
      <c r="A10" s="15" t="s">
        <v>69</v>
      </c>
      <c r="B10" s="14" t="s">
        <v>381</v>
      </c>
      <c r="C10" s="14" t="s">
        <v>382</v>
      </c>
      <c r="D10" s="14" t="s">
        <v>383</v>
      </c>
      <c r="E10" s="14" t="str">
        <f>"0,5437"</f>
        <v>0,5437</v>
      </c>
      <c r="F10" s="14" t="s">
        <v>21</v>
      </c>
      <c r="G10" s="14" t="s">
        <v>384</v>
      </c>
      <c r="H10" s="25" t="s">
        <v>156</v>
      </c>
      <c r="I10" s="25" t="s">
        <v>120</v>
      </c>
      <c r="J10" s="25" t="s">
        <v>121</v>
      </c>
      <c r="K10" s="15"/>
      <c r="L10" s="15" t="str">
        <f>"152,5"</f>
        <v>152,5</v>
      </c>
      <c r="M10" s="15" t="str">
        <f>"82,9142"</f>
        <v>82,9142</v>
      </c>
      <c r="N10" s="14" t="s">
        <v>712</v>
      </c>
    </row>
    <row r="11" spans="1:14" x14ac:dyDescent="0.2">
      <c r="B11" s="5" t="s">
        <v>14</v>
      </c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ht="15" x14ac:dyDescent="0.2">
      <c r="B15" s="5" t="s">
        <v>14</v>
      </c>
      <c r="F15" s="7"/>
    </row>
    <row r="16" spans="1:14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ht="15" x14ac:dyDescent="0.2">
      <c r="B18" s="5" t="s">
        <v>14</v>
      </c>
      <c r="F18" s="7"/>
    </row>
    <row r="19" spans="2:7" x14ac:dyDescent="0.2">
      <c r="B19" s="5" t="s">
        <v>14</v>
      </c>
    </row>
    <row r="20" spans="2:7" ht="18" x14ac:dyDescent="0.2">
      <c r="B20" s="5" t="s">
        <v>14</v>
      </c>
      <c r="C20" s="8"/>
      <c r="D20" s="8"/>
    </row>
    <row r="21" spans="2:7" ht="15" x14ac:dyDescent="0.2">
      <c r="B21" s="5" t="s">
        <v>14</v>
      </c>
      <c r="C21" s="18"/>
      <c r="D21" s="18"/>
    </row>
    <row r="22" spans="2:7" ht="14.25" x14ac:dyDescent="0.2">
      <c r="B22" s="5" t="s">
        <v>14</v>
      </c>
      <c r="C22" s="19"/>
      <c r="D22" s="20"/>
    </row>
    <row r="23" spans="2:7" ht="15" x14ac:dyDescent="0.2">
      <c r="B23" s="5" t="s">
        <v>14</v>
      </c>
      <c r="C23" s="1"/>
      <c r="D23" s="1"/>
      <c r="E23" s="1"/>
      <c r="F23" s="1"/>
      <c r="G23" s="1"/>
    </row>
    <row r="24" spans="2:7" x14ac:dyDescent="0.2">
      <c r="B24" s="5" t="s">
        <v>14</v>
      </c>
      <c r="E24" s="6"/>
      <c r="F24" s="6"/>
      <c r="G24" s="6"/>
    </row>
    <row r="25" spans="2:7" x14ac:dyDescent="0.2">
      <c r="B25" s="5" t="s">
        <v>14</v>
      </c>
      <c r="E25" s="6"/>
      <c r="F25" s="6"/>
      <c r="G25" s="6"/>
    </row>
    <row r="26" spans="2:7" x14ac:dyDescent="0.2">
      <c r="B26" s="5" t="s">
        <v>14</v>
      </c>
    </row>
    <row r="27" spans="2:7" ht="14.25" x14ac:dyDescent="0.2">
      <c r="B27" s="5" t="s">
        <v>14</v>
      </c>
      <c r="C27" s="19"/>
      <c r="D27" s="20"/>
    </row>
    <row r="28" spans="2:7" ht="15" x14ac:dyDescent="0.2">
      <c r="B28" s="5" t="s">
        <v>14</v>
      </c>
      <c r="C28" s="1"/>
      <c r="D28" s="1"/>
      <c r="E28" s="1"/>
      <c r="F28" s="1"/>
      <c r="G28" s="1"/>
    </row>
    <row r="29" spans="2:7" x14ac:dyDescent="0.2">
      <c r="B29" s="5" t="s">
        <v>14</v>
      </c>
      <c r="E29" s="6"/>
      <c r="F29" s="6"/>
      <c r="G29" s="6"/>
    </row>
    <row r="30" spans="2:7" x14ac:dyDescent="0.2">
      <c r="B30" s="5" t="s">
        <v>14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9:K9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C1" workbookViewId="0">
      <selection activeCell="P3" sqref="P1:P1048576"/>
    </sheetView>
  </sheetViews>
  <sheetFormatPr defaultRowHeight="12.75" x14ac:dyDescent="0.2"/>
  <cols>
    <col min="1" max="1" width="7.42578125" style="5" bestFit="1" customWidth="1"/>
    <col min="2" max="2" width="19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0.5703125" style="5" bestFit="1" customWidth="1"/>
    <col min="8" max="10" width="5.5703125" style="6" customWidth="1"/>
    <col min="11" max="11" width="4.85546875" style="6" customWidth="1"/>
    <col min="12" max="12" width="5" style="6" customWidth="1"/>
    <col min="13" max="13" width="10.42578125" style="6" customWidth="1"/>
    <col min="14" max="14" width="7.85546875" style="6" bestFit="1" customWidth="1"/>
    <col min="15" max="15" width="9.5703125" style="6" bestFit="1" customWidth="1"/>
    <col min="16" max="16" width="15.140625" style="5" bestFit="1" customWidth="1"/>
    <col min="17" max="16384" width="9.140625" style="3"/>
  </cols>
  <sheetData>
    <row r="1" spans="1:16" s="2" customFormat="1" ht="29.1" customHeight="1" x14ac:dyDescent="0.2">
      <c r="A1" s="65" t="s">
        <v>701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704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702</v>
      </c>
      <c r="M3" s="59"/>
      <c r="N3" s="59" t="s">
        <v>1</v>
      </c>
      <c r="O3" s="59" t="s">
        <v>3</v>
      </c>
      <c r="P3" s="61" t="s">
        <v>2</v>
      </c>
    </row>
    <row r="4" spans="1:16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 t="s">
        <v>8</v>
      </c>
      <c r="M4" s="4" t="s">
        <v>9</v>
      </c>
      <c r="N4" s="60"/>
      <c r="O4" s="60"/>
      <c r="P4" s="62"/>
    </row>
    <row r="5" spans="1:16" ht="15" x14ac:dyDescent="0.2">
      <c r="A5" s="63" t="s">
        <v>182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6" x14ac:dyDescent="0.2">
      <c r="A6" s="15" t="s">
        <v>69</v>
      </c>
      <c r="B6" s="14" t="s">
        <v>342</v>
      </c>
      <c r="C6" s="14" t="s">
        <v>343</v>
      </c>
      <c r="D6" s="14" t="s">
        <v>344</v>
      </c>
      <c r="E6" s="14" t="str">
        <f>"0,6805"</f>
        <v>0,6805</v>
      </c>
      <c r="F6" s="14" t="s">
        <v>21</v>
      </c>
      <c r="G6" s="14" t="s">
        <v>345</v>
      </c>
      <c r="H6" s="25" t="s">
        <v>168</v>
      </c>
      <c r="I6" s="25" t="s">
        <v>172</v>
      </c>
      <c r="J6" s="25" t="s">
        <v>147</v>
      </c>
      <c r="K6" s="15"/>
      <c r="L6" s="15" t="s">
        <v>29</v>
      </c>
      <c r="M6" s="15" t="s">
        <v>703</v>
      </c>
      <c r="N6" s="15" t="str">
        <f>"172,5"</f>
        <v>172,5</v>
      </c>
      <c r="O6" s="15" t="str">
        <f>"1871,3749"</f>
        <v>1871,3749</v>
      </c>
      <c r="P6" s="14" t="s">
        <v>712</v>
      </c>
    </row>
    <row r="7" spans="1:16" x14ac:dyDescent="0.2">
      <c r="B7" s="5" t="s">
        <v>14</v>
      </c>
    </row>
    <row r="8" spans="1:16" ht="15" x14ac:dyDescent="0.2">
      <c r="B8" s="5" t="s">
        <v>14</v>
      </c>
      <c r="F8" s="7"/>
    </row>
    <row r="9" spans="1:16" ht="15" x14ac:dyDescent="0.2">
      <c r="B9" s="5" t="s">
        <v>14</v>
      </c>
      <c r="F9" s="7"/>
    </row>
    <row r="10" spans="1:16" ht="15" x14ac:dyDescent="0.2">
      <c r="B10" s="5" t="s">
        <v>14</v>
      </c>
      <c r="F10" s="7"/>
    </row>
    <row r="11" spans="1:16" ht="15" x14ac:dyDescent="0.2">
      <c r="B11" s="5" t="s">
        <v>14</v>
      </c>
      <c r="F11" s="7"/>
    </row>
    <row r="12" spans="1:16" ht="15" x14ac:dyDescent="0.2">
      <c r="B12" s="5" t="s">
        <v>14</v>
      </c>
      <c r="F12" s="7"/>
    </row>
    <row r="13" spans="1:16" ht="15" x14ac:dyDescent="0.2">
      <c r="B13" s="5" t="s">
        <v>14</v>
      </c>
      <c r="F13" s="7"/>
    </row>
    <row r="14" spans="1:16" ht="15" x14ac:dyDescent="0.2">
      <c r="B14" s="5" t="s">
        <v>14</v>
      </c>
      <c r="F14" s="7"/>
    </row>
    <row r="15" spans="1:16" x14ac:dyDescent="0.2">
      <c r="B15" s="5" t="s">
        <v>14</v>
      </c>
    </row>
    <row r="16" spans="1:16" ht="18" x14ac:dyDescent="0.2">
      <c r="B16" s="5" t="s">
        <v>14</v>
      </c>
      <c r="C16" s="8"/>
      <c r="D16" s="8"/>
    </row>
    <row r="17" spans="2:7" ht="15" x14ac:dyDescent="0.2">
      <c r="B17" s="5" t="s">
        <v>14</v>
      </c>
      <c r="C17" s="18"/>
      <c r="D17" s="18"/>
    </row>
    <row r="18" spans="2:7" ht="14.25" x14ac:dyDescent="0.2">
      <c r="B18" s="5" t="s">
        <v>14</v>
      </c>
      <c r="C18" s="19"/>
      <c r="D18" s="20"/>
    </row>
    <row r="19" spans="2:7" ht="15" x14ac:dyDescent="0.2">
      <c r="B19" s="5" t="s">
        <v>14</v>
      </c>
      <c r="C19" s="1"/>
      <c r="D19" s="1"/>
      <c r="E19" s="1"/>
      <c r="F19" s="1"/>
      <c r="G19" s="1"/>
    </row>
    <row r="20" spans="2:7" x14ac:dyDescent="0.2">
      <c r="B20" s="5" t="s">
        <v>14</v>
      </c>
      <c r="E20" s="6"/>
      <c r="F20" s="6"/>
      <c r="G20" s="6"/>
    </row>
    <row r="21" spans="2:7" x14ac:dyDescent="0.2">
      <c r="B21" s="5" t="s">
        <v>14</v>
      </c>
    </row>
  </sheetData>
  <mergeCells count="14">
    <mergeCell ref="A5:M5"/>
    <mergeCell ref="B3:B4"/>
    <mergeCell ref="A1:P2"/>
    <mergeCell ref="A3:A4"/>
    <mergeCell ref="C3:C4"/>
    <mergeCell ref="D3:D4"/>
    <mergeCell ref="E3:E4"/>
    <mergeCell ref="F3:F4"/>
    <mergeCell ref="G3:G4"/>
    <mergeCell ref="H3:K3"/>
    <mergeCell ref="L3:M3"/>
    <mergeCell ref="N3:N4"/>
    <mergeCell ref="O3:O4"/>
    <mergeCell ref="P3:P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B12" workbookViewId="0">
      <selection activeCell="N22" sqref="N22"/>
    </sheetView>
  </sheetViews>
  <sheetFormatPr defaultRowHeight="12.75" x14ac:dyDescent="0.2"/>
  <cols>
    <col min="1" max="1" width="7.42578125" style="5" bestFit="1" customWidth="1"/>
    <col min="2" max="2" width="19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341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182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342</v>
      </c>
      <c r="C6" s="9" t="s">
        <v>343</v>
      </c>
      <c r="D6" s="9" t="s">
        <v>344</v>
      </c>
      <c r="E6" s="9" t="str">
        <f>"0,6805"</f>
        <v>0,6805</v>
      </c>
      <c r="F6" s="9" t="s">
        <v>21</v>
      </c>
      <c r="G6" s="9" t="s">
        <v>345</v>
      </c>
      <c r="H6" s="22" t="s">
        <v>156</v>
      </c>
      <c r="I6" s="22" t="s">
        <v>272</v>
      </c>
      <c r="J6" s="23" t="s">
        <v>168</v>
      </c>
      <c r="K6" s="10"/>
      <c r="L6" s="10" t="str">
        <f>"127,5"</f>
        <v>127,5</v>
      </c>
      <c r="M6" s="10" t="str">
        <f>"86,7637"</f>
        <v>86,7637</v>
      </c>
      <c r="N6" s="9" t="s">
        <v>30</v>
      </c>
    </row>
    <row r="7" spans="1:14" x14ac:dyDescent="0.2">
      <c r="A7" s="17" t="s">
        <v>71</v>
      </c>
      <c r="B7" s="16" t="s">
        <v>346</v>
      </c>
      <c r="C7" s="16" t="s">
        <v>347</v>
      </c>
      <c r="D7" s="16" t="s">
        <v>348</v>
      </c>
      <c r="E7" s="16" t="str">
        <f>"0,6716"</f>
        <v>0,6716</v>
      </c>
      <c r="F7" s="16" t="s">
        <v>21</v>
      </c>
      <c r="G7" s="16" t="s">
        <v>77</v>
      </c>
      <c r="H7" s="28" t="s">
        <v>156</v>
      </c>
      <c r="I7" s="29" t="s">
        <v>272</v>
      </c>
      <c r="J7" s="29" t="s">
        <v>272</v>
      </c>
      <c r="K7" s="17"/>
      <c r="L7" s="17" t="str">
        <f>"120,0"</f>
        <v>120,0</v>
      </c>
      <c r="M7" s="17" t="str">
        <f>"80,5920"</f>
        <v>80,5920</v>
      </c>
      <c r="N7" s="16" t="s">
        <v>30</v>
      </c>
    </row>
    <row r="8" spans="1:14" x14ac:dyDescent="0.2">
      <c r="A8" s="12" t="s">
        <v>69</v>
      </c>
      <c r="B8" s="11" t="s">
        <v>349</v>
      </c>
      <c r="C8" s="11" t="s">
        <v>350</v>
      </c>
      <c r="D8" s="11" t="s">
        <v>351</v>
      </c>
      <c r="E8" s="11" t="str">
        <f>"0,6760"</f>
        <v>0,6760</v>
      </c>
      <c r="F8" s="11" t="s">
        <v>21</v>
      </c>
      <c r="G8" s="11" t="s">
        <v>230</v>
      </c>
      <c r="H8" s="27" t="s">
        <v>146</v>
      </c>
      <c r="I8" s="27" t="s">
        <v>153</v>
      </c>
      <c r="J8" s="12"/>
      <c r="K8" s="12"/>
      <c r="L8" s="12" t="str">
        <f>"85,0"</f>
        <v>85,0</v>
      </c>
      <c r="M8" s="12" t="str">
        <f>"118,9422"</f>
        <v>118,9422</v>
      </c>
      <c r="N8" s="11" t="s">
        <v>30</v>
      </c>
    </row>
    <row r="9" spans="1:14" x14ac:dyDescent="0.2">
      <c r="B9" s="5" t="s">
        <v>14</v>
      </c>
    </row>
    <row r="10" spans="1:14" ht="15" x14ac:dyDescent="0.2">
      <c r="A10" s="55" t="s">
        <v>73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</row>
    <row r="11" spans="1:14" x14ac:dyDescent="0.2">
      <c r="A11" s="15" t="s">
        <v>69</v>
      </c>
      <c r="B11" s="14" t="s">
        <v>352</v>
      </c>
      <c r="C11" s="14" t="s">
        <v>353</v>
      </c>
      <c r="D11" s="14" t="s">
        <v>354</v>
      </c>
      <c r="E11" s="14" t="str">
        <f>"0,6295"</f>
        <v>0,6295</v>
      </c>
      <c r="F11" s="14" t="s">
        <v>21</v>
      </c>
      <c r="G11" s="14" t="s">
        <v>230</v>
      </c>
      <c r="H11" s="25" t="s">
        <v>355</v>
      </c>
      <c r="I11" s="25" t="s">
        <v>187</v>
      </c>
      <c r="J11" s="25" t="s">
        <v>168</v>
      </c>
      <c r="K11" s="15"/>
      <c r="L11" s="15" t="str">
        <f>"130,0"</f>
        <v>130,0</v>
      </c>
      <c r="M11" s="15" t="str">
        <f>"87,4816"</f>
        <v>87,4816</v>
      </c>
      <c r="N11" s="14" t="s">
        <v>30</v>
      </c>
    </row>
    <row r="12" spans="1:14" x14ac:dyDescent="0.2">
      <c r="B12" s="5" t="s">
        <v>14</v>
      </c>
    </row>
    <row r="13" spans="1:14" ht="15" x14ac:dyDescent="0.2">
      <c r="A13" s="55" t="s">
        <v>20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</row>
    <row r="14" spans="1:14" x14ac:dyDescent="0.2">
      <c r="A14" s="10" t="s">
        <v>69</v>
      </c>
      <c r="B14" s="9" t="s">
        <v>356</v>
      </c>
      <c r="C14" s="9" t="s">
        <v>357</v>
      </c>
      <c r="D14" s="9" t="s">
        <v>358</v>
      </c>
      <c r="E14" s="9" t="str">
        <f>"0,5969"</f>
        <v>0,5969</v>
      </c>
      <c r="F14" s="9" t="s">
        <v>21</v>
      </c>
      <c r="G14" s="9" t="s">
        <v>230</v>
      </c>
      <c r="H14" s="22" t="s">
        <v>174</v>
      </c>
      <c r="I14" s="22" t="s">
        <v>86</v>
      </c>
      <c r="J14" s="22" t="s">
        <v>359</v>
      </c>
      <c r="K14" s="10"/>
      <c r="L14" s="10" t="str">
        <f>"166,0"</f>
        <v>166,0</v>
      </c>
      <c r="M14" s="10" t="str">
        <f>"99,0854"</f>
        <v>99,0854</v>
      </c>
      <c r="N14" s="9" t="s">
        <v>712</v>
      </c>
    </row>
    <row r="15" spans="1:14" x14ac:dyDescent="0.2">
      <c r="A15" s="17" t="s">
        <v>71</v>
      </c>
      <c r="B15" s="16" t="s">
        <v>360</v>
      </c>
      <c r="C15" s="16" t="s">
        <v>361</v>
      </c>
      <c r="D15" s="16" t="s">
        <v>362</v>
      </c>
      <c r="E15" s="16" t="str">
        <f>"0,5865"</f>
        <v>0,5865</v>
      </c>
      <c r="F15" s="16" t="s">
        <v>21</v>
      </c>
      <c r="G15" s="16" t="s">
        <v>77</v>
      </c>
      <c r="H15" s="28" t="s">
        <v>168</v>
      </c>
      <c r="I15" s="29" t="s">
        <v>148</v>
      </c>
      <c r="J15" s="29" t="s">
        <v>148</v>
      </c>
      <c r="K15" s="17"/>
      <c r="L15" s="17" t="str">
        <f>"130,0"</f>
        <v>130,0</v>
      </c>
      <c r="M15" s="17" t="str">
        <f>"76,2450"</f>
        <v>76,2450</v>
      </c>
      <c r="N15" s="16" t="s">
        <v>712</v>
      </c>
    </row>
    <row r="16" spans="1:14" x14ac:dyDescent="0.2">
      <c r="A16" s="12" t="s">
        <v>335</v>
      </c>
      <c r="B16" s="11" t="s">
        <v>346</v>
      </c>
      <c r="C16" s="11" t="s">
        <v>347</v>
      </c>
      <c r="D16" s="11" t="s">
        <v>363</v>
      </c>
      <c r="E16" s="11" t="str">
        <f>"0,6117"</f>
        <v>0,6117</v>
      </c>
      <c r="F16" s="11" t="s">
        <v>21</v>
      </c>
      <c r="G16" s="11" t="s">
        <v>77</v>
      </c>
      <c r="H16" s="27" t="s">
        <v>156</v>
      </c>
      <c r="I16" s="24" t="s">
        <v>272</v>
      </c>
      <c r="J16" s="24" t="s">
        <v>272</v>
      </c>
      <c r="K16" s="12"/>
      <c r="L16" s="12" t="str">
        <f>"120,0"</f>
        <v>120,0</v>
      </c>
      <c r="M16" s="12" t="str">
        <f>"73,4040"</f>
        <v>73,4040</v>
      </c>
      <c r="N16" s="11" t="s">
        <v>712</v>
      </c>
    </row>
    <row r="17" spans="1:14" x14ac:dyDescent="0.2">
      <c r="B17" s="5" t="s">
        <v>14</v>
      </c>
    </row>
    <row r="18" spans="1:14" ht="15" x14ac:dyDescent="0.2">
      <c r="A18" s="55" t="s">
        <v>33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4" x14ac:dyDescent="0.2">
      <c r="A19" s="15" t="s">
        <v>69</v>
      </c>
      <c r="B19" s="14" t="s">
        <v>364</v>
      </c>
      <c r="C19" s="14" t="s">
        <v>365</v>
      </c>
      <c r="D19" s="14" t="s">
        <v>366</v>
      </c>
      <c r="E19" s="14" t="str">
        <f>"0,5616"</f>
        <v>0,5616</v>
      </c>
      <c r="F19" s="14" t="s">
        <v>21</v>
      </c>
      <c r="G19" s="14" t="s">
        <v>201</v>
      </c>
      <c r="H19" s="25" t="s">
        <v>110</v>
      </c>
      <c r="I19" s="25" t="s">
        <v>174</v>
      </c>
      <c r="J19" s="26" t="s">
        <v>32</v>
      </c>
      <c r="K19" s="15"/>
      <c r="L19" s="15" t="str">
        <f>"155,0"</f>
        <v>155,0</v>
      </c>
      <c r="M19" s="15" t="str">
        <f>"87,0480"</f>
        <v>87,0480</v>
      </c>
      <c r="N19" s="14" t="s">
        <v>712</v>
      </c>
    </row>
    <row r="20" spans="1:14" x14ac:dyDescent="0.2">
      <c r="B20" s="5" t="s">
        <v>14</v>
      </c>
    </row>
    <row r="21" spans="1:14" ht="15" x14ac:dyDescent="0.2">
      <c r="A21" s="55" t="s">
        <v>48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</row>
    <row r="22" spans="1:14" x14ac:dyDescent="0.2">
      <c r="A22" s="15" t="s">
        <v>69</v>
      </c>
      <c r="B22" s="14" t="s">
        <v>367</v>
      </c>
      <c r="C22" s="14" t="s">
        <v>368</v>
      </c>
      <c r="D22" s="14" t="s">
        <v>369</v>
      </c>
      <c r="E22" s="14" t="str">
        <f>"0,5130"</f>
        <v>0,5130</v>
      </c>
      <c r="F22" s="14" t="s">
        <v>21</v>
      </c>
      <c r="G22" s="14" t="s">
        <v>77</v>
      </c>
      <c r="H22" s="25" t="s">
        <v>187</v>
      </c>
      <c r="I22" s="25" t="s">
        <v>147</v>
      </c>
      <c r="J22" s="25" t="s">
        <v>173</v>
      </c>
      <c r="K22" s="15"/>
      <c r="L22" s="15" t="str">
        <f>"145,0"</f>
        <v>145,0</v>
      </c>
      <c r="M22" s="15" t="str">
        <f>"106,3623"</f>
        <v>106,3623</v>
      </c>
      <c r="N22" s="14" t="s">
        <v>712</v>
      </c>
    </row>
    <row r="23" spans="1:14" x14ac:dyDescent="0.2">
      <c r="B23" s="5" t="s">
        <v>14</v>
      </c>
    </row>
    <row r="24" spans="1:14" ht="15" x14ac:dyDescent="0.2">
      <c r="B24" s="5" t="s">
        <v>14</v>
      </c>
      <c r="F24" s="7"/>
    </row>
    <row r="25" spans="1:14" ht="15" x14ac:dyDescent="0.2">
      <c r="B25" s="5" t="s">
        <v>14</v>
      </c>
      <c r="F25" s="7"/>
    </row>
    <row r="26" spans="1:14" ht="15" x14ac:dyDescent="0.2">
      <c r="B26" s="5" t="s">
        <v>14</v>
      </c>
      <c r="F26" s="7"/>
    </row>
    <row r="27" spans="1:14" ht="15" x14ac:dyDescent="0.2">
      <c r="B27" s="5" t="s">
        <v>14</v>
      </c>
      <c r="F27" s="7"/>
    </row>
    <row r="28" spans="1:14" ht="15" x14ac:dyDescent="0.2">
      <c r="B28" s="5" t="s">
        <v>14</v>
      </c>
      <c r="F28" s="7"/>
    </row>
    <row r="29" spans="1:14" ht="15" x14ac:dyDescent="0.2">
      <c r="B29" s="5" t="s">
        <v>14</v>
      </c>
      <c r="F29" s="7"/>
    </row>
    <row r="30" spans="1:14" ht="15" x14ac:dyDescent="0.2">
      <c r="B30" s="5" t="s">
        <v>14</v>
      </c>
      <c r="F30" s="7"/>
    </row>
    <row r="31" spans="1:14" x14ac:dyDescent="0.2">
      <c r="B31" s="5" t="s">
        <v>14</v>
      </c>
    </row>
    <row r="32" spans="1:14" ht="18" x14ac:dyDescent="0.2">
      <c r="B32" s="5" t="s">
        <v>14</v>
      </c>
      <c r="C32" s="8"/>
      <c r="D32" s="8"/>
    </row>
    <row r="33" spans="2:7" ht="15" x14ac:dyDescent="0.2">
      <c r="B33" s="5" t="s">
        <v>14</v>
      </c>
      <c r="C33" s="18"/>
      <c r="D33" s="18"/>
    </row>
    <row r="34" spans="2:7" ht="14.25" x14ac:dyDescent="0.2">
      <c r="B34" s="5" t="s">
        <v>14</v>
      </c>
      <c r="C34" s="19"/>
      <c r="D34" s="20"/>
    </row>
    <row r="35" spans="2:7" ht="15" x14ac:dyDescent="0.2">
      <c r="B35" s="5" t="s">
        <v>14</v>
      </c>
      <c r="C35" s="1"/>
      <c r="D35" s="1"/>
      <c r="E35" s="1"/>
      <c r="F35" s="1"/>
      <c r="G35" s="1"/>
    </row>
    <row r="36" spans="2:7" x14ac:dyDescent="0.2">
      <c r="B36" s="5" t="s">
        <v>14</v>
      </c>
      <c r="E36" s="6"/>
      <c r="F36" s="6"/>
      <c r="G36" s="6"/>
    </row>
    <row r="37" spans="2:7" x14ac:dyDescent="0.2">
      <c r="B37" s="5" t="s">
        <v>14</v>
      </c>
      <c r="E37" s="6"/>
      <c r="F37" s="6"/>
      <c r="G37" s="6"/>
    </row>
    <row r="38" spans="2:7" x14ac:dyDescent="0.2">
      <c r="B38" s="5" t="s">
        <v>14</v>
      </c>
      <c r="E38" s="6"/>
      <c r="F38" s="6"/>
      <c r="G38" s="6"/>
    </row>
    <row r="39" spans="2:7" x14ac:dyDescent="0.2">
      <c r="B39" s="5" t="s">
        <v>14</v>
      </c>
    </row>
    <row r="40" spans="2:7" ht="14.25" x14ac:dyDescent="0.2">
      <c r="B40" s="5" t="s">
        <v>14</v>
      </c>
      <c r="C40" s="19"/>
      <c r="D40" s="20"/>
    </row>
    <row r="41" spans="2:7" ht="15" x14ac:dyDescent="0.2">
      <c r="B41" s="5" t="s">
        <v>14</v>
      </c>
      <c r="C41" s="1"/>
      <c r="D41" s="1"/>
      <c r="E41" s="1"/>
      <c r="F41" s="1"/>
      <c r="G41" s="1"/>
    </row>
    <row r="42" spans="2:7" x14ac:dyDescent="0.2">
      <c r="B42" s="5" t="s">
        <v>14</v>
      </c>
      <c r="E42" s="6"/>
      <c r="F42" s="6"/>
      <c r="G42" s="6"/>
    </row>
    <row r="43" spans="2:7" x14ac:dyDescent="0.2">
      <c r="B43" s="5" t="s">
        <v>14</v>
      </c>
      <c r="E43" s="6"/>
      <c r="F43" s="6"/>
      <c r="G43" s="6"/>
    </row>
    <row r="44" spans="2:7" x14ac:dyDescent="0.2">
      <c r="B44" s="5" t="s">
        <v>14</v>
      </c>
      <c r="E44" s="6"/>
      <c r="F44" s="6"/>
      <c r="G44" s="6"/>
    </row>
    <row r="45" spans="2:7" x14ac:dyDescent="0.2">
      <c r="B45" s="5" t="s">
        <v>14</v>
      </c>
    </row>
  </sheetData>
  <mergeCells count="17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10:K10"/>
    <mergeCell ref="A13:K13"/>
    <mergeCell ref="A18:K18"/>
    <mergeCell ref="A21:K21"/>
    <mergeCell ref="B3:B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D1" workbookViewId="0">
      <selection activeCell="V3" sqref="V1:V1048576"/>
    </sheetView>
  </sheetViews>
  <sheetFormatPr defaultRowHeight="12.75" x14ac:dyDescent="0.2"/>
  <cols>
    <col min="1" max="1" width="7.42578125" style="5" bestFit="1" customWidth="1"/>
    <col min="2" max="2" width="15.71093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7.42578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5.140625" style="5" bestFit="1" customWidth="1"/>
    <col min="23" max="16384" width="9.140625" style="3"/>
  </cols>
  <sheetData>
    <row r="1" spans="1:22" s="2" customFormat="1" ht="29.1" customHeight="1" x14ac:dyDescent="0.2">
      <c r="A1" s="65" t="s">
        <v>337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37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5" t="s">
        <v>69</v>
      </c>
      <c r="B6" s="14" t="s">
        <v>338</v>
      </c>
      <c r="C6" s="14" t="s">
        <v>339</v>
      </c>
      <c r="D6" s="14" t="s">
        <v>340</v>
      </c>
      <c r="E6" s="14" t="str">
        <f>"0,5267"</f>
        <v>0,5267</v>
      </c>
      <c r="F6" s="14" t="s">
        <v>21</v>
      </c>
      <c r="G6" s="14" t="s">
        <v>94</v>
      </c>
      <c r="H6" s="25" t="s">
        <v>305</v>
      </c>
      <c r="I6" s="25" t="s">
        <v>27</v>
      </c>
      <c r="J6" s="26" t="s">
        <v>43</v>
      </c>
      <c r="K6" s="15"/>
      <c r="L6" s="25" t="s">
        <v>53</v>
      </c>
      <c r="M6" s="26" t="s">
        <v>85</v>
      </c>
      <c r="N6" s="25" t="s">
        <v>46</v>
      </c>
      <c r="O6" s="15"/>
      <c r="P6" s="25" t="s">
        <v>79</v>
      </c>
      <c r="Q6" s="25" t="s">
        <v>109</v>
      </c>
      <c r="R6" s="26" t="s">
        <v>85</v>
      </c>
      <c r="S6" s="15"/>
      <c r="T6" s="15" t="str">
        <f>"880,0"</f>
        <v>880,0</v>
      </c>
      <c r="U6" s="15" t="str">
        <f>"464,8865"</f>
        <v>464,8865</v>
      </c>
      <c r="V6" s="14" t="s">
        <v>712</v>
      </c>
    </row>
    <row r="7" spans="1:22" x14ac:dyDescent="0.2">
      <c r="B7" s="5" t="s">
        <v>14</v>
      </c>
    </row>
    <row r="8" spans="1:22" ht="15" x14ac:dyDescent="0.2">
      <c r="B8" s="5" t="s">
        <v>14</v>
      </c>
      <c r="F8" s="7"/>
    </row>
    <row r="9" spans="1:22" ht="15" x14ac:dyDescent="0.2">
      <c r="B9" s="5" t="s">
        <v>14</v>
      </c>
      <c r="F9" s="7"/>
    </row>
    <row r="10" spans="1:22" ht="15" x14ac:dyDescent="0.2">
      <c r="B10" s="5" t="s">
        <v>14</v>
      </c>
      <c r="F10" s="7"/>
    </row>
    <row r="11" spans="1:22" ht="15" x14ac:dyDescent="0.2">
      <c r="B11" s="5" t="s">
        <v>14</v>
      </c>
      <c r="F11" s="7"/>
    </row>
    <row r="12" spans="1:22" ht="15" x14ac:dyDescent="0.2">
      <c r="B12" s="5" t="s">
        <v>14</v>
      </c>
      <c r="F12" s="7"/>
    </row>
    <row r="13" spans="1:22" ht="15" x14ac:dyDescent="0.2">
      <c r="B13" s="5" t="s">
        <v>14</v>
      </c>
      <c r="F13" s="7"/>
    </row>
    <row r="14" spans="1:22" ht="15" x14ac:dyDescent="0.2">
      <c r="B14" s="5" t="s">
        <v>14</v>
      </c>
      <c r="F14" s="7"/>
    </row>
    <row r="15" spans="1:22" x14ac:dyDescent="0.2">
      <c r="B15" s="5" t="s">
        <v>14</v>
      </c>
    </row>
    <row r="16" spans="1:22" ht="18" x14ac:dyDescent="0.2">
      <c r="B16" s="5" t="s">
        <v>14</v>
      </c>
      <c r="C16" s="8"/>
      <c r="D16" s="8"/>
    </row>
    <row r="17" spans="2:7" ht="15" x14ac:dyDescent="0.2">
      <c r="B17" s="5" t="s">
        <v>14</v>
      </c>
      <c r="C17" s="18"/>
      <c r="D17" s="18"/>
    </row>
    <row r="18" spans="2:7" ht="14.25" x14ac:dyDescent="0.2">
      <c r="B18" s="5" t="s">
        <v>14</v>
      </c>
      <c r="C18" s="19"/>
      <c r="D18" s="20"/>
    </row>
    <row r="19" spans="2:7" ht="15" x14ac:dyDescent="0.2">
      <c r="B19" s="5" t="s">
        <v>14</v>
      </c>
      <c r="C19" s="1"/>
      <c r="D19" s="1"/>
      <c r="E19" s="1"/>
      <c r="F19" s="1"/>
      <c r="G19" s="1"/>
    </row>
    <row r="20" spans="2:7" x14ac:dyDescent="0.2">
      <c r="B20" s="5" t="s">
        <v>14</v>
      </c>
      <c r="E20" s="6"/>
      <c r="F20" s="6"/>
      <c r="G20" s="6"/>
    </row>
    <row r="21" spans="2:7" x14ac:dyDescent="0.2">
      <c r="B21" s="5" t="s">
        <v>14</v>
      </c>
    </row>
  </sheetData>
  <mergeCells count="15">
    <mergeCell ref="A5:S5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opLeftCell="D20" workbookViewId="0">
      <selection activeCell="V41" sqref="V41"/>
    </sheetView>
  </sheetViews>
  <sheetFormatPr defaultRowHeight="12.75" x14ac:dyDescent="0.2"/>
  <cols>
    <col min="1" max="1" width="7.42578125" style="5" bestFit="1" customWidth="1"/>
    <col min="2" max="2" width="19.140625" style="5" bestFit="1" customWidth="1"/>
    <col min="3" max="3" width="29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7.5703125" style="5" bestFit="1" customWidth="1"/>
    <col min="23" max="16384" width="9.140625" style="3"/>
  </cols>
  <sheetData>
    <row r="1" spans="1:22" s="2" customFormat="1" ht="29.1" customHeight="1" x14ac:dyDescent="0.2">
      <c r="A1" s="65" t="s">
        <v>255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163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0" t="s">
        <v>69</v>
      </c>
      <c r="B6" s="9" t="s">
        <v>256</v>
      </c>
      <c r="C6" s="9" t="s">
        <v>257</v>
      </c>
      <c r="D6" s="9" t="s">
        <v>258</v>
      </c>
      <c r="E6" s="9" t="str">
        <f>"0,7923"</f>
        <v>0,7923</v>
      </c>
      <c r="F6" s="9" t="s">
        <v>21</v>
      </c>
      <c r="G6" s="9" t="s">
        <v>259</v>
      </c>
      <c r="H6" s="22" t="s">
        <v>102</v>
      </c>
      <c r="I6" s="22" t="s">
        <v>145</v>
      </c>
      <c r="J6" s="22" t="s">
        <v>156</v>
      </c>
      <c r="K6" s="10"/>
      <c r="L6" s="22" t="s">
        <v>139</v>
      </c>
      <c r="M6" s="22" t="s">
        <v>146</v>
      </c>
      <c r="N6" s="22" t="s">
        <v>260</v>
      </c>
      <c r="O6" s="10"/>
      <c r="P6" s="22" t="s">
        <v>168</v>
      </c>
      <c r="Q6" s="22" t="s">
        <v>261</v>
      </c>
      <c r="R6" s="22" t="s">
        <v>172</v>
      </c>
      <c r="S6" s="10"/>
      <c r="T6" s="10" t="str">
        <f>"327,5"</f>
        <v>327,5</v>
      </c>
      <c r="U6" s="10" t="str">
        <f>"259,4782"</f>
        <v>259,4782</v>
      </c>
      <c r="V6" s="9" t="s">
        <v>712</v>
      </c>
    </row>
    <row r="7" spans="1:22" x14ac:dyDescent="0.2">
      <c r="A7" s="12" t="s">
        <v>69</v>
      </c>
      <c r="B7" s="11" t="s">
        <v>256</v>
      </c>
      <c r="C7" s="11" t="s">
        <v>262</v>
      </c>
      <c r="D7" s="11" t="s">
        <v>258</v>
      </c>
      <c r="E7" s="11" t="str">
        <f>"0,7923"</f>
        <v>0,7923</v>
      </c>
      <c r="F7" s="11" t="s">
        <v>21</v>
      </c>
      <c r="G7" s="11" t="s">
        <v>259</v>
      </c>
      <c r="H7" s="27" t="s">
        <v>102</v>
      </c>
      <c r="I7" s="27" t="s">
        <v>145</v>
      </c>
      <c r="J7" s="27" t="s">
        <v>156</v>
      </c>
      <c r="K7" s="12"/>
      <c r="L7" s="27" t="s">
        <v>139</v>
      </c>
      <c r="M7" s="27" t="s">
        <v>146</v>
      </c>
      <c r="N7" s="27" t="s">
        <v>260</v>
      </c>
      <c r="O7" s="12"/>
      <c r="P7" s="27" t="s">
        <v>168</v>
      </c>
      <c r="Q7" s="27" t="s">
        <v>261</v>
      </c>
      <c r="R7" s="27" t="s">
        <v>172</v>
      </c>
      <c r="S7" s="12"/>
      <c r="T7" s="12" t="str">
        <f>"327,5"</f>
        <v>327,5</v>
      </c>
      <c r="U7" s="12" t="str">
        <f>"483,9269"</f>
        <v>483,9269</v>
      </c>
      <c r="V7" s="11" t="s">
        <v>712</v>
      </c>
    </row>
    <row r="8" spans="1:22" x14ac:dyDescent="0.2">
      <c r="B8" s="5" t="s">
        <v>14</v>
      </c>
    </row>
    <row r="9" spans="1:22" ht="15" x14ac:dyDescent="0.2">
      <c r="A9" s="55" t="s">
        <v>182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22" x14ac:dyDescent="0.2">
      <c r="A10" s="10" t="s">
        <v>69</v>
      </c>
      <c r="B10" s="9" t="s">
        <v>263</v>
      </c>
      <c r="C10" s="9" t="s">
        <v>264</v>
      </c>
      <c r="D10" s="9" t="s">
        <v>265</v>
      </c>
      <c r="E10" s="9" t="str">
        <f>"0,7347"</f>
        <v>0,7347</v>
      </c>
      <c r="F10" s="9" t="s">
        <v>21</v>
      </c>
      <c r="G10" s="9" t="s">
        <v>31</v>
      </c>
      <c r="H10" s="22" t="s">
        <v>57</v>
      </c>
      <c r="I10" s="22" t="s">
        <v>80</v>
      </c>
      <c r="J10" s="22" t="s">
        <v>39</v>
      </c>
      <c r="K10" s="10"/>
      <c r="L10" s="22" t="s">
        <v>145</v>
      </c>
      <c r="M10" s="22" t="s">
        <v>156</v>
      </c>
      <c r="N10" s="22" t="s">
        <v>206</v>
      </c>
      <c r="O10" s="10"/>
      <c r="P10" s="22" t="s">
        <v>119</v>
      </c>
      <c r="Q10" s="22" t="s">
        <v>238</v>
      </c>
      <c r="R10" s="22" t="s">
        <v>51</v>
      </c>
      <c r="S10" s="10"/>
      <c r="T10" s="10" t="str">
        <f>"552,5"</f>
        <v>552,5</v>
      </c>
      <c r="U10" s="10" t="str">
        <f>"422,1586"</f>
        <v>422,1586</v>
      </c>
      <c r="V10" s="9" t="s">
        <v>712</v>
      </c>
    </row>
    <row r="11" spans="1:22" x14ac:dyDescent="0.2">
      <c r="A11" s="17" t="s">
        <v>69</v>
      </c>
      <c r="B11" s="16" t="s">
        <v>266</v>
      </c>
      <c r="C11" s="16" t="s">
        <v>267</v>
      </c>
      <c r="D11" s="16" t="s">
        <v>268</v>
      </c>
      <c r="E11" s="16" t="str">
        <f>"0,7304"</f>
        <v>0,7304</v>
      </c>
      <c r="F11" s="16" t="s">
        <v>21</v>
      </c>
      <c r="G11" s="16" t="s">
        <v>259</v>
      </c>
      <c r="H11" s="28" t="s">
        <v>120</v>
      </c>
      <c r="I11" s="28" t="s">
        <v>110</v>
      </c>
      <c r="J11" s="29" t="s">
        <v>32</v>
      </c>
      <c r="K11" s="17"/>
      <c r="L11" s="28" t="s">
        <v>95</v>
      </c>
      <c r="M11" s="28" t="s">
        <v>101</v>
      </c>
      <c r="N11" s="29" t="s">
        <v>96</v>
      </c>
      <c r="O11" s="17"/>
      <c r="P11" s="28" t="s">
        <v>32</v>
      </c>
      <c r="Q11" s="28" t="s">
        <v>195</v>
      </c>
      <c r="R11" s="28" t="s">
        <v>25</v>
      </c>
      <c r="S11" s="17"/>
      <c r="T11" s="17" t="str">
        <f>"425,0"</f>
        <v>425,0</v>
      </c>
      <c r="U11" s="17" t="str">
        <f>"310,4412"</f>
        <v>310,4412</v>
      </c>
      <c r="V11" s="16" t="s">
        <v>712</v>
      </c>
    </row>
    <row r="12" spans="1:22" x14ac:dyDescent="0.2">
      <c r="A12" s="17" t="s">
        <v>69</v>
      </c>
      <c r="B12" s="16" t="s">
        <v>269</v>
      </c>
      <c r="C12" s="16" t="s">
        <v>270</v>
      </c>
      <c r="D12" s="16" t="s">
        <v>271</v>
      </c>
      <c r="E12" s="16" t="str">
        <f>"0,7311"</f>
        <v>0,7311</v>
      </c>
      <c r="F12" s="16" t="s">
        <v>21</v>
      </c>
      <c r="G12" s="16" t="s">
        <v>31</v>
      </c>
      <c r="H12" s="28" t="s">
        <v>97</v>
      </c>
      <c r="I12" s="28" t="s">
        <v>145</v>
      </c>
      <c r="J12" s="29" t="s">
        <v>272</v>
      </c>
      <c r="K12" s="17"/>
      <c r="L12" s="28" t="s">
        <v>154</v>
      </c>
      <c r="M12" s="28" t="s">
        <v>137</v>
      </c>
      <c r="N12" s="29" t="s">
        <v>162</v>
      </c>
      <c r="O12" s="17"/>
      <c r="P12" s="28" t="s">
        <v>145</v>
      </c>
      <c r="Q12" s="28" t="s">
        <v>187</v>
      </c>
      <c r="R12" s="28" t="s">
        <v>261</v>
      </c>
      <c r="S12" s="17"/>
      <c r="T12" s="17" t="str">
        <f>"307,5"</f>
        <v>307,5</v>
      </c>
      <c r="U12" s="17" t="str">
        <f>"228,8755"</f>
        <v>228,8755</v>
      </c>
      <c r="V12" s="16" t="s">
        <v>712</v>
      </c>
    </row>
    <row r="13" spans="1:22" x14ac:dyDescent="0.2">
      <c r="A13" s="12" t="s">
        <v>69</v>
      </c>
      <c r="B13" s="11" t="s">
        <v>266</v>
      </c>
      <c r="C13" s="11" t="s">
        <v>273</v>
      </c>
      <c r="D13" s="11" t="s">
        <v>268</v>
      </c>
      <c r="E13" s="11" t="str">
        <f>"0,7304"</f>
        <v>0,7304</v>
      </c>
      <c r="F13" s="11" t="s">
        <v>21</v>
      </c>
      <c r="G13" s="11" t="s">
        <v>259</v>
      </c>
      <c r="H13" s="27" t="s">
        <v>120</v>
      </c>
      <c r="I13" s="27" t="s">
        <v>110</v>
      </c>
      <c r="J13" s="24" t="s">
        <v>32</v>
      </c>
      <c r="K13" s="12"/>
      <c r="L13" s="27" t="s">
        <v>95</v>
      </c>
      <c r="M13" s="27" t="s">
        <v>101</v>
      </c>
      <c r="N13" s="24" t="s">
        <v>96</v>
      </c>
      <c r="O13" s="12"/>
      <c r="P13" s="27" t="s">
        <v>32</v>
      </c>
      <c r="Q13" s="27" t="s">
        <v>195</v>
      </c>
      <c r="R13" s="27" t="s">
        <v>25</v>
      </c>
      <c r="S13" s="12"/>
      <c r="T13" s="12" t="str">
        <f>"425,0"</f>
        <v>425,0</v>
      </c>
      <c r="U13" s="12" t="str">
        <f>"339,0018"</f>
        <v>339,0018</v>
      </c>
      <c r="V13" s="11" t="s">
        <v>712</v>
      </c>
    </row>
    <row r="14" spans="1:22" x14ac:dyDescent="0.2">
      <c r="B14" s="5" t="s">
        <v>14</v>
      </c>
    </row>
    <row r="15" spans="1:22" ht="15" x14ac:dyDescent="0.2">
      <c r="A15" s="55" t="s">
        <v>182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2" x14ac:dyDescent="0.2">
      <c r="A16" s="15" t="s">
        <v>69</v>
      </c>
      <c r="B16" s="14" t="s">
        <v>274</v>
      </c>
      <c r="C16" s="14" t="s">
        <v>275</v>
      </c>
      <c r="D16" s="14" t="s">
        <v>276</v>
      </c>
      <c r="E16" s="14" t="str">
        <f>"0,6851"</f>
        <v>0,6851</v>
      </c>
      <c r="F16" s="14" t="s">
        <v>21</v>
      </c>
      <c r="G16" s="14" t="s">
        <v>77</v>
      </c>
      <c r="H16" s="25" t="s">
        <v>220</v>
      </c>
      <c r="I16" s="25" t="s">
        <v>35</v>
      </c>
      <c r="J16" s="26" t="s">
        <v>119</v>
      </c>
      <c r="K16" s="15"/>
      <c r="L16" s="25" t="s">
        <v>187</v>
      </c>
      <c r="M16" s="25" t="s">
        <v>172</v>
      </c>
      <c r="N16" s="26" t="s">
        <v>147</v>
      </c>
      <c r="O16" s="15"/>
      <c r="P16" s="25" t="s">
        <v>51</v>
      </c>
      <c r="Q16" s="25" t="s">
        <v>53</v>
      </c>
      <c r="R16" s="26" t="s">
        <v>79</v>
      </c>
      <c r="S16" s="15"/>
      <c r="T16" s="15" t="str">
        <f>"600,0"</f>
        <v>600,0</v>
      </c>
      <c r="U16" s="15" t="str">
        <f>"423,3918"</f>
        <v>423,3918</v>
      </c>
      <c r="V16" s="14" t="s">
        <v>716</v>
      </c>
    </row>
    <row r="17" spans="1:22" x14ac:dyDescent="0.2">
      <c r="B17" s="5" t="s">
        <v>14</v>
      </c>
    </row>
    <row r="18" spans="1:22" ht="15" x14ac:dyDescent="0.2">
      <c r="A18" s="55" t="s">
        <v>73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22" x14ac:dyDescent="0.2">
      <c r="A19" s="10" t="s">
        <v>69</v>
      </c>
      <c r="B19" s="9" t="s">
        <v>277</v>
      </c>
      <c r="C19" s="9" t="s">
        <v>278</v>
      </c>
      <c r="D19" s="9" t="s">
        <v>279</v>
      </c>
      <c r="E19" s="9" t="str">
        <f>"0,6268"</f>
        <v>0,6268</v>
      </c>
      <c r="F19" s="9" t="s">
        <v>21</v>
      </c>
      <c r="G19" s="9" t="s">
        <v>280</v>
      </c>
      <c r="H19" s="22" t="s">
        <v>78</v>
      </c>
      <c r="I19" s="22" t="s">
        <v>114</v>
      </c>
      <c r="J19" s="22" t="s">
        <v>281</v>
      </c>
      <c r="K19" s="10"/>
      <c r="L19" s="22" t="s">
        <v>282</v>
      </c>
      <c r="M19" s="22" t="s">
        <v>24</v>
      </c>
      <c r="N19" s="23" t="s">
        <v>224</v>
      </c>
      <c r="O19" s="10"/>
      <c r="P19" s="22" t="s">
        <v>283</v>
      </c>
      <c r="Q19" s="22" t="s">
        <v>112</v>
      </c>
      <c r="R19" s="23" t="s">
        <v>46</v>
      </c>
      <c r="S19" s="10"/>
      <c r="T19" s="10" t="str">
        <f>"727,5"</f>
        <v>727,5</v>
      </c>
      <c r="U19" s="10" t="str">
        <f>"455,9970"</f>
        <v>455,9970</v>
      </c>
      <c r="V19" s="9" t="s">
        <v>284</v>
      </c>
    </row>
    <row r="20" spans="1:22" x14ac:dyDescent="0.2">
      <c r="A20" s="12" t="s">
        <v>71</v>
      </c>
      <c r="B20" s="11" t="s">
        <v>285</v>
      </c>
      <c r="C20" s="11" t="s">
        <v>286</v>
      </c>
      <c r="D20" s="11" t="s">
        <v>287</v>
      </c>
      <c r="E20" s="11" t="str">
        <f>"0,6198"</f>
        <v>0,6198</v>
      </c>
      <c r="F20" s="11" t="s">
        <v>21</v>
      </c>
      <c r="G20" s="11" t="s">
        <v>280</v>
      </c>
      <c r="H20" s="27" t="s">
        <v>239</v>
      </c>
      <c r="I20" s="27" t="s">
        <v>87</v>
      </c>
      <c r="J20" s="12"/>
      <c r="K20" s="12"/>
      <c r="L20" s="27" t="s">
        <v>168</v>
      </c>
      <c r="M20" s="27" t="s">
        <v>147</v>
      </c>
      <c r="N20" s="12"/>
      <c r="O20" s="12"/>
      <c r="P20" s="27" t="s">
        <v>39</v>
      </c>
      <c r="Q20" s="27" t="s">
        <v>288</v>
      </c>
      <c r="R20" s="24" t="s">
        <v>289</v>
      </c>
      <c r="S20" s="12"/>
      <c r="T20" s="12" t="str">
        <f>"517,5"</f>
        <v>517,5</v>
      </c>
      <c r="U20" s="12" t="str">
        <f>"320,7465"</f>
        <v>320,7465</v>
      </c>
      <c r="V20" s="11" t="s">
        <v>712</v>
      </c>
    </row>
    <row r="21" spans="1:22" x14ac:dyDescent="0.2">
      <c r="B21" s="5" t="s">
        <v>14</v>
      </c>
    </row>
    <row r="22" spans="1:22" ht="15" x14ac:dyDescent="0.2">
      <c r="A22" s="55" t="s">
        <v>20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22" x14ac:dyDescent="0.2">
      <c r="A23" s="10" t="s">
        <v>69</v>
      </c>
      <c r="B23" s="9" t="s">
        <v>290</v>
      </c>
      <c r="C23" s="9" t="s">
        <v>291</v>
      </c>
      <c r="D23" s="9" t="s">
        <v>292</v>
      </c>
      <c r="E23" s="9" t="str">
        <f>"0,5869"</f>
        <v>0,5869</v>
      </c>
      <c r="F23" s="9" t="s">
        <v>21</v>
      </c>
      <c r="G23" s="9" t="s">
        <v>77</v>
      </c>
      <c r="H23" s="22" t="s">
        <v>53</v>
      </c>
      <c r="I23" s="23" t="s">
        <v>108</v>
      </c>
      <c r="J23" s="22" t="s">
        <v>108</v>
      </c>
      <c r="K23" s="10"/>
      <c r="L23" s="22" t="s">
        <v>195</v>
      </c>
      <c r="M23" s="22" t="s">
        <v>88</v>
      </c>
      <c r="N23" s="23" t="s">
        <v>224</v>
      </c>
      <c r="O23" s="10"/>
      <c r="P23" s="22" t="s">
        <v>85</v>
      </c>
      <c r="Q23" s="23" t="s">
        <v>293</v>
      </c>
      <c r="R23" s="23" t="s">
        <v>293</v>
      </c>
      <c r="S23" s="10"/>
      <c r="T23" s="10" t="str">
        <f>"717,5"</f>
        <v>717,5</v>
      </c>
      <c r="U23" s="10" t="str">
        <f>"421,1007"</f>
        <v>421,1007</v>
      </c>
      <c r="V23" s="9" t="s">
        <v>712</v>
      </c>
    </row>
    <row r="24" spans="1:22" x14ac:dyDescent="0.2">
      <c r="A24" s="17" t="s">
        <v>71</v>
      </c>
      <c r="B24" s="16" t="s">
        <v>294</v>
      </c>
      <c r="C24" s="16" t="s">
        <v>295</v>
      </c>
      <c r="D24" s="16" t="s">
        <v>296</v>
      </c>
      <c r="E24" s="16" t="str">
        <f>"0,6000"</f>
        <v>0,6000</v>
      </c>
      <c r="F24" s="16" t="s">
        <v>21</v>
      </c>
      <c r="G24" s="16" t="s">
        <v>77</v>
      </c>
      <c r="H24" s="29" t="s">
        <v>39</v>
      </c>
      <c r="I24" s="28" t="s">
        <v>40</v>
      </c>
      <c r="J24" s="28" t="s">
        <v>35</v>
      </c>
      <c r="K24" s="17"/>
      <c r="L24" s="28" t="s">
        <v>172</v>
      </c>
      <c r="M24" s="28" t="s">
        <v>120</v>
      </c>
      <c r="N24" s="28" t="s">
        <v>173</v>
      </c>
      <c r="O24" s="17"/>
      <c r="P24" s="28" t="s">
        <v>51</v>
      </c>
      <c r="Q24" s="28" t="s">
        <v>53</v>
      </c>
      <c r="R24" s="28" t="s">
        <v>108</v>
      </c>
      <c r="S24" s="17"/>
      <c r="T24" s="17" t="str">
        <f>"620,0"</f>
        <v>620,0</v>
      </c>
      <c r="U24" s="17" t="str">
        <f>"372,0000"</f>
        <v>372,0000</v>
      </c>
      <c r="V24" s="16" t="s">
        <v>717</v>
      </c>
    </row>
    <row r="25" spans="1:22" x14ac:dyDescent="0.2">
      <c r="A25" s="17" t="s">
        <v>335</v>
      </c>
      <c r="B25" s="16" t="s">
        <v>297</v>
      </c>
      <c r="C25" s="16" t="s">
        <v>298</v>
      </c>
      <c r="D25" s="16" t="s">
        <v>299</v>
      </c>
      <c r="E25" s="16" t="str">
        <f>"0,5905"</f>
        <v>0,5905</v>
      </c>
      <c r="F25" s="16" t="s">
        <v>21</v>
      </c>
      <c r="G25" s="16" t="s">
        <v>42</v>
      </c>
      <c r="H25" s="29" t="s">
        <v>40</v>
      </c>
      <c r="I25" s="28" t="s">
        <v>40</v>
      </c>
      <c r="J25" s="29" t="s">
        <v>119</v>
      </c>
      <c r="K25" s="17"/>
      <c r="L25" s="28" t="s">
        <v>32</v>
      </c>
      <c r="M25" s="28" t="s">
        <v>195</v>
      </c>
      <c r="N25" s="17"/>
      <c r="O25" s="17"/>
      <c r="P25" s="28" t="s">
        <v>119</v>
      </c>
      <c r="Q25" s="29" t="s">
        <v>51</v>
      </c>
      <c r="R25" s="29" t="s">
        <v>36</v>
      </c>
      <c r="S25" s="17"/>
      <c r="T25" s="17" t="str">
        <f>"600,0"</f>
        <v>600,0</v>
      </c>
      <c r="U25" s="17" t="str">
        <f>"354,3000"</f>
        <v>354,3000</v>
      </c>
      <c r="V25" s="16" t="s">
        <v>712</v>
      </c>
    </row>
    <row r="26" spans="1:22" x14ac:dyDescent="0.2">
      <c r="A26" s="12" t="s">
        <v>69</v>
      </c>
      <c r="B26" s="11" t="s">
        <v>294</v>
      </c>
      <c r="C26" s="11" t="s">
        <v>300</v>
      </c>
      <c r="D26" s="11" t="s">
        <v>296</v>
      </c>
      <c r="E26" s="11" t="str">
        <f>"0,6000"</f>
        <v>0,6000</v>
      </c>
      <c r="F26" s="11" t="s">
        <v>21</v>
      </c>
      <c r="G26" s="11" t="s">
        <v>77</v>
      </c>
      <c r="H26" s="24" t="s">
        <v>39</v>
      </c>
      <c r="I26" s="27" t="s">
        <v>40</v>
      </c>
      <c r="J26" s="27" t="s">
        <v>35</v>
      </c>
      <c r="K26" s="12"/>
      <c r="L26" s="27" t="s">
        <v>172</v>
      </c>
      <c r="M26" s="27" t="s">
        <v>120</v>
      </c>
      <c r="N26" s="27" t="s">
        <v>173</v>
      </c>
      <c r="O26" s="12"/>
      <c r="P26" s="27" t="s">
        <v>51</v>
      </c>
      <c r="Q26" s="27" t="s">
        <v>53</v>
      </c>
      <c r="R26" s="27" t="s">
        <v>108</v>
      </c>
      <c r="S26" s="12"/>
      <c r="T26" s="12" t="str">
        <f>"620,0"</f>
        <v>620,0</v>
      </c>
      <c r="U26" s="12" t="str">
        <f>"375,3480"</f>
        <v>375,3480</v>
      </c>
      <c r="V26" s="11" t="s">
        <v>717</v>
      </c>
    </row>
    <row r="27" spans="1:22" x14ac:dyDescent="0.2">
      <c r="B27" s="5" t="s">
        <v>14</v>
      </c>
    </row>
    <row r="28" spans="1:22" ht="15" x14ac:dyDescent="0.2">
      <c r="A28" s="55" t="s">
        <v>33</v>
      </c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22" x14ac:dyDescent="0.2">
      <c r="A29" s="10" t="s">
        <v>69</v>
      </c>
      <c r="B29" s="9" t="s">
        <v>301</v>
      </c>
      <c r="C29" s="9" t="s">
        <v>302</v>
      </c>
      <c r="D29" s="9" t="s">
        <v>303</v>
      </c>
      <c r="E29" s="9" t="str">
        <f>"0,5639"</f>
        <v>0,5639</v>
      </c>
      <c r="F29" s="9" t="s">
        <v>21</v>
      </c>
      <c r="G29" s="9" t="s">
        <v>304</v>
      </c>
      <c r="H29" s="22" t="s">
        <v>78</v>
      </c>
      <c r="I29" s="22" t="s">
        <v>114</v>
      </c>
      <c r="J29" s="22" t="s">
        <v>84</v>
      </c>
      <c r="K29" s="10"/>
      <c r="L29" s="22" t="s">
        <v>195</v>
      </c>
      <c r="M29" s="22" t="s">
        <v>88</v>
      </c>
      <c r="N29" s="22" t="s">
        <v>196</v>
      </c>
      <c r="O29" s="10"/>
      <c r="P29" s="22" t="s">
        <v>109</v>
      </c>
      <c r="Q29" s="22" t="s">
        <v>305</v>
      </c>
      <c r="R29" s="23" t="s">
        <v>46</v>
      </c>
      <c r="S29" s="10"/>
      <c r="T29" s="10" t="str">
        <f>"740,0"</f>
        <v>740,0</v>
      </c>
      <c r="U29" s="10" t="str">
        <f>"417,2860"</f>
        <v>417,2860</v>
      </c>
      <c r="V29" s="9" t="s">
        <v>712</v>
      </c>
    </row>
    <row r="30" spans="1:22" x14ac:dyDescent="0.2">
      <c r="A30" s="17" t="s">
        <v>71</v>
      </c>
      <c r="B30" s="16" t="s">
        <v>306</v>
      </c>
      <c r="C30" s="16" t="s">
        <v>307</v>
      </c>
      <c r="D30" s="16" t="s">
        <v>236</v>
      </c>
      <c r="E30" s="16" t="str">
        <f>"0,5599"</f>
        <v>0,5599</v>
      </c>
      <c r="F30" s="16" t="s">
        <v>21</v>
      </c>
      <c r="G30" s="16" t="s">
        <v>304</v>
      </c>
      <c r="H30" s="28" t="s">
        <v>53</v>
      </c>
      <c r="I30" s="29" t="s">
        <v>281</v>
      </c>
      <c r="J30" s="28" t="s">
        <v>281</v>
      </c>
      <c r="K30" s="17"/>
      <c r="L30" s="28" t="s">
        <v>32</v>
      </c>
      <c r="M30" s="28" t="s">
        <v>195</v>
      </c>
      <c r="N30" s="29" t="s">
        <v>88</v>
      </c>
      <c r="O30" s="17"/>
      <c r="P30" s="28" t="s">
        <v>283</v>
      </c>
      <c r="Q30" s="28" t="s">
        <v>308</v>
      </c>
      <c r="R30" s="28" t="s">
        <v>309</v>
      </c>
      <c r="S30" s="17"/>
      <c r="T30" s="17" t="str">
        <f>"730,0"</f>
        <v>730,0</v>
      </c>
      <c r="U30" s="17" t="str">
        <f>"408,7270"</f>
        <v>408,7270</v>
      </c>
      <c r="V30" s="16" t="s">
        <v>712</v>
      </c>
    </row>
    <row r="31" spans="1:22" x14ac:dyDescent="0.2">
      <c r="A31" s="17" t="s">
        <v>335</v>
      </c>
      <c r="B31" s="16" t="s">
        <v>310</v>
      </c>
      <c r="C31" s="16" t="s">
        <v>311</v>
      </c>
      <c r="D31" s="16" t="s">
        <v>312</v>
      </c>
      <c r="E31" s="16" t="str">
        <f>"0,5570"</f>
        <v>0,5570</v>
      </c>
      <c r="F31" s="16" t="s">
        <v>21</v>
      </c>
      <c r="G31" s="16" t="s">
        <v>31</v>
      </c>
      <c r="H31" s="28" t="s">
        <v>53</v>
      </c>
      <c r="I31" s="28" t="s">
        <v>84</v>
      </c>
      <c r="J31" s="28" t="s">
        <v>109</v>
      </c>
      <c r="K31" s="17"/>
      <c r="L31" s="28" t="s">
        <v>195</v>
      </c>
      <c r="M31" s="28" t="s">
        <v>25</v>
      </c>
      <c r="N31" s="29" t="s">
        <v>26</v>
      </c>
      <c r="O31" s="17"/>
      <c r="P31" s="28" t="s">
        <v>52</v>
      </c>
      <c r="Q31" s="28" t="s">
        <v>79</v>
      </c>
      <c r="R31" s="29" t="s">
        <v>85</v>
      </c>
      <c r="S31" s="17"/>
      <c r="T31" s="17" t="str">
        <f>"710,0"</f>
        <v>710,0</v>
      </c>
      <c r="U31" s="17" t="str">
        <f>"395,4700"</f>
        <v>395,4700</v>
      </c>
      <c r="V31" s="16" t="s">
        <v>712</v>
      </c>
    </row>
    <row r="32" spans="1:22" x14ac:dyDescent="0.2">
      <c r="A32" s="12" t="s">
        <v>336</v>
      </c>
      <c r="B32" s="11" t="s">
        <v>313</v>
      </c>
      <c r="C32" s="11" t="s">
        <v>314</v>
      </c>
      <c r="D32" s="11" t="s">
        <v>315</v>
      </c>
      <c r="E32" s="11" t="str">
        <f>"0,5669"</f>
        <v>0,5669</v>
      </c>
      <c r="F32" s="11" t="s">
        <v>21</v>
      </c>
      <c r="G32" s="11" t="s">
        <v>77</v>
      </c>
      <c r="H32" s="27" t="s">
        <v>120</v>
      </c>
      <c r="I32" s="27" t="s">
        <v>110</v>
      </c>
      <c r="J32" s="24" t="s">
        <v>239</v>
      </c>
      <c r="K32" s="12"/>
      <c r="L32" s="27" t="s">
        <v>96</v>
      </c>
      <c r="M32" s="24" t="s">
        <v>155</v>
      </c>
      <c r="N32" s="24" t="s">
        <v>155</v>
      </c>
      <c r="O32" s="12"/>
      <c r="P32" s="27" t="s">
        <v>110</v>
      </c>
      <c r="Q32" s="27" t="s">
        <v>195</v>
      </c>
      <c r="R32" s="24" t="s">
        <v>39</v>
      </c>
      <c r="S32" s="12"/>
      <c r="T32" s="12" t="str">
        <f>"420,0"</f>
        <v>420,0</v>
      </c>
      <c r="U32" s="12" t="str">
        <f>"238,0980"</f>
        <v>238,0980</v>
      </c>
      <c r="V32" s="11" t="s">
        <v>712</v>
      </c>
    </row>
    <row r="33" spans="1:22" x14ac:dyDescent="0.2">
      <c r="B33" s="5" t="s">
        <v>14</v>
      </c>
    </row>
    <row r="34" spans="1:22" ht="15" x14ac:dyDescent="0.2">
      <c r="A34" s="55" t="s">
        <v>316</v>
      </c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22" x14ac:dyDescent="0.2">
      <c r="A35" s="15" t="s">
        <v>69</v>
      </c>
      <c r="B35" s="14" t="s">
        <v>317</v>
      </c>
      <c r="C35" s="14" t="s">
        <v>318</v>
      </c>
      <c r="D35" s="14" t="s">
        <v>319</v>
      </c>
      <c r="E35" s="14" t="str">
        <f>"0,5452"</f>
        <v>0,5452</v>
      </c>
      <c r="F35" s="14" t="s">
        <v>21</v>
      </c>
      <c r="G35" s="14" t="s">
        <v>320</v>
      </c>
      <c r="H35" s="25" t="s">
        <v>35</v>
      </c>
      <c r="I35" s="26" t="s">
        <v>238</v>
      </c>
      <c r="J35" s="15"/>
      <c r="K35" s="15"/>
      <c r="L35" s="25" t="s">
        <v>173</v>
      </c>
      <c r="M35" s="25" t="s">
        <v>110</v>
      </c>
      <c r="N35" s="15"/>
      <c r="O35" s="15"/>
      <c r="P35" s="25" t="s">
        <v>127</v>
      </c>
      <c r="Q35" s="25" t="s">
        <v>78</v>
      </c>
      <c r="R35" s="26" t="s">
        <v>321</v>
      </c>
      <c r="S35" s="15"/>
      <c r="T35" s="15" t="str">
        <f>"610,0"</f>
        <v>610,0</v>
      </c>
      <c r="U35" s="15" t="str">
        <f>"332,5720"</f>
        <v>332,5720</v>
      </c>
      <c r="V35" s="14" t="s">
        <v>712</v>
      </c>
    </row>
    <row r="36" spans="1:22" x14ac:dyDescent="0.2">
      <c r="B36" s="5" t="s">
        <v>14</v>
      </c>
    </row>
    <row r="37" spans="1:22" ht="15" x14ac:dyDescent="0.2">
      <c r="A37" s="55" t="s">
        <v>37</v>
      </c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22" x14ac:dyDescent="0.2">
      <c r="A38" s="15" t="s">
        <v>69</v>
      </c>
      <c r="B38" s="14" t="s">
        <v>322</v>
      </c>
      <c r="C38" s="14" t="s">
        <v>323</v>
      </c>
      <c r="D38" s="14" t="s">
        <v>324</v>
      </c>
      <c r="E38" s="14" t="str">
        <f>"0,5234"</f>
        <v>0,5234</v>
      </c>
      <c r="F38" s="14" t="s">
        <v>21</v>
      </c>
      <c r="G38" s="14" t="s">
        <v>304</v>
      </c>
      <c r="H38" s="25" t="s">
        <v>325</v>
      </c>
      <c r="I38" s="25" t="s">
        <v>326</v>
      </c>
      <c r="J38" s="25" t="s">
        <v>23</v>
      </c>
      <c r="K38" s="15"/>
      <c r="L38" s="25" t="s">
        <v>327</v>
      </c>
      <c r="M38" s="25" t="s">
        <v>40</v>
      </c>
      <c r="N38" s="25" t="s">
        <v>35</v>
      </c>
      <c r="O38" s="15"/>
      <c r="P38" s="25" t="s">
        <v>325</v>
      </c>
      <c r="Q38" s="26" t="s">
        <v>22</v>
      </c>
      <c r="R38" s="26" t="s">
        <v>22</v>
      </c>
      <c r="S38" s="15"/>
      <c r="T38" s="15" t="str">
        <f>"875,0"</f>
        <v>875,0</v>
      </c>
      <c r="U38" s="15" t="str">
        <f>"457,9750"</f>
        <v>457,9750</v>
      </c>
      <c r="V38" s="14" t="s">
        <v>712</v>
      </c>
    </row>
    <row r="39" spans="1:22" x14ac:dyDescent="0.2">
      <c r="B39" s="5" t="s">
        <v>14</v>
      </c>
    </row>
    <row r="40" spans="1:22" ht="15" x14ac:dyDescent="0.2">
      <c r="A40" s="55" t="s">
        <v>50</v>
      </c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1:22" x14ac:dyDescent="0.2">
      <c r="A41" s="15" t="s">
        <v>69</v>
      </c>
      <c r="B41" s="14" t="s">
        <v>54</v>
      </c>
      <c r="C41" s="14" t="s">
        <v>58</v>
      </c>
      <c r="D41" s="14" t="s">
        <v>55</v>
      </c>
      <c r="E41" s="14" t="str">
        <f>"0,4962"</f>
        <v>0,4962</v>
      </c>
      <c r="F41" s="14" t="s">
        <v>21</v>
      </c>
      <c r="G41" s="14" t="s">
        <v>56</v>
      </c>
      <c r="H41" s="25" t="s">
        <v>46</v>
      </c>
      <c r="I41" s="25" t="s">
        <v>28</v>
      </c>
      <c r="J41" s="26" t="s">
        <v>22</v>
      </c>
      <c r="K41" s="15"/>
      <c r="L41" s="25" t="s">
        <v>57</v>
      </c>
      <c r="M41" s="26" t="s">
        <v>39</v>
      </c>
      <c r="N41" s="25" t="s">
        <v>39</v>
      </c>
      <c r="O41" s="15"/>
      <c r="P41" s="25" t="s">
        <v>46</v>
      </c>
      <c r="Q41" s="25" t="s">
        <v>43</v>
      </c>
      <c r="R41" s="25" t="s">
        <v>23</v>
      </c>
      <c r="S41" s="15"/>
      <c r="T41" s="15" t="str">
        <f>"865,0"</f>
        <v>865,0</v>
      </c>
      <c r="U41" s="15" t="str">
        <f>"430,5006"</f>
        <v>430,5006</v>
      </c>
      <c r="V41" s="14" t="s">
        <v>712</v>
      </c>
    </row>
    <row r="42" spans="1:22" x14ac:dyDescent="0.2">
      <c r="B42" s="5" t="s">
        <v>14</v>
      </c>
    </row>
    <row r="43" spans="1:22" ht="15" x14ac:dyDescent="0.2">
      <c r="B43" s="5" t="s">
        <v>14</v>
      </c>
      <c r="F43" s="7"/>
    </row>
    <row r="44" spans="1:22" ht="15" x14ac:dyDescent="0.2">
      <c r="B44" s="5" t="s">
        <v>14</v>
      </c>
      <c r="F44" s="7"/>
    </row>
    <row r="45" spans="1:22" ht="15" x14ac:dyDescent="0.2">
      <c r="B45" s="5" t="s">
        <v>14</v>
      </c>
      <c r="F45" s="7"/>
    </row>
    <row r="46" spans="1:22" ht="15" x14ac:dyDescent="0.2">
      <c r="B46" s="5" t="s">
        <v>14</v>
      </c>
      <c r="F46" s="7"/>
    </row>
    <row r="47" spans="1:22" ht="15" x14ac:dyDescent="0.2">
      <c r="B47" s="5" t="s">
        <v>14</v>
      </c>
      <c r="F47" s="7"/>
    </row>
    <row r="48" spans="1:22" ht="15" x14ac:dyDescent="0.2">
      <c r="B48" s="5" t="s">
        <v>14</v>
      </c>
      <c r="F48" s="7"/>
    </row>
    <row r="49" spans="2:7" ht="15" x14ac:dyDescent="0.2">
      <c r="B49" s="5" t="s">
        <v>14</v>
      </c>
      <c r="F49" s="7"/>
    </row>
    <row r="50" spans="2:7" x14ac:dyDescent="0.2">
      <c r="B50" s="5" t="s">
        <v>14</v>
      </c>
    </row>
    <row r="51" spans="2:7" ht="18" x14ac:dyDescent="0.2">
      <c r="B51" s="5" t="s">
        <v>14</v>
      </c>
      <c r="C51" s="8" t="s">
        <v>13</v>
      </c>
      <c r="D51" s="8"/>
    </row>
    <row r="52" spans="2:7" ht="15" x14ac:dyDescent="0.2">
      <c r="B52" s="5" t="s">
        <v>14</v>
      </c>
      <c r="C52" s="18" t="s">
        <v>59</v>
      </c>
      <c r="D52" s="18"/>
    </row>
    <row r="53" spans="2:7" ht="14.25" x14ac:dyDescent="0.2">
      <c r="B53" s="5" t="s">
        <v>14</v>
      </c>
      <c r="C53" s="19"/>
      <c r="D53" s="20" t="s">
        <v>60</v>
      </c>
    </row>
    <row r="54" spans="2:7" ht="15" x14ac:dyDescent="0.2">
      <c r="B54" s="5" t="s">
        <v>14</v>
      </c>
      <c r="C54" s="21" t="s">
        <v>61</v>
      </c>
      <c r="D54" s="21" t="s">
        <v>62</v>
      </c>
      <c r="E54" s="21" t="s">
        <v>63</v>
      </c>
      <c r="F54" s="21" t="s">
        <v>64</v>
      </c>
      <c r="G54" s="21" t="s">
        <v>65</v>
      </c>
    </row>
    <row r="55" spans="2:7" x14ac:dyDescent="0.2">
      <c r="B55" s="5" t="s">
        <v>14</v>
      </c>
      <c r="C55" s="5" t="s">
        <v>322</v>
      </c>
      <c r="D55" s="5" t="s">
        <v>60</v>
      </c>
      <c r="E55" s="6" t="s">
        <v>67</v>
      </c>
      <c r="F55" s="6" t="s">
        <v>329</v>
      </c>
      <c r="G55" s="6" t="s">
        <v>330</v>
      </c>
    </row>
    <row r="56" spans="2:7" x14ac:dyDescent="0.2">
      <c r="B56" s="5" t="s">
        <v>14</v>
      </c>
      <c r="C56" s="5" t="s">
        <v>277</v>
      </c>
      <c r="D56" s="5" t="s">
        <v>60</v>
      </c>
      <c r="E56" s="6" t="s">
        <v>247</v>
      </c>
      <c r="F56" s="6" t="s">
        <v>331</v>
      </c>
      <c r="G56" s="6" t="s">
        <v>332</v>
      </c>
    </row>
    <row r="57" spans="2:7" x14ac:dyDescent="0.2">
      <c r="B57" s="5" t="s">
        <v>14</v>
      </c>
      <c r="C57" s="5" t="s">
        <v>290</v>
      </c>
      <c r="D57" s="5" t="s">
        <v>60</v>
      </c>
      <c r="E57" s="6" t="s">
        <v>68</v>
      </c>
      <c r="F57" s="6" t="s">
        <v>333</v>
      </c>
      <c r="G57" s="6" t="s">
        <v>334</v>
      </c>
    </row>
    <row r="58" spans="2:7" ht="15" x14ac:dyDescent="0.2">
      <c r="B58" s="5" t="s">
        <v>14</v>
      </c>
      <c r="C58" s="1"/>
      <c r="D58" s="1"/>
      <c r="E58" s="1"/>
      <c r="F58" s="1"/>
      <c r="G58" s="1"/>
    </row>
    <row r="59" spans="2:7" x14ac:dyDescent="0.2">
      <c r="B59" s="5" t="s">
        <v>14</v>
      </c>
      <c r="E59" s="6"/>
      <c r="F59" s="6"/>
      <c r="G59" s="6"/>
    </row>
    <row r="60" spans="2:7" x14ac:dyDescent="0.2">
      <c r="B60" s="5" t="s">
        <v>14</v>
      </c>
      <c r="E60" s="6"/>
      <c r="F60" s="6"/>
      <c r="G60" s="6"/>
    </row>
    <row r="61" spans="2:7" x14ac:dyDescent="0.2">
      <c r="B61" s="5" t="s">
        <v>14</v>
      </c>
    </row>
    <row r="62" spans="2:7" ht="14.25" x14ac:dyDescent="0.2">
      <c r="B62" s="5" t="s">
        <v>14</v>
      </c>
      <c r="C62" s="19"/>
      <c r="D62" s="20"/>
    </row>
    <row r="63" spans="2:7" ht="15" x14ac:dyDescent="0.2">
      <c r="B63" s="5" t="s">
        <v>14</v>
      </c>
      <c r="C63" s="1"/>
      <c r="D63" s="1"/>
      <c r="E63" s="1"/>
      <c r="F63" s="1"/>
      <c r="G63" s="1"/>
    </row>
    <row r="64" spans="2:7" x14ac:dyDescent="0.2">
      <c r="B64" s="5" t="s">
        <v>14</v>
      </c>
      <c r="E64" s="6"/>
      <c r="F64" s="6"/>
      <c r="G64" s="6"/>
    </row>
    <row r="65" spans="2:7" x14ac:dyDescent="0.2">
      <c r="B65" s="5" t="s">
        <v>14</v>
      </c>
      <c r="E65" s="6"/>
      <c r="F65" s="6"/>
      <c r="G65" s="6"/>
    </row>
    <row r="66" spans="2:7" x14ac:dyDescent="0.2">
      <c r="B66" s="5" t="s">
        <v>14</v>
      </c>
      <c r="E66" s="6"/>
      <c r="F66" s="6"/>
      <c r="G66" s="6"/>
    </row>
    <row r="67" spans="2:7" x14ac:dyDescent="0.2">
      <c r="B67" s="5" t="s">
        <v>14</v>
      </c>
    </row>
    <row r="68" spans="2:7" x14ac:dyDescent="0.2">
      <c r="B68" s="5" t="s">
        <v>14</v>
      </c>
    </row>
    <row r="69" spans="2:7" ht="15" x14ac:dyDescent="0.2">
      <c r="B69" s="5" t="s">
        <v>14</v>
      </c>
      <c r="C69" s="18"/>
      <c r="D69" s="18"/>
    </row>
    <row r="70" spans="2:7" ht="14.25" x14ac:dyDescent="0.2">
      <c r="B70" s="5" t="s">
        <v>14</v>
      </c>
      <c r="C70" s="19"/>
      <c r="D70" s="20"/>
    </row>
    <row r="71" spans="2:7" ht="15" x14ac:dyDescent="0.2">
      <c r="B71" s="5" t="s">
        <v>14</v>
      </c>
      <c r="C71" s="1"/>
      <c r="D71" s="1"/>
      <c r="E71" s="1"/>
      <c r="F71" s="1"/>
      <c r="G71" s="1"/>
    </row>
    <row r="72" spans="2:7" x14ac:dyDescent="0.2">
      <c r="B72" s="5" t="s">
        <v>14</v>
      </c>
      <c r="E72" s="6"/>
      <c r="F72" s="6"/>
      <c r="G72" s="6"/>
    </row>
    <row r="73" spans="2:7" x14ac:dyDescent="0.2">
      <c r="B73" s="5" t="s">
        <v>14</v>
      </c>
      <c r="E73" s="6"/>
      <c r="F73" s="6"/>
      <c r="G73" s="6"/>
    </row>
    <row r="74" spans="2:7" x14ac:dyDescent="0.2">
      <c r="B74" s="5" t="s">
        <v>14</v>
      </c>
    </row>
    <row r="75" spans="2:7" ht="14.25" x14ac:dyDescent="0.2">
      <c r="B75" s="5" t="s">
        <v>14</v>
      </c>
      <c r="C75" s="19"/>
      <c r="D75" s="20"/>
    </row>
    <row r="76" spans="2:7" ht="15" x14ac:dyDescent="0.2">
      <c r="B76" s="5" t="s">
        <v>14</v>
      </c>
      <c r="C76" s="1"/>
      <c r="D76" s="1"/>
      <c r="E76" s="1"/>
      <c r="F76" s="1"/>
      <c r="G76" s="1"/>
    </row>
    <row r="77" spans="2:7" x14ac:dyDescent="0.2">
      <c r="B77" s="5" t="s">
        <v>14</v>
      </c>
      <c r="E77" s="6"/>
      <c r="F77" s="6"/>
      <c r="G77" s="6"/>
    </row>
    <row r="78" spans="2:7" x14ac:dyDescent="0.2">
      <c r="B78" s="5" t="s">
        <v>14</v>
      </c>
      <c r="E78" s="6"/>
      <c r="F78" s="6"/>
      <c r="G78" s="6"/>
    </row>
    <row r="79" spans="2:7" x14ac:dyDescent="0.2">
      <c r="B79" s="5" t="s">
        <v>14</v>
      </c>
      <c r="E79" s="6"/>
      <c r="F79" s="6"/>
      <c r="G79" s="6"/>
    </row>
    <row r="80" spans="2:7" x14ac:dyDescent="0.2">
      <c r="B80" s="5" t="s">
        <v>14</v>
      </c>
    </row>
    <row r="81" spans="2:7" ht="14.25" x14ac:dyDescent="0.2">
      <c r="B81" s="5" t="s">
        <v>14</v>
      </c>
      <c r="C81" s="19"/>
      <c r="D81" s="20"/>
    </row>
    <row r="82" spans="2:7" ht="15" x14ac:dyDescent="0.2">
      <c r="B82" s="5" t="s">
        <v>14</v>
      </c>
      <c r="C82" s="1"/>
      <c r="D82" s="1"/>
      <c r="E82" s="1"/>
      <c r="F82" s="1"/>
      <c r="G82" s="1"/>
    </row>
    <row r="83" spans="2:7" x14ac:dyDescent="0.2">
      <c r="B83" s="5" t="s">
        <v>14</v>
      </c>
      <c r="E83" s="6"/>
      <c r="F83" s="6"/>
      <c r="G83" s="6"/>
    </row>
    <row r="84" spans="2:7" x14ac:dyDescent="0.2">
      <c r="B84" s="5" t="s">
        <v>14</v>
      </c>
      <c r="E84" s="6"/>
      <c r="F84" s="6"/>
      <c r="G84" s="6"/>
    </row>
    <row r="85" spans="2:7" x14ac:dyDescent="0.2">
      <c r="B85" s="5" t="s">
        <v>14</v>
      </c>
    </row>
  </sheetData>
  <mergeCells count="23"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37:S37"/>
    <mergeCell ref="A40:S40"/>
    <mergeCell ref="B3:B4"/>
    <mergeCell ref="A9:S9"/>
    <mergeCell ref="A15:S15"/>
    <mergeCell ref="A18:S18"/>
    <mergeCell ref="A22:S22"/>
    <mergeCell ref="A28:S28"/>
    <mergeCell ref="A34:S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topLeftCell="E28" workbookViewId="0">
      <selection activeCell="V46" sqref="V46"/>
    </sheetView>
  </sheetViews>
  <sheetFormatPr defaultRowHeight="12.75" x14ac:dyDescent="0.2"/>
  <cols>
    <col min="1" max="1" width="7.42578125" style="5" bestFit="1" customWidth="1"/>
    <col min="2" max="2" width="22.855468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40.1406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9" width="5.5703125" style="6" customWidth="1"/>
    <col min="20" max="20" width="7.85546875" style="6" bestFit="1" customWidth="1"/>
    <col min="21" max="21" width="8.5703125" style="6" bestFit="1" customWidth="1"/>
    <col min="22" max="22" width="15.140625" style="5" bestFit="1" customWidth="1"/>
    <col min="23" max="16384" width="9.140625" style="3"/>
  </cols>
  <sheetData>
    <row r="1" spans="1:22" s="2" customFormat="1" ht="29.1" customHeight="1" x14ac:dyDescent="0.2">
      <c r="A1" s="65" t="s">
        <v>128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129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5" t="s">
        <v>69</v>
      </c>
      <c r="B6" s="14" t="s">
        <v>130</v>
      </c>
      <c r="C6" s="14" t="s">
        <v>131</v>
      </c>
      <c r="D6" s="14" t="s">
        <v>132</v>
      </c>
      <c r="E6" s="14" t="str">
        <f>"1,1546"</f>
        <v>1,1546</v>
      </c>
      <c r="F6" s="14" t="s">
        <v>21</v>
      </c>
      <c r="G6" s="14" t="s">
        <v>56</v>
      </c>
      <c r="H6" s="25" t="s">
        <v>133</v>
      </c>
      <c r="I6" s="25" t="s">
        <v>134</v>
      </c>
      <c r="J6" s="25" t="s">
        <v>98</v>
      </c>
      <c r="K6" s="15"/>
      <c r="L6" s="25" t="s">
        <v>135</v>
      </c>
      <c r="M6" s="26" t="s">
        <v>136</v>
      </c>
      <c r="N6" s="26" t="s">
        <v>136</v>
      </c>
      <c r="O6" s="15"/>
      <c r="P6" s="25" t="s">
        <v>137</v>
      </c>
      <c r="Q6" s="25" t="s">
        <v>138</v>
      </c>
      <c r="R6" s="26" t="s">
        <v>139</v>
      </c>
      <c r="S6" s="15"/>
      <c r="T6" s="15" t="str">
        <f>"130,0"</f>
        <v>130,0</v>
      </c>
      <c r="U6" s="15" t="str">
        <f>"184,6205"</f>
        <v>184,6205</v>
      </c>
      <c r="V6" s="14" t="s">
        <v>712</v>
      </c>
    </row>
    <row r="7" spans="1:22" x14ac:dyDescent="0.2">
      <c r="B7" s="5" t="s">
        <v>14</v>
      </c>
    </row>
    <row r="8" spans="1:22" ht="15" x14ac:dyDescent="0.2">
      <c r="A8" s="55" t="s">
        <v>90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2" x14ac:dyDescent="0.2">
      <c r="A9" s="10" t="s">
        <v>69</v>
      </c>
      <c r="B9" s="9" t="s">
        <v>140</v>
      </c>
      <c r="C9" s="9" t="s">
        <v>141</v>
      </c>
      <c r="D9" s="9" t="s">
        <v>142</v>
      </c>
      <c r="E9" s="9" t="str">
        <f>"0,9326"</f>
        <v>0,9326</v>
      </c>
      <c r="F9" s="9" t="s">
        <v>21</v>
      </c>
      <c r="G9" s="9" t="s">
        <v>143</v>
      </c>
      <c r="H9" s="22" t="s">
        <v>102</v>
      </c>
      <c r="I9" s="22" t="s">
        <v>144</v>
      </c>
      <c r="J9" s="22" t="s">
        <v>145</v>
      </c>
      <c r="K9" s="10"/>
      <c r="L9" s="22" t="s">
        <v>138</v>
      </c>
      <c r="M9" s="22" t="s">
        <v>139</v>
      </c>
      <c r="N9" s="23" t="s">
        <v>146</v>
      </c>
      <c r="O9" s="10"/>
      <c r="P9" s="22" t="s">
        <v>147</v>
      </c>
      <c r="Q9" s="22" t="s">
        <v>148</v>
      </c>
      <c r="R9" s="10"/>
      <c r="S9" s="10"/>
      <c r="T9" s="10" t="str">
        <f>"325,0"</f>
        <v>325,0</v>
      </c>
      <c r="U9" s="10" t="str">
        <f>"303,0950"</f>
        <v>303,0950</v>
      </c>
      <c r="V9" s="9" t="s">
        <v>712</v>
      </c>
    </row>
    <row r="10" spans="1:22" x14ac:dyDescent="0.2">
      <c r="A10" s="12" t="s">
        <v>71</v>
      </c>
      <c r="B10" s="11" t="s">
        <v>149</v>
      </c>
      <c r="C10" s="11" t="s">
        <v>150</v>
      </c>
      <c r="D10" s="11" t="s">
        <v>151</v>
      </c>
      <c r="E10" s="11" t="str">
        <f>"0,9124"</f>
        <v>0,9124</v>
      </c>
      <c r="F10" s="11" t="s">
        <v>21</v>
      </c>
      <c r="G10" s="11" t="s">
        <v>143</v>
      </c>
      <c r="H10" s="27" t="s">
        <v>152</v>
      </c>
      <c r="I10" s="27" t="s">
        <v>153</v>
      </c>
      <c r="J10" s="12"/>
      <c r="K10" s="12"/>
      <c r="L10" s="27" t="s">
        <v>99</v>
      </c>
      <c r="M10" s="27" t="s">
        <v>100</v>
      </c>
      <c r="N10" s="27" t="s">
        <v>154</v>
      </c>
      <c r="O10" s="12"/>
      <c r="P10" s="24" t="s">
        <v>155</v>
      </c>
      <c r="Q10" s="27" t="s">
        <v>145</v>
      </c>
      <c r="R10" s="27" t="s">
        <v>156</v>
      </c>
      <c r="S10" s="12"/>
      <c r="T10" s="12" t="str">
        <f>"257,5"</f>
        <v>257,5</v>
      </c>
      <c r="U10" s="12" t="str">
        <f>"234,9430"</f>
        <v>234,9430</v>
      </c>
      <c r="V10" s="11" t="s">
        <v>712</v>
      </c>
    </row>
    <row r="11" spans="1:22" x14ac:dyDescent="0.2">
      <c r="B11" s="5" t="s">
        <v>14</v>
      </c>
    </row>
    <row r="12" spans="1:22" ht="15" x14ac:dyDescent="0.2">
      <c r="A12" s="55" t="s">
        <v>157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22" x14ac:dyDescent="0.2">
      <c r="A13" s="15" t="s">
        <v>70</v>
      </c>
      <c r="B13" s="14" t="s">
        <v>158</v>
      </c>
      <c r="C13" s="14" t="s">
        <v>159</v>
      </c>
      <c r="D13" s="14" t="s">
        <v>160</v>
      </c>
      <c r="E13" s="14" t="str">
        <f>"0,8794"</f>
        <v>0,8794</v>
      </c>
      <c r="F13" s="14" t="s">
        <v>21</v>
      </c>
      <c r="G13" s="14" t="s">
        <v>77</v>
      </c>
      <c r="H13" s="25" t="s">
        <v>100</v>
      </c>
      <c r="I13" s="25" t="s">
        <v>161</v>
      </c>
      <c r="J13" s="25" t="s">
        <v>162</v>
      </c>
      <c r="K13" s="15"/>
      <c r="L13" s="26" t="s">
        <v>134</v>
      </c>
      <c r="M13" s="26" t="s">
        <v>98</v>
      </c>
      <c r="N13" s="26" t="s">
        <v>99</v>
      </c>
      <c r="O13" s="15"/>
      <c r="P13" s="26" t="s">
        <v>137</v>
      </c>
      <c r="Q13" s="15"/>
      <c r="R13" s="15"/>
      <c r="S13" s="15"/>
      <c r="T13" s="15" t="str">
        <f>"0.00"</f>
        <v>0.00</v>
      </c>
      <c r="U13" s="15" t="str">
        <f>"0,0000"</f>
        <v>0,0000</v>
      </c>
      <c r="V13" s="14" t="s">
        <v>712</v>
      </c>
    </row>
    <row r="14" spans="1:22" x14ac:dyDescent="0.2">
      <c r="B14" s="5" t="s">
        <v>14</v>
      </c>
    </row>
    <row r="15" spans="1:22" ht="15" x14ac:dyDescent="0.2">
      <c r="A15" s="55" t="s">
        <v>163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2" x14ac:dyDescent="0.2">
      <c r="A16" s="10" t="s">
        <v>69</v>
      </c>
      <c r="B16" s="9" t="s">
        <v>164</v>
      </c>
      <c r="C16" s="9" t="s">
        <v>165</v>
      </c>
      <c r="D16" s="9" t="s">
        <v>166</v>
      </c>
      <c r="E16" s="9" t="str">
        <f>"0,7842"</f>
        <v>0,7842</v>
      </c>
      <c r="F16" s="9" t="s">
        <v>21</v>
      </c>
      <c r="G16" s="9" t="s">
        <v>167</v>
      </c>
      <c r="H16" s="22" t="s">
        <v>156</v>
      </c>
      <c r="I16" s="22" t="s">
        <v>168</v>
      </c>
      <c r="J16" s="22" t="s">
        <v>120</v>
      </c>
      <c r="K16" s="10"/>
      <c r="L16" s="22" t="s">
        <v>169</v>
      </c>
      <c r="M16" s="22" t="s">
        <v>170</v>
      </c>
      <c r="N16" s="22" t="s">
        <v>171</v>
      </c>
      <c r="O16" s="10"/>
      <c r="P16" s="22" t="s">
        <v>172</v>
      </c>
      <c r="Q16" s="22" t="s">
        <v>173</v>
      </c>
      <c r="R16" s="22" t="s">
        <v>174</v>
      </c>
      <c r="S16" s="10"/>
      <c r="T16" s="10" t="str">
        <f>"377,5"</f>
        <v>377,5</v>
      </c>
      <c r="U16" s="10" t="str">
        <f>"296,0355"</f>
        <v>296,0355</v>
      </c>
      <c r="V16" s="9" t="s">
        <v>712</v>
      </c>
    </row>
    <row r="17" spans="1:22" x14ac:dyDescent="0.2">
      <c r="A17" s="17" t="s">
        <v>71</v>
      </c>
      <c r="B17" s="16" t="s">
        <v>175</v>
      </c>
      <c r="C17" s="16" t="s">
        <v>176</v>
      </c>
      <c r="D17" s="16" t="s">
        <v>177</v>
      </c>
      <c r="E17" s="16" t="str">
        <f>"0,7913"</f>
        <v>0,7913</v>
      </c>
      <c r="F17" s="16" t="s">
        <v>21</v>
      </c>
      <c r="G17" s="16" t="s">
        <v>31</v>
      </c>
      <c r="H17" s="28" t="s">
        <v>155</v>
      </c>
      <c r="I17" s="29" t="s">
        <v>156</v>
      </c>
      <c r="J17" s="29" t="s">
        <v>156</v>
      </c>
      <c r="K17" s="17"/>
      <c r="L17" s="28" t="s">
        <v>137</v>
      </c>
      <c r="M17" s="29" t="s">
        <v>138</v>
      </c>
      <c r="N17" s="28" t="s">
        <v>138</v>
      </c>
      <c r="O17" s="17"/>
      <c r="P17" s="28" t="s">
        <v>120</v>
      </c>
      <c r="Q17" s="28" t="s">
        <v>110</v>
      </c>
      <c r="R17" s="28" t="s">
        <v>174</v>
      </c>
      <c r="S17" s="17"/>
      <c r="T17" s="17" t="str">
        <f>"330,0"</f>
        <v>330,0</v>
      </c>
      <c r="U17" s="17" t="str">
        <f>"261,1290"</f>
        <v>261,1290</v>
      </c>
      <c r="V17" s="16" t="s">
        <v>712</v>
      </c>
    </row>
    <row r="18" spans="1:22" x14ac:dyDescent="0.2">
      <c r="A18" s="12" t="s">
        <v>70</v>
      </c>
      <c r="B18" s="11" t="s">
        <v>178</v>
      </c>
      <c r="C18" s="11" t="s">
        <v>179</v>
      </c>
      <c r="D18" s="11" t="s">
        <v>180</v>
      </c>
      <c r="E18" s="11" t="str">
        <f>"0,7872"</f>
        <v>0,7872</v>
      </c>
      <c r="F18" s="11" t="s">
        <v>21</v>
      </c>
      <c r="G18" s="11" t="s">
        <v>181</v>
      </c>
      <c r="H18" s="24" t="s">
        <v>170</v>
      </c>
      <c r="I18" s="27" t="s">
        <v>170</v>
      </c>
      <c r="J18" s="24" t="s">
        <v>171</v>
      </c>
      <c r="K18" s="12"/>
      <c r="L18" s="24" t="s">
        <v>98</v>
      </c>
      <c r="M18" s="24" t="s">
        <v>98</v>
      </c>
      <c r="N18" s="24" t="s">
        <v>98</v>
      </c>
      <c r="O18" s="12"/>
      <c r="P18" s="24" t="s">
        <v>153</v>
      </c>
      <c r="Q18" s="12"/>
      <c r="R18" s="12"/>
      <c r="S18" s="12"/>
      <c r="T18" s="12" t="str">
        <f>"0.00"</f>
        <v>0.00</v>
      </c>
      <c r="U18" s="12" t="str">
        <f>"0,0000"</f>
        <v>0,0000</v>
      </c>
      <c r="V18" s="11" t="s">
        <v>712</v>
      </c>
    </row>
    <row r="19" spans="1:22" x14ac:dyDescent="0.2">
      <c r="B19" s="5" t="s">
        <v>14</v>
      </c>
    </row>
    <row r="20" spans="1:22" ht="15" x14ac:dyDescent="0.2">
      <c r="A20" s="55" t="s">
        <v>182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22" x14ac:dyDescent="0.2">
      <c r="A21" s="15" t="s">
        <v>69</v>
      </c>
      <c r="B21" s="14" t="s">
        <v>183</v>
      </c>
      <c r="C21" s="14" t="s">
        <v>184</v>
      </c>
      <c r="D21" s="14" t="s">
        <v>185</v>
      </c>
      <c r="E21" s="14" t="str">
        <f>"0,7685"</f>
        <v>0,7685</v>
      </c>
      <c r="F21" s="14" t="s">
        <v>21</v>
      </c>
      <c r="G21" s="14" t="s">
        <v>186</v>
      </c>
      <c r="H21" s="26" t="s">
        <v>145</v>
      </c>
      <c r="I21" s="25" t="s">
        <v>145</v>
      </c>
      <c r="J21" s="25" t="s">
        <v>156</v>
      </c>
      <c r="K21" s="15"/>
      <c r="L21" s="25" t="s">
        <v>152</v>
      </c>
      <c r="M21" s="25" t="s">
        <v>170</v>
      </c>
      <c r="N21" s="26" t="s">
        <v>171</v>
      </c>
      <c r="O21" s="15"/>
      <c r="P21" s="25" t="s">
        <v>187</v>
      </c>
      <c r="Q21" s="25" t="s">
        <v>168</v>
      </c>
      <c r="R21" s="25" t="s">
        <v>147</v>
      </c>
      <c r="S21" s="15"/>
      <c r="T21" s="15" t="str">
        <f>"337,5"</f>
        <v>337,5</v>
      </c>
      <c r="U21" s="15" t="str">
        <f>"259,3856"</f>
        <v>259,3856</v>
      </c>
      <c r="V21" s="14" t="s">
        <v>712</v>
      </c>
    </row>
    <row r="22" spans="1:22" x14ac:dyDescent="0.2">
      <c r="B22" s="5" t="s">
        <v>14</v>
      </c>
    </row>
    <row r="23" spans="1:22" ht="15" x14ac:dyDescent="0.2">
      <c r="A23" s="55" t="s">
        <v>73</v>
      </c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22" x14ac:dyDescent="0.2">
      <c r="A24" s="15" t="s">
        <v>69</v>
      </c>
      <c r="B24" s="14" t="s">
        <v>188</v>
      </c>
      <c r="C24" s="14" t="s">
        <v>189</v>
      </c>
      <c r="D24" s="14" t="s">
        <v>190</v>
      </c>
      <c r="E24" s="14" t="str">
        <f>"0,6801"</f>
        <v>0,6801</v>
      </c>
      <c r="F24" s="14" t="s">
        <v>21</v>
      </c>
      <c r="G24" s="14" t="s">
        <v>181</v>
      </c>
      <c r="H24" s="26" t="s">
        <v>101</v>
      </c>
      <c r="I24" s="25" t="s">
        <v>101</v>
      </c>
      <c r="J24" s="26" t="s">
        <v>96</v>
      </c>
      <c r="K24" s="15"/>
      <c r="L24" s="25" t="s">
        <v>191</v>
      </c>
      <c r="M24" s="26" t="s">
        <v>100</v>
      </c>
      <c r="N24" s="26" t="s">
        <v>100</v>
      </c>
      <c r="O24" s="15"/>
      <c r="P24" s="25" t="s">
        <v>101</v>
      </c>
      <c r="Q24" s="25" t="s">
        <v>96</v>
      </c>
      <c r="R24" s="25" t="s">
        <v>97</v>
      </c>
      <c r="S24" s="15"/>
      <c r="T24" s="15" t="str">
        <f>"247,5"</f>
        <v>247,5</v>
      </c>
      <c r="U24" s="15" t="str">
        <f>"192,5635"</f>
        <v>192,5635</v>
      </c>
      <c r="V24" s="14" t="s">
        <v>712</v>
      </c>
    </row>
    <row r="25" spans="1:22" x14ac:dyDescent="0.2">
      <c r="B25" s="5" t="s">
        <v>14</v>
      </c>
    </row>
    <row r="26" spans="1:22" ht="15" x14ac:dyDescent="0.2">
      <c r="A26" s="55" t="s">
        <v>163</v>
      </c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22" x14ac:dyDescent="0.2">
      <c r="A27" s="10" t="s">
        <v>69</v>
      </c>
      <c r="B27" s="9" t="s">
        <v>192</v>
      </c>
      <c r="C27" s="9" t="s">
        <v>193</v>
      </c>
      <c r="D27" s="9" t="s">
        <v>194</v>
      </c>
      <c r="E27" s="9" t="str">
        <f>"0,7347"</f>
        <v>0,7347</v>
      </c>
      <c r="F27" s="9" t="s">
        <v>21</v>
      </c>
      <c r="G27" s="9" t="s">
        <v>143</v>
      </c>
      <c r="H27" s="22" t="s">
        <v>173</v>
      </c>
      <c r="I27" s="22" t="s">
        <v>121</v>
      </c>
      <c r="J27" s="23" t="s">
        <v>174</v>
      </c>
      <c r="K27" s="10"/>
      <c r="L27" s="23" t="s">
        <v>147</v>
      </c>
      <c r="M27" s="22" t="s">
        <v>120</v>
      </c>
      <c r="N27" s="22" t="s">
        <v>148</v>
      </c>
      <c r="O27" s="10"/>
      <c r="P27" s="22" t="s">
        <v>195</v>
      </c>
      <c r="Q27" s="22" t="s">
        <v>25</v>
      </c>
      <c r="R27" s="23" t="s">
        <v>196</v>
      </c>
      <c r="S27" s="10"/>
      <c r="T27" s="10" t="str">
        <f>"475,0"</f>
        <v>475,0</v>
      </c>
      <c r="U27" s="10" t="str">
        <f>"348,9825"</f>
        <v>348,9825</v>
      </c>
      <c r="V27" s="9" t="s">
        <v>712</v>
      </c>
    </row>
    <row r="28" spans="1:22" x14ac:dyDescent="0.2">
      <c r="A28" s="12" t="s">
        <v>69</v>
      </c>
      <c r="B28" s="11" t="s">
        <v>192</v>
      </c>
      <c r="C28" s="11" t="s">
        <v>197</v>
      </c>
      <c r="D28" s="11" t="s">
        <v>194</v>
      </c>
      <c r="E28" s="11" t="str">
        <f>"0,7347"</f>
        <v>0,7347</v>
      </c>
      <c r="F28" s="11" t="s">
        <v>21</v>
      </c>
      <c r="G28" s="11" t="s">
        <v>143</v>
      </c>
      <c r="H28" s="27" t="s">
        <v>173</v>
      </c>
      <c r="I28" s="27" t="s">
        <v>121</v>
      </c>
      <c r="J28" s="24" t="s">
        <v>174</v>
      </c>
      <c r="K28" s="12"/>
      <c r="L28" s="24" t="s">
        <v>147</v>
      </c>
      <c r="M28" s="27" t="s">
        <v>120</v>
      </c>
      <c r="N28" s="27" t="s">
        <v>148</v>
      </c>
      <c r="O28" s="12"/>
      <c r="P28" s="27" t="s">
        <v>195</v>
      </c>
      <c r="Q28" s="27" t="s">
        <v>25</v>
      </c>
      <c r="R28" s="24" t="s">
        <v>196</v>
      </c>
      <c r="S28" s="12"/>
      <c r="T28" s="12" t="str">
        <f>"475,0"</f>
        <v>475,0</v>
      </c>
      <c r="U28" s="12" t="str">
        <f>"399,2360"</f>
        <v>399,2360</v>
      </c>
      <c r="V28" s="11" t="s">
        <v>712</v>
      </c>
    </row>
    <row r="29" spans="1:22" x14ac:dyDescent="0.2">
      <c r="B29" s="5" t="s">
        <v>14</v>
      </c>
    </row>
    <row r="30" spans="1:22" ht="15" x14ac:dyDescent="0.2">
      <c r="A30" s="55" t="s">
        <v>182</v>
      </c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22" x14ac:dyDescent="0.2">
      <c r="A31" s="15" t="s">
        <v>69</v>
      </c>
      <c r="B31" s="14" t="s">
        <v>198</v>
      </c>
      <c r="C31" s="14" t="s">
        <v>199</v>
      </c>
      <c r="D31" s="14" t="s">
        <v>200</v>
      </c>
      <c r="E31" s="14" t="str">
        <f>"0,6680"</f>
        <v>0,6680</v>
      </c>
      <c r="F31" s="14" t="s">
        <v>21</v>
      </c>
      <c r="G31" s="14" t="s">
        <v>201</v>
      </c>
      <c r="H31" s="25" t="s">
        <v>25</v>
      </c>
      <c r="I31" s="26" t="s">
        <v>57</v>
      </c>
      <c r="J31" s="25" t="s">
        <v>57</v>
      </c>
      <c r="K31" s="15"/>
      <c r="L31" s="25" t="s">
        <v>187</v>
      </c>
      <c r="M31" s="25" t="s">
        <v>168</v>
      </c>
      <c r="N31" s="26" t="s">
        <v>172</v>
      </c>
      <c r="O31" s="15"/>
      <c r="P31" s="25" t="s">
        <v>51</v>
      </c>
      <c r="Q31" s="25" t="s">
        <v>127</v>
      </c>
      <c r="R31" s="26" t="s">
        <v>78</v>
      </c>
      <c r="S31" s="15"/>
      <c r="T31" s="15" t="str">
        <f>"555,0"</f>
        <v>555,0</v>
      </c>
      <c r="U31" s="15" t="str">
        <f>"370,7400"</f>
        <v>370,7400</v>
      </c>
      <c r="V31" s="14" t="s">
        <v>202</v>
      </c>
    </row>
    <row r="32" spans="1:22" x14ac:dyDescent="0.2">
      <c r="B32" s="5" t="s">
        <v>14</v>
      </c>
    </row>
    <row r="33" spans="1:22" ht="15" x14ac:dyDescent="0.2">
      <c r="A33" s="55" t="s">
        <v>73</v>
      </c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22" x14ac:dyDescent="0.2">
      <c r="A34" s="10" t="s">
        <v>69</v>
      </c>
      <c r="B34" s="9" t="s">
        <v>203</v>
      </c>
      <c r="C34" s="9" t="s">
        <v>204</v>
      </c>
      <c r="D34" s="9" t="s">
        <v>205</v>
      </c>
      <c r="E34" s="9" t="str">
        <f>"0,6193"</f>
        <v>0,6193</v>
      </c>
      <c r="F34" s="9" t="s">
        <v>21</v>
      </c>
      <c r="G34" s="9" t="s">
        <v>77</v>
      </c>
      <c r="H34" s="22" t="s">
        <v>155</v>
      </c>
      <c r="I34" s="22" t="s">
        <v>145</v>
      </c>
      <c r="J34" s="22" t="s">
        <v>206</v>
      </c>
      <c r="K34" s="10"/>
      <c r="L34" s="22" t="s">
        <v>95</v>
      </c>
      <c r="M34" s="22" t="s">
        <v>207</v>
      </c>
      <c r="N34" s="22" t="s">
        <v>208</v>
      </c>
      <c r="O34" s="10"/>
      <c r="P34" s="22" t="s">
        <v>168</v>
      </c>
      <c r="Q34" s="22" t="s">
        <v>126</v>
      </c>
      <c r="R34" s="22" t="s">
        <v>32</v>
      </c>
      <c r="S34" s="10"/>
      <c r="T34" s="10" t="str">
        <f>"385,0"</f>
        <v>385,0</v>
      </c>
      <c r="U34" s="10" t="str">
        <f>"243,1991"</f>
        <v>243,1991</v>
      </c>
      <c r="V34" s="9" t="s">
        <v>712</v>
      </c>
    </row>
    <row r="35" spans="1:22" x14ac:dyDescent="0.2">
      <c r="A35" s="17" t="s">
        <v>69</v>
      </c>
      <c r="B35" s="16" t="s">
        <v>209</v>
      </c>
      <c r="C35" s="16" t="s">
        <v>210</v>
      </c>
      <c r="D35" s="16" t="s">
        <v>211</v>
      </c>
      <c r="E35" s="16" t="str">
        <f>"0,6335"</f>
        <v>0,6335</v>
      </c>
      <c r="F35" s="16" t="s">
        <v>21</v>
      </c>
      <c r="G35" s="16" t="s">
        <v>31</v>
      </c>
      <c r="H35" s="28" t="s">
        <v>39</v>
      </c>
      <c r="I35" s="28" t="s">
        <v>40</v>
      </c>
      <c r="J35" s="29" t="s">
        <v>119</v>
      </c>
      <c r="K35" s="17"/>
      <c r="L35" s="28" t="s">
        <v>156</v>
      </c>
      <c r="M35" s="28" t="s">
        <v>168</v>
      </c>
      <c r="N35" s="28" t="s">
        <v>172</v>
      </c>
      <c r="O35" s="17"/>
      <c r="P35" s="28" t="s">
        <v>108</v>
      </c>
      <c r="Q35" s="28" t="s">
        <v>85</v>
      </c>
      <c r="R35" s="28" t="s">
        <v>46</v>
      </c>
      <c r="S35" s="29" t="s">
        <v>28</v>
      </c>
      <c r="T35" s="17" t="str">
        <f>"645,0"</f>
        <v>645,0</v>
      </c>
      <c r="U35" s="17" t="str">
        <f>"408,6075"</f>
        <v>408,6075</v>
      </c>
      <c r="V35" s="16" t="s">
        <v>712</v>
      </c>
    </row>
    <row r="36" spans="1:22" x14ac:dyDescent="0.2">
      <c r="A36" s="12" t="s">
        <v>71</v>
      </c>
      <c r="B36" s="11" t="s">
        <v>212</v>
      </c>
      <c r="C36" s="11" t="s">
        <v>213</v>
      </c>
      <c r="D36" s="11" t="s">
        <v>214</v>
      </c>
      <c r="E36" s="11" t="str">
        <f>"0,6262"</f>
        <v>0,6262</v>
      </c>
      <c r="F36" s="11" t="s">
        <v>21</v>
      </c>
      <c r="G36" s="11" t="s">
        <v>167</v>
      </c>
      <c r="H36" s="27" t="s">
        <v>25</v>
      </c>
      <c r="I36" s="27" t="s">
        <v>57</v>
      </c>
      <c r="J36" s="24" t="s">
        <v>39</v>
      </c>
      <c r="K36" s="12"/>
      <c r="L36" s="27" t="s">
        <v>156</v>
      </c>
      <c r="M36" s="27" t="s">
        <v>187</v>
      </c>
      <c r="N36" s="24" t="s">
        <v>168</v>
      </c>
      <c r="O36" s="12"/>
      <c r="P36" s="27" t="s">
        <v>215</v>
      </c>
      <c r="Q36" s="27" t="s">
        <v>51</v>
      </c>
      <c r="R36" s="12"/>
      <c r="S36" s="12"/>
      <c r="T36" s="12" t="str">
        <f>"545,0"</f>
        <v>545,0</v>
      </c>
      <c r="U36" s="12" t="str">
        <f>"341,2790"</f>
        <v>341,2790</v>
      </c>
      <c r="V36" s="11" t="s">
        <v>712</v>
      </c>
    </row>
    <row r="37" spans="1:22" x14ac:dyDescent="0.2">
      <c r="B37" s="5" t="s">
        <v>14</v>
      </c>
    </row>
    <row r="38" spans="1:22" ht="15" x14ac:dyDescent="0.2">
      <c r="A38" s="55" t="s">
        <v>20</v>
      </c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2" x14ac:dyDescent="0.2">
      <c r="A39" s="10" t="s">
        <v>69</v>
      </c>
      <c r="B39" s="9" t="s">
        <v>216</v>
      </c>
      <c r="C39" s="9" t="s">
        <v>217</v>
      </c>
      <c r="D39" s="9" t="s">
        <v>218</v>
      </c>
      <c r="E39" s="9" t="str">
        <f>"0,5910"</f>
        <v>0,5910</v>
      </c>
      <c r="F39" s="9" t="s">
        <v>21</v>
      </c>
      <c r="G39" s="9" t="s">
        <v>219</v>
      </c>
      <c r="H39" s="22" t="s">
        <v>220</v>
      </c>
      <c r="I39" s="22" t="s">
        <v>119</v>
      </c>
      <c r="J39" s="22" t="s">
        <v>51</v>
      </c>
      <c r="K39" s="10"/>
      <c r="L39" s="22" t="s">
        <v>172</v>
      </c>
      <c r="M39" s="22" t="s">
        <v>173</v>
      </c>
      <c r="N39" s="22" t="s">
        <v>110</v>
      </c>
      <c r="O39" s="10"/>
      <c r="P39" s="22" t="s">
        <v>119</v>
      </c>
      <c r="Q39" s="22" t="s">
        <v>52</v>
      </c>
      <c r="R39" s="23" t="s">
        <v>53</v>
      </c>
      <c r="S39" s="10"/>
      <c r="T39" s="10" t="str">
        <f>"620,0"</f>
        <v>620,0</v>
      </c>
      <c r="U39" s="10" t="str">
        <f>"366,4200"</f>
        <v>366,4200</v>
      </c>
      <c r="V39" s="9" t="s">
        <v>712</v>
      </c>
    </row>
    <row r="40" spans="1:22" x14ac:dyDescent="0.2">
      <c r="A40" s="17" t="s">
        <v>71</v>
      </c>
      <c r="B40" s="16" t="s">
        <v>221</v>
      </c>
      <c r="C40" s="16" t="s">
        <v>222</v>
      </c>
      <c r="D40" s="16" t="s">
        <v>223</v>
      </c>
      <c r="E40" s="16" t="str">
        <f>"0,5965"</f>
        <v>0,5965</v>
      </c>
      <c r="F40" s="16" t="s">
        <v>21</v>
      </c>
      <c r="G40" s="16" t="s">
        <v>56</v>
      </c>
      <c r="H40" s="28" t="s">
        <v>195</v>
      </c>
      <c r="I40" s="28" t="s">
        <v>25</v>
      </c>
      <c r="J40" s="29" t="s">
        <v>224</v>
      </c>
      <c r="K40" s="17"/>
      <c r="L40" s="28" t="s">
        <v>172</v>
      </c>
      <c r="M40" s="28" t="s">
        <v>120</v>
      </c>
      <c r="N40" s="29" t="s">
        <v>148</v>
      </c>
      <c r="O40" s="17"/>
      <c r="P40" s="28" t="s">
        <v>51</v>
      </c>
      <c r="Q40" s="28" t="s">
        <v>52</v>
      </c>
      <c r="R40" s="28" t="s">
        <v>78</v>
      </c>
      <c r="S40" s="17"/>
      <c r="T40" s="17" t="str">
        <f>"565,0"</f>
        <v>565,0</v>
      </c>
      <c r="U40" s="17" t="str">
        <f>"337,0225"</f>
        <v>337,0225</v>
      </c>
      <c r="V40" s="16" t="s">
        <v>225</v>
      </c>
    </row>
    <row r="41" spans="1:22" x14ac:dyDescent="0.2">
      <c r="A41" s="17" t="s">
        <v>69</v>
      </c>
      <c r="B41" s="16" t="s">
        <v>216</v>
      </c>
      <c r="C41" s="16" t="s">
        <v>226</v>
      </c>
      <c r="D41" s="16" t="s">
        <v>218</v>
      </c>
      <c r="E41" s="16" t="str">
        <f>"0,5910"</f>
        <v>0,5910</v>
      </c>
      <c r="F41" s="16" t="s">
        <v>21</v>
      </c>
      <c r="G41" s="16" t="s">
        <v>219</v>
      </c>
      <c r="H41" s="28" t="s">
        <v>220</v>
      </c>
      <c r="I41" s="28" t="s">
        <v>119</v>
      </c>
      <c r="J41" s="28" t="s">
        <v>51</v>
      </c>
      <c r="K41" s="17"/>
      <c r="L41" s="28" t="s">
        <v>172</v>
      </c>
      <c r="M41" s="28" t="s">
        <v>173</v>
      </c>
      <c r="N41" s="28" t="s">
        <v>110</v>
      </c>
      <c r="O41" s="17"/>
      <c r="P41" s="28" t="s">
        <v>119</v>
      </c>
      <c r="Q41" s="28" t="s">
        <v>52</v>
      </c>
      <c r="R41" s="29" t="s">
        <v>53</v>
      </c>
      <c r="S41" s="17"/>
      <c r="T41" s="17" t="str">
        <f>"620,0"</f>
        <v>620,0</v>
      </c>
      <c r="U41" s="17" t="str">
        <f>"469,3840"</f>
        <v>469,3840</v>
      </c>
      <c r="V41" s="16" t="s">
        <v>712</v>
      </c>
    </row>
    <row r="42" spans="1:22" x14ac:dyDescent="0.2">
      <c r="A42" s="12" t="s">
        <v>71</v>
      </c>
      <c r="B42" s="11" t="s">
        <v>227</v>
      </c>
      <c r="C42" s="11" t="s">
        <v>228</v>
      </c>
      <c r="D42" s="11" t="s">
        <v>229</v>
      </c>
      <c r="E42" s="11" t="str">
        <f>"0,5918"</f>
        <v>0,5918</v>
      </c>
      <c r="F42" s="11" t="s">
        <v>21</v>
      </c>
      <c r="G42" s="11" t="s">
        <v>230</v>
      </c>
      <c r="H42" s="27" t="s">
        <v>39</v>
      </c>
      <c r="I42" s="24" t="s">
        <v>40</v>
      </c>
      <c r="J42" s="27" t="s">
        <v>40</v>
      </c>
      <c r="K42" s="12"/>
      <c r="L42" s="27" t="s">
        <v>156</v>
      </c>
      <c r="M42" s="27" t="s">
        <v>187</v>
      </c>
      <c r="N42" s="27" t="s">
        <v>168</v>
      </c>
      <c r="O42" s="12"/>
      <c r="P42" s="27" t="s">
        <v>52</v>
      </c>
      <c r="Q42" s="27" t="s">
        <v>53</v>
      </c>
      <c r="R42" s="27" t="s">
        <v>108</v>
      </c>
      <c r="S42" s="12"/>
      <c r="T42" s="12" t="str">
        <f>"600,0"</f>
        <v>600,0</v>
      </c>
      <c r="U42" s="12" t="str">
        <f>"427,5163"</f>
        <v>427,5163</v>
      </c>
      <c r="V42" s="11" t="s">
        <v>712</v>
      </c>
    </row>
    <row r="43" spans="1:22" x14ac:dyDescent="0.2">
      <c r="B43" s="5" t="s">
        <v>14</v>
      </c>
    </row>
    <row r="44" spans="1:22" ht="15" x14ac:dyDescent="0.2">
      <c r="A44" s="55" t="s">
        <v>33</v>
      </c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22" x14ac:dyDescent="0.2">
      <c r="A45" s="10" t="s">
        <v>69</v>
      </c>
      <c r="B45" s="9" t="s">
        <v>231</v>
      </c>
      <c r="C45" s="9" t="s">
        <v>232</v>
      </c>
      <c r="D45" s="9" t="s">
        <v>233</v>
      </c>
      <c r="E45" s="9" t="str">
        <f>"0,5610"</f>
        <v>0,5610</v>
      </c>
      <c r="F45" s="9" t="s">
        <v>21</v>
      </c>
      <c r="G45" s="9" t="s">
        <v>143</v>
      </c>
      <c r="H45" s="22" t="s">
        <v>57</v>
      </c>
      <c r="I45" s="22" t="s">
        <v>39</v>
      </c>
      <c r="J45" s="23" t="s">
        <v>220</v>
      </c>
      <c r="K45" s="10"/>
      <c r="L45" s="22" t="s">
        <v>174</v>
      </c>
      <c r="M45" s="23" t="s">
        <v>86</v>
      </c>
      <c r="N45" s="22" t="s">
        <v>86</v>
      </c>
      <c r="O45" s="10"/>
      <c r="P45" s="22" t="s">
        <v>220</v>
      </c>
      <c r="Q45" s="22" t="s">
        <v>119</v>
      </c>
      <c r="R45" s="22" t="s">
        <v>127</v>
      </c>
      <c r="S45" s="10"/>
      <c r="T45" s="10" t="str">
        <f>"597,5"</f>
        <v>597,5</v>
      </c>
      <c r="U45" s="10" t="str">
        <f>"335,1975"</f>
        <v>335,1975</v>
      </c>
      <c r="V45" s="9" t="s">
        <v>712</v>
      </c>
    </row>
    <row r="46" spans="1:22" x14ac:dyDescent="0.2">
      <c r="A46" s="12" t="s">
        <v>70</v>
      </c>
      <c r="B46" s="11" t="s">
        <v>234</v>
      </c>
      <c r="C46" s="11" t="s">
        <v>235</v>
      </c>
      <c r="D46" s="11" t="s">
        <v>236</v>
      </c>
      <c r="E46" s="11" t="str">
        <f>"0,5599"</f>
        <v>0,5599</v>
      </c>
      <c r="F46" s="11" t="s">
        <v>21</v>
      </c>
      <c r="G46" s="11" t="s">
        <v>237</v>
      </c>
      <c r="H46" s="24" t="s">
        <v>238</v>
      </c>
      <c r="I46" s="24" t="s">
        <v>238</v>
      </c>
      <c r="J46" s="24" t="s">
        <v>238</v>
      </c>
      <c r="K46" s="12"/>
      <c r="L46" s="27" t="s">
        <v>239</v>
      </c>
      <c r="M46" s="27" t="s">
        <v>195</v>
      </c>
      <c r="N46" s="24" t="s">
        <v>87</v>
      </c>
      <c r="O46" s="12"/>
      <c r="P46" s="27" t="s">
        <v>119</v>
      </c>
      <c r="Q46" s="27" t="s">
        <v>127</v>
      </c>
      <c r="R46" s="27" t="s">
        <v>52</v>
      </c>
      <c r="S46" s="12"/>
      <c r="T46" s="12" t="str">
        <f>"0.00"</f>
        <v>0.00</v>
      </c>
      <c r="U46" s="12" t="str">
        <f>"0,0000"</f>
        <v>0,0000</v>
      </c>
      <c r="V46" s="11" t="s">
        <v>712</v>
      </c>
    </row>
    <row r="47" spans="1:22" x14ac:dyDescent="0.2">
      <c r="B47" s="5" t="s">
        <v>14</v>
      </c>
    </row>
    <row r="48" spans="1:22" ht="15" x14ac:dyDescent="0.2">
      <c r="B48" s="5" t="s">
        <v>14</v>
      </c>
      <c r="F48" s="7"/>
    </row>
    <row r="49" spans="2:7" ht="15" x14ac:dyDescent="0.2">
      <c r="B49" s="5" t="s">
        <v>14</v>
      </c>
      <c r="F49" s="7"/>
    </row>
    <row r="50" spans="2:7" ht="15" x14ac:dyDescent="0.2">
      <c r="B50" s="5" t="s">
        <v>14</v>
      </c>
      <c r="F50" s="7"/>
    </row>
    <row r="51" spans="2:7" ht="15" x14ac:dyDescent="0.2">
      <c r="B51" s="5" t="s">
        <v>14</v>
      </c>
      <c r="F51" s="7"/>
    </row>
    <row r="52" spans="2:7" ht="15" x14ac:dyDescent="0.2">
      <c r="B52" s="5" t="s">
        <v>14</v>
      </c>
      <c r="F52" s="7"/>
    </row>
    <row r="53" spans="2:7" ht="15" x14ac:dyDescent="0.2">
      <c r="B53" s="5" t="s">
        <v>14</v>
      </c>
      <c r="F53" s="7"/>
    </row>
    <row r="54" spans="2:7" ht="15" x14ac:dyDescent="0.2">
      <c r="B54" s="5" t="s">
        <v>14</v>
      </c>
      <c r="F54" s="7"/>
    </row>
    <row r="55" spans="2:7" x14ac:dyDescent="0.2">
      <c r="B55" s="5" t="s">
        <v>14</v>
      </c>
    </row>
    <row r="56" spans="2:7" ht="18" x14ac:dyDescent="0.2">
      <c r="B56" s="5" t="s">
        <v>14</v>
      </c>
      <c r="C56" s="8" t="s">
        <v>13</v>
      </c>
      <c r="D56" s="8"/>
    </row>
    <row r="57" spans="2:7" ht="15" x14ac:dyDescent="0.2">
      <c r="B57" s="5" t="s">
        <v>14</v>
      </c>
      <c r="C57" s="18" t="s">
        <v>240</v>
      </c>
      <c r="D57" s="18"/>
    </row>
    <row r="58" spans="2:7" ht="14.25" x14ac:dyDescent="0.2">
      <c r="B58" s="5" t="s">
        <v>14</v>
      </c>
      <c r="C58" s="19"/>
      <c r="D58" s="20" t="s">
        <v>60</v>
      </c>
    </row>
    <row r="59" spans="2:7" ht="15" x14ac:dyDescent="0.2">
      <c r="B59" s="5" t="s">
        <v>14</v>
      </c>
      <c r="C59" s="21" t="s">
        <v>61</v>
      </c>
      <c r="D59" s="21" t="s">
        <v>62</v>
      </c>
      <c r="E59" s="21" t="s">
        <v>63</v>
      </c>
      <c r="F59" s="21" t="s">
        <v>64</v>
      </c>
      <c r="G59" s="21" t="s">
        <v>65</v>
      </c>
    </row>
    <row r="60" spans="2:7" x14ac:dyDescent="0.2">
      <c r="B60" s="5" t="s">
        <v>14</v>
      </c>
      <c r="C60" s="5" t="s">
        <v>140</v>
      </c>
      <c r="D60" s="5" t="s">
        <v>60</v>
      </c>
      <c r="E60" s="6" t="s">
        <v>113</v>
      </c>
      <c r="F60" s="6" t="s">
        <v>43</v>
      </c>
      <c r="G60" s="6" t="s">
        <v>242</v>
      </c>
    </row>
    <row r="61" spans="2:7" x14ac:dyDescent="0.2">
      <c r="B61" s="5" t="s">
        <v>14</v>
      </c>
      <c r="C61" s="5" t="s">
        <v>164</v>
      </c>
      <c r="D61" s="5" t="s">
        <v>60</v>
      </c>
      <c r="E61" s="6" t="s">
        <v>243</v>
      </c>
      <c r="F61" s="6" t="s">
        <v>244</v>
      </c>
      <c r="G61" s="6" t="s">
        <v>245</v>
      </c>
    </row>
    <row r="62" spans="2:7" x14ac:dyDescent="0.2">
      <c r="B62" s="5" t="s">
        <v>14</v>
      </c>
      <c r="C62" s="5" t="s">
        <v>175</v>
      </c>
      <c r="D62" s="5" t="s">
        <v>60</v>
      </c>
      <c r="E62" s="6" t="s">
        <v>243</v>
      </c>
      <c r="F62" s="6" t="s">
        <v>22</v>
      </c>
      <c r="G62" s="6" t="s">
        <v>246</v>
      </c>
    </row>
    <row r="63" spans="2:7" ht="15" x14ac:dyDescent="0.2">
      <c r="B63" s="5" t="s">
        <v>14</v>
      </c>
      <c r="C63" s="1"/>
      <c r="D63" s="1"/>
      <c r="E63" s="1"/>
      <c r="F63" s="1"/>
      <c r="G63" s="1"/>
    </row>
    <row r="64" spans="2:7" ht="15" x14ac:dyDescent="0.2">
      <c r="B64" s="5" t="s">
        <v>14</v>
      </c>
      <c r="C64" s="18" t="s">
        <v>59</v>
      </c>
      <c r="E64" s="6"/>
      <c r="F64" s="6"/>
      <c r="G64" s="6"/>
    </row>
    <row r="65" spans="2:7" ht="14.25" x14ac:dyDescent="0.2">
      <c r="B65" s="5" t="s">
        <v>14</v>
      </c>
      <c r="C65" s="19"/>
      <c r="D65" s="20" t="s">
        <v>60</v>
      </c>
    </row>
    <row r="66" spans="2:7" ht="15" x14ac:dyDescent="0.2">
      <c r="B66" s="5" t="s">
        <v>14</v>
      </c>
      <c r="C66" s="21" t="s">
        <v>61</v>
      </c>
      <c r="D66" s="21" t="s">
        <v>62</v>
      </c>
      <c r="E66" s="21" t="s">
        <v>63</v>
      </c>
      <c r="F66" s="21" t="s">
        <v>64</v>
      </c>
      <c r="G66" s="21" t="s">
        <v>65</v>
      </c>
    </row>
    <row r="67" spans="2:7" x14ac:dyDescent="0.2">
      <c r="B67" s="5" t="s">
        <v>14</v>
      </c>
      <c r="C67" s="5" t="s">
        <v>209</v>
      </c>
      <c r="D67" s="5" t="s">
        <v>60</v>
      </c>
      <c r="E67" s="6" t="s">
        <v>247</v>
      </c>
      <c r="F67" s="6" t="s">
        <v>248</v>
      </c>
      <c r="G67" s="6" t="s">
        <v>249</v>
      </c>
    </row>
    <row r="68" spans="2:7" x14ac:dyDescent="0.2">
      <c r="B68" s="5" t="s">
        <v>14</v>
      </c>
      <c r="C68" s="5" t="s">
        <v>198</v>
      </c>
      <c r="D68" s="5" t="s">
        <v>60</v>
      </c>
      <c r="E68" s="6" t="s">
        <v>250</v>
      </c>
      <c r="F68" s="6" t="s">
        <v>251</v>
      </c>
      <c r="G68" s="6" t="s">
        <v>252</v>
      </c>
    </row>
    <row r="69" spans="2:7" x14ac:dyDescent="0.2">
      <c r="B69" s="5" t="s">
        <v>14</v>
      </c>
      <c r="C69" s="5" t="s">
        <v>216</v>
      </c>
      <c r="D69" s="5" t="s">
        <v>60</v>
      </c>
      <c r="E69" s="6" t="s">
        <v>68</v>
      </c>
      <c r="F69" s="6" t="s">
        <v>253</v>
      </c>
      <c r="G69" s="6" t="s">
        <v>254</v>
      </c>
    </row>
    <row r="70" spans="2:7" x14ac:dyDescent="0.2">
      <c r="B70" s="5" t="s">
        <v>14</v>
      </c>
      <c r="E70" s="6"/>
      <c r="F70" s="6"/>
      <c r="G70" s="6"/>
    </row>
    <row r="71" spans="2:7" x14ac:dyDescent="0.2">
      <c r="B71" s="5" t="s">
        <v>14</v>
      </c>
    </row>
    <row r="72" spans="2:7" x14ac:dyDescent="0.2">
      <c r="B72" s="5" t="s">
        <v>14</v>
      </c>
    </row>
    <row r="73" spans="2:7" ht="15" x14ac:dyDescent="0.2">
      <c r="B73" s="5" t="s">
        <v>14</v>
      </c>
      <c r="C73" s="18"/>
      <c r="D73" s="18"/>
    </row>
    <row r="74" spans="2:7" ht="14.25" x14ac:dyDescent="0.2">
      <c r="B74" s="5" t="s">
        <v>14</v>
      </c>
      <c r="C74" s="19"/>
      <c r="D74" s="20"/>
    </row>
    <row r="75" spans="2:7" ht="15" x14ac:dyDescent="0.2">
      <c r="B75" s="5" t="s">
        <v>14</v>
      </c>
      <c r="C75" s="1"/>
      <c r="D75" s="1"/>
      <c r="E75" s="1"/>
      <c r="F75" s="1"/>
      <c r="G75" s="1"/>
    </row>
    <row r="76" spans="2:7" x14ac:dyDescent="0.2">
      <c r="B76" s="5" t="s">
        <v>14</v>
      </c>
      <c r="E76" s="6"/>
      <c r="F76" s="6"/>
      <c r="G76" s="6"/>
    </row>
    <row r="77" spans="2:7" x14ac:dyDescent="0.2">
      <c r="B77" s="5" t="s">
        <v>14</v>
      </c>
    </row>
    <row r="78" spans="2:7" ht="14.25" x14ac:dyDescent="0.2">
      <c r="B78" s="5" t="s">
        <v>14</v>
      </c>
      <c r="C78" s="19"/>
      <c r="D78" s="20"/>
    </row>
    <row r="79" spans="2:7" ht="15" x14ac:dyDescent="0.2">
      <c r="B79" s="5" t="s">
        <v>14</v>
      </c>
      <c r="C79" s="1"/>
      <c r="D79" s="1"/>
      <c r="E79" s="1"/>
      <c r="F79" s="1"/>
      <c r="G79" s="1"/>
    </row>
    <row r="80" spans="2:7" x14ac:dyDescent="0.2">
      <c r="B80" s="5" t="s">
        <v>14</v>
      </c>
      <c r="E80" s="6"/>
      <c r="F80" s="6"/>
      <c r="G80" s="6"/>
    </row>
    <row r="81" spans="2:7" x14ac:dyDescent="0.2">
      <c r="B81" s="5" t="s">
        <v>14</v>
      </c>
      <c r="E81" s="6"/>
      <c r="F81" s="6"/>
      <c r="G81" s="6"/>
    </row>
    <row r="82" spans="2:7" x14ac:dyDescent="0.2">
      <c r="B82" s="5" t="s">
        <v>14</v>
      </c>
      <c r="E82" s="6"/>
      <c r="F82" s="6"/>
      <c r="G82" s="6"/>
    </row>
    <row r="83" spans="2:7" x14ac:dyDescent="0.2">
      <c r="B83" s="5" t="s">
        <v>14</v>
      </c>
    </row>
    <row r="84" spans="2:7" ht="14.25" x14ac:dyDescent="0.2">
      <c r="B84" s="5" t="s">
        <v>14</v>
      </c>
      <c r="C84" s="19"/>
      <c r="D84" s="20"/>
    </row>
    <row r="85" spans="2:7" ht="15" x14ac:dyDescent="0.2">
      <c r="B85" s="5" t="s">
        <v>14</v>
      </c>
      <c r="C85" s="1"/>
      <c r="D85" s="1"/>
      <c r="E85" s="1"/>
      <c r="F85" s="1"/>
      <c r="G85" s="1"/>
    </row>
    <row r="86" spans="2:7" x14ac:dyDescent="0.2">
      <c r="B86" s="5" t="s">
        <v>14</v>
      </c>
      <c r="E86" s="6"/>
      <c r="F86" s="6"/>
      <c r="G86" s="6"/>
    </row>
    <row r="87" spans="2:7" x14ac:dyDescent="0.2">
      <c r="B87" s="5" t="s">
        <v>14</v>
      </c>
      <c r="E87" s="6"/>
      <c r="F87" s="6"/>
      <c r="G87" s="6"/>
    </row>
    <row r="88" spans="2:7" x14ac:dyDescent="0.2">
      <c r="B88" s="5" t="s">
        <v>14</v>
      </c>
      <c r="E88" s="6"/>
      <c r="F88" s="6"/>
      <c r="G88" s="6"/>
    </row>
    <row r="89" spans="2:7" x14ac:dyDescent="0.2">
      <c r="B89" s="5" t="s">
        <v>14</v>
      </c>
    </row>
  </sheetData>
  <mergeCells count="25"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30:S30"/>
    <mergeCell ref="A33:S33"/>
    <mergeCell ref="A38:S38"/>
    <mergeCell ref="A44:S44"/>
    <mergeCell ref="B3:B4"/>
    <mergeCell ref="A8:S8"/>
    <mergeCell ref="A12:S12"/>
    <mergeCell ref="A15:S15"/>
    <mergeCell ref="A20:S20"/>
    <mergeCell ref="A23:S23"/>
    <mergeCell ref="A26:S2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D3" workbookViewId="0">
      <selection activeCell="V9" sqref="V9"/>
    </sheetView>
  </sheetViews>
  <sheetFormatPr defaultRowHeight="12.75" x14ac:dyDescent="0.2"/>
  <cols>
    <col min="1" max="1" width="7.42578125" style="5" bestFit="1" customWidth="1"/>
    <col min="2" max="2" width="16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7.28515625" style="5" bestFit="1" customWidth="1"/>
    <col min="23" max="16384" width="9.140625" style="3"/>
  </cols>
  <sheetData>
    <row r="1" spans="1:22" s="2" customFormat="1" ht="29.1" customHeight="1" x14ac:dyDescent="0.2">
      <c r="A1" s="65" t="s">
        <v>115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33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5" t="s">
        <v>69</v>
      </c>
      <c r="B6" s="14" t="s">
        <v>116</v>
      </c>
      <c r="C6" s="14" t="s">
        <v>117</v>
      </c>
      <c r="D6" s="14" t="s">
        <v>118</v>
      </c>
      <c r="E6" s="14" t="str">
        <f>"0,5648"</f>
        <v>0,5648</v>
      </c>
      <c r="F6" s="14" t="s">
        <v>21</v>
      </c>
      <c r="G6" s="14" t="s">
        <v>77</v>
      </c>
      <c r="H6" s="25" t="s">
        <v>119</v>
      </c>
      <c r="I6" s="26" t="s">
        <v>52</v>
      </c>
      <c r="J6" s="26" t="s">
        <v>52</v>
      </c>
      <c r="K6" s="15"/>
      <c r="L6" s="25" t="s">
        <v>120</v>
      </c>
      <c r="M6" s="25" t="s">
        <v>110</v>
      </c>
      <c r="N6" s="26" t="s">
        <v>121</v>
      </c>
      <c r="O6" s="15"/>
      <c r="P6" s="26" t="s">
        <v>40</v>
      </c>
      <c r="Q6" s="25" t="s">
        <v>40</v>
      </c>
      <c r="R6" s="25" t="s">
        <v>51</v>
      </c>
      <c r="S6" s="15"/>
      <c r="T6" s="15" t="str">
        <f>"600,0"</f>
        <v>600,0</v>
      </c>
      <c r="U6" s="15" t="str">
        <f>"338,8800"</f>
        <v>338,8800</v>
      </c>
      <c r="V6" s="14" t="s">
        <v>122</v>
      </c>
    </row>
    <row r="7" spans="1:22" x14ac:dyDescent="0.2">
      <c r="B7" s="5" t="s">
        <v>14</v>
      </c>
    </row>
    <row r="8" spans="1:22" ht="15" x14ac:dyDescent="0.2">
      <c r="A8" s="55" t="s">
        <v>37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2" x14ac:dyDescent="0.2">
      <c r="A9" s="15" t="s">
        <v>69</v>
      </c>
      <c r="B9" s="14" t="s">
        <v>123</v>
      </c>
      <c r="C9" s="14" t="s">
        <v>124</v>
      </c>
      <c r="D9" s="14" t="s">
        <v>125</v>
      </c>
      <c r="E9" s="14" t="str">
        <f>"0,5302"</f>
        <v>0,5302</v>
      </c>
      <c r="F9" s="14" t="s">
        <v>21</v>
      </c>
      <c r="G9" s="14" t="s">
        <v>31</v>
      </c>
      <c r="H9" s="25" t="s">
        <v>51</v>
      </c>
      <c r="I9" s="25" t="s">
        <v>52</v>
      </c>
      <c r="J9" s="26" t="s">
        <v>53</v>
      </c>
      <c r="K9" s="15"/>
      <c r="L9" s="25" t="s">
        <v>126</v>
      </c>
      <c r="M9" s="26" t="s">
        <v>121</v>
      </c>
      <c r="N9" s="26" t="s">
        <v>121</v>
      </c>
      <c r="O9" s="15"/>
      <c r="P9" s="26" t="s">
        <v>51</v>
      </c>
      <c r="Q9" s="25" t="s">
        <v>51</v>
      </c>
      <c r="R9" s="26" t="s">
        <v>127</v>
      </c>
      <c r="S9" s="15"/>
      <c r="T9" s="15" t="str">
        <f>"617,5"</f>
        <v>617,5</v>
      </c>
      <c r="U9" s="15" t="str">
        <f>"327,3985"</f>
        <v>327,3985</v>
      </c>
      <c r="V9" s="14" t="s">
        <v>712</v>
      </c>
    </row>
    <row r="10" spans="1:22" x14ac:dyDescent="0.2">
      <c r="B10" s="5" t="s">
        <v>14</v>
      </c>
    </row>
    <row r="11" spans="1:22" ht="15" x14ac:dyDescent="0.2">
      <c r="B11" s="5" t="s">
        <v>14</v>
      </c>
      <c r="F11" s="7"/>
    </row>
    <row r="12" spans="1:22" ht="15" x14ac:dyDescent="0.2">
      <c r="B12" s="5" t="s">
        <v>14</v>
      </c>
      <c r="F12" s="7"/>
    </row>
    <row r="13" spans="1:22" ht="15" x14ac:dyDescent="0.2">
      <c r="B13" s="5" t="s">
        <v>14</v>
      </c>
      <c r="F13" s="7"/>
    </row>
    <row r="14" spans="1:22" ht="15" x14ac:dyDescent="0.2">
      <c r="B14" s="5" t="s">
        <v>14</v>
      </c>
      <c r="F14" s="7"/>
    </row>
    <row r="15" spans="1:22" ht="15" x14ac:dyDescent="0.2">
      <c r="B15" s="5" t="s">
        <v>14</v>
      </c>
      <c r="F15" s="7"/>
    </row>
    <row r="16" spans="1:22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x14ac:dyDescent="0.2">
      <c r="B18" s="5" t="s">
        <v>14</v>
      </c>
    </row>
    <row r="19" spans="2:7" ht="18" x14ac:dyDescent="0.2">
      <c r="B19" s="5" t="s">
        <v>14</v>
      </c>
      <c r="C19" s="8"/>
      <c r="D19" s="8"/>
    </row>
    <row r="20" spans="2:7" ht="15" x14ac:dyDescent="0.2">
      <c r="B20" s="5" t="s">
        <v>14</v>
      </c>
      <c r="C20" s="18"/>
      <c r="D20" s="18"/>
    </row>
    <row r="21" spans="2:7" ht="14.25" x14ac:dyDescent="0.2">
      <c r="B21" s="5" t="s">
        <v>14</v>
      </c>
      <c r="C21" s="19"/>
      <c r="D21" s="20"/>
    </row>
    <row r="22" spans="2:7" ht="15" x14ac:dyDescent="0.2">
      <c r="B22" s="5" t="s">
        <v>14</v>
      </c>
      <c r="C22" s="1"/>
      <c r="D22" s="1"/>
      <c r="E22" s="1"/>
      <c r="F22" s="1"/>
      <c r="G22" s="1"/>
    </row>
    <row r="23" spans="2:7" x14ac:dyDescent="0.2">
      <c r="B23" s="5" t="s">
        <v>14</v>
      </c>
      <c r="E23" s="6"/>
      <c r="F23" s="6"/>
      <c r="G23" s="6"/>
    </row>
    <row r="24" spans="2:7" x14ac:dyDescent="0.2">
      <c r="B24" s="5" t="s">
        <v>14</v>
      </c>
      <c r="E24" s="6"/>
      <c r="F24" s="6"/>
      <c r="G24" s="6"/>
    </row>
    <row r="25" spans="2:7" x14ac:dyDescent="0.2">
      <c r="B25" s="5" t="s">
        <v>14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D1" workbookViewId="0">
      <selection activeCell="U12" sqref="U12"/>
    </sheetView>
  </sheetViews>
  <sheetFormatPr defaultRowHeight="12.75" x14ac:dyDescent="0.2"/>
  <cols>
    <col min="1" max="1" width="7.42578125" style="5" bestFit="1" customWidth="1"/>
    <col min="2" max="2" width="13.140625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7.42578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6.28515625" style="5" bestFit="1" customWidth="1"/>
    <col min="23" max="16384" width="9.140625" style="3"/>
  </cols>
  <sheetData>
    <row r="1" spans="1:22" s="2" customFormat="1" ht="29.1" customHeight="1" x14ac:dyDescent="0.2">
      <c r="A1" s="65" t="s">
        <v>89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90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5" t="s">
        <v>69</v>
      </c>
      <c r="B6" s="14" t="s">
        <v>91</v>
      </c>
      <c r="C6" s="14" t="s">
        <v>92</v>
      </c>
      <c r="D6" s="14" t="s">
        <v>93</v>
      </c>
      <c r="E6" s="14" t="str">
        <f>"0,8782"</f>
        <v>0,8782</v>
      </c>
      <c r="F6" s="14" t="s">
        <v>21</v>
      </c>
      <c r="G6" s="14" t="s">
        <v>94</v>
      </c>
      <c r="H6" s="25" t="s">
        <v>95</v>
      </c>
      <c r="I6" s="25" t="s">
        <v>96</v>
      </c>
      <c r="J6" s="25" t="s">
        <v>97</v>
      </c>
      <c r="K6" s="15"/>
      <c r="L6" s="25" t="s">
        <v>98</v>
      </c>
      <c r="M6" s="25" t="s">
        <v>99</v>
      </c>
      <c r="N6" s="26" t="s">
        <v>100</v>
      </c>
      <c r="O6" s="15"/>
      <c r="P6" s="25" t="s">
        <v>101</v>
      </c>
      <c r="Q6" s="25" t="s">
        <v>96</v>
      </c>
      <c r="R6" s="25" t="s">
        <v>102</v>
      </c>
      <c r="S6" s="15"/>
      <c r="T6" s="15" t="str">
        <f>"257,5"</f>
        <v>257,5</v>
      </c>
      <c r="U6" s="15" t="str">
        <f>"278,1479"</f>
        <v>278,1479</v>
      </c>
      <c r="V6" s="14" t="s">
        <v>103</v>
      </c>
    </row>
    <row r="7" spans="1:22" x14ac:dyDescent="0.2">
      <c r="B7" s="5" t="s">
        <v>14</v>
      </c>
    </row>
    <row r="8" spans="1:22" ht="15" x14ac:dyDescent="0.2">
      <c r="A8" s="55" t="s">
        <v>37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2" x14ac:dyDescent="0.2">
      <c r="A9" s="15" t="s">
        <v>69</v>
      </c>
      <c r="B9" s="14" t="s">
        <v>104</v>
      </c>
      <c r="C9" s="14" t="s">
        <v>105</v>
      </c>
      <c r="D9" s="14" t="s">
        <v>106</v>
      </c>
      <c r="E9" s="14" t="str">
        <f>"0,5354"</f>
        <v>0,5354</v>
      </c>
      <c r="F9" s="14" t="s">
        <v>21</v>
      </c>
      <c r="G9" s="14" t="s">
        <v>107</v>
      </c>
      <c r="H9" s="25" t="s">
        <v>53</v>
      </c>
      <c r="I9" s="25" t="s">
        <v>108</v>
      </c>
      <c r="J9" s="26" t="s">
        <v>109</v>
      </c>
      <c r="K9" s="15"/>
      <c r="L9" s="25" t="s">
        <v>110</v>
      </c>
      <c r="M9" s="25" t="s">
        <v>111</v>
      </c>
      <c r="N9" s="25" t="s">
        <v>86</v>
      </c>
      <c r="O9" s="15"/>
      <c r="P9" s="25" t="s">
        <v>108</v>
      </c>
      <c r="Q9" s="25" t="s">
        <v>109</v>
      </c>
      <c r="R9" s="25" t="s">
        <v>112</v>
      </c>
      <c r="S9" s="15"/>
      <c r="T9" s="15" t="str">
        <f>"707,5"</f>
        <v>707,5</v>
      </c>
      <c r="U9" s="15" t="str">
        <f>"378,7955"</f>
        <v>378,7955</v>
      </c>
      <c r="V9" s="14" t="s">
        <v>712</v>
      </c>
    </row>
    <row r="10" spans="1:22" x14ac:dyDescent="0.2">
      <c r="B10" s="5" t="s">
        <v>14</v>
      </c>
    </row>
    <row r="11" spans="1:22" ht="15" x14ac:dyDescent="0.2">
      <c r="B11" s="5" t="s">
        <v>14</v>
      </c>
      <c r="F11" s="7"/>
    </row>
    <row r="12" spans="1:22" ht="15" x14ac:dyDescent="0.2">
      <c r="B12" s="5" t="s">
        <v>14</v>
      </c>
      <c r="F12" s="7"/>
    </row>
    <row r="13" spans="1:22" ht="15" x14ac:dyDescent="0.2">
      <c r="B13" s="5" t="s">
        <v>14</v>
      </c>
      <c r="F13" s="7"/>
    </row>
    <row r="14" spans="1:22" ht="15" x14ac:dyDescent="0.2">
      <c r="B14" s="5" t="s">
        <v>14</v>
      </c>
      <c r="F14" s="7"/>
    </row>
    <row r="15" spans="1:22" ht="15" x14ac:dyDescent="0.2">
      <c r="B15" s="5" t="s">
        <v>14</v>
      </c>
      <c r="F15" s="7"/>
    </row>
    <row r="16" spans="1:22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x14ac:dyDescent="0.2">
      <c r="B18" s="5" t="s">
        <v>14</v>
      </c>
    </row>
    <row r="19" spans="2:7" ht="18" x14ac:dyDescent="0.2">
      <c r="B19" s="5" t="s">
        <v>14</v>
      </c>
      <c r="C19" s="8"/>
      <c r="D19" s="8"/>
    </row>
    <row r="20" spans="2:7" ht="15" x14ac:dyDescent="0.2">
      <c r="B20" s="5" t="s">
        <v>14</v>
      </c>
      <c r="C20" s="18"/>
      <c r="D20" s="18"/>
    </row>
    <row r="21" spans="2:7" ht="14.25" x14ac:dyDescent="0.2">
      <c r="B21" s="5" t="s">
        <v>14</v>
      </c>
      <c r="C21" s="19"/>
      <c r="D21" s="20"/>
    </row>
    <row r="22" spans="2:7" ht="15" x14ac:dyDescent="0.2">
      <c r="B22" s="5" t="s">
        <v>14</v>
      </c>
      <c r="C22" s="1"/>
      <c r="D22" s="1"/>
      <c r="E22" s="1"/>
      <c r="F22" s="1"/>
      <c r="G22" s="1"/>
    </row>
    <row r="23" spans="2:7" x14ac:dyDescent="0.2">
      <c r="B23" s="5" t="s">
        <v>14</v>
      </c>
      <c r="E23" s="6"/>
      <c r="F23" s="6"/>
      <c r="G23" s="6"/>
    </row>
    <row r="24" spans="2:7" x14ac:dyDescent="0.2">
      <c r="B24" s="5" t="s">
        <v>14</v>
      </c>
    </row>
    <row r="25" spans="2:7" ht="14.25" x14ac:dyDescent="0.2">
      <c r="B25" s="5" t="s">
        <v>14</v>
      </c>
      <c r="C25" s="19"/>
      <c r="D25" s="20"/>
    </row>
    <row r="26" spans="2:7" ht="15" x14ac:dyDescent="0.2">
      <c r="B26" s="5" t="s">
        <v>14</v>
      </c>
      <c r="C26" s="1"/>
      <c r="D26" s="1"/>
      <c r="E26" s="1"/>
      <c r="F26" s="1"/>
      <c r="G26" s="1"/>
    </row>
    <row r="27" spans="2:7" x14ac:dyDescent="0.2">
      <c r="B27" s="5" t="s">
        <v>14</v>
      </c>
      <c r="E27" s="6"/>
      <c r="F27" s="6"/>
      <c r="G27" s="6"/>
    </row>
    <row r="28" spans="2:7" x14ac:dyDescent="0.2">
      <c r="B28" s="5" t="s">
        <v>14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D1" workbookViewId="0">
      <selection activeCell="N13" sqref="N13"/>
    </sheetView>
  </sheetViews>
  <sheetFormatPr defaultRowHeight="12.75" x14ac:dyDescent="0.2"/>
  <cols>
    <col min="1" max="1" width="7.42578125" style="5" bestFit="1" customWidth="1"/>
    <col min="2" max="2" width="19.7109375" style="5" bestFit="1" customWidth="1"/>
    <col min="3" max="3" width="27.710937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5.140625" style="5" bestFit="1" customWidth="1"/>
    <col min="23" max="16384" width="9.140625" style="3"/>
  </cols>
  <sheetData>
    <row r="1" spans="1:22" s="2" customFormat="1" ht="29.1" customHeight="1" x14ac:dyDescent="0.2">
      <c r="A1" s="65" t="s">
        <v>72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18</v>
      </c>
      <c r="M3" s="59"/>
      <c r="N3" s="59"/>
      <c r="O3" s="59"/>
      <c r="P3" s="59" t="s">
        <v>19</v>
      </c>
      <c r="Q3" s="59"/>
      <c r="R3" s="59"/>
      <c r="S3" s="59"/>
      <c r="T3" s="59" t="s">
        <v>1</v>
      </c>
      <c r="U3" s="59" t="s">
        <v>3</v>
      </c>
      <c r="V3" s="61" t="s">
        <v>2</v>
      </c>
    </row>
    <row r="4" spans="1:22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60"/>
      <c r="U4" s="60"/>
      <c r="V4" s="62"/>
    </row>
    <row r="5" spans="1:22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2" x14ac:dyDescent="0.2">
      <c r="A6" s="15" t="s">
        <v>70</v>
      </c>
      <c r="B6" s="14" t="s">
        <v>74</v>
      </c>
      <c r="C6" s="14" t="s">
        <v>75</v>
      </c>
      <c r="D6" s="14" t="s">
        <v>76</v>
      </c>
      <c r="E6" s="14" t="str">
        <f>"0,6214"</f>
        <v>0,6214</v>
      </c>
      <c r="F6" s="14" t="s">
        <v>21</v>
      </c>
      <c r="G6" s="14" t="s">
        <v>77</v>
      </c>
      <c r="H6" s="26" t="s">
        <v>78</v>
      </c>
      <c r="I6" s="26" t="s">
        <v>78</v>
      </c>
      <c r="J6" s="26" t="s">
        <v>79</v>
      </c>
      <c r="K6" s="15"/>
      <c r="L6" s="15" t="s">
        <v>80</v>
      </c>
      <c r="M6" s="15"/>
      <c r="N6" s="15"/>
      <c r="O6" s="15"/>
      <c r="P6" s="15" t="s">
        <v>52</v>
      </c>
      <c r="Q6" s="15"/>
      <c r="R6" s="15"/>
      <c r="S6" s="15"/>
      <c r="T6" s="15" t="str">
        <f>"0.00"</f>
        <v>0.00</v>
      </c>
      <c r="U6" s="15" t="str">
        <f>"0,0000"</f>
        <v>0,0000</v>
      </c>
      <c r="V6" s="14" t="s">
        <v>712</v>
      </c>
    </row>
    <row r="7" spans="1:22" x14ac:dyDescent="0.2">
      <c r="B7" s="5" t="s">
        <v>14</v>
      </c>
    </row>
    <row r="8" spans="1:22" ht="15" x14ac:dyDescent="0.2">
      <c r="A8" s="55" t="s">
        <v>20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2" x14ac:dyDescent="0.2">
      <c r="A9" s="15" t="s">
        <v>69</v>
      </c>
      <c r="B9" s="14" t="s">
        <v>81</v>
      </c>
      <c r="C9" s="14" t="s">
        <v>82</v>
      </c>
      <c r="D9" s="14" t="s">
        <v>83</v>
      </c>
      <c r="E9" s="14" t="str">
        <f>"0,5943"</f>
        <v>0,5943</v>
      </c>
      <c r="F9" s="14" t="s">
        <v>21</v>
      </c>
      <c r="G9" s="14" t="s">
        <v>31</v>
      </c>
      <c r="H9" s="25" t="s">
        <v>53</v>
      </c>
      <c r="I9" s="25" t="s">
        <v>84</v>
      </c>
      <c r="J9" s="26" t="s">
        <v>85</v>
      </c>
      <c r="K9" s="15"/>
      <c r="L9" s="25" t="s">
        <v>86</v>
      </c>
      <c r="M9" s="25" t="s">
        <v>87</v>
      </c>
      <c r="N9" s="25" t="s">
        <v>88</v>
      </c>
      <c r="O9" s="15" t="s">
        <v>25</v>
      </c>
      <c r="P9" s="25" t="s">
        <v>51</v>
      </c>
      <c r="Q9" s="26" t="s">
        <v>78</v>
      </c>
      <c r="R9" s="26" t="s">
        <v>78</v>
      </c>
      <c r="S9" s="15"/>
      <c r="T9" s="15" t="str">
        <f>"672,5"</f>
        <v>672,5</v>
      </c>
      <c r="U9" s="15" t="str">
        <f>"431,6401"</f>
        <v>431,6401</v>
      </c>
      <c r="V9" s="14" t="s">
        <v>712</v>
      </c>
    </row>
    <row r="10" spans="1:22" x14ac:dyDescent="0.2">
      <c r="B10" s="5" t="s">
        <v>14</v>
      </c>
    </row>
    <row r="11" spans="1:22" ht="15" x14ac:dyDescent="0.2">
      <c r="B11" s="5" t="s">
        <v>14</v>
      </c>
      <c r="F11" s="7"/>
    </row>
    <row r="12" spans="1:22" ht="15" x14ac:dyDescent="0.2">
      <c r="B12" s="5" t="s">
        <v>14</v>
      </c>
      <c r="F12" s="7"/>
    </row>
    <row r="13" spans="1:22" ht="15" x14ac:dyDescent="0.2">
      <c r="B13" s="5" t="s">
        <v>14</v>
      </c>
      <c r="F13" s="7"/>
    </row>
    <row r="14" spans="1:22" ht="15" x14ac:dyDescent="0.2">
      <c r="B14" s="5" t="s">
        <v>14</v>
      </c>
      <c r="F14" s="7"/>
    </row>
    <row r="15" spans="1:22" ht="15" x14ac:dyDescent="0.2">
      <c r="B15" s="5" t="s">
        <v>14</v>
      </c>
      <c r="F15" s="7"/>
    </row>
    <row r="16" spans="1:22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x14ac:dyDescent="0.2">
      <c r="B18" s="5" t="s">
        <v>14</v>
      </c>
    </row>
    <row r="19" spans="2:7" ht="18" x14ac:dyDescent="0.2">
      <c r="B19" s="5" t="s">
        <v>14</v>
      </c>
      <c r="C19" s="8"/>
      <c r="D19" s="8"/>
    </row>
    <row r="20" spans="2:7" ht="15" x14ac:dyDescent="0.2">
      <c r="B20" s="5" t="s">
        <v>14</v>
      </c>
      <c r="C20" s="18"/>
      <c r="D20" s="18"/>
    </row>
    <row r="21" spans="2:7" ht="14.25" x14ac:dyDescent="0.2">
      <c r="B21" s="5" t="s">
        <v>14</v>
      </c>
      <c r="C21" s="19"/>
      <c r="D21" s="20"/>
    </row>
    <row r="22" spans="2:7" ht="15" x14ac:dyDescent="0.2">
      <c r="B22" s="5" t="s">
        <v>14</v>
      </c>
      <c r="C22" s="1"/>
      <c r="D22" s="1"/>
      <c r="E22" s="1"/>
      <c r="F22" s="1"/>
      <c r="G22" s="1"/>
    </row>
    <row r="23" spans="2:7" x14ac:dyDescent="0.2">
      <c r="B23" s="5" t="s">
        <v>14</v>
      </c>
      <c r="E23" s="6"/>
      <c r="F23" s="6"/>
      <c r="G23" s="6"/>
    </row>
    <row r="24" spans="2:7" x14ac:dyDescent="0.2">
      <c r="B24" s="5" t="s">
        <v>14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11" sqref="G11"/>
    </sheetView>
  </sheetViews>
  <sheetFormatPr defaultRowHeight="12.75" x14ac:dyDescent="0.2"/>
  <cols>
    <col min="1" max="1" width="7.42578125" style="31" bestFit="1" customWidth="1"/>
    <col min="2" max="2" width="18.140625" style="31" bestFit="1" customWidth="1"/>
    <col min="3" max="3" width="26.28515625" style="31" bestFit="1" customWidth="1"/>
    <col min="4" max="4" width="21.42578125" style="31" bestFit="1" customWidth="1"/>
    <col min="5" max="5" width="10.7109375" style="31" bestFit="1" customWidth="1"/>
    <col min="6" max="6" width="22.7109375" style="31" bestFit="1" customWidth="1"/>
    <col min="7" max="7" width="30.42578125" style="31" bestFit="1" customWidth="1"/>
    <col min="8" max="8" width="5.5703125" style="32" customWidth="1"/>
    <col min="9" max="9" width="10.42578125" style="32" customWidth="1"/>
    <col min="10" max="10" width="7.85546875" style="32" bestFit="1" customWidth="1"/>
    <col min="11" max="11" width="9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721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720</v>
      </c>
      <c r="F3" s="91" t="s">
        <v>4</v>
      </c>
      <c r="G3" s="91" t="s">
        <v>7</v>
      </c>
      <c r="H3" s="91" t="s">
        <v>719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182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677</v>
      </c>
      <c r="C6" s="38" t="s">
        <v>678</v>
      </c>
      <c r="D6" s="38" t="s">
        <v>351</v>
      </c>
      <c r="E6" s="38" t="str">
        <f>"0,8042"</f>
        <v>0,8042</v>
      </c>
      <c r="F6" s="38" t="s">
        <v>21</v>
      </c>
      <c r="G6" s="38" t="s">
        <v>56</v>
      </c>
      <c r="H6" s="39" t="s">
        <v>144</v>
      </c>
      <c r="I6" s="39" t="s">
        <v>133</v>
      </c>
      <c r="J6" s="39" t="str">
        <f>"3375,0"</f>
        <v>3375,0</v>
      </c>
      <c r="K6" s="39" t="str">
        <f>"2714,1750"</f>
        <v>2714,1750</v>
      </c>
      <c r="L6" s="38" t="s">
        <v>712</v>
      </c>
    </row>
    <row r="7" spans="1:12" x14ac:dyDescent="0.2">
      <c r="B7" s="31" t="s">
        <v>14</v>
      </c>
    </row>
    <row r="8" spans="1:12" ht="15" x14ac:dyDescent="0.2">
      <c r="B8" s="31" t="s">
        <v>14</v>
      </c>
      <c r="F8" s="37"/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x14ac:dyDescent="0.2">
      <c r="B15" s="31" t="s">
        <v>14</v>
      </c>
    </row>
    <row r="16" spans="1:12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12" sqref="J12"/>
    </sheetView>
  </sheetViews>
  <sheetFormatPr defaultRowHeight="12.75" x14ac:dyDescent="0.2"/>
  <cols>
    <col min="1" max="1" width="7.42578125" style="31" bestFit="1" customWidth="1"/>
    <col min="2" max="2" width="16.42578125" style="31" bestFit="1" customWidth="1"/>
    <col min="3" max="3" width="28.5703125" style="31" bestFit="1" customWidth="1"/>
    <col min="4" max="4" width="21.42578125" style="31" bestFit="1" customWidth="1"/>
    <col min="5" max="5" width="10.7109375" style="31" bestFit="1" customWidth="1"/>
    <col min="6" max="6" width="22.7109375" style="31" bestFit="1" customWidth="1"/>
    <col min="7" max="7" width="29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9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725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720</v>
      </c>
      <c r="F3" s="91" t="s">
        <v>4</v>
      </c>
      <c r="G3" s="91" t="s">
        <v>7</v>
      </c>
      <c r="H3" s="91" t="s">
        <v>724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163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418</v>
      </c>
      <c r="C6" s="38" t="s">
        <v>419</v>
      </c>
      <c r="D6" s="38" t="s">
        <v>166</v>
      </c>
      <c r="E6" s="38" t="str">
        <f>"0,8619"</f>
        <v>0,8619</v>
      </c>
      <c r="F6" s="38" t="s">
        <v>21</v>
      </c>
      <c r="G6" s="38" t="s">
        <v>77</v>
      </c>
      <c r="H6" s="39" t="s">
        <v>134</v>
      </c>
      <c r="I6" s="39" t="s">
        <v>168</v>
      </c>
      <c r="J6" s="39" t="str">
        <f>"4550,0"</f>
        <v>4550,0</v>
      </c>
      <c r="K6" s="39" t="str">
        <f>"3921,6449"</f>
        <v>3921,6449</v>
      </c>
      <c r="L6" s="38" t="s">
        <v>712</v>
      </c>
    </row>
    <row r="7" spans="1:12" x14ac:dyDescent="0.2">
      <c r="B7" s="31" t="s">
        <v>14</v>
      </c>
    </row>
    <row r="8" spans="1:12" ht="15" x14ac:dyDescent="0.2">
      <c r="A8" s="56" t="s">
        <v>73</v>
      </c>
      <c r="B8" s="56"/>
      <c r="C8" s="56"/>
      <c r="D8" s="56"/>
      <c r="E8" s="56"/>
      <c r="F8" s="56"/>
      <c r="G8" s="56"/>
      <c r="H8" s="56"/>
      <c r="I8" s="56"/>
    </row>
    <row r="9" spans="1:12" x14ac:dyDescent="0.2">
      <c r="A9" s="39" t="s">
        <v>69</v>
      </c>
      <c r="B9" s="38" t="s">
        <v>422</v>
      </c>
      <c r="C9" s="38" t="s">
        <v>423</v>
      </c>
      <c r="D9" s="38" t="s">
        <v>424</v>
      </c>
      <c r="E9" s="38" t="str">
        <f>"0,8104"</f>
        <v>0,8104</v>
      </c>
      <c r="F9" s="38" t="s">
        <v>21</v>
      </c>
      <c r="G9" s="38" t="s">
        <v>425</v>
      </c>
      <c r="H9" s="39" t="s">
        <v>723</v>
      </c>
      <c r="I9" s="39" t="s">
        <v>722</v>
      </c>
      <c r="J9" s="39" t="str">
        <f>"5054,0"</f>
        <v>5054,0</v>
      </c>
      <c r="K9" s="39" t="str">
        <f>"4095,7616"</f>
        <v>4095,7616</v>
      </c>
      <c r="L9" s="38" t="s">
        <v>712</v>
      </c>
    </row>
    <row r="10" spans="1:12" x14ac:dyDescent="0.2">
      <c r="B10" s="31" t="s">
        <v>14</v>
      </c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ht="15" x14ac:dyDescent="0.2">
      <c r="B15" s="31" t="s">
        <v>14</v>
      </c>
      <c r="F15" s="37"/>
    </row>
    <row r="16" spans="1:12" ht="15" x14ac:dyDescent="0.2">
      <c r="B16" s="31" t="s">
        <v>14</v>
      </c>
      <c r="F16" s="37"/>
    </row>
    <row r="17" spans="2:7" ht="15" x14ac:dyDescent="0.2">
      <c r="B17" s="31" t="s">
        <v>14</v>
      </c>
      <c r="F17" s="37"/>
    </row>
    <row r="18" spans="2:7" x14ac:dyDescent="0.2">
      <c r="B18" s="31" t="s">
        <v>14</v>
      </c>
    </row>
    <row r="19" spans="2:7" ht="18" x14ac:dyDescent="0.2">
      <c r="B19" s="31" t="s">
        <v>14</v>
      </c>
      <c r="C19" s="36"/>
      <c r="D19" s="36"/>
    </row>
    <row r="20" spans="2:7" ht="15" x14ac:dyDescent="0.2">
      <c r="B20" s="31" t="s">
        <v>14</v>
      </c>
      <c r="C20" s="13"/>
      <c r="D20" s="13"/>
    </row>
    <row r="21" spans="2:7" ht="14.25" x14ac:dyDescent="0.2">
      <c r="B21" s="31" t="s">
        <v>14</v>
      </c>
      <c r="C21" s="35"/>
      <c r="D21" s="34"/>
    </row>
    <row r="22" spans="2:7" ht="15" x14ac:dyDescent="0.2">
      <c r="B22" s="31" t="s">
        <v>14</v>
      </c>
      <c r="C22" s="33"/>
      <c r="D22" s="33"/>
      <c r="E22" s="33"/>
      <c r="F22" s="33"/>
      <c r="G22" s="33"/>
    </row>
    <row r="23" spans="2:7" x14ac:dyDescent="0.2">
      <c r="B23" s="31" t="s">
        <v>14</v>
      </c>
      <c r="E23" s="32"/>
      <c r="F23" s="32"/>
      <c r="G23" s="32"/>
    </row>
    <row r="24" spans="2:7" x14ac:dyDescent="0.2">
      <c r="B24" s="31" t="s">
        <v>14</v>
      </c>
      <c r="E24" s="32"/>
      <c r="F24" s="32"/>
      <c r="G24" s="32"/>
    </row>
    <row r="25" spans="2:7" x14ac:dyDescent="0.2">
      <c r="B25" s="31" t="s">
        <v>14</v>
      </c>
    </row>
  </sheetData>
  <mergeCells count="14">
    <mergeCell ref="A8:I8"/>
    <mergeCell ref="B3:B4"/>
    <mergeCell ref="H3:I3"/>
    <mergeCell ref="J3:J4"/>
    <mergeCell ref="K3:K4"/>
    <mergeCell ref="L3:L4"/>
    <mergeCell ref="A5:I5"/>
    <mergeCell ref="A1:L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J13" sqref="J13"/>
    </sheetView>
  </sheetViews>
  <sheetFormatPr defaultRowHeight="12.75" x14ac:dyDescent="0.2"/>
  <cols>
    <col min="1" max="1" width="7.42578125" style="31" bestFit="1" customWidth="1"/>
    <col min="2" max="2" width="17.28515625" style="31" bestFit="1" customWidth="1"/>
    <col min="3" max="3" width="28.5703125" style="31" bestFit="1" customWidth="1"/>
    <col min="4" max="4" width="21.42578125" style="31" bestFit="1" customWidth="1"/>
    <col min="5" max="5" width="10.7109375" style="31" bestFit="1" customWidth="1"/>
    <col min="6" max="6" width="22.7109375" style="31" bestFit="1" customWidth="1"/>
    <col min="7" max="7" width="40.140625" style="31" bestFit="1" customWidth="1"/>
    <col min="8" max="8" width="5.5703125" style="32" customWidth="1"/>
    <col min="9" max="9" width="10.42578125" style="32" customWidth="1"/>
    <col min="10" max="10" width="7.85546875" style="32" bestFit="1" customWidth="1"/>
    <col min="11" max="11" width="9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731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720</v>
      </c>
      <c r="F3" s="91" t="s">
        <v>4</v>
      </c>
      <c r="G3" s="91" t="s">
        <v>7</v>
      </c>
      <c r="H3" s="91" t="s">
        <v>724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33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47" t="s">
        <v>69</v>
      </c>
      <c r="B6" s="46" t="s">
        <v>650</v>
      </c>
      <c r="C6" s="46" t="s">
        <v>651</v>
      </c>
      <c r="D6" s="46" t="s">
        <v>652</v>
      </c>
      <c r="E6" s="46" t="str">
        <f>"0,7011"</f>
        <v>0,7011</v>
      </c>
      <c r="F6" s="46" t="s">
        <v>21</v>
      </c>
      <c r="G6" s="46" t="s">
        <v>31</v>
      </c>
      <c r="H6" s="47" t="s">
        <v>101</v>
      </c>
      <c r="I6" s="47" t="s">
        <v>730</v>
      </c>
      <c r="J6" s="47" t="str">
        <f>"1330,0"</f>
        <v>1330,0</v>
      </c>
      <c r="K6" s="47" t="str">
        <f>"932,4630"</f>
        <v>932,4630</v>
      </c>
      <c r="L6" s="46" t="s">
        <v>712</v>
      </c>
    </row>
    <row r="7" spans="1:12" x14ac:dyDescent="0.2">
      <c r="A7" s="45" t="s">
        <v>70</v>
      </c>
      <c r="B7" s="44" t="s">
        <v>606</v>
      </c>
      <c r="C7" s="44" t="s">
        <v>607</v>
      </c>
      <c r="D7" s="44" t="s">
        <v>608</v>
      </c>
      <c r="E7" s="44" t="str">
        <f>"0,6753"</f>
        <v>0,6753</v>
      </c>
      <c r="F7" s="44" t="s">
        <v>21</v>
      </c>
      <c r="G7" s="44" t="s">
        <v>31</v>
      </c>
      <c r="H7" s="45" t="s">
        <v>96</v>
      </c>
      <c r="I7" s="45"/>
      <c r="J7" s="45" t="str">
        <f>"0.00"</f>
        <v>0.00</v>
      </c>
      <c r="K7" s="45" t="str">
        <f>"0,0000"</f>
        <v>0,0000</v>
      </c>
      <c r="L7" s="44" t="s">
        <v>712</v>
      </c>
    </row>
    <row r="8" spans="1:12" x14ac:dyDescent="0.2">
      <c r="A8" s="43" t="s">
        <v>69</v>
      </c>
      <c r="B8" s="42" t="s">
        <v>729</v>
      </c>
      <c r="C8" s="42" t="s">
        <v>728</v>
      </c>
      <c r="D8" s="42" t="s">
        <v>727</v>
      </c>
      <c r="E8" s="42" t="str">
        <f>"0,7101"</f>
        <v>0,7101</v>
      </c>
      <c r="F8" s="42" t="s">
        <v>21</v>
      </c>
      <c r="G8" s="42" t="s">
        <v>237</v>
      </c>
      <c r="H8" s="43" t="s">
        <v>101</v>
      </c>
      <c r="I8" s="43" t="s">
        <v>726</v>
      </c>
      <c r="J8" s="43" t="str">
        <f>"1615,0"</f>
        <v>1615,0</v>
      </c>
      <c r="K8" s="43" t="str">
        <f>"1146,8115"</f>
        <v>1146,8115</v>
      </c>
      <c r="L8" s="42" t="s">
        <v>712</v>
      </c>
    </row>
    <row r="9" spans="1:12" x14ac:dyDescent="0.2">
      <c r="B9" s="31" t="s">
        <v>14</v>
      </c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ht="15" x14ac:dyDescent="0.2">
      <c r="B15" s="31" t="s">
        <v>14</v>
      </c>
      <c r="F15" s="37"/>
    </row>
    <row r="16" spans="1:12" ht="15" x14ac:dyDescent="0.2">
      <c r="B16" s="31" t="s">
        <v>14</v>
      </c>
      <c r="F16" s="37"/>
    </row>
    <row r="17" spans="2:7" x14ac:dyDescent="0.2">
      <c r="B17" s="31" t="s">
        <v>14</v>
      </c>
    </row>
    <row r="18" spans="2:7" ht="18" x14ac:dyDescent="0.2">
      <c r="B18" s="31" t="s">
        <v>14</v>
      </c>
      <c r="C18" s="36"/>
      <c r="D18" s="36"/>
    </row>
    <row r="19" spans="2:7" ht="15" x14ac:dyDescent="0.2">
      <c r="B19" s="31" t="s">
        <v>14</v>
      </c>
      <c r="C19" s="13"/>
      <c r="D19" s="13"/>
    </row>
    <row r="20" spans="2:7" ht="14.25" x14ac:dyDescent="0.2">
      <c r="B20" s="31" t="s">
        <v>14</v>
      </c>
      <c r="C20" s="35"/>
      <c r="D20" s="34"/>
    </row>
    <row r="21" spans="2:7" ht="15" x14ac:dyDescent="0.2">
      <c r="B21" s="31" t="s">
        <v>14</v>
      </c>
      <c r="C21" s="33"/>
      <c r="D21" s="33"/>
      <c r="E21" s="33"/>
      <c r="F21" s="33"/>
      <c r="G21" s="33"/>
    </row>
    <row r="22" spans="2:7" x14ac:dyDescent="0.2">
      <c r="B22" s="31" t="s">
        <v>14</v>
      </c>
      <c r="E22" s="32"/>
      <c r="F22" s="32"/>
      <c r="G22" s="32"/>
    </row>
    <row r="23" spans="2:7" x14ac:dyDescent="0.2">
      <c r="B23" s="31" t="s">
        <v>14</v>
      </c>
    </row>
    <row r="24" spans="2:7" ht="14.25" x14ac:dyDescent="0.2">
      <c r="B24" s="31" t="s">
        <v>14</v>
      </c>
      <c r="C24" s="35"/>
      <c r="D24" s="34"/>
    </row>
    <row r="25" spans="2:7" ht="15" x14ac:dyDescent="0.2">
      <c r="B25" s="31" t="s">
        <v>14</v>
      </c>
      <c r="C25" s="33"/>
      <c r="D25" s="33"/>
      <c r="E25" s="33"/>
      <c r="F25" s="33"/>
      <c r="G25" s="33"/>
    </row>
    <row r="26" spans="2:7" x14ac:dyDescent="0.2">
      <c r="B26" s="31" t="s">
        <v>14</v>
      </c>
      <c r="E26" s="32"/>
      <c r="F26" s="32"/>
      <c r="G26" s="32"/>
    </row>
    <row r="27" spans="2:7" x14ac:dyDescent="0.2">
      <c r="B27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C1" workbookViewId="0">
      <selection activeCell="R3" sqref="R1:R1048576"/>
    </sheetView>
  </sheetViews>
  <sheetFormatPr defaultRowHeight="12.75" x14ac:dyDescent="0.2"/>
  <cols>
    <col min="1" max="1" width="7.42578125" style="5" bestFit="1" customWidth="1"/>
    <col min="2" max="2" width="15" style="5" bestFit="1" customWidth="1"/>
    <col min="3" max="3" width="28.42578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0.425781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6" width="7.85546875" style="6" bestFit="1" customWidth="1"/>
    <col min="17" max="17" width="8.5703125" style="6" bestFit="1" customWidth="1"/>
    <col min="18" max="18" width="15.140625" style="5" bestFit="1" customWidth="1"/>
    <col min="19" max="16384" width="9.140625" style="3"/>
  </cols>
  <sheetData>
    <row r="1" spans="1:18" s="2" customFormat="1" ht="29.1" customHeight="1" x14ac:dyDescent="0.2">
      <c r="A1" s="65" t="s">
        <v>693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18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19</v>
      </c>
      <c r="M3" s="59"/>
      <c r="N3" s="59"/>
      <c r="O3" s="59"/>
      <c r="P3" s="59" t="s">
        <v>1</v>
      </c>
      <c r="Q3" s="59" t="s">
        <v>3</v>
      </c>
      <c r="R3" s="61" t="s">
        <v>2</v>
      </c>
    </row>
    <row r="4" spans="1:18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60"/>
      <c r="Q4" s="60"/>
      <c r="R4" s="62"/>
    </row>
    <row r="5" spans="1:18" ht="15" x14ac:dyDescent="0.2">
      <c r="A5" s="63" t="s">
        <v>694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8" x14ac:dyDescent="0.2">
      <c r="A6" s="15" t="s">
        <v>69</v>
      </c>
      <c r="B6" s="14" t="s">
        <v>695</v>
      </c>
      <c r="C6" s="14" t="s">
        <v>696</v>
      </c>
      <c r="D6" s="14" t="s">
        <v>697</v>
      </c>
      <c r="E6" s="14" t="str">
        <f>"1,0611"</f>
        <v>1,0611</v>
      </c>
      <c r="F6" s="14" t="s">
        <v>21</v>
      </c>
      <c r="G6" s="14" t="s">
        <v>56</v>
      </c>
      <c r="H6" s="25" t="s">
        <v>135</v>
      </c>
      <c r="I6" s="26" t="s">
        <v>133</v>
      </c>
      <c r="J6" s="26" t="s">
        <v>133</v>
      </c>
      <c r="K6" s="15"/>
      <c r="L6" s="25" t="s">
        <v>137</v>
      </c>
      <c r="M6" s="25" t="s">
        <v>138</v>
      </c>
      <c r="N6" s="25" t="s">
        <v>146</v>
      </c>
      <c r="O6" s="15"/>
      <c r="P6" s="15" t="str">
        <f>"95,0"</f>
        <v>95,0</v>
      </c>
      <c r="Q6" s="15" t="str">
        <f>"123,9954"</f>
        <v>123,9954</v>
      </c>
      <c r="R6" s="14" t="s">
        <v>225</v>
      </c>
    </row>
    <row r="7" spans="1:18" x14ac:dyDescent="0.2">
      <c r="B7" s="5" t="s">
        <v>14</v>
      </c>
    </row>
    <row r="8" spans="1:18" ht="15" x14ac:dyDescent="0.2">
      <c r="A8" s="55" t="s">
        <v>163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8" x14ac:dyDescent="0.2">
      <c r="A9" s="15" t="s">
        <v>69</v>
      </c>
      <c r="B9" s="14" t="s">
        <v>698</v>
      </c>
      <c r="C9" s="14" t="s">
        <v>699</v>
      </c>
      <c r="D9" s="14" t="s">
        <v>700</v>
      </c>
      <c r="E9" s="14" t="str">
        <f>"0,7503"</f>
        <v>0,7503</v>
      </c>
      <c r="F9" s="14" t="s">
        <v>21</v>
      </c>
      <c r="G9" s="14" t="s">
        <v>230</v>
      </c>
      <c r="H9" s="26" t="s">
        <v>95</v>
      </c>
      <c r="I9" s="25" t="s">
        <v>95</v>
      </c>
      <c r="J9" s="25" t="s">
        <v>101</v>
      </c>
      <c r="K9" s="15"/>
      <c r="L9" s="25" t="s">
        <v>195</v>
      </c>
      <c r="M9" s="25" t="s">
        <v>25</v>
      </c>
      <c r="N9" s="15"/>
      <c r="O9" s="15"/>
      <c r="P9" s="15" t="str">
        <f>"275,0"</f>
        <v>275,0</v>
      </c>
      <c r="Q9" s="15" t="str">
        <f>"206,3325"</f>
        <v>206,3325</v>
      </c>
      <c r="R9" s="14" t="s">
        <v>712</v>
      </c>
    </row>
    <row r="10" spans="1:18" x14ac:dyDescent="0.2">
      <c r="B10" s="5" t="s">
        <v>14</v>
      </c>
    </row>
    <row r="11" spans="1:18" ht="15" x14ac:dyDescent="0.2">
      <c r="A11" s="55" t="s">
        <v>33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8" x14ac:dyDescent="0.2">
      <c r="A12" s="15" t="s">
        <v>69</v>
      </c>
      <c r="B12" s="14" t="s">
        <v>667</v>
      </c>
      <c r="C12" s="14" t="s">
        <v>668</v>
      </c>
      <c r="D12" s="14" t="s">
        <v>669</v>
      </c>
      <c r="E12" s="14" t="str">
        <f>"0,5586"</f>
        <v>0,5586</v>
      </c>
      <c r="F12" s="14" t="s">
        <v>21</v>
      </c>
      <c r="G12" s="14" t="s">
        <v>230</v>
      </c>
      <c r="H12" s="25" t="s">
        <v>172</v>
      </c>
      <c r="I12" s="26" t="s">
        <v>120</v>
      </c>
      <c r="J12" s="25" t="s">
        <v>120</v>
      </c>
      <c r="K12" s="15"/>
      <c r="L12" s="25" t="s">
        <v>52</v>
      </c>
      <c r="M12" s="26" t="s">
        <v>53</v>
      </c>
      <c r="N12" s="25" t="s">
        <v>53</v>
      </c>
      <c r="O12" s="15"/>
      <c r="P12" s="15" t="str">
        <f>"390,0"</f>
        <v>390,0</v>
      </c>
      <c r="Q12" s="15" t="str">
        <f>"217,8540"</f>
        <v>217,8540</v>
      </c>
      <c r="R12" s="14" t="s">
        <v>712</v>
      </c>
    </row>
    <row r="13" spans="1:18" x14ac:dyDescent="0.2">
      <c r="B13" s="5" t="s">
        <v>14</v>
      </c>
    </row>
    <row r="14" spans="1:18" ht="15" x14ac:dyDescent="0.2">
      <c r="B14" s="5" t="s">
        <v>14</v>
      </c>
      <c r="F14" s="7"/>
    </row>
    <row r="15" spans="1:18" ht="15" x14ac:dyDescent="0.2">
      <c r="B15" s="5" t="s">
        <v>14</v>
      </c>
      <c r="F15" s="7"/>
    </row>
    <row r="16" spans="1:18" ht="15" x14ac:dyDescent="0.2">
      <c r="B16" s="5" t="s">
        <v>14</v>
      </c>
      <c r="F16" s="7"/>
    </row>
    <row r="17" spans="2:7" ht="15" x14ac:dyDescent="0.2">
      <c r="B17" s="5" t="s">
        <v>14</v>
      </c>
      <c r="F17" s="7"/>
    </row>
    <row r="18" spans="2:7" ht="15" x14ac:dyDescent="0.2">
      <c r="B18" s="5" t="s">
        <v>14</v>
      </c>
      <c r="F18" s="7"/>
    </row>
    <row r="19" spans="2:7" ht="15" x14ac:dyDescent="0.2">
      <c r="B19" s="5" t="s">
        <v>14</v>
      </c>
      <c r="F19" s="7"/>
    </row>
    <row r="20" spans="2:7" ht="15" x14ac:dyDescent="0.2">
      <c r="B20" s="5" t="s">
        <v>14</v>
      </c>
      <c r="F20" s="7"/>
    </row>
    <row r="21" spans="2:7" x14ac:dyDescent="0.2">
      <c r="B21" s="5" t="s">
        <v>14</v>
      </c>
    </row>
    <row r="22" spans="2:7" ht="18" x14ac:dyDescent="0.2">
      <c r="B22" s="5" t="s">
        <v>14</v>
      </c>
      <c r="C22" s="8"/>
      <c r="D22" s="8"/>
    </row>
    <row r="23" spans="2:7" ht="15" x14ac:dyDescent="0.2">
      <c r="B23" s="5" t="s">
        <v>14</v>
      </c>
      <c r="C23" s="18"/>
      <c r="D23" s="18"/>
    </row>
    <row r="24" spans="2:7" ht="14.25" x14ac:dyDescent="0.2">
      <c r="B24" s="5" t="s">
        <v>14</v>
      </c>
      <c r="C24" s="19"/>
      <c r="D24" s="20"/>
    </row>
    <row r="25" spans="2:7" ht="15" x14ac:dyDescent="0.2">
      <c r="B25" s="5" t="s">
        <v>14</v>
      </c>
      <c r="C25" s="1"/>
      <c r="D25" s="1"/>
      <c r="E25" s="1"/>
      <c r="F25" s="1"/>
      <c r="G25" s="1"/>
    </row>
    <row r="26" spans="2:7" x14ac:dyDescent="0.2">
      <c r="B26" s="5" t="s">
        <v>14</v>
      </c>
      <c r="E26" s="6"/>
      <c r="F26" s="6"/>
      <c r="G26" s="6"/>
    </row>
    <row r="27" spans="2:7" x14ac:dyDescent="0.2">
      <c r="B27" s="5" t="s">
        <v>14</v>
      </c>
    </row>
    <row r="28" spans="2:7" x14ac:dyDescent="0.2">
      <c r="B28" s="5" t="s">
        <v>14</v>
      </c>
    </row>
    <row r="29" spans="2:7" ht="15" x14ac:dyDescent="0.2">
      <c r="B29" s="5" t="s">
        <v>14</v>
      </c>
      <c r="C29" s="18"/>
      <c r="D29" s="18"/>
    </row>
    <row r="30" spans="2:7" ht="14.25" x14ac:dyDescent="0.2">
      <c r="B30" s="5" t="s">
        <v>14</v>
      </c>
      <c r="C30" s="19"/>
      <c r="D30" s="20"/>
    </row>
    <row r="31" spans="2:7" ht="15" x14ac:dyDescent="0.2">
      <c r="B31" s="5" t="s">
        <v>14</v>
      </c>
      <c r="C31" s="1"/>
      <c r="D31" s="1"/>
      <c r="E31" s="1"/>
      <c r="F31" s="1"/>
      <c r="G31" s="1"/>
    </row>
    <row r="32" spans="2:7" x14ac:dyDescent="0.2">
      <c r="B32" s="5" t="s">
        <v>14</v>
      </c>
      <c r="E32" s="6"/>
      <c r="F32" s="6"/>
      <c r="G32" s="6"/>
    </row>
    <row r="33" spans="2:7" x14ac:dyDescent="0.2">
      <c r="B33" s="5" t="s">
        <v>14</v>
      </c>
    </row>
    <row r="34" spans="2:7" ht="14.25" x14ac:dyDescent="0.2">
      <c r="B34" s="5" t="s">
        <v>14</v>
      </c>
      <c r="C34" s="19"/>
      <c r="D34" s="20"/>
    </row>
    <row r="35" spans="2:7" ht="15" x14ac:dyDescent="0.2">
      <c r="B35" s="5" t="s">
        <v>14</v>
      </c>
      <c r="C35" s="1"/>
      <c r="D35" s="1"/>
      <c r="E35" s="1"/>
      <c r="F35" s="1"/>
      <c r="G35" s="1"/>
    </row>
    <row r="36" spans="2:7" x14ac:dyDescent="0.2">
      <c r="B36" s="5" t="s">
        <v>14</v>
      </c>
      <c r="E36" s="6"/>
      <c r="F36" s="6"/>
      <c r="G36" s="6"/>
    </row>
    <row r="37" spans="2:7" x14ac:dyDescent="0.2">
      <c r="B37" s="5" t="s">
        <v>14</v>
      </c>
    </row>
  </sheetData>
  <mergeCells count="16"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A8:O8"/>
    <mergeCell ref="A11:O11"/>
    <mergeCell ref="B3:B4"/>
    <mergeCell ref="P3:P4"/>
    <mergeCell ref="Q3:Q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B7" workbookViewId="0">
      <selection activeCell="I18" sqref="I18"/>
    </sheetView>
  </sheetViews>
  <sheetFormatPr defaultRowHeight="12.75" x14ac:dyDescent="0.2"/>
  <cols>
    <col min="1" max="1" width="7.42578125" style="31" bestFit="1" customWidth="1"/>
    <col min="2" max="2" width="24.140625" style="31" bestFit="1" customWidth="1"/>
    <col min="3" max="3" width="29" style="31" bestFit="1" customWidth="1"/>
    <col min="4" max="4" width="21.42578125" style="31" bestFit="1" customWidth="1"/>
    <col min="5" max="5" width="10.7109375" style="31" bestFit="1" customWidth="1"/>
    <col min="6" max="6" width="22.7109375" style="31" bestFit="1" customWidth="1"/>
    <col min="7" max="7" width="29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9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743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720</v>
      </c>
      <c r="F3" s="91" t="s">
        <v>4</v>
      </c>
      <c r="G3" s="91" t="s">
        <v>7</v>
      </c>
      <c r="H3" s="91" t="s">
        <v>724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446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742</v>
      </c>
      <c r="C6" s="38" t="s">
        <v>741</v>
      </c>
      <c r="D6" s="38" t="s">
        <v>452</v>
      </c>
      <c r="E6" s="38" t="str">
        <f>"0,9388"</f>
        <v>0,9388</v>
      </c>
      <c r="F6" s="38" t="s">
        <v>21</v>
      </c>
      <c r="G6" s="38" t="s">
        <v>77</v>
      </c>
      <c r="H6" s="39" t="s">
        <v>136</v>
      </c>
      <c r="I6" s="39" t="s">
        <v>740</v>
      </c>
      <c r="J6" s="39" t="str">
        <f>"247,5"</f>
        <v>247,5</v>
      </c>
      <c r="K6" s="39" t="str">
        <f>"232,3530"</f>
        <v>232,3530</v>
      </c>
      <c r="L6" s="38" t="s">
        <v>739</v>
      </c>
    </row>
    <row r="7" spans="1:12" x14ac:dyDescent="0.2">
      <c r="B7" s="31" t="s">
        <v>14</v>
      </c>
    </row>
    <row r="8" spans="1:12" ht="15" x14ac:dyDescent="0.2">
      <c r="A8" s="56" t="s">
        <v>446</v>
      </c>
      <c r="B8" s="56"/>
      <c r="C8" s="56"/>
      <c r="D8" s="56"/>
      <c r="E8" s="56"/>
      <c r="F8" s="56"/>
      <c r="G8" s="56"/>
      <c r="H8" s="56"/>
      <c r="I8" s="56"/>
    </row>
    <row r="9" spans="1:12" x14ac:dyDescent="0.2">
      <c r="A9" s="39" t="s">
        <v>69</v>
      </c>
      <c r="B9" s="38" t="s">
        <v>738</v>
      </c>
      <c r="C9" s="38" t="s">
        <v>737</v>
      </c>
      <c r="D9" s="38" t="s">
        <v>736</v>
      </c>
      <c r="E9" s="38" t="str">
        <f>"1,0569"</f>
        <v>1,0569</v>
      </c>
      <c r="F9" s="38" t="s">
        <v>21</v>
      </c>
      <c r="G9" s="38" t="s">
        <v>77</v>
      </c>
      <c r="H9" s="39" t="s">
        <v>135</v>
      </c>
      <c r="I9" s="39" t="s">
        <v>735</v>
      </c>
      <c r="J9" s="39" t="str">
        <f>"650,0"</f>
        <v>650,0</v>
      </c>
      <c r="K9" s="39" t="str">
        <f>"686,9850"</f>
        <v>686,9850</v>
      </c>
      <c r="L9" s="38" t="s">
        <v>712</v>
      </c>
    </row>
    <row r="10" spans="1:12" x14ac:dyDescent="0.2">
      <c r="B10" s="31" t="s">
        <v>14</v>
      </c>
    </row>
    <row r="11" spans="1:12" ht="15" x14ac:dyDescent="0.2">
      <c r="A11" s="56" t="s">
        <v>90</v>
      </c>
      <c r="B11" s="56"/>
      <c r="C11" s="56"/>
      <c r="D11" s="56"/>
      <c r="E11" s="56"/>
      <c r="F11" s="56"/>
      <c r="G11" s="56"/>
      <c r="H11" s="56"/>
      <c r="I11" s="56"/>
    </row>
    <row r="12" spans="1:12" x14ac:dyDescent="0.2">
      <c r="A12" s="39" t="s">
        <v>69</v>
      </c>
      <c r="B12" s="38" t="s">
        <v>734</v>
      </c>
      <c r="C12" s="38" t="s">
        <v>733</v>
      </c>
      <c r="D12" s="38" t="s">
        <v>464</v>
      </c>
      <c r="E12" s="38" t="str">
        <f>"0,9685"</f>
        <v>0,9685</v>
      </c>
      <c r="F12" s="38" t="s">
        <v>21</v>
      </c>
      <c r="G12" s="38" t="s">
        <v>77</v>
      </c>
      <c r="H12" s="39" t="s">
        <v>136</v>
      </c>
      <c r="I12" s="39" t="s">
        <v>732</v>
      </c>
      <c r="J12" s="39" t="str">
        <f>"990,0"</f>
        <v>990,0</v>
      </c>
      <c r="K12" s="39" t="str">
        <f>"958,8150"</f>
        <v>958,8150</v>
      </c>
      <c r="L12" s="38" t="s">
        <v>712</v>
      </c>
    </row>
    <row r="13" spans="1:12" x14ac:dyDescent="0.2">
      <c r="B13" s="31" t="s">
        <v>14</v>
      </c>
    </row>
    <row r="14" spans="1:12" ht="15" x14ac:dyDescent="0.2">
      <c r="A14" s="56" t="s">
        <v>73</v>
      </c>
      <c r="B14" s="56"/>
      <c r="C14" s="56"/>
      <c r="D14" s="56"/>
      <c r="E14" s="56"/>
      <c r="F14" s="56"/>
      <c r="G14" s="56"/>
      <c r="H14" s="56"/>
      <c r="I14" s="56"/>
    </row>
    <row r="15" spans="1:12" x14ac:dyDescent="0.2">
      <c r="A15" s="39" t="s">
        <v>69</v>
      </c>
      <c r="B15" s="38" t="s">
        <v>422</v>
      </c>
      <c r="C15" s="38" t="s">
        <v>423</v>
      </c>
      <c r="D15" s="38" t="s">
        <v>424</v>
      </c>
      <c r="E15" s="38" t="str">
        <f>"0,8104"</f>
        <v>0,8104</v>
      </c>
      <c r="F15" s="38" t="s">
        <v>21</v>
      </c>
      <c r="G15" s="38" t="s">
        <v>425</v>
      </c>
      <c r="H15" s="39" t="s">
        <v>98</v>
      </c>
      <c r="I15" s="39" t="s">
        <v>155</v>
      </c>
      <c r="J15" s="39" t="str">
        <f>"4400,0"</f>
        <v>4400,0</v>
      </c>
      <c r="K15" s="39" t="str">
        <f>"3565,7600"</f>
        <v>3565,7600</v>
      </c>
      <c r="L15" s="38" t="s">
        <v>712</v>
      </c>
    </row>
    <row r="16" spans="1:12" x14ac:dyDescent="0.2">
      <c r="B16" s="31" t="s">
        <v>14</v>
      </c>
    </row>
    <row r="17" spans="2:7" ht="15" x14ac:dyDescent="0.2">
      <c r="B17" s="31" t="s">
        <v>14</v>
      </c>
      <c r="F17" s="37"/>
    </row>
    <row r="18" spans="2:7" ht="15" x14ac:dyDescent="0.2">
      <c r="B18" s="31" t="s">
        <v>14</v>
      </c>
      <c r="F18" s="37"/>
    </row>
    <row r="19" spans="2:7" ht="15" x14ac:dyDescent="0.2">
      <c r="B19" s="31" t="s">
        <v>14</v>
      </c>
      <c r="F19" s="37"/>
    </row>
    <row r="20" spans="2:7" ht="15" x14ac:dyDescent="0.2">
      <c r="B20" s="31" t="s">
        <v>14</v>
      </c>
      <c r="F20" s="37"/>
    </row>
    <row r="21" spans="2:7" ht="15" x14ac:dyDescent="0.2">
      <c r="B21" s="31" t="s">
        <v>14</v>
      </c>
      <c r="F21" s="37"/>
    </row>
    <row r="22" spans="2:7" ht="15" x14ac:dyDescent="0.2">
      <c r="B22" s="31" t="s">
        <v>14</v>
      </c>
      <c r="F22" s="37"/>
    </row>
    <row r="23" spans="2:7" ht="15" x14ac:dyDescent="0.2">
      <c r="B23" s="31" t="s">
        <v>14</v>
      </c>
      <c r="F23" s="37"/>
    </row>
    <row r="24" spans="2:7" x14ac:dyDescent="0.2">
      <c r="B24" s="31" t="s">
        <v>14</v>
      </c>
    </row>
    <row r="25" spans="2:7" ht="18" x14ac:dyDescent="0.2">
      <c r="B25" s="31" t="s">
        <v>14</v>
      </c>
      <c r="C25" s="36"/>
      <c r="D25" s="36"/>
    </row>
    <row r="26" spans="2:7" ht="15" x14ac:dyDescent="0.2">
      <c r="B26" s="31" t="s">
        <v>14</v>
      </c>
      <c r="C26" s="13"/>
      <c r="D26" s="13"/>
    </row>
    <row r="27" spans="2:7" ht="14.25" x14ac:dyDescent="0.2">
      <c r="B27" s="31" t="s">
        <v>14</v>
      </c>
      <c r="C27" s="35"/>
      <c r="D27" s="34"/>
    </row>
    <row r="28" spans="2:7" ht="15" x14ac:dyDescent="0.2">
      <c r="B28" s="31" t="s">
        <v>14</v>
      </c>
      <c r="C28" s="33"/>
      <c r="D28" s="33"/>
      <c r="E28" s="33"/>
      <c r="F28" s="33"/>
      <c r="G28" s="33"/>
    </row>
    <row r="29" spans="2:7" x14ac:dyDescent="0.2">
      <c r="B29" s="31" t="s">
        <v>14</v>
      </c>
      <c r="E29" s="32"/>
      <c r="F29" s="32"/>
      <c r="G29" s="32"/>
    </row>
    <row r="30" spans="2:7" x14ac:dyDescent="0.2">
      <c r="B30" s="31" t="s">
        <v>14</v>
      </c>
    </row>
    <row r="31" spans="2:7" x14ac:dyDescent="0.2">
      <c r="B31" s="31" t="s">
        <v>14</v>
      </c>
    </row>
    <row r="32" spans="2:7" ht="15" x14ac:dyDescent="0.2">
      <c r="B32" s="31" t="s">
        <v>14</v>
      </c>
      <c r="C32" s="13"/>
      <c r="D32" s="13"/>
    </row>
    <row r="33" spans="2:7" ht="14.25" x14ac:dyDescent="0.2">
      <c r="B33" s="31" t="s">
        <v>14</v>
      </c>
      <c r="C33" s="35"/>
      <c r="D33" s="34"/>
    </row>
    <row r="34" spans="2:7" ht="15" x14ac:dyDescent="0.2">
      <c r="B34" s="31" t="s">
        <v>14</v>
      </c>
      <c r="C34" s="33"/>
      <c r="D34" s="33"/>
      <c r="E34" s="33"/>
      <c r="F34" s="33"/>
      <c r="G34" s="33"/>
    </row>
    <row r="35" spans="2:7" x14ac:dyDescent="0.2">
      <c r="B35" s="31" t="s">
        <v>14</v>
      </c>
      <c r="E35" s="32"/>
      <c r="F35" s="32"/>
      <c r="G35" s="32"/>
    </row>
    <row r="36" spans="2:7" x14ac:dyDescent="0.2">
      <c r="B36" s="31" t="s">
        <v>14</v>
      </c>
      <c r="E36" s="32"/>
      <c r="F36" s="32"/>
      <c r="G36" s="32"/>
    </row>
    <row r="37" spans="2:7" x14ac:dyDescent="0.2">
      <c r="B37" s="31" t="s">
        <v>14</v>
      </c>
    </row>
    <row r="38" spans="2:7" ht="14.25" x14ac:dyDescent="0.2">
      <c r="B38" s="31" t="s">
        <v>14</v>
      </c>
      <c r="C38" s="35"/>
      <c r="D38" s="34"/>
    </row>
    <row r="39" spans="2:7" ht="15" x14ac:dyDescent="0.2">
      <c r="B39" s="31" t="s">
        <v>14</v>
      </c>
      <c r="C39" s="33"/>
      <c r="D39" s="33"/>
      <c r="E39" s="33"/>
      <c r="F39" s="33"/>
      <c r="G39" s="33"/>
    </row>
    <row r="40" spans="2:7" x14ac:dyDescent="0.2">
      <c r="B40" s="31" t="s">
        <v>14</v>
      </c>
      <c r="E40" s="32"/>
      <c r="F40" s="32"/>
      <c r="G40" s="32"/>
    </row>
    <row r="41" spans="2:7" x14ac:dyDescent="0.2">
      <c r="B41" s="31" t="s">
        <v>14</v>
      </c>
    </row>
  </sheetData>
  <mergeCells count="16">
    <mergeCell ref="A8:I8"/>
    <mergeCell ref="A11:I11"/>
    <mergeCell ref="A14:I14"/>
    <mergeCell ref="B3:B4"/>
    <mergeCell ref="H3:I3"/>
    <mergeCell ref="J3:J4"/>
    <mergeCell ref="K3:K4"/>
    <mergeCell ref="L3:L4"/>
    <mergeCell ref="A5:I5"/>
    <mergeCell ref="A1:L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B1" workbookViewId="0">
      <selection activeCell="L13" sqref="L13"/>
    </sheetView>
  </sheetViews>
  <sheetFormatPr defaultRowHeight="12.75" x14ac:dyDescent="0.2"/>
  <cols>
    <col min="1" max="1" width="7.42578125" style="31" bestFit="1" customWidth="1"/>
    <col min="2" max="2" width="16.42578125" style="31" bestFit="1" customWidth="1"/>
    <col min="3" max="3" width="28.5703125" style="31" bestFit="1" customWidth="1"/>
    <col min="4" max="4" width="21.42578125" style="31" bestFit="1" customWidth="1"/>
    <col min="5" max="5" width="10.7109375" style="31" bestFit="1" customWidth="1"/>
    <col min="6" max="6" width="22.7109375" style="31" bestFit="1" customWidth="1"/>
    <col min="7" max="7" width="40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9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750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720</v>
      </c>
      <c r="F3" s="91" t="s">
        <v>4</v>
      </c>
      <c r="G3" s="91" t="s">
        <v>7</v>
      </c>
      <c r="H3" s="91" t="s">
        <v>724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73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70</v>
      </c>
      <c r="B6" s="38" t="s">
        <v>422</v>
      </c>
      <c r="C6" s="38" t="s">
        <v>423</v>
      </c>
      <c r="D6" s="38" t="s">
        <v>424</v>
      </c>
      <c r="E6" s="38" t="str">
        <f>"0,8104"</f>
        <v>0,8104</v>
      </c>
      <c r="F6" s="38" t="s">
        <v>21</v>
      </c>
      <c r="G6" s="38" t="s">
        <v>425</v>
      </c>
      <c r="H6" s="39" t="s">
        <v>152</v>
      </c>
      <c r="I6" s="39"/>
      <c r="J6" s="39" t="str">
        <f>"0.00"</f>
        <v>0.00</v>
      </c>
      <c r="K6" s="39" t="str">
        <f>"0,0000"</f>
        <v>0,0000</v>
      </c>
      <c r="L6" s="38" t="s">
        <v>712</v>
      </c>
    </row>
    <row r="7" spans="1:12" x14ac:dyDescent="0.2">
      <c r="B7" s="31" t="s">
        <v>14</v>
      </c>
    </row>
    <row r="8" spans="1:12" ht="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</row>
    <row r="9" spans="1:12" x14ac:dyDescent="0.2">
      <c r="A9" s="47" t="s">
        <v>69</v>
      </c>
      <c r="B9" s="46" t="s">
        <v>534</v>
      </c>
      <c r="C9" s="46" t="s">
        <v>535</v>
      </c>
      <c r="D9" s="46" t="s">
        <v>536</v>
      </c>
      <c r="E9" s="46" t="str">
        <f>"0,7234"</f>
        <v>0,7234</v>
      </c>
      <c r="F9" s="46" t="s">
        <v>21</v>
      </c>
      <c r="G9" s="46" t="s">
        <v>31</v>
      </c>
      <c r="H9" s="47" t="s">
        <v>95</v>
      </c>
      <c r="I9" s="47" t="s">
        <v>749</v>
      </c>
      <c r="J9" s="47" t="str">
        <f>"2610,0"</f>
        <v>2610,0</v>
      </c>
      <c r="K9" s="47" t="str">
        <f>"1888,0740"</f>
        <v>1888,0740</v>
      </c>
      <c r="L9" s="46" t="s">
        <v>712</v>
      </c>
    </row>
    <row r="10" spans="1:12" x14ac:dyDescent="0.2">
      <c r="A10" s="43" t="s">
        <v>71</v>
      </c>
      <c r="B10" s="42" t="s">
        <v>748</v>
      </c>
      <c r="C10" s="42" t="s">
        <v>747</v>
      </c>
      <c r="D10" s="42" t="s">
        <v>746</v>
      </c>
      <c r="E10" s="42" t="str">
        <f>"0,7584"</f>
        <v>0,7584</v>
      </c>
      <c r="F10" s="42" t="s">
        <v>21</v>
      </c>
      <c r="G10" s="42" t="s">
        <v>745</v>
      </c>
      <c r="H10" s="43" t="s">
        <v>153</v>
      </c>
      <c r="I10" s="43" t="s">
        <v>744</v>
      </c>
      <c r="J10" s="43" t="str">
        <f>"2295,0"</f>
        <v>2295,0</v>
      </c>
      <c r="K10" s="43" t="str">
        <f>"1740,5281"</f>
        <v>1740,5281</v>
      </c>
      <c r="L10" s="42" t="s">
        <v>712</v>
      </c>
    </row>
    <row r="11" spans="1:12" x14ac:dyDescent="0.2">
      <c r="B11" s="31" t="s">
        <v>14</v>
      </c>
    </row>
    <row r="12" spans="1:12" ht="15" x14ac:dyDescent="0.2">
      <c r="A12" s="56" t="s">
        <v>33</v>
      </c>
      <c r="B12" s="56"/>
      <c r="C12" s="56"/>
      <c r="D12" s="56"/>
      <c r="E12" s="56"/>
      <c r="F12" s="56"/>
      <c r="G12" s="56"/>
      <c r="H12" s="56"/>
      <c r="I12" s="56"/>
    </row>
    <row r="13" spans="1:12" x14ac:dyDescent="0.2">
      <c r="A13" s="39" t="s">
        <v>69</v>
      </c>
      <c r="B13" s="38" t="s">
        <v>729</v>
      </c>
      <c r="C13" s="38" t="s">
        <v>728</v>
      </c>
      <c r="D13" s="38" t="s">
        <v>727</v>
      </c>
      <c r="E13" s="38" t="str">
        <f>"0,7101"</f>
        <v>0,7101</v>
      </c>
      <c r="F13" s="38" t="s">
        <v>21</v>
      </c>
      <c r="G13" s="38" t="s">
        <v>237</v>
      </c>
      <c r="H13" s="39" t="s">
        <v>101</v>
      </c>
      <c r="I13" s="39" t="s">
        <v>726</v>
      </c>
      <c r="J13" s="39" t="str">
        <f>"1615,0"</f>
        <v>1615,0</v>
      </c>
      <c r="K13" s="39" t="str">
        <f>"1146,8115"</f>
        <v>1146,8115</v>
      </c>
      <c r="L13" s="38" t="s">
        <v>712</v>
      </c>
    </row>
    <row r="14" spans="1:12" x14ac:dyDescent="0.2">
      <c r="B14" s="31" t="s">
        <v>14</v>
      </c>
    </row>
    <row r="15" spans="1:12" ht="15" x14ac:dyDescent="0.2">
      <c r="B15" s="31" t="s">
        <v>14</v>
      </c>
      <c r="F15" s="37"/>
    </row>
    <row r="16" spans="1:12" ht="15" x14ac:dyDescent="0.2">
      <c r="B16" s="31" t="s">
        <v>14</v>
      </c>
      <c r="F16" s="37"/>
    </row>
    <row r="17" spans="2:7" ht="15" x14ac:dyDescent="0.2">
      <c r="B17" s="31" t="s">
        <v>14</v>
      </c>
      <c r="F17" s="37"/>
    </row>
    <row r="18" spans="2:7" ht="15" x14ac:dyDescent="0.2">
      <c r="B18" s="31" t="s">
        <v>14</v>
      </c>
      <c r="F18" s="37"/>
    </row>
    <row r="19" spans="2:7" ht="15" x14ac:dyDescent="0.2">
      <c r="B19" s="31" t="s">
        <v>14</v>
      </c>
      <c r="F19" s="37"/>
    </row>
    <row r="20" spans="2:7" ht="15" x14ac:dyDescent="0.2">
      <c r="B20" s="31" t="s">
        <v>14</v>
      </c>
      <c r="F20" s="37"/>
    </row>
    <row r="21" spans="2:7" ht="15" x14ac:dyDescent="0.2">
      <c r="B21" s="31" t="s">
        <v>14</v>
      </c>
      <c r="F21" s="37"/>
    </row>
    <row r="22" spans="2:7" x14ac:dyDescent="0.2">
      <c r="B22" s="31" t="s">
        <v>14</v>
      </c>
    </row>
    <row r="23" spans="2:7" ht="18" x14ac:dyDescent="0.2">
      <c r="B23" s="31" t="s">
        <v>14</v>
      </c>
      <c r="C23" s="36"/>
      <c r="D23" s="36"/>
    </row>
    <row r="24" spans="2:7" ht="15" x14ac:dyDescent="0.2">
      <c r="B24" s="31" t="s">
        <v>14</v>
      </c>
      <c r="C24" s="13"/>
      <c r="D24" s="13"/>
    </row>
    <row r="25" spans="2:7" ht="14.25" x14ac:dyDescent="0.2">
      <c r="B25" s="31" t="s">
        <v>14</v>
      </c>
      <c r="C25" s="35"/>
      <c r="D25" s="34"/>
    </row>
    <row r="26" spans="2:7" ht="15" x14ac:dyDescent="0.2">
      <c r="B26" s="31" t="s">
        <v>14</v>
      </c>
      <c r="C26" s="33"/>
      <c r="D26" s="33"/>
      <c r="E26" s="33"/>
      <c r="F26" s="33"/>
      <c r="G26" s="33"/>
    </row>
    <row r="27" spans="2:7" x14ac:dyDescent="0.2">
      <c r="B27" s="31" t="s">
        <v>14</v>
      </c>
      <c r="E27" s="32"/>
      <c r="F27" s="32"/>
      <c r="G27" s="32"/>
    </row>
    <row r="28" spans="2:7" x14ac:dyDescent="0.2">
      <c r="B28" s="31" t="s">
        <v>14</v>
      </c>
      <c r="E28" s="32"/>
      <c r="F28" s="32"/>
      <c r="G28" s="32"/>
    </row>
    <row r="29" spans="2:7" x14ac:dyDescent="0.2">
      <c r="B29" s="31" t="s">
        <v>14</v>
      </c>
    </row>
    <row r="30" spans="2:7" ht="14.25" x14ac:dyDescent="0.2">
      <c r="B30" s="31" t="s">
        <v>14</v>
      </c>
      <c r="C30" s="35"/>
      <c r="D30" s="34"/>
    </row>
    <row r="31" spans="2:7" ht="15" x14ac:dyDescent="0.2">
      <c r="B31" s="31" t="s">
        <v>14</v>
      </c>
      <c r="C31" s="33"/>
      <c r="D31" s="33"/>
      <c r="E31" s="33"/>
      <c r="F31" s="33"/>
      <c r="G31" s="33"/>
    </row>
    <row r="32" spans="2:7" x14ac:dyDescent="0.2">
      <c r="B32" s="31" t="s">
        <v>14</v>
      </c>
      <c r="E32" s="32"/>
      <c r="F32" s="32"/>
      <c r="G32" s="32"/>
    </row>
    <row r="33" spans="2:2" x14ac:dyDescent="0.2">
      <c r="B33" s="31" t="s">
        <v>14</v>
      </c>
    </row>
  </sheetData>
  <mergeCells count="15">
    <mergeCell ref="A5:I5"/>
    <mergeCell ref="A8:I8"/>
    <mergeCell ref="A12:I12"/>
    <mergeCell ref="B3:B4"/>
    <mergeCell ref="E3:E4"/>
    <mergeCell ref="J3:J4"/>
    <mergeCell ref="K3:K4"/>
    <mergeCell ref="A1:L2"/>
    <mergeCell ref="A3:A4"/>
    <mergeCell ref="C3:C4"/>
    <mergeCell ref="D3:D4"/>
    <mergeCell ref="L3:L4"/>
    <mergeCell ref="G3:G4"/>
    <mergeCell ref="F3:F4"/>
    <mergeCell ref="H3:I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J10" sqref="J10"/>
    </sheetView>
  </sheetViews>
  <sheetFormatPr defaultRowHeight="12.75" x14ac:dyDescent="0.2"/>
  <cols>
    <col min="1" max="1" width="7.42578125" style="31" bestFit="1" customWidth="1"/>
    <col min="2" max="2" width="16.28515625" style="31" bestFit="1" customWidth="1"/>
    <col min="3" max="3" width="28.42578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7.28515625" style="31" bestFit="1" customWidth="1"/>
    <col min="8" max="8" width="5.570312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755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753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47" t="s">
        <v>69</v>
      </c>
      <c r="B6" s="46" t="s">
        <v>698</v>
      </c>
      <c r="C6" s="46" t="s">
        <v>699</v>
      </c>
      <c r="D6" s="46" t="s">
        <v>700</v>
      </c>
      <c r="E6" s="46" t="str">
        <f>"1,0000"</f>
        <v>1,0000</v>
      </c>
      <c r="F6" s="46" t="s">
        <v>21</v>
      </c>
      <c r="G6" s="46" t="s">
        <v>230</v>
      </c>
      <c r="H6" s="47" t="s">
        <v>110</v>
      </c>
      <c r="I6" s="47" t="s">
        <v>480</v>
      </c>
      <c r="J6" s="47" t="str">
        <f>"2400,0"</f>
        <v>2400,0</v>
      </c>
      <c r="K6" s="47" t="str">
        <f>"36,8663"</f>
        <v>36,8663</v>
      </c>
      <c r="L6" s="46" t="s">
        <v>712</v>
      </c>
    </row>
    <row r="7" spans="1:12" x14ac:dyDescent="0.2">
      <c r="A7" s="43" t="s">
        <v>69</v>
      </c>
      <c r="B7" s="42" t="s">
        <v>212</v>
      </c>
      <c r="C7" s="42" t="s">
        <v>213</v>
      </c>
      <c r="D7" s="42" t="s">
        <v>214</v>
      </c>
      <c r="E7" s="42" t="str">
        <f>"1,0000"</f>
        <v>1,0000</v>
      </c>
      <c r="F7" s="42" t="s">
        <v>21</v>
      </c>
      <c r="G7" s="42" t="s">
        <v>167</v>
      </c>
      <c r="H7" s="43" t="s">
        <v>110</v>
      </c>
      <c r="I7" s="43" t="s">
        <v>751</v>
      </c>
      <c r="J7" s="43" t="str">
        <f>"3150,0"</f>
        <v>3150,0</v>
      </c>
      <c r="K7" s="43" t="str">
        <f>"38,7931"</f>
        <v>38,7931</v>
      </c>
      <c r="L7" s="42" t="s">
        <v>712</v>
      </c>
    </row>
    <row r="8" spans="1:12" x14ac:dyDescent="0.2">
      <c r="B8" s="31" t="s">
        <v>14</v>
      </c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ht="15" x14ac:dyDescent="0.2">
      <c r="B15" s="31" t="s">
        <v>14</v>
      </c>
      <c r="F15" s="37"/>
    </row>
    <row r="16" spans="1:12" x14ac:dyDescent="0.2">
      <c r="B16" s="31" t="s">
        <v>14</v>
      </c>
    </row>
    <row r="17" spans="2:7" ht="18" x14ac:dyDescent="0.2">
      <c r="B17" s="31" t="s">
        <v>14</v>
      </c>
      <c r="C17" s="36"/>
      <c r="D17" s="36"/>
    </row>
    <row r="18" spans="2:7" ht="15" x14ac:dyDescent="0.2">
      <c r="B18" s="31" t="s">
        <v>14</v>
      </c>
      <c r="C18" s="13"/>
      <c r="D18" s="13"/>
    </row>
    <row r="19" spans="2:7" ht="14.25" x14ac:dyDescent="0.2">
      <c r="B19" s="31" t="s">
        <v>14</v>
      </c>
      <c r="C19" s="35"/>
      <c r="D19" s="34"/>
    </row>
    <row r="20" spans="2:7" ht="15" x14ac:dyDescent="0.2">
      <c r="B20" s="31" t="s">
        <v>14</v>
      </c>
      <c r="C20" s="33"/>
      <c r="D20" s="33"/>
      <c r="E20" s="33"/>
      <c r="F20" s="33"/>
      <c r="G20" s="33"/>
    </row>
    <row r="21" spans="2:7" x14ac:dyDescent="0.2">
      <c r="B21" s="31" t="s">
        <v>14</v>
      </c>
      <c r="E21" s="32"/>
      <c r="F21" s="32"/>
      <c r="G21" s="32"/>
    </row>
    <row r="22" spans="2:7" x14ac:dyDescent="0.2">
      <c r="B22" s="31" t="s">
        <v>14</v>
      </c>
    </row>
    <row r="23" spans="2:7" ht="14.25" x14ac:dyDescent="0.2">
      <c r="B23" s="31" t="s">
        <v>14</v>
      </c>
      <c r="C23" s="35"/>
      <c r="D23" s="34"/>
    </row>
    <row r="24" spans="2:7" ht="15" x14ac:dyDescent="0.2">
      <c r="B24" s="31" t="s">
        <v>14</v>
      </c>
      <c r="C24" s="33"/>
      <c r="D24" s="33"/>
      <c r="E24" s="33"/>
      <c r="F24" s="33"/>
      <c r="G24" s="33"/>
    </row>
    <row r="25" spans="2:7" x14ac:dyDescent="0.2">
      <c r="B25" s="31" t="s">
        <v>14</v>
      </c>
      <c r="E25" s="32"/>
      <c r="F25" s="32"/>
      <c r="G25" s="32"/>
    </row>
    <row r="26" spans="2:7" x14ac:dyDescent="0.2">
      <c r="B26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15" sqref="F15"/>
    </sheetView>
  </sheetViews>
  <sheetFormatPr defaultRowHeight="12.75" x14ac:dyDescent="0.2"/>
  <cols>
    <col min="1" max="1" width="7.42578125" style="31" bestFit="1" customWidth="1"/>
    <col min="2" max="2" width="17" style="31" bestFit="1" customWidth="1"/>
    <col min="3" max="3" width="28.5703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0.85546875" style="31" bestFit="1" customWidth="1"/>
    <col min="8" max="8" width="5.570312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760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753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759</v>
      </c>
      <c r="C6" s="38" t="s">
        <v>758</v>
      </c>
      <c r="D6" s="38" t="s">
        <v>757</v>
      </c>
      <c r="E6" s="38" t="str">
        <f>"1,0000"</f>
        <v>1,0000</v>
      </c>
      <c r="F6" s="38" t="s">
        <v>21</v>
      </c>
      <c r="G6" s="38" t="s">
        <v>756</v>
      </c>
      <c r="H6" s="39" t="s">
        <v>96</v>
      </c>
      <c r="I6" s="39" t="s">
        <v>751</v>
      </c>
      <c r="J6" s="39" t="str">
        <f>"2100,0"</f>
        <v>2100,0</v>
      </c>
      <c r="K6" s="39" t="str">
        <f>"42,8571"</f>
        <v>42,8571</v>
      </c>
      <c r="L6" s="38" t="s">
        <v>712</v>
      </c>
    </row>
    <row r="7" spans="1:12" x14ac:dyDescent="0.2">
      <c r="B7" s="31" t="s">
        <v>14</v>
      </c>
    </row>
    <row r="8" spans="1:12" ht="15" x14ac:dyDescent="0.2">
      <c r="B8" s="31" t="s">
        <v>14</v>
      </c>
      <c r="F8" s="37"/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x14ac:dyDescent="0.2">
      <c r="B15" s="31" t="s">
        <v>14</v>
      </c>
    </row>
    <row r="16" spans="1:12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3" sqref="L1:L1048576"/>
    </sheetView>
  </sheetViews>
  <sheetFormatPr defaultRowHeight="12.75" x14ac:dyDescent="0.2"/>
  <cols>
    <col min="1" max="1" width="7.42578125" style="31" bestFit="1" customWidth="1"/>
    <col min="2" max="2" width="18.42578125" style="31" bestFit="1" customWidth="1"/>
    <col min="3" max="3" width="26.285156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34.57031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761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753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654</v>
      </c>
      <c r="C6" s="38" t="s">
        <v>655</v>
      </c>
      <c r="D6" s="38" t="s">
        <v>656</v>
      </c>
      <c r="E6" s="38" t="str">
        <f>"1,0000"</f>
        <v>1,0000</v>
      </c>
      <c r="F6" s="38" t="s">
        <v>21</v>
      </c>
      <c r="G6" s="38" t="s">
        <v>31</v>
      </c>
      <c r="H6" s="39" t="s">
        <v>161</v>
      </c>
      <c r="I6" s="39" t="s">
        <v>749</v>
      </c>
      <c r="J6" s="39" t="str">
        <f>"1595,0"</f>
        <v>1595,0</v>
      </c>
      <c r="K6" s="39" t="str">
        <f>"29,7574"</f>
        <v>29,7574</v>
      </c>
      <c r="L6" s="38" t="s">
        <v>712</v>
      </c>
    </row>
    <row r="7" spans="1:12" x14ac:dyDescent="0.2">
      <c r="B7" s="31" t="s">
        <v>14</v>
      </c>
    </row>
    <row r="8" spans="1:12" ht="15" x14ac:dyDescent="0.2">
      <c r="B8" s="31" t="s">
        <v>14</v>
      </c>
      <c r="F8" s="37"/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x14ac:dyDescent="0.2">
      <c r="B15" s="31" t="s">
        <v>14</v>
      </c>
    </row>
    <row r="16" spans="1:12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10" sqref="E10"/>
    </sheetView>
  </sheetViews>
  <sheetFormatPr defaultRowHeight="12.75" x14ac:dyDescent="0.2"/>
  <cols>
    <col min="1" max="1" width="7.42578125" style="31" bestFit="1" customWidth="1"/>
    <col min="2" max="2" width="18.42578125" style="31" bestFit="1" customWidth="1"/>
    <col min="3" max="3" width="28.42578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5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766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765</v>
      </c>
      <c r="I3" s="91"/>
      <c r="J3" s="91" t="s">
        <v>718</v>
      </c>
      <c r="K3" s="93" t="s">
        <v>3</v>
      </c>
      <c r="L3" s="92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4"/>
      <c r="L4" s="92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764</v>
      </c>
      <c r="C6" s="38" t="s">
        <v>275</v>
      </c>
      <c r="D6" s="38" t="s">
        <v>763</v>
      </c>
      <c r="E6" s="38" t="str">
        <f>"1,0000"</f>
        <v>1,0000</v>
      </c>
      <c r="F6" s="38" t="s">
        <v>21</v>
      </c>
      <c r="G6" s="38" t="s">
        <v>230</v>
      </c>
      <c r="H6" s="39" t="s">
        <v>169</v>
      </c>
      <c r="I6" s="39" t="s">
        <v>762</v>
      </c>
      <c r="J6" s="39" t="str">
        <f>"3075,0"</f>
        <v>3075,0</v>
      </c>
      <c r="K6" s="48" t="str">
        <f>"36,1339"</f>
        <v>36,1339</v>
      </c>
      <c r="L6" s="38" t="s">
        <v>712</v>
      </c>
    </row>
    <row r="7" spans="1:12" x14ac:dyDescent="0.2">
      <c r="B7" s="31" t="s">
        <v>14</v>
      </c>
    </row>
    <row r="8" spans="1:12" ht="15" x14ac:dyDescent="0.2">
      <c r="B8" s="31" t="s">
        <v>14</v>
      </c>
      <c r="F8" s="37"/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x14ac:dyDescent="0.2">
      <c r="B15" s="31" t="s">
        <v>14</v>
      </c>
    </row>
    <row r="16" spans="1:12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D23" sqref="D23:E23"/>
    </sheetView>
  </sheetViews>
  <sheetFormatPr defaultRowHeight="12.75" x14ac:dyDescent="0.2"/>
  <cols>
    <col min="1" max="1" width="7.42578125" style="31" bestFit="1" customWidth="1"/>
    <col min="2" max="2" width="18.7109375" style="31" bestFit="1" customWidth="1"/>
    <col min="3" max="3" width="28.5703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9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803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95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765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96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45" t="s">
        <v>69</v>
      </c>
      <c r="B6" s="44" t="s">
        <v>748</v>
      </c>
      <c r="C6" s="44" t="s">
        <v>747</v>
      </c>
      <c r="D6" s="44" t="s">
        <v>746</v>
      </c>
      <c r="E6" s="44" t="str">
        <f t="shared" ref="E6:E16" si="0">"1,0000"</f>
        <v>1,0000</v>
      </c>
      <c r="F6" s="44" t="s">
        <v>21</v>
      </c>
      <c r="G6" s="44" t="s">
        <v>745</v>
      </c>
      <c r="H6" s="45" t="s">
        <v>161</v>
      </c>
      <c r="I6" s="45" t="s">
        <v>799</v>
      </c>
      <c r="J6" s="45" t="str">
        <f>"4510,0"</f>
        <v>4510,0</v>
      </c>
      <c r="K6" s="45" t="str">
        <f>"53,2467"</f>
        <v>53,2467</v>
      </c>
      <c r="L6" s="44" t="s">
        <v>712</v>
      </c>
    </row>
    <row r="7" spans="1:12" x14ac:dyDescent="0.2">
      <c r="A7" s="45" t="s">
        <v>71</v>
      </c>
      <c r="B7" s="44" t="s">
        <v>798</v>
      </c>
      <c r="C7" s="44" t="s">
        <v>797</v>
      </c>
      <c r="D7" s="44" t="s">
        <v>524</v>
      </c>
      <c r="E7" s="44" t="str">
        <f t="shared" si="0"/>
        <v>1,0000</v>
      </c>
      <c r="F7" s="44" t="s">
        <v>21</v>
      </c>
      <c r="G7" s="44" t="s">
        <v>784</v>
      </c>
      <c r="H7" s="45" t="s">
        <v>161</v>
      </c>
      <c r="I7" s="45" t="s">
        <v>796</v>
      </c>
      <c r="J7" s="45" t="str">
        <f>"4455,0"</f>
        <v>4455,0</v>
      </c>
      <c r="K7" s="45" t="str">
        <f>"54,1312"</f>
        <v>54,1312</v>
      </c>
      <c r="L7" s="44" t="s">
        <v>712</v>
      </c>
    </row>
    <row r="8" spans="1:12" x14ac:dyDescent="0.2">
      <c r="A8" s="45" t="s">
        <v>335</v>
      </c>
      <c r="B8" s="44" t="s">
        <v>795</v>
      </c>
      <c r="C8" s="44" t="s">
        <v>794</v>
      </c>
      <c r="D8" s="44" t="s">
        <v>793</v>
      </c>
      <c r="E8" s="44" t="str">
        <f t="shared" si="0"/>
        <v>1,0000</v>
      </c>
      <c r="F8" s="44" t="s">
        <v>21</v>
      </c>
      <c r="G8" s="44" t="s">
        <v>42</v>
      </c>
      <c r="H8" s="45" t="s">
        <v>161</v>
      </c>
      <c r="I8" s="45" t="s">
        <v>792</v>
      </c>
      <c r="J8" s="45" t="str">
        <f>"3190,0"</f>
        <v>3190,0</v>
      </c>
      <c r="K8" s="45" t="str">
        <f>"43,6388"</f>
        <v>43,6388</v>
      </c>
      <c r="L8" s="44" t="s">
        <v>712</v>
      </c>
    </row>
    <row r="9" spans="1:12" x14ac:dyDescent="0.2">
      <c r="A9" s="45" t="s">
        <v>336</v>
      </c>
      <c r="B9" s="44" t="s">
        <v>791</v>
      </c>
      <c r="C9" s="44" t="s">
        <v>790</v>
      </c>
      <c r="D9" s="44" t="s">
        <v>789</v>
      </c>
      <c r="E9" s="44" t="str">
        <f t="shared" si="0"/>
        <v>1,0000</v>
      </c>
      <c r="F9" s="44" t="s">
        <v>21</v>
      </c>
      <c r="G9" s="44" t="s">
        <v>77</v>
      </c>
      <c r="H9" s="45" t="s">
        <v>161</v>
      </c>
      <c r="I9" s="45" t="s">
        <v>788</v>
      </c>
      <c r="J9" s="45" t="str">
        <f>"1760,0"</f>
        <v>1760,0</v>
      </c>
      <c r="K9" s="45" t="str">
        <f>"27,1186"</f>
        <v>27,1186</v>
      </c>
      <c r="L9" s="44" t="s">
        <v>712</v>
      </c>
    </row>
    <row r="10" spans="1:12" x14ac:dyDescent="0.2">
      <c r="A10" s="45" t="s">
        <v>69</v>
      </c>
      <c r="B10" s="44" t="s">
        <v>787</v>
      </c>
      <c r="C10" s="44" t="s">
        <v>786</v>
      </c>
      <c r="D10" s="44" t="s">
        <v>785</v>
      </c>
      <c r="E10" s="44" t="str">
        <f t="shared" si="0"/>
        <v>1,0000</v>
      </c>
      <c r="F10" s="44" t="s">
        <v>21</v>
      </c>
      <c r="G10" s="44" t="s">
        <v>784</v>
      </c>
      <c r="H10" s="45" t="s">
        <v>161</v>
      </c>
      <c r="I10" s="45" t="s">
        <v>783</v>
      </c>
      <c r="J10" s="45" t="str">
        <f>"2365,0"</f>
        <v>2365,0</v>
      </c>
      <c r="K10" s="45" t="str">
        <f>"32,0027"</f>
        <v>32,0027</v>
      </c>
      <c r="L10" s="44" t="s">
        <v>712</v>
      </c>
    </row>
    <row r="11" spans="1:12" x14ac:dyDescent="0.2">
      <c r="A11" s="45" t="s">
        <v>69</v>
      </c>
      <c r="B11" s="44" t="s">
        <v>782</v>
      </c>
      <c r="C11" s="44" t="s">
        <v>781</v>
      </c>
      <c r="D11" s="44" t="s">
        <v>780</v>
      </c>
      <c r="E11" s="44" t="str">
        <f t="shared" si="0"/>
        <v>1,0000</v>
      </c>
      <c r="F11" s="44" t="s">
        <v>21</v>
      </c>
      <c r="G11" s="44" t="s">
        <v>518</v>
      </c>
      <c r="H11" s="45" t="s">
        <v>161</v>
      </c>
      <c r="I11" s="45" t="s">
        <v>779</v>
      </c>
      <c r="J11" s="45" t="str">
        <f>"4235,0"</f>
        <v>4235,0</v>
      </c>
      <c r="K11" s="45" t="str">
        <f>"49,9410"</f>
        <v>49,9410</v>
      </c>
      <c r="L11" s="44" t="s">
        <v>712</v>
      </c>
    </row>
    <row r="12" spans="1:12" x14ac:dyDescent="0.2">
      <c r="A12" s="45" t="s">
        <v>71</v>
      </c>
      <c r="B12" s="44" t="s">
        <v>564</v>
      </c>
      <c r="C12" s="44" t="s">
        <v>565</v>
      </c>
      <c r="D12" s="44" t="s">
        <v>566</v>
      </c>
      <c r="E12" s="44" t="str">
        <f t="shared" si="0"/>
        <v>1,0000</v>
      </c>
      <c r="F12" s="44" t="s">
        <v>21</v>
      </c>
      <c r="G12" s="44" t="s">
        <v>380</v>
      </c>
      <c r="H12" s="45" t="s">
        <v>161</v>
      </c>
      <c r="I12" s="45" t="s">
        <v>778</v>
      </c>
      <c r="J12" s="45" t="str">
        <f>"3630,0"</f>
        <v>3630,0</v>
      </c>
      <c r="K12" s="45" t="str">
        <f>"37,1926"</f>
        <v>37,1926</v>
      </c>
      <c r="L12" s="44" t="s">
        <v>712</v>
      </c>
    </row>
    <row r="13" spans="1:12" x14ac:dyDescent="0.2">
      <c r="A13" s="45" t="s">
        <v>335</v>
      </c>
      <c r="B13" s="44" t="s">
        <v>777</v>
      </c>
      <c r="C13" s="44" t="s">
        <v>776</v>
      </c>
      <c r="D13" s="44" t="s">
        <v>775</v>
      </c>
      <c r="E13" s="44" t="str">
        <f t="shared" si="0"/>
        <v>1,0000</v>
      </c>
      <c r="F13" s="44" t="s">
        <v>21</v>
      </c>
      <c r="G13" s="44" t="s">
        <v>518</v>
      </c>
      <c r="H13" s="45" t="s">
        <v>161</v>
      </c>
      <c r="I13" s="45" t="s">
        <v>774</v>
      </c>
      <c r="J13" s="45" t="str">
        <f>"2420,0"</f>
        <v>2420,0</v>
      </c>
      <c r="K13" s="45" t="str">
        <f>"30,8673"</f>
        <v>30,8673</v>
      </c>
      <c r="L13" s="44" t="s">
        <v>712</v>
      </c>
    </row>
    <row r="14" spans="1:12" x14ac:dyDescent="0.2">
      <c r="A14" s="45" t="s">
        <v>336</v>
      </c>
      <c r="B14" s="44" t="s">
        <v>773</v>
      </c>
      <c r="C14" s="44" t="s">
        <v>772</v>
      </c>
      <c r="D14" s="44" t="s">
        <v>771</v>
      </c>
      <c r="E14" s="44" t="str">
        <f t="shared" si="0"/>
        <v>1,0000</v>
      </c>
      <c r="F14" s="44" t="s">
        <v>21</v>
      </c>
      <c r="G14" s="44" t="s">
        <v>77</v>
      </c>
      <c r="H14" s="45" t="s">
        <v>161</v>
      </c>
      <c r="I14" s="45" t="s">
        <v>703</v>
      </c>
      <c r="J14" s="45" t="str">
        <f>"1870,0"</f>
        <v>1870,0</v>
      </c>
      <c r="K14" s="45" t="str">
        <f>"23,1149"</f>
        <v>23,1149</v>
      </c>
      <c r="L14" s="44" t="s">
        <v>712</v>
      </c>
    </row>
    <row r="15" spans="1:12" x14ac:dyDescent="0.2">
      <c r="A15" s="45" t="s">
        <v>70</v>
      </c>
      <c r="B15" s="44" t="s">
        <v>770</v>
      </c>
      <c r="C15" s="44" t="s">
        <v>769</v>
      </c>
      <c r="D15" s="44" t="s">
        <v>768</v>
      </c>
      <c r="E15" s="44" t="str">
        <f t="shared" si="0"/>
        <v>1,0000</v>
      </c>
      <c r="F15" s="44" t="s">
        <v>21</v>
      </c>
      <c r="G15" s="44" t="s">
        <v>599</v>
      </c>
      <c r="H15" s="45" t="s">
        <v>161</v>
      </c>
      <c r="I15" s="45"/>
      <c r="J15" s="45" t="str">
        <f>"0.00"</f>
        <v>0.00</v>
      </c>
      <c r="K15" s="45" t="str">
        <f>"0,0000"</f>
        <v>0,0000</v>
      </c>
      <c r="L15" s="44" t="s">
        <v>712</v>
      </c>
    </row>
    <row r="16" spans="1:12" x14ac:dyDescent="0.2">
      <c r="A16" s="43" t="s">
        <v>69</v>
      </c>
      <c r="B16" s="42" t="s">
        <v>422</v>
      </c>
      <c r="C16" s="42" t="s">
        <v>423</v>
      </c>
      <c r="D16" s="42" t="s">
        <v>424</v>
      </c>
      <c r="E16" s="42" t="str">
        <f t="shared" si="0"/>
        <v>1,0000</v>
      </c>
      <c r="F16" s="42" t="s">
        <v>21</v>
      </c>
      <c r="G16" s="42" t="s">
        <v>425</v>
      </c>
      <c r="H16" s="43" t="s">
        <v>161</v>
      </c>
      <c r="I16" s="43" t="s">
        <v>767</v>
      </c>
      <c r="J16" s="43" t="str">
        <f>"2035,0"</f>
        <v>2035,0</v>
      </c>
      <c r="K16" s="43" t="str">
        <f>"26,4285"</f>
        <v>26,4285</v>
      </c>
      <c r="L16" s="42" t="s">
        <v>712</v>
      </c>
    </row>
    <row r="17" spans="2:7" x14ac:dyDescent="0.2">
      <c r="B17" s="31" t="s">
        <v>14</v>
      </c>
    </row>
    <row r="18" spans="2:7" ht="15" x14ac:dyDescent="0.2">
      <c r="B18" s="31" t="s">
        <v>14</v>
      </c>
      <c r="F18" s="37"/>
    </row>
    <row r="19" spans="2:7" ht="15" x14ac:dyDescent="0.2">
      <c r="B19" s="31" t="s">
        <v>14</v>
      </c>
      <c r="F19" s="37"/>
    </row>
    <row r="20" spans="2:7" ht="15" x14ac:dyDescent="0.2">
      <c r="B20" s="31" t="s">
        <v>14</v>
      </c>
      <c r="F20" s="37"/>
    </row>
    <row r="21" spans="2:7" ht="15" x14ac:dyDescent="0.2">
      <c r="B21" s="31" t="s">
        <v>14</v>
      </c>
      <c r="F21" s="37"/>
    </row>
    <row r="22" spans="2:7" ht="15" x14ac:dyDescent="0.2">
      <c r="B22" s="31" t="s">
        <v>14</v>
      </c>
      <c r="F22" s="37"/>
    </row>
    <row r="23" spans="2:7" ht="15" x14ac:dyDescent="0.2">
      <c r="B23" s="31" t="s">
        <v>14</v>
      </c>
      <c r="F23" s="37"/>
    </row>
    <row r="24" spans="2:7" ht="15" x14ac:dyDescent="0.2">
      <c r="B24" s="31" t="s">
        <v>14</v>
      </c>
      <c r="F24" s="37"/>
    </row>
    <row r="25" spans="2:7" x14ac:dyDescent="0.2">
      <c r="B25" s="31" t="s">
        <v>14</v>
      </c>
    </row>
    <row r="26" spans="2:7" ht="18" x14ac:dyDescent="0.2">
      <c r="B26" s="31" t="s">
        <v>14</v>
      </c>
      <c r="C26" s="36"/>
      <c r="D26" s="36"/>
    </row>
    <row r="27" spans="2:7" ht="15" x14ac:dyDescent="0.2">
      <c r="B27" s="31" t="s">
        <v>14</v>
      </c>
      <c r="C27" s="13"/>
      <c r="D27" s="13"/>
    </row>
    <row r="28" spans="2:7" ht="14.25" x14ac:dyDescent="0.2">
      <c r="B28" s="31" t="s">
        <v>14</v>
      </c>
      <c r="C28" s="35"/>
      <c r="D28" s="34"/>
    </row>
    <row r="29" spans="2:7" ht="15" x14ac:dyDescent="0.2">
      <c r="B29" s="31" t="s">
        <v>14</v>
      </c>
      <c r="C29" s="33"/>
      <c r="D29" s="33"/>
      <c r="E29" s="33"/>
      <c r="F29" s="33"/>
      <c r="G29" s="33"/>
    </row>
    <row r="30" spans="2:7" x14ac:dyDescent="0.2">
      <c r="B30" s="31" t="s">
        <v>14</v>
      </c>
      <c r="E30" s="32"/>
      <c r="F30" s="32"/>
      <c r="G30" s="32"/>
    </row>
    <row r="31" spans="2:7" x14ac:dyDescent="0.2">
      <c r="B31" s="31" t="s">
        <v>14</v>
      </c>
    </row>
    <row r="32" spans="2:7" ht="14.25" x14ac:dyDescent="0.2">
      <c r="B32" s="31" t="s">
        <v>14</v>
      </c>
      <c r="C32" s="35"/>
      <c r="D32" s="34"/>
    </row>
    <row r="33" spans="2:7" ht="15" x14ac:dyDescent="0.2">
      <c r="B33" s="31" t="s">
        <v>14</v>
      </c>
      <c r="C33" s="33"/>
      <c r="D33" s="33"/>
      <c r="E33" s="33"/>
      <c r="F33" s="33"/>
      <c r="G33" s="33"/>
    </row>
    <row r="34" spans="2:7" x14ac:dyDescent="0.2">
      <c r="B34" s="31" t="s">
        <v>14</v>
      </c>
      <c r="E34" s="32"/>
      <c r="F34" s="32"/>
      <c r="G34" s="32"/>
    </row>
    <row r="35" spans="2:7" x14ac:dyDescent="0.2">
      <c r="B35" s="31" t="s">
        <v>14</v>
      </c>
      <c r="E35" s="32"/>
      <c r="F35" s="32"/>
      <c r="G35" s="32"/>
    </row>
    <row r="36" spans="2:7" x14ac:dyDescent="0.2">
      <c r="B36" s="31" t="s">
        <v>14</v>
      </c>
      <c r="E36" s="32"/>
      <c r="F36" s="32"/>
      <c r="G36" s="32"/>
    </row>
    <row r="37" spans="2:7" x14ac:dyDescent="0.2">
      <c r="B37" s="31" t="s">
        <v>14</v>
      </c>
    </row>
    <row r="38" spans="2:7" ht="14.25" x14ac:dyDescent="0.2">
      <c r="B38" s="31" t="s">
        <v>14</v>
      </c>
      <c r="C38" s="35"/>
      <c r="D38" s="34"/>
    </row>
    <row r="39" spans="2:7" ht="15" x14ac:dyDescent="0.2">
      <c r="B39" s="31" t="s">
        <v>14</v>
      </c>
      <c r="C39" s="33"/>
      <c r="D39" s="33"/>
      <c r="E39" s="33"/>
      <c r="F39" s="33"/>
      <c r="G39" s="33"/>
    </row>
    <row r="40" spans="2:7" x14ac:dyDescent="0.2">
      <c r="B40" s="31" t="s">
        <v>14</v>
      </c>
      <c r="E40" s="32"/>
      <c r="F40" s="32"/>
      <c r="G40" s="32"/>
    </row>
    <row r="41" spans="2:7" x14ac:dyDescent="0.2">
      <c r="B41" s="31" t="s">
        <v>14</v>
      </c>
      <c r="E41" s="32"/>
      <c r="F41" s="32"/>
      <c r="G41" s="32"/>
    </row>
    <row r="42" spans="2:7" x14ac:dyDescent="0.2">
      <c r="B42" s="31" t="s">
        <v>14</v>
      </c>
      <c r="E42" s="32"/>
      <c r="F42" s="32"/>
      <c r="G42" s="32"/>
    </row>
    <row r="43" spans="2:7" x14ac:dyDescent="0.2">
      <c r="B43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" workbookViewId="0">
      <selection activeCell="D17" sqref="D17"/>
    </sheetView>
  </sheetViews>
  <sheetFormatPr defaultRowHeight="12.75" x14ac:dyDescent="0.2"/>
  <cols>
    <col min="1" max="1" width="7.42578125" style="31" bestFit="1" customWidth="1"/>
    <col min="2" max="2" width="18.85546875" style="31" bestFit="1" customWidth="1"/>
    <col min="3" max="3" width="28.42578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9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7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809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765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47" t="s">
        <v>69</v>
      </c>
      <c r="B6" s="46" t="s">
        <v>808</v>
      </c>
      <c r="C6" s="46" t="s">
        <v>807</v>
      </c>
      <c r="D6" s="46" t="s">
        <v>517</v>
      </c>
      <c r="E6" s="46" t="str">
        <f>"1,0000"</f>
        <v>1,0000</v>
      </c>
      <c r="F6" s="46" t="s">
        <v>21</v>
      </c>
      <c r="G6" s="46" t="s">
        <v>77</v>
      </c>
      <c r="H6" s="47" t="s">
        <v>161</v>
      </c>
      <c r="I6" s="47" t="s">
        <v>806</v>
      </c>
      <c r="J6" s="47" t="str">
        <f>"1540,0"</f>
        <v>1540,0</v>
      </c>
      <c r="K6" s="47" t="str">
        <f>"19,1304"</f>
        <v>19,1304</v>
      </c>
      <c r="L6" s="46" t="s">
        <v>712</v>
      </c>
    </row>
    <row r="7" spans="1:12" x14ac:dyDescent="0.2">
      <c r="A7" s="39" t="s">
        <v>69</v>
      </c>
      <c r="B7" s="38" t="s">
        <v>802</v>
      </c>
      <c r="C7" s="46" t="s">
        <v>801</v>
      </c>
      <c r="D7" s="38" t="s">
        <v>299</v>
      </c>
      <c r="E7" s="46" t="str">
        <f t="shared" ref="E7" si="0">"1,0000"</f>
        <v>1,0000</v>
      </c>
      <c r="F7" s="46" t="s">
        <v>21</v>
      </c>
      <c r="G7" s="46" t="s">
        <v>77</v>
      </c>
      <c r="H7" s="47" t="s">
        <v>161</v>
      </c>
      <c r="I7" s="47" t="s">
        <v>800</v>
      </c>
      <c r="J7" s="47" t="str">
        <f>"6820,0"</f>
        <v>6820,0</v>
      </c>
      <c r="K7" s="47" t="str">
        <f>"76,8883"</f>
        <v>76,8883</v>
      </c>
      <c r="L7" s="38" t="s">
        <v>712</v>
      </c>
    </row>
    <row r="8" spans="1:12" x14ac:dyDescent="0.2">
      <c r="A8" s="43" t="s">
        <v>69</v>
      </c>
      <c r="B8" s="42" t="s">
        <v>805</v>
      </c>
      <c r="C8" s="38" t="s">
        <v>804</v>
      </c>
      <c r="D8" s="42" t="s">
        <v>763</v>
      </c>
      <c r="E8" s="38" t="str">
        <f>"1,0000"</f>
        <v>1,0000</v>
      </c>
      <c r="F8" s="38" t="s">
        <v>21</v>
      </c>
      <c r="G8" s="38" t="s">
        <v>77</v>
      </c>
      <c r="H8" s="39" t="s">
        <v>161</v>
      </c>
      <c r="I8" s="39" t="s">
        <v>744</v>
      </c>
      <c r="J8" s="39" t="str">
        <f>"1485,0"</f>
        <v>1485,0</v>
      </c>
      <c r="K8" s="39" t="str">
        <f>"17,4500"</f>
        <v>17,4500</v>
      </c>
      <c r="L8" s="42" t="s">
        <v>712</v>
      </c>
    </row>
    <row r="9" spans="1:12" x14ac:dyDescent="0.2">
      <c r="B9" s="31" t="s">
        <v>14</v>
      </c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ht="15" x14ac:dyDescent="0.2">
      <c r="B15" s="31" t="s">
        <v>14</v>
      </c>
      <c r="F15" s="37"/>
    </row>
    <row r="16" spans="1:12" ht="15" x14ac:dyDescent="0.2">
      <c r="B16" s="31" t="s">
        <v>14</v>
      </c>
      <c r="F16" s="37"/>
    </row>
    <row r="17" spans="2:7" x14ac:dyDescent="0.2">
      <c r="B17" s="31" t="s">
        <v>14</v>
      </c>
    </row>
    <row r="18" spans="2:7" ht="18" x14ac:dyDescent="0.2">
      <c r="B18" s="31" t="s">
        <v>14</v>
      </c>
      <c r="C18" s="36"/>
      <c r="D18" s="36"/>
    </row>
    <row r="19" spans="2:7" ht="15" x14ac:dyDescent="0.2">
      <c r="B19" s="31" t="s">
        <v>14</v>
      </c>
      <c r="C19" s="13"/>
      <c r="D19" s="13"/>
    </row>
    <row r="20" spans="2:7" ht="14.25" x14ac:dyDescent="0.2">
      <c r="B20" s="31" t="s">
        <v>14</v>
      </c>
      <c r="C20" s="35"/>
      <c r="D20" s="34"/>
    </row>
    <row r="21" spans="2:7" ht="15" x14ac:dyDescent="0.2">
      <c r="B21" s="31" t="s">
        <v>14</v>
      </c>
      <c r="C21" s="33"/>
      <c r="D21" s="33"/>
      <c r="E21" s="33"/>
      <c r="F21" s="33"/>
      <c r="G21" s="33"/>
    </row>
    <row r="22" spans="2:7" x14ac:dyDescent="0.2">
      <c r="B22" s="31" t="s">
        <v>14</v>
      </c>
      <c r="E22" s="32"/>
      <c r="F22" s="32"/>
      <c r="G22" s="32"/>
    </row>
    <row r="23" spans="2:7" x14ac:dyDescent="0.2">
      <c r="B23" s="31" t="s">
        <v>14</v>
      </c>
    </row>
    <row r="24" spans="2:7" ht="14.25" x14ac:dyDescent="0.2">
      <c r="B24" s="31" t="s">
        <v>14</v>
      </c>
      <c r="C24" s="35"/>
      <c r="D24" s="34"/>
    </row>
    <row r="25" spans="2:7" ht="15" x14ac:dyDescent="0.2">
      <c r="B25" s="31" t="s">
        <v>14</v>
      </c>
      <c r="C25" s="33"/>
      <c r="D25" s="33"/>
      <c r="E25" s="33"/>
      <c r="F25" s="33"/>
      <c r="G25" s="33"/>
    </row>
    <row r="26" spans="2:7" x14ac:dyDescent="0.2">
      <c r="B26" s="31" t="s">
        <v>14</v>
      </c>
      <c r="E26" s="32"/>
      <c r="F26" s="32"/>
      <c r="G26" s="32"/>
    </row>
    <row r="27" spans="2:7" x14ac:dyDescent="0.2">
      <c r="B27" s="31" t="s">
        <v>14</v>
      </c>
    </row>
  </sheetData>
  <mergeCells count="13">
    <mergeCell ref="L3:L4"/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E13" sqref="E13"/>
    </sheetView>
  </sheetViews>
  <sheetFormatPr defaultRowHeight="12.75" x14ac:dyDescent="0.2"/>
  <cols>
    <col min="1" max="1" width="7.42578125" style="31" bestFit="1" customWidth="1"/>
    <col min="2" max="2" width="15.140625" style="31" bestFit="1" customWidth="1"/>
    <col min="3" max="3" width="28.5703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9.140625" style="31" bestFit="1" customWidth="1"/>
    <col min="8" max="8" width="5" style="32" customWidth="1"/>
    <col min="9" max="9" width="10.42578125" style="32" customWidth="1"/>
    <col min="10" max="10" width="7.85546875" style="32" bestFit="1" customWidth="1"/>
    <col min="11" max="11" width="6.5703125" style="32" bestFit="1" customWidth="1"/>
    <col min="12" max="12" width="15.140625" style="31" bestFit="1" customWidth="1"/>
    <col min="13" max="16384" width="9.140625" style="30"/>
  </cols>
  <sheetData>
    <row r="1" spans="1:12" s="41" customFormat="1" ht="29.1" customHeight="1" x14ac:dyDescent="0.2">
      <c r="A1" s="79" t="s">
        <v>811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754</v>
      </c>
      <c r="F3" s="91" t="s">
        <v>4</v>
      </c>
      <c r="G3" s="91" t="s">
        <v>7</v>
      </c>
      <c r="H3" s="91" t="s">
        <v>765</v>
      </c>
      <c r="I3" s="91"/>
      <c r="J3" s="91" t="s">
        <v>718</v>
      </c>
      <c r="K3" s="91" t="s">
        <v>3</v>
      </c>
      <c r="L3" s="76" t="s">
        <v>2</v>
      </c>
    </row>
    <row r="4" spans="1:12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 t="s">
        <v>8</v>
      </c>
      <c r="I4" s="40" t="s">
        <v>9</v>
      </c>
      <c r="J4" s="90"/>
      <c r="K4" s="90"/>
      <c r="L4" s="77"/>
    </row>
    <row r="5" spans="1:12" ht="15" x14ac:dyDescent="0.2">
      <c r="A5" s="64" t="s">
        <v>752</v>
      </c>
      <c r="B5" s="64"/>
      <c r="C5" s="64"/>
      <c r="D5" s="64"/>
      <c r="E5" s="64"/>
      <c r="F5" s="64"/>
      <c r="G5" s="64"/>
      <c r="H5" s="64"/>
      <c r="I5" s="64"/>
    </row>
    <row r="6" spans="1:12" x14ac:dyDescent="0.2">
      <c r="A6" s="39" t="s">
        <v>69</v>
      </c>
      <c r="B6" s="38" t="s">
        <v>408</v>
      </c>
      <c r="C6" s="38" t="s">
        <v>409</v>
      </c>
      <c r="D6" s="38" t="s">
        <v>351</v>
      </c>
      <c r="E6" s="38" t="str">
        <f>"1,0000"</f>
        <v>1,0000</v>
      </c>
      <c r="F6" s="38" t="s">
        <v>21</v>
      </c>
      <c r="G6" s="38" t="s">
        <v>77</v>
      </c>
      <c r="H6" s="39" t="s">
        <v>134</v>
      </c>
      <c r="I6" s="39" t="s">
        <v>810</v>
      </c>
      <c r="J6" s="39" t="str">
        <f>"665,0"</f>
        <v>665,0</v>
      </c>
      <c r="K6" s="39" t="str">
        <f>"9,0599"</f>
        <v>9,0599</v>
      </c>
      <c r="L6" s="38" t="s">
        <v>712</v>
      </c>
    </row>
    <row r="7" spans="1:12" x14ac:dyDescent="0.2">
      <c r="B7" s="31" t="s">
        <v>14</v>
      </c>
    </row>
    <row r="8" spans="1:12" ht="15" x14ac:dyDescent="0.2">
      <c r="B8" s="31" t="s">
        <v>14</v>
      </c>
      <c r="F8" s="37"/>
    </row>
    <row r="9" spans="1:12" ht="15" x14ac:dyDescent="0.2">
      <c r="B9" s="31" t="s">
        <v>14</v>
      </c>
      <c r="F9" s="37"/>
    </row>
    <row r="10" spans="1:12" ht="15" x14ac:dyDescent="0.2">
      <c r="B10" s="31" t="s">
        <v>14</v>
      </c>
      <c r="F10" s="37"/>
    </row>
    <row r="11" spans="1:12" ht="15" x14ac:dyDescent="0.2">
      <c r="B11" s="31" t="s">
        <v>14</v>
      </c>
      <c r="F11" s="37"/>
    </row>
    <row r="12" spans="1:12" ht="15" x14ac:dyDescent="0.2">
      <c r="B12" s="31" t="s">
        <v>14</v>
      </c>
      <c r="F12" s="37"/>
    </row>
    <row r="13" spans="1:12" ht="15" x14ac:dyDescent="0.2">
      <c r="B13" s="31" t="s">
        <v>14</v>
      </c>
      <c r="F13" s="37"/>
    </row>
    <row r="14" spans="1:12" ht="15" x14ac:dyDescent="0.2">
      <c r="B14" s="31" t="s">
        <v>14</v>
      </c>
      <c r="F14" s="37"/>
    </row>
    <row r="15" spans="1:12" x14ac:dyDescent="0.2">
      <c r="B15" s="31" t="s">
        <v>14</v>
      </c>
    </row>
    <row r="16" spans="1:12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3">
    <mergeCell ref="A5:I5"/>
    <mergeCell ref="B3:B4"/>
    <mergeCell ref="E3:E4"/>
    <mergeCell ref="J3:J4"/>
    <mergeCell ref="K3:K4"/>
    <mergeCell ref="A1:L2"/>
    <mergeCell ref="A3:A4"/>
    <mergeCell ref="C3:C4"/>
    <mergeCell ref="D3:D4"/>
    <mergeCell ref="L3:L4"/>
    <mergeCell ref="G3:G4"/>
    <mergeCell ref="F3:F4"/>
    <mergeCell ref="H3:I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B1" workbookViewId="0">
      <selection activeCell="R3" sqref="R1:R1048576"/>
    </sheetView>
  </sheetViews>
  <sheetFormatPr defaultRowHeight="12.75" x14ac:dyDescent="0.2"/>
  <cols>
    <col min="1" max="1" width="7.42578125" style="31" bestFit="1" customWidth="1"/>
    <col min="2" max="2" width="19.42578125" style="31" bestFit="1" customWidth="1"/>
    <col min="3" max="3" width="26.285156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2.140625" style="31" bestFit="1" customWidth="1"/>
    <col min="8" max="10" width="5.5703125" style="32" customWidth="1"/>
    <col min="11" max="11" width="4.85546875" style="32" customWidth="1"/>
    <col min="12" max="14" width="4.5703125" style="32" customWidth="1"/>
    <col min="15" max="15" width="4.85546875" style="32" customWidth="1"/>
    <col min="16" max="16" width="7.85546875" style="32" bestFit="1" customWidth="1"/>
    <col min="17" max="17" width="8.5703125" style="32" bestFit="1" customWidth="1"/>
    <col min="18" max="18" width="15.140625" style="31" bestFit="1" customWidth="1"/>
    <col min="19" max="16384" width="9.140625" style="30"/>
  </cols>
  <sheetData>
    <row r="1" spans="1:18" s="41" customFormat="1" ht="29.1" customHeight="1" x14ac:dyDescent="0.2">
      <c r="A1" s="79" t="s">
        <v>817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18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1:18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16</v>
      </c>
      <c r="F3" s="91" t="s">
        <v>4</v>
      </c>
      <c r="G3" s="91" t="s">
        <v>7</v>
      </c>
      <c r="H3" s="91" t="s">
        <v>816</v>
      </c>
      <c r="I3" s="91"/>
      <c r="J3" s="91"/>
      <c r="K3" s="91"/>
      <c r="L3" s="91" t="s">
        <v>815</v>
      </c>
      <c r="M3" s="91"/>
      <c r="N3" s="91"/>
      <c r="O3" s="91"/>
      <c r="P3" s="91" t="s">
        <v>1</v>
      </c>
      <c r="Q3" s="91" t="s">
        <v>3</v>
      </c>
      <c r="R3" s="76" t="s">
        <v>2</v>
      </c>
    </row>
    <row r="4" spans="1:18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>
        <v>1</v>
      </c>
      <c r="I4" s="40">
        <v>2</v>
      </c>
      <c r="J4" s="40">
        <v>3</v>
      </c>
      <c r="K4" s="40" t="s">
        <v>5</v>
      </c>
      <c r="L4" s="40">
        <v>1</v>
      </c>
      <c r="M4" s="40">
        <v>2</v>
      </c>
      <c r="N4" s="40">
        <v>3</v>
      </c>
      <c r="O4" s="40" t="s">
        <v>5</v>
      </c>
      <c r="P4" s="90"/>
      <c r="Q4" s="90"/>
      <c r="R4" s="77"/>
    </row>
    <row r="5" spans="1:18" ht="15" x14ac:dyDescent="0.2">
      <c r="A5" s="64" t="s">
        <v>316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8" x14ac:dyDescent="0.2">
      <c r="A6" s="39" t="s">
        <v>69</v>
      </c>
      <c r="B6" s="38" t="s">
        <v>814</v>
      </c>
      <c r="C6" s="38" t="s">
        <v>813</v>
      </c>
      <c r="D6" s="38" t="s">
        <v>812</v>
      </c>
      <c r="E6" s="38" t="str">
        <f>"0,5517"</f>
        <v>0,5517</v>
      </c>
      <c r="F6" s="38" t="s">
        <v>21</v>
      </c>
      <c r="G6" s="38" t="s">
        <v>42</v>
      </c>
      <c r="H6" s="25" t="s">
        <v>155</v>
      </c>
      <c r="I6" s="25" t="s">
        <v>145</v>
      </c>
      <c r="J6" s="49" t="s">
        <v>156</v>
      </c>
      <c r="K6" s="39"/>
      <c r="L6" s="25" t="s">
        <v>170</v>
      </c>
      <c r="M6" s="25" t="s">
        <v>514</v>
      </c>
      <c r="N6" s="25" t="s">
        <v>376</v>
      </c>
      <c r="O6" s="39"/>
      <c r="P6" s="39" t="str">
        <f>"207,5"</f>
        <v>207,5</v>
      </c>
      <c r="Q6" s="39" t="str">
        <f>"114,4777"</f>
        <v>114,4777</v>
      </c>
      <c r="R6" s="38" t="s">
        <v>712</v>
      </c>
    </row>
    <row r="7" spans="1:18" x14ac:dyDescent="0.2">
      <c r="B7" s="31" t="s">
        <v>14</v>
      </c>
    </row>
    <row r="8" spans="1:18" ht="15" x14ac:dyDescent="0.2">
      <c r="B8" s="31" t="s">
        <v>14</v>
      </c>
      <c r="F8" s="37"/>
    </row>
    <row r="9" spans="1:18" ht="15" x14ac:dyDescent="0.2">
      <c r="B9" s="31" t="s">
        <v>14</v>
      </c>
      <c r="F9" s="37"/>
    </row>
    <row r="10" spans="1:18" ht="15" x14ac:dyDescent="0.2">
      <c r="B10" s="31" t="s">
        <v>14</v>
      </c>
      <c r="F10" s="37"/>
    </row>
    <row r="11" spans="1:18" ht="15" x14ac:dyDescent="0.2">
      <c r="B11" s="31" t="s">
        <v>14</v>
      </c>
      <c r="F11" s="37"/>
    </row>
    <row r="12" spans="1:18" ht="15" x14ac:dyDescent="0.2">
      <c r="B12" s="31" t="s">
        <v>14</v>
      </c>
      <c r="F12" s="37"/>
    </row>
    <row r="13" spans="1:18" ht="15" x14ac:dyDescent="0.2">
      <c r="B13" s="31" t="s">
        <v>14</v>
      </c>
      <c r="F13" s="37"/>
    </row>
    <row r="14" spans="1:18" ht="15" x14ac:dyDescent="0.2">
      <c r="B14" s="31" t="s">
        <v>14</v>
      </c>
      <c r="F14" s="37"/>
    </row>
    <row r="15" spans="1:18" x14ac:dyDescent="0.2">
      <c r="B15" s="31" t="s">
        <v>14</v>
      </c>
    </row>
    <row r="16" spans="1:18" ht="18" x14ac:dyDescent="0.2">
      <c r="B16" s="31" t="s">
        <v>14</v>
      </c>
      <c r="C16" s="36"/>
      <c r="D16" s="36"/>
    </row>
    <row r="17" spans="2:7" ht="15" x14ac:dyDescent="0.2">
      <c r="B17" s="31" t="s">
        <v>14</v>
      </c>
      <c r="C17" s="13"/>
      <c r="D17" s="13"/>
    </row>
    <row r="18" spans="2:7" ht="14.25" x14ac:dyDescent="0.2">
      <c r="B18" s="31" t="s">
        <v>14</v>
      </c>
      <c r="C18" s="35"/>
      <c r="D18" s="34"/>
    </row>
    <row r="19" spans="2:7" ht="15" x14ac:dyDescent="0.2">
      <c r="B19" s="31" t="s">
        <v>14</v>
      </c>
      <c r="C19" s="33"/>
      <c r="D19" s="33"/>
      <c r="E19" s="33"/>
      <c r="F19" s="33"/>
      <c r="G19" s="33"/>
    </row>
    <row r="20" spans="2:7" x14ac:dyDescent="0.2">
      <c r="B20" s="31" t="s">
        <v>14</v>
      </c>
      <c r="E20" s="32"/>
      <c r="F20" s="32"/>
      <c r="G20" s="32"/>
    </row>
    <row r="21" spans="2:7" x14ac:dyDescent="0.2">
      <c r="B21" s="31" t="s">
        <v>14</v>
      </c>
    </row>
  </sheetData>
  <mergeCells count="14">
    <mergeCell ref="Q3:Q4"/>
    <mergeCell ref="R3:R4"/>
    <mergeCell ref="A5:O5"/>
    <mergeCell ref="B3:B4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3" sqref="N1:N1048576"/>
    </sheetView>
  </sheetViews>
  <sheetFormatPr defaultRowHeight="12.75" x14ac:dyDescent="0.2"/>
  <cols>
    <col min="1" max="1" width="7.42578125" style="5" bestFit="1" customWidth="1"/>
    <col min="2" max="2" width="14.425781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7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692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182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269</v>
      </c>
      <c r="C6" s="14" t="s">
        <v>270</v>
      </c>
      <c r="D6" s="14" t="s">
        <v>271</v>
      </c>
      <c r="E6" s="14" t="str">
        <f>"0,7311"</f>
        <v>0,7311</v>
      </c>
      <c r="F6" s="14" t="s">
        <v>21</v>
      </c>
      <c r="G6" s="14" t="s">
        <v>31</v>
      </c>
      <c r="H6" s="25" t="s">
        <v>97</v>
      </c>
      <c r="I6" s="25" t="s">
        <v>145</v>
      </c>
      <c r="J6" s="26" t="s">
        <v>272</v>
      </c>
      <c r="K6" s="15"/>
      <c r="L6" s="15" t="str">
        <f>"115,0"</f>
        <v>115,0</v>
      </c>
      <c r="M6" s="15" t="str">
        <f>"85,5957"</f>
        <v>85,5957</v>
      </c>
      <c r="N6" s="14" t="s">
        <v>712</v>
      </c>
    </row>
    <row r="7" spans="1:14" x14ac:dyDescent="0.2">
      <c r="B7" s="5" t="s">
        <v>14</v>
      </c>
    </row>
    <row r="8" spans="1:14" ht="15" x14ac:dyDescent="0.2">
      <c r="B8" s="5" t="s">
        <v>14</v>
      </c>
      <c r="F8" s="7"/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x14ac:dyDescent="0.2">
      <c r="B15" s="5" t="s">
        <v>14</v>
      </c>
    </row>
    <row r="16" spans="1:14" ht="18" x14ac:dyDescent="0.2">
      <c r="B16" s="5" t="s">
        <v>14</v>
      </c>
      <c r="C16" s="8"/>
      <c r="D16" s="8"/>
    </row>
    <row r="17" spans="2:7" ht="15" x14ac:dyDescent="0.2">
      <c r="B17" s="5" t="s">
        <v>14</v>
      </c>
      <c r="C17" s="18"/>
      <c r="D17" s="18"/>
    </row>
    <row r="18" spans="2:7" ht="14.25" x14ac:dyDescent="0.2">
      <c r="B18" s="5" t="s">
        <v>14</v>
      </c>
      <c r="C18" s="19"/>
      <c r="D18" s="20"/>
    </row>
    <row r="19" spans="2:7" ht="15" x14ac:dyDescent="0.2">
      <c r="B19" s="5" t="s">
        <v>14</v>
      </c>
      <c r="C19" s="1"/>
      <c r="D19" s="1"/>
      <c r="E19" s="1"/>
      <c r="F19" s="1"/>
      <c r="G19" s="1"/>
    </row>
    <row r="20" spans="2:7" x14ac:dyDescent="0.2">
      <c r="B20" s="5" t="s">
        <v>14</v>
      </c>
      <c r="E20" s="6"/>
      <c r="F20" s="6"/>
      <c r="G20" s="6"/>
    </row>
    <row r="21" spans="2:7" x14ac:dyDescent="0.2">
      <c r="B21" s="5" t="s">
        <v>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C1" workbookViewId="0">
      <selection activeCell="J25" sqref="J25"/>
    </sheetView>
  </sheetViews>
  <sheetFormatPr defaultRowHeight="12.75" x14ac:dyDescent="0.2"/>
  <cols>
    <col min="1" max="1" width="7.42578125" style="31" bestFit="1" customWidth="1"/>
    <col min="2" max="2" width="20.5703125" style="31" bestFit="1" customWidth="1"/>
    <col min="3" max="3" width="28.425781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34.5703125" style="31" bestFit="1" customWidth="1"/>
    <col min="8" max="10" width="4.5703125" style="32" customWidth="1"/>
    <col min="11" max="11" width="4.85546875" style="32" customWidth="1"/>
    <col min="12" max="14" width="4.5703125" style="32" customWidth="1"/>
    <col min="15" max="15" width="4.85546875" style="32" customWidth="1"/>
    <col min="16" max="16" width="7.85546875" style="32" bestFit="1" customWidth="1"/>
    <col min="17" max="17" width="8.5703125" style="32" bestFit="1" customWidth="1"/>
    <col min="18" max="18" width="15.140625" style="31" bestFit="1" customWidth="1"/>
    <col min="19" max="16384" width="9.140625" style="30"/>
  </cols>
  <sheetData>
    <row r="1" spans="1:18" s="41" customFormat="1" ht="29.1" customHeight="1" x14ac:dyDescent="0.2">
      <c r="A1" s="79" t="s">
        <v>830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18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1:18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16</v>
      </c>
      <c r="F3" s="91" t="s">
        <v>4</v>
      </c>
      <c r="G3" s="91" t="s">
        <v>7</v>
      </c>
      <c r="H3" s="91" t="s">
        <v>816</v>
      </c>
      <c r="I3" s="91"/>
      <c r="J3" s="91"/>
      <c r="K3" s="91"/>
      <c r="L3" s="91" t="s">
        <v>815</v>
      </c>
      <c r="M3" s="91"/>
      <c r="N3" s="91"/>
      <c r="O3" s="91"/>
      <c r="P3" s="91" t="s">
        <v>1</v>
      </c>
      <c r="Q3" s="91" t="s">
        <v>3</v>
      </c>
      <c r="R3" s="76" t="s">
        <v>2</v>
      </c>
    </row>
    <row r="4" spans="1:18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>
        <v>1</v>
      </c>
      <c r="I4" s="40">
        <v>2</v>
      </c>
      <c r="J4" s="40">
        <v>3</v>
      </c>
      <c r="K4" s="40" t="s">
        <v>5</v>
      </c>
      <c r="L4" s="40">
        <v>1</v>
      </c>
      <c r="M4" s="40">
        <v>2</v>
      </c>
      <c r="N4" s="40">
        <v>3</v>
      </c>
      <c r="O4" s="40" t="s">
        <v>5</v>
      </c>
      <c r="P4" s="90"/>
      <c r="Q4" s="90"/>
      <c r="R4" s="77"/>
    </row>
    <row r="5" spans="1:18" ht="15" x14ac:dyDescent="0.2">
      <c r="A5" s="64" t="s">
        <v>446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8" x14ac:dyDescent="0.2">
      <c r="A6" s="39" t="s">
        <v>69</v>
      </c>
      <c r="B6" s="38" t="s">
        <v>829</v>
      </c>
      <c r="C6" s="38" t="s">
        <v>828</v>
      </c>
      <c r="D6" s="38" t="s">
        <v>827</v>
      </c>
      <c r="E6" s="38" t="str">
        <f>"0,9801"</f>
        <v>0,9801</v>
      </c>
      <c r="F6" s="38" t="s">
        <v>21</v>
      </c>
      <c r="G6" s="38" t="s">
        <v>826</v>
      </c>
      <c r="H6" s="25" t="s">
        <v>98</v>
      </c>
      <c r="I6" s="25" t="s">
        <v>99</v>
      </c>
      <c r="J6" s="25" t="s">
        <v>191</v>
      </c>
      <c r="K6" s="39"/>
      <c r="L6" s="25" t="s">
        <v>417</v>
      </c>
      <c r="M6" s="25" t="s">
        <v>98</v>
      </c>
      <c r="N6" s="25" t="s">
        <v>821</v>
      </c>
      <c r="O6" s="49" t="s">
        <v>99</v>
      </c>
      <c r="P6" s="39" t="str">
        <f>"90,0"</f>
        <v>90,0</v>
      </c>
      <c r="Q6" s="39" t="str">
        <f>"88,2090"</f>
        <v>88,2090</v>
      </c>
      <c r="R6" s="38" t="s">
        <v>712</v>
      </c>
    </row>
    <row r="7" spans="1:18" x14ac:dyDescent="0.2">
      <c r="B7" s="31" t="s">
        <v>14</v>
      </c>
    </row>
    <row r="8" spans="1:18" ht="15" x14ac:dyDescent="0.2">
      <c r="A8" s="56" t="s">
        <v>157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8" x14ac:dyDescent="0.2">
      <c r="A9" s="39" t="s">
        <v>69</v>
      </c>
      <c r="B9" s="38" t="s">
        <v>825</v>
      </c>
      <c r="C9" s="38" t="s">
        <v>824</v>
      </c>
      <c r="D9" s="38" t="s">
        <v>823</v>
      </c>
      <c r="E9" s="38" t="str">
        <f>"0,8286"</f>
        <v>0,8286</v>
      </c>
      <c r="F9" s="38" t="s">
        <v>21</v>
      </c>
      <c r="G9" s="38" t="s">
        <v>31</v>
      </c>
      <c r="H9" s="25" t="s">
        <v>161</v>
      </c>
      <c r="I9" s="49" t="s">
        <v>162</v>
      </c>
      <c r="J9" s="25" t="s">
        <v>162</v>
      </c>
      <c r="K9" s="39"/>
      <c r="L9" s="25" t="s">
        <v>154</v>
      </c>
      <c r="M9" s="49" t="s">
        <v>822</v>
      </c>
      <c r="N9" s="49" t="s">
        <v>822</v>
      </c>
      <c r="O9" s="39"/>
      <c r="P9" s="39" t="str">
        <f>"115,0"</f>
        <v>115,0</v>
      </c>
      <c r="Q9" s="39" t="str">
        <f>"95,2890"</f>
        <v>95,2890</v>
      </c>
      <c r="R9" s="38" t="s">
        <v>712</v>
      </c>
    </row>
    <row r="10" spans="1:18" x14ac:dyDescent="0.2">
      <c r="B10" s="31" t="s">
        <v>14</v>
      </c>
    </row>
    <row r="11" spans="1:18" ht="15" x14ac:dyDescent="0.2">
      <c r="A11" s="56" t="s">
        <v>163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8" x14ac:dyDescent="0.2">
      <c r="A12" s="39" t="s">
        <v>69</v>
      </c>
      <c r="B12" s="38" t="s">
        <v>660</v>
      </c>
      <c r="C12" s="38" t="s">
        <v>661</v>
      </c>
      <c r="D12" s="38" t="s">
        <v>590</v>
      </c>
      <c r="E12" s="38" t="str">
        <f>"0,7367"</f>
        <v>0,7367</v>
      </c>
      <c r="F12" s="38" t="s">
        <v>21</v>
      </c>
      <c r="G12" s="38" t="s">
        <v>77</v>
      </c>
      <c r="H12" s="25" t="s">
        <v>137</v>
      </c>
      <c r="I12" s="49" t="s">
        <v>138</v>
      </c>
      <c r="J12" s="49" t="s">
        <v>138</v>
      </c>
      <c r="K12" s="39"/>
      <c r="L12" s="25" t="s">
        <v>821</v>
      </c>
      <c r="M12" s="49" t="s">
        <v>100</v>
      </c>
      <c r="N12" s="25" t="s">
        <v>100</v>
      </c>
      <c r="O12" s="39"/>
      <c r="P12" s="39" t="str">
        <f>"110,0"</f>
        <v>110,0</v>
      </c>
      <c r="Q12" s="39" t="str">
        <f>"81,0370"</f>
        <v>81,0370</v>
      </c>
      <c r="R12" s="38" t="s">
        <v>712</v>
      </c>
    </row>
    <row r="13" spans="1:18" x14ac:dyDescent="0.2">
      <c r="B13" s="31" t="s">
        <v>14</v>
      </c>
    </row>
    <row r="14" spans="1:18" ht="15" x14ac:dyDescent="0.2">
      <c r="A14" s="56" t="s">
        <v>182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8" x14ac:dyDescent="0.2">
      <c r="A15" s="47" t="s">
        <v>69</v>
      </c>
      <c r="B15" s="46" t="s">
        <v>820</v>
      </c>
      <c r="C15" s="46" t="s">
        <v>819</v>
      </c>
      <c r="D15" s="46" t="s">
        <v>818</v>
      </c>
      <c r="E15" s="46" t="str">
        <f>"0,6687"</f>
        <v>0,6687</v>
      </c>
      <c r="F15" s="46" t="s">
        <v>21</v>
      </c>
      <c r="G15" s="46" t="s">
        <v>621</v>
      </c>
      <c r="H15" s="51" t="s">
        <v>152</v>
      </c>
      <c r="I15" s="22" t="s">
        <v>152</v>
      </c>
      <c r="J15" s="22" t="s">
        <v>170</v>
      </c>
      <c r="K15" s="47"/>
      <c r="L15" s="22" t="s">
        <v>138</v>
      </c>
      <c r="M15" s="22" t="s">
        <v>146</v>
      </c>
      <c r="N15" s="51" t="s">
        <v>260</v>
      </c>
      <c r="O15" s="47"/>
      <c r="P15" s="47" t="str">
        <f>"150,0"</f>
        <v>150,0</v>
      </c>
      <c r="Q15" s="47" t="str">
        <f>"100,3050"</f>
        <v>100,3050</v>
      </c>
      <c r="R15" s="46" t="s">
        <v>712</v>
      </c>
    </row>
    <row r="16" spans="1:18" x14ac:dyDescent="0.2">
      <c r="A16" s="43" t="s">
        <v>71</v>
      </c>
      <c r="B16" s="42" t="s">
        <v>795</v>
      </c>
      <c r="C16" s="42" t="s">
        <v>794</v>
      </c>
      <c r="D16" s="42" t="s">
        <v>793</v>
      </c>
      <c r="E16" s="42" t="str">
        <f>"0,6782"</f>
        <v>0,6782</v>
      </c>
      <c r="F16" s="42" t="s">
        <v>21</v>
      </c>
      <c r="G16" s="42" t="s">
        <v>42</v>
      </c>
      <c r="H16" s="27" t="s">
        <v>137</v>
      </c>
      <c r="I16" s="27" t="s">
        <v>146</v>
      </c>
      <c r="J16" s="27" t="s">
        <v>169</v>
      </c>
      <c r="K16" s="43"/>
      <c r="L16" s="27" t="s">
        <v>161</v>
      </c>
      <c r="M16" s="27" t="s">
        <v>137</v>
      </c>
      <c r="N16" s="50" t="s">
        <v>138</v>
      </c>
      <c r="O16" s="43"/>
      <c r="P16" s="43" t="str">
        <f>"135,0"</f>
        <v>135,0</v>
      </c>
      <c r="Q16" s="43" t="str">
        <f>"91,5570"</f>
        <v>91,5570</v>
      </c>
      <c r="R16" s="42" t="s">
        <v>712</v>
      </c>
    </row>
    <row r="17" spans="1:18" x14ac:dyDescent="0.2">
      <c r="B17" s="31" t="s">
        <v>14</v>
      </c>
    </row>
    <row r="18" spans="1:18" ht="15" x14ac:dyDescent="0.2">
      <c r="A18" s="56" t="s">
        <v>73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8" x14ac:dyDescent="0.2">
      <c r="A19" s="47" t="s">
        <v>69</v>
      </c>
      <c r="B19" s="46" t="s">
        <v>203</v>
      </c>
      <c r="C19" s="46" t="s">
        <v>204</v>
      </c>
      <c r="D19" s="46" t="s">
        <v>205</v>
      </c>
      <c r="E19" s="46" t="str">
        <f>"0,6193"</f>
        <v>0,6193</v>
      </c>
      <c r="F19" s="46" t="s">
        <v>21</v>
      </c>
      <c r="G19" s="46" t="s">
        <v>77</v>
      </c>
      <c r="H19" s="22" t="s">
        <v>161</v>
      </c>
      <c r="I19" s="22" t="s">
        <v>138</v>
      </c>
      <c r="J19" s="51" t="s">
        <v>139</v>
      </c>
      <c r="K19" s="47"/>
      <c r="L19" s="22" t="s">
        <v>161</v>
      </c>
      <c r="M19" s="22" t="s">
        <v>162</v>
      </c>
      <c r="N19" s="22" t="s">
        <v>138</v>
      </c>
      <c r="O19" s="47"/>
      <c r="P19" s="47" t="str">
        <f>"130,0"</f>
        <v>130,0</v>
      </c>
      <c r="Q19" s="47" t="str">
        <f>"82,1192"</f>
        <v>82,1192</v>
      </c>
      <c r="R19" s="46" t="s">
        <v>712</v>
      </c>
    </row>
    <row r="20" spans="1:18" x14ac:dyDescent="0.2">
      <c r="A20" s="43" t="s">
        <v>70</v>
      </c>
      <c r="B20" s="42" t="s">
        <v>212</v>
      </c>
      <c r="C20" s="42" t="s">
        <v>213</v>
      </c>
      <c r="D20" s="42" t="s">
        <v>214</v>
      </c>
      <c r="E20" s="42" t="str">
        <f>"0,6262"</f>
        <v>0,6262</v>
      </c>
      <c r="F20" s="42" t="s">
        <v>21</v>
      </c>
      <c r="G20" s="42" t="s">
        <v>167</v>
      </c>
      <c r="H20" s="50" t="s">
        <v>169</v>
      </c>
      <c r="I20" s="50" t="s">
        <v>169</v>
      </c>
      <c r="J20" s="50" t="s">
        <v>169</v>
      </c>
      <c r="K20" s="43"/>
      <c r="L20" s="27" t="s">
        <v>440</v>
      </c>
      <c r="M20" s="50" t="s">
        <v>146</v>
      </c>
      <c r="N20" s="50" t="s">
        <v>146</v>
      </c>
      <c r="O20" s="43"/>
      <c r="P20" s="43" t="str">
        <f>"0.00"</f>
        <v>0.00</v>
      </c>
      <c r="Q20" s="43" t="str">
        <f>"0,0000"</f>
        <v>0,0000</v>
      </c>
      <c r="R20" s="42" t="s">
        <v>712</v>
      </c>
    </row>
    <row r="21" spans="1:18" x14ac:dyDescent="0.2">
      <c r="B21" s="31" t="s">
        <v>14</v>
      </c>
    </row>
    <row r="22" spans="1:18" ht="15" x14ac:dyDescent="0.2">
      <c r="B22" s="31" t="s">
        <v>14</v>
      </c>
      <c r="F22" s="37"/>
    </row>
    <row r="23" spans="1:18" ht="15" x14ac:dyDescent="0.2">
      <c r="B23" s="31" t="s">
        <v>14</v>
      </c>
      <c r="F23" s="37"/>
    </row>
    <row r="24" spans="1:18" ht="15" x14ac:dyDescent="0.2">
      <c r="B24" s="31" t="s">
        <v>14</v>
      </c>
      <c r="F24" s="37"/>
    </row>
    <row r="25" spans="1:18" ht="15" x14ac:dyDescent="0.2">
      <c r="B25" s="31" t="s">
        <v>14</v>
      </c>
      <c r="F25" s="37"/>
    </row>
    <row r="26" spans="1:18" ht="15" x14ac:dyDescent="0.2">
      <c r="B26" s="31" t="s">
        <v>14</v>
      </c>
      <c r="F26" s="37"/>
    </row>
    <row r="27" spans="1:18" ht="15" x14ac:dyDescent="0.2">
      <c r="B27" s="31" t="s">
        <v>14</v>
      </c>
      <c r="F27" s="37"/>
    </row>
    <row r="28" spans="1:18" ht="15" x14ac:dyDescent="0.2">
      <c r="B28" s="31" t="s">
        <v>14</v>
      </c>
      <c r="F28" s="37"/>
    </row>
    <row r="29" spans="1:18" x14ac:dyDescent="0.2">
      <c r="B29" s="31" t="s">
        <v>14</v>
      </c>
    </row>
    <row r="30" spans="1:18" ht="18" x14ac:dyDescent="0.2">
      <c r="B30" s="31" t="s">
        <v>14</v>
      </c>
      <c r="C30" s="36"/>
      <c r="D30" s="36"/>
    </row>
    <row r="31" spans="1:18" ht="15" x14ac:dyDescent="0.2">
      <c r="B31" s="31" t="s">
        <v>14</v>
      </c>
      <c r="C31" s="13"/>
      <c r="D31" s="13"/>
    </row>
    <row r="32" spans="1:18" ht="14.25" x14ac:dyDescent="0.2">
      <c r="B32" s="31" t="s">
        <v>14</v>
      </c>
      <c r="C32" s="35"/>
      <c r="D32" s="34"/>
    </row>
    <row r="33" spans="2:7" ht="15" x14ac:dyDescent="0.2">
      <c r="B33" s="31" t="s">
        <v>14</v>
      </c>
      <c r="C33" s="33"/>
      <c r="D33" s="33"/>
      <c r="E33" s="33"/>
      <c r="F33" s="33"/>
      <c r="G33" s="33"/>
    </row>
    <row r="34" spans="2:7" x14ac:dyDescent="0.2">
      <c r="B34" s="31" t="s">
        <v>14</v>
      </c>
      <c r="E34" s="32"/>
      <c r="F34" s="32"/>
      <c r="G34" s="32"/>
    </row>
    <row r="35" spans="2:7" x14ac:dyDescent="0.2">
      <c r="B35" s="31" t="s">
        <v>14</v>
      </c>
    </row>
    <row r="36" spans="2:7" x14ac:dyDescent="0.2">
      <c r="B36" s="31" t="s">
        <v>14</v>
      </c>
    </row>
    <row r="37" spans="2:7" ht="15" x14ac:dyDescent="0.2">
      <c r="B37" s="31" t="s">
        <v>14</v>
      </c>
      <c r="C37" s="13"/>
      <c r="D37" s="13"/>
    </row>
    <row r="38" spans="2:7" ht="14.25" x14ac:dyDescent="0.2">
      <c r="B38" s="31" t="s">
        <v>14</v>
      </c>
      <c r="C38" s="35"/>
      <c r="D38" s="34"/>
    </row>
    <row r="39" spans="2:7" ht="15" x14ac:dyDescent="0.2">
      <c r="B39" s="31" t="s">
        <v>14</v>
      </c>
      <c r="C39" s="33"/>
      <c r="D39" s="33"/>
      <c r="E39" s="33"/>
      <c r="F39" s="33"/>
      <c r="G39" s="33"/>
    </row>
    <row r="40" spans="2:7" x14ac:dyDescent="0.2">
      <c r="B40" s="31" t="s">
        <v>14</v>
      </c>
      <c r="E40" s="32"/>
      <c r="F40" s="32"/>
      <c r="G40" s="32"/>
    </row>
    <row r="41" spans="2:7" x14ac:dyDescent="0.2">
      <c r="B41" s="31" t="s">
        <v>14</v>
      </c>
    </row>
    <row r="42" spans="2:7" ht="14.25" x14ac:dyDescent="0.2">
      <c r="B42" s="31" t="s">
        <v>14</v>
      </c>
      <c r="C42" s="35"/>
      <c r="D42" s="34"/>
    </row>
    <row r="43" spans="2:7" ht="15" x14ac:dyDescent="0.2">
      <c r="B43" s="31" t="s">
        <v>14</v>
      </c>
      <c r="C43" s="33"/>
      <c r="D43" s="33"/>
      <c r="E43" s="33"/>
      <c r="F43" s="33"/>
      <c r="G43" s="33"/>
    </row>
    <row r="44" spans="2:7" x14ac:dyDescent="0.2">
      <c r="B44" s="31" t="s">
        <v>14</v>
      </c>
      <c r="E44" s="32"/>
      <c r="F44" s="32"/>
      <c r="G44" s="32"/>
    </row>
    <row r="45" spans="2:7" x14ac:dyDescent="0.2">
      <c r="B45" s="31" t="s">
        <v>14</v>
      </c>
      <c r="E45" s="32"/>
      <c r="F45" s="32"/>
      <c r="G45" s="32"/>
    </row>
    <row r="46" spans="2:7" x14ac:dyDescent="0.2">
      <c r="B46" s="31" t="s">
        <v>14</v>
      </c>
      <c r="E46" s="32"/>
      <c r="F46" s="32"/>
      <c r="G46" s="32"/>
    </row>
    <row r="47" spans="2:7" x14ac:dyDescent="0.2">
      <c r="B47" s="31" t="s">
        <v>14</v>
      </c>
    </row>
  </sheetData>
  <mergeCells count="18">
    <mergeCell ref="A18:O18"/>
    <mergeCell ref="B3:B4"/>
    <mergeCell ref="G3:G4"/>
    <mergeCell ref="H3:K3"/>
    <mergeCell ref="L3:O3"/>
    <mergeCell ref="A8:O8"/>
    <mergeCell ref="A11:O11"/>
    <mergeCell ref="A14:O14"/>
    <mergeCell ref="P3:P4"/>
    <mergeCell ref="Q3:Q4"/>
    <mergeCell ref="R3:R4"/>
    <mergeCell ref="A5:O5"/>
    <mergeCell ref="A1:R2"/>
    <mergeCell ref="A3:A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0" workbookViewId="0">
      <selection activeCell="M26" sqref="M26"/>
    </sheetView>
  </sheetViews>
  <sheetFormatPr defaultRowHeight="12.75" x14ac:dyDescent="0.2"/>
  <cols>
    <col min="1" max="1" width="7.42578125" style="31" bestFit="1" customWidth="1"/>
    <col min="2" max="2" width="18.7109375" style="31" bestFit="1" customWidth="1"/>
    <col min="3" max="3" width="27.710937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34.5703125" style="31" bestFit="1" customWidth="1"/>
    <col min="8" max="10" width="4.5703125" style="32" customWidth="1"/>
    <col min="11" max="11" width="4.85546875" style="32" customWidth="1"/>
    <col min="12" max="12" width="7.85546875" style="32" bestFit="1" customWidth="1"/>
    <col min="13" max="13" width="7.5703125" style="32" bestFit="1" customWidth="1"/>
    <col min="14" max="14" width="15.140625" style="31" bestFit="1" customWidth="1"/>
    <col min="15" max="16384" width="9.140625" style="30"/>
  </cols>
  <sheetData>
    <row r="1" spans="1:14" s="41" customFormat="1" ht="29.1" customHeight="1" x14ac:dyDescent="0.2">
      <c r="A1" s="79" t="s">
        <v>840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16</v>
      </c>
      <c r="F3" s="91" t="s">
        <v>4</v>
      </c>
      <c r="G3" s="91" t="s">
        <v>7</v>
      </c>
      <c r="H3" s="91" t="s">
        <v>815</v>
      </c>
      <c r="I3" s="91"/>
      <c r="J3" s="91"/>
      <c r="K3" s="91"/>
      <c r="L3" s="91" t="s">
        <v>371</v>
      </c>
      <c r="M3" s="91" t="s">
        <v>3</v>
      </c>
      <c r="N3" s="76" t="s">
        <v>2</v>
      </c>
    </row>
    <row r="4" spans="1:14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>
        <v>1</v>
      </c>
      <c r="I4" s="40">
        <v>2</v>
      </c>
      <c r="J4" s="40">
        <v>3</v>
      </c>
      <c r="K4" s="40" t="s">
        <v>5</v>
      </c>
      <c r="L4" s="90"/>
      <c r="M4" s="90"/>
      <c r="N4" s="77"/>
    </row>
    <row r="5" spans="1:14" ht="15" x14ac:dyDescent="0.2">
      <c r="A5" s="64" t="s">
        <v>446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39" t="s">
        <v>69</v>
      </c>
      <c r="B6" s="38" t="s">
        <v>829</v>
      </c>
      <c r="C6" s="38" t="s">
        <v>828</v>
      </c>
      <c r="D6" s="38" t="s">
        <v>827</v>
      </c>
      <c r="E6" s="38" t="str">
        <f>"0,9801"</f>
        <v>0,9801</v>
      </c>
      <c r="F6" s="38" t="s">
        <v>21</v>
      </c>
      <c r="G6" s="38" t="s">
        <v>826</v>
      </c>
      <c r="H6" s="25" t="s">
        <v>417</v>
      </c>
      <c r="I6" s="25" t="s">
        <v>98</v>
      </c>
      <c r="J6" s="25" t="s">
        <v>821</v>
      </c>
      <c r="K6" s="49" t="s">
        <v>99</v>
      </c>
      <c r="L6" s="39" t="str">
        <f>"42,5"</f>
        <v>42,5</v>
      </c>
      <c r="M6" s="39" t="str">
        <f>"41,6542"</f>
        <v>41,6542</v>
      </c>
      <c r="N6" s="38" t="s">
        <v>712</v>
      </c>
    </row>
    <row r="7" spans="1:14" x14ac:dyDescent="0.2">
      <c r="B7" s="31" t="s">
        <v>14</v>
      </c>
    </row>
    <row r="8" spans="1:14" ht="15" x14ac:dyDescent="0.2">
      <c r="A8" s="56" t="s">
        <v>163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39" t="s">
        <v>69</v>
      </c>
      <c r="B9" s="38" t="s">
        <v>588</v>
      </c>
      <c r="C9" s="38" t="s">
        <v>589</v>
      </c>
      <c r="D9" s="38" t="s">
        <v>590</v>
      </c>
      <c r="E9" s="38" t="str">
        <f>"0,7903"</f>
        <v>0,7903</v>
      </c>
      <c r="F9" s="38" t="s">
        <v>21</v>
      </c>
      <c r="G9" s="38" t="s">
        <v>591</v>
      </c>
      <c r="H9" s="25" t="s">
        <v>134</v>
      </c>
      <c r="I9" s="25" t="s">
        <v>98</v>
      </c>
      <c r="J9" s="49" t="s">
        <v>99</v>
      </c>
      <c r="K9" s="39"/>
      <c r="L9" s="39" t="str">
        <f>"40,0"</f>
        <v>40,0</v>
      </c>
      <c r="M9" s="39" t="str">
        <f>"31,6120"</f>
        <v>31,6120</v>
      </c>
      <c r="N9" s="38" t="s">
        <v>712</v>
      </c>
    </row>
    <row r="10" spans="1:14" x14ac:dyDescent="0.2">
      <c r="B10" s="31" t="s">
        <v>14</v>
      </c>
    </row>
    <row r="11" spans="1:14" ht="15" x14ac:dyDescent="0.2">
      <c r="A11" s="56" t="s">
        <v>163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39" t="s">
        <v>69</v>
      </c>
      <c r="B12" s="38" t="s">
        <v>839</v>
      </c>
      <c r="C12" s="38" t="s">
        <v>838</v>
      </c>
      <c r="D12" s="38" t="s">
        <v>837</v>
      </c>
      <c r="E12" s="38" t="str">
        <f>"0,7287"</f>
        <v>0,7287</v>
      </c>
      <c r="F12" s="38" t="s">
        <v>21</v>
      </c>
      <c r="G12" s="38" t="s">
        <v>77</v>
      </c>
      <c r="H12" s="25" t="s">
        <v>260</v>
      </c>
      <c r="I12" s="49" t="s">
        <v>169</v>
      </c>
      <c r="J12" s="49" t="s">
        <v>169</v>
      </c>
      <c r="K12" s="39"/>
      <c r="L12" s="39" t="str">
        <f>"72,5"</f>
        <v>72,5</v>
      </c>
      <c r="M12" s="39" t="str">
        <f>"52,8307"</f>
        <v>52,8307</v>
      </c>
      <c r="N12" s="38" t="s">
        <v>712</v>
      </c>
    </row>
    <row r="13" spans="1:14" x14ac:dyDescent="0.2">
      <c r="B13" s="31" t="s">
        <v>14</v>
      </c>
    </row>
    <row r="14" spans="1:14" ht="15" x14ac:dyDescent="0.2">
      <c r="A14" s="56" t="s">
        <v>20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4" x14ac:dyDescent="0.2">
      <c r="A15" s="39" t="s">
        <v>69</v>
      </c>
      <c r="B15" s="38" t="s">
        <v>836</v>
      </c>
      <c r="C15" s="38" t="s">
        <v>835</v>
      </c>
      <c r="D15" s="38" t="s">
        <v>834</v>
      </c>
      <c r="E15" s="38" t="str">
        <f>"0,6036"</f>
        <v>0,6036</v>
      </c>
      <c r="F15" s="38" t="s">
        <v>21</v>
      </c>
      <c r="G15" s="38" t="s">
        <v>31</v>
      </c>
      <c r="H15" s="25" t="s">
        <v>137</v>
      </c>
      <c r="I15" s="25" t="s">
        <v>146</v>
      </c>
      <c r="J15" s="49" t="s">
        <v>152</v>
      </c>
      <c r="K15" s="39"/>
      <c r="L15" s="39" t="str">
        <f>"70,0"</f>
        <v>70,0</v>
      </c>
      <c r="M15" s="39" t="str">
        <f>"42,2520"</f>
        <v>42,2520</v>
      </c>
      <c r="N15" s="38" t="s">
        <v>712</v>
      </c>
    </row>
    <row r="16" spans="1:14" x14ac:dyDescent="0.2">
      <c r="B16" s="31" t="s">
        <v>14</v>
      </c>
    </row>
    <row r="17" spans="1:14" ht="15" x14ac:dyDescent="0.2">
      <c r="A17" s="56" t="s">
        <v>33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4" x14ac:dyDescent="0.2">
      <c r="A18" s="39" t="s">
        <v>70</v>
      </c>
      <c r="B18" s="38" t="s">
        <v>833</v>
      </c>
      <c r="C18" s="38" t="s">
        <v>832</v>
      </c>
      <c r="D18" s="38" t="s">
        <v>831</v>
      </c>
      <c r="E18" s="38" t="str">
        <f>"0,5790"</f>
        <v>0,5790</v>
      </c>
      <c r="F18" s="38" t="s">
        <v>21</v>
      </c>
      <c r="G18" s="38" t="s">
        <v>77</v>
      </c>
      <c r="H18" s="49" t="s">
        <v>100</v>
      </c>
      <c r="I18" s="39"/>
      <c r="J18" s="39"/>
      <c r="K18" s="39"/>
      <c r="L18" s="39" t="str">
        <f>"0.00"</f>
        <v>0.00</v>
      </c>
      <c r="M18" s="39" t="str">
        <f>"0,0000"</f>
        <v>0,0000</v>
      </c>
      <c r="N18" s="38" t="s">
        <v>712</v>
      </c>
    </row>
    <row r="19" spans="1:14" x14ac:dyDescent="0.2">
      <c r="B19" s="31" t="s">
        <v>14</v>
      </c>
    </row>
    <row r="20" spans="1:14" ht="15" x14ac:dyDescent="0.2">
      <c r="A20" s="56" t="s">
        <v>37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4" x14ac:dyDescent="0.2">
      <c r="A21" s="39" t="s">
        <v>69</v>
      </c>
      <c r="B21" s="38" t="s">
        <v>338</v>
      </c>
      <c r="C21" s="38" t="s">
        <v>622</v>
      </c>
      <c r="D21" s="38" t="s">
        <v>340</v>
      </c>
      <c r="E21" s="38" t="str">
        <f>"0,5267"</f>
        <v>0,5267</v>
      </c>
      <c r="F21" s="38" t="s">
        <v>21</v>
      </c>
      <c r="G21" s="38" t="s">
        <v>94</v>
      </c>
      <c r="H21" s="25" t="s">
        <v>137</v>
      </c>
      <c r="I21" s="25" t="s">
        <v>170</v>
      </c>
      <c r="J21" s="49" t="s">
        <v>95</v>
      </c>
      <c r="K21" s="39"/>
      <c r="L21" s="39" t="str">
        <f>"80,0"</f>
        <v>80,0</v>
      </c>
      <c r="M21" s="39" t="str">
        <f>"42,1360"</f>
        <v>42,1360</v>
      </c>
      <c r="N21" s="38" t="s">
        <v>712</v>
      </c>
    </row>
    <row r="22" spans="1:14" x14ac:dyDescent="0.2">
      <c r="B22" s="31" t="s">
        <v>14</v>
      </c>
    </row>
    <row r="23" spans="1:14" ht="15" x14ac:dyDescent="0.2">
      <c r="B23" s="31" t="s">
        <v>14</v>
      </c>
      <c r="F23" s="37"/>
    </row>
    <row r="24" spans="1:14" ht="15" x14ac:dyDescent="0.2">
      <c r="B24" s="31" t="s">
        <v>14</v>
      </c>
      <c r="F24" s="37"/>
    </row>
    <row r="25" spans="1:14" ht="15" x14ac:dyDescent="0.2">
      <c r="B25" s="31" t="s">
        <v>14</v>
      </c>
      <c r="F25" s="37"/>
    </row>
    <row r="26" spans="1:14" ht="15" x14ac:dyDescent="0.2">
      <c r="B26" s="31" t="s">
        <v>14</v>
      </c>
      <c r="F26" s="37"/>
    </row>
    <row r="27" spans="1:14" ht="15" x14ac:dyDescent="0.2">
      <c r="B27" s="31" t="s">
        <v>14</v>
      </c>
      <c r="F27" s="37"/>
    </row>
    <row r="28" spans="1:14" ht="15" x14ac:dyDescent="0.2">
      <c r="B28" s="31" t="s">
        <v>14</v>
      </c>
      <c r="F28" s="37"/>
    </row>
    <row r="29" spans="1:14" ht="15" x14ac:dyDescent="0.2">
      <c r="B29" s="31" t="s">
        <v>14</v>
      </c>
      <c r="F29" s="37"/>
    </row>
    <row r="30" spans="1:14" x14ac:dyDescent="0.2">
      <c r="B30" s="31" t="s">
        <v>14</v>
      </c>
    </row>
    <row r="31" spans="1:14" ht="18" x14ac:dyDescent="0.2">
      <c r="B31" s="31" t="s">
        <v>14</v>
      </c>
      <c r="C31" s="36"/>
      <c r="D31" s="36"/>
    </row>
    <row r="32" spans="1:14" ht="15" x14ac:dyDescent="0.2">
      <c r="B32" s="31" t="s">
        <v>14</v>
      </c>
      <c r="C32" s="13"/>
      <c r="D32" s="13"/>
    </row>
    <row r="33" spans="2:7" ht="14.25" x14ac:dyDescent="0.2">
      <c r="B33" s="31" t="s">
        <v>14</v>
      </c>
      <c r="C33" s="35"/>
      <c r="D33" s="34"/>
    </row>
    <row r="34" spans="2:7" ht="15" x14ac:dyDescent="0.2">
      <c r="B34" s="31" t="s">
        <v>14</v>
      </c>
      <c r="C34" s="33"/>
      <c r="D34" s="33"/>
      <c r="E34" s="33"/>
      <c r="F34" s="33"/>
      <c r="G34" s="33"/>
    </row>
    <row r="35" spans="2:7" x14ac:dyDescent="0.2">
      <c r="B35" s="31" t="s">
        <v>14</v>
      </c>
      <c r="E35" s="32"/>
      <c r="F35" s="32"/>
      <c r="G35" s="32"/>
    </row>
    <row r="36" spans="2:7" x14ac:dyDescent="0.2">
      <c r="B36" s="31" t="s">
        <v>14</v>
      </c>
      <c r="E36" s="32"/>
      <c r="F36" s="32"/>
      <c r="G36" s="32"/>
    </row>
    <row r="37" spans="2:7" x14ac:dyDescent="0.2">
      <c r="B37" s="31" t="s">
        <v>14</v>
      </c>
    </row>
    <row r="38" spans="2:7" x14ac:dyDescent="0.2">
      <c r="B38" s="31" t="s">
        <v>14</v>
      </c>
    </row>
    <row r="39" spans="2:7" ht="15" x14ac:dyDescent="0.2">
      <c r="B39" s="31" t="s">
        <v>14</v>
      </c>
      <c r="C39" s="13"/>
      <c r="D39" s="13"/>
    </row>
    <row r="40" spans="2:7" ht="14.25" x14ac:dyDescent="0.2">
      <c r="B40" s="31" t="s">
        <v>14</v>
      </c>
      <c r="C40" s="35"/>
      <c r="D40" s="34"/>
    </row>
    <row r="41" spans="2:7" ht="15" x14ac:dyDescent="0.2">
      <c r="B41" s="31" t="s">
        <v>14</v>
      </c>
      <c r="C41" s="33"/>
      <c r="D41" s="33"/>
      <c r="E41" s="33"/>
      <c r="F41" s="33"/>
      <c r="G41" s="33"/>
    </row>
    <row r="42" spans="2:7" x14ac:dyDescent="0.2">
      <c r="B42" s="31" t="s">
        <v>14</v>
      </c>
      <c r="E42" s="32"/>
      <c r="F42" s="32"/>
      <c r="G42" s="32"/>
    </row>
    <row r="43" spans="2:7" x14ac:dyDescent="0.2">
      <c r="B43" s="31" t="s">
        <v>14</v>
      </c>
      <c r="E43" s="32"/>
      <c r="F43" s="32"/>
      <c r="G43" s="32"/>
    </row>
    <row r="44" spans="2:7" x14ac:dyDescent="0.2">
      <c r="B44" s="31" t="s">
        <v>14</v>
      </c>
      <c r="E44" s="32"/>
      <c r="F44" s="32"/>
      <c r="G44" s="32"/>
    </row>
    <row r="45" spans="2:7" x14ac:dyDescent="0.2">
      <c r="B45" s="31" t="s">
        <v>14</v>
      </c>
    </row>
  </sheetData>
  <mergeCells count="18">
    <mergeCell ref="A17:K17"/>
    <mergeCell ref="A20:K20"/>
    <mergeCell ref="M3:M4"/>
    <mergeCell ref="N3:N4"/>
    <mergeCell ref="A5:K5"/>
    <mergeCell ref="A8:K8"/>
    <mergeCell ref="A11:K11"/>
    <mergeCell ref="A14:K14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opLeftCell="A21" workbookViewId="0">
      <selection activeCell="L45" sqref="L45"/>
    </sheetView>
  </sheetViews>
  <sheetFormatPr defaultRowHeight="12.75" x14ac:dyDescent="0.2"/>
  <cols>
    <col min="1" max="1" width="7.42578125" style="31" bestFit="1" customWidth="1"/>
    <col min="2" max="2" width="24.140625" style="31" bestFit="1" customWidth="1"/>
    <col min="3" max="3" width="29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34.5703125" style="31" bestFit="1" customWidth="1"/>
    <col min="8" max="10" width="4.5703125" style="32" customWidth="1"/>
    <col min="11" max="11" width="4.85546875" style="32" customWidth="1"/>
    <col min="12" max="12" width="7.85546875" style="32" bestFit="1" customWidth="1"/>
    <col min="13" max="13" width="7.5703125" style="32" bestFit="1" customWidth="1"/>
    <col min="14" max="14" width="15.140625" style="31" bestFit="1" customWidth="1"/>
    <col min="15" max="16384" width="9.140625" style="30"/>
  </cols>
  <sheetData>
    <row r="1" spans="1:14" s="41" customFormat="1" ht="29.1" customHeight="1" x14ac:dyDescent="0.2">
      <c r="A1" s="79" t="s">
        <v>856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16</v>
      </c>
      <c r="F3" s="91" t="s">
        <v>4</v>
      </c>
      <c r="G3" s="91" t="s">
        <v>7</v>
      </c>
      <c r="H3" s="91" t="s">
        <v>815</v>
      </c>
      <c r="I3" s="91"/>
      <c r="J3" s="91"/>
      <c r="K3" s="91"/>
      <c r="L3" s="91" t="s">
        <v>371</v>
      </c>
      <c r="M3" s="91" t="s">
        <v>3</v>
      </c>
      <c r="N3" s="76" t="s">
        <v>2</v>
      </c>
    </row>
    <row r="4" spans="1:14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>
        <v>1</v>
      </c>
      <c r="I4" s="40">
        <v>2</v>
      </c>
      <c r="J4" s="40">
        <v>3</v>
      </c>
      <c r="K4" s="40" t="s">
        <v>5</v>
      </c>
      <c r="L4" s="90"/>
      <c r="M4" s="90"/>
      <c r="N4" s="77"/>
    </row>
    <row r="5" spans="1:14" ht="15" x14ac:dyDescent="0.2">
      <c r="A5" s="64" t="s">
        <v>446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39" t="s">
        <v>69</v>
      </c>
      <c r="B6" s="38" t="s">
        <v>742</v>
      </c>
      <c r="C6" s="38" t="s">
        <v>741</v>
      </c>
      <c r="D6" s="38" t="s">
        <v>452</v>
      </c>
      <c r="E6" s="38" t="str">
        <f>"0,9724"</f>
        <v>0,9724</v>
      </c>
      <c r="F6" s="38" t="s">
        <v>21</v>
      </c>
      <c r="G6" s="38" t="s">
        <v>77</v>
      </c>
      <c r="H6" s="25" t="s">
        <v>855</v>
      </c>
      <c r="I6" s="25" t="s">
        <v>854</v>
      </c>
      <c r="J6" s="49" t="s">
        <v>135</v>
      </c>
      <c r="K6" s="39"/>
      <c r="L6" s="39" t="str">
        <f>"22,5"</f>
        <v>22,5</v>
      </c>
      <c r="M6" s="39" t="str">
        <f>"23,6281"</f>
        <v>23,6281</v>
      </c>
      <c r="N6" s="38" t="s">
        <v>739</v>
      </c>
    </row>
    <row r="7" spans="1:14" x14ac:dyDescent="0.2">
      <c r="B7" s="31" t="s">
        <v>14</v>
      </c>
    </row>
    <row r="8" spans="1:14" ht="15" x14ac:dyDescent="0.2">
      <c r="A8" s="56" t="s">
        <v>163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39" t="s">
        <v>69</v>
      </c>
      <c r="B9" s="38" t="s">
        <v>164</v>
      </c>
      <c r="C9" s="38" t="s">
        <v>165</v>
      </c>
      <c r="D9" s="38" t="s">
        <v>166</v>
      </c>
      <c r="E9" s="38" t="str">
        <f>"0,7842"</f>
        <v>0,7842</v>
      </c>
      <c r="F9" s="38" t="s">
        <v>21</v>
      </c>
      <c r="G9" s="38" t="s">
        <v>167</v>
      </c>
      <c r="H9" s="25" t="s">
        <v>134</v>
      </c>
      <c r="I9" s="25" t="s">
        <v>98</v>
      </c>
      <c r="J9" s="25" t="s">
        <v>99</v>
      </c>
      <c r="K9" s="39"/>
      <c r="L9" s="39" t="str">
        <f>"45,0"</f>
        <v>45,0</v>
      </c>
      <c r="M9" s="39" t="str">
        <f>"35,2890"</f>
        <v>35,2890</v>
      </c>
      <c r="N9" s="38" t="s">
        <v>712</v>
      </c>
    </row>
    <row r="10" spans="1:14" x14ac:dyDescent="0.2">
      <c r="B10" s="31" t="s">
        <v>14</v>
      </c>
    </row>
    <row r="11" spans="1:14" ht="15" x14ac:dyDescent="0.2">
      <c r="A11" s="56" t="s">
        <v>446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39" t="s">
        <v>69</v>
      </c>
      <c r="B12" s="38" t="s">
        <v>738</v>
      </c>
      <c r="C12" s="38" t="s">
        <v>737</v>
      </c>
      <c r="D12" s="38" t="s">
        <v>736</v>
      </c>
      <c r="E12" s="38" t="str">
        <f>"1,0161"</f>
        <v>1,0161</v>
      </c>
      <c r="F12" s="38" t="s">
        <v>21</v>
      </c>
      <c r="G12" s="38" t="s">
        <v>77</v>
      </c>
      <c r="H12" s="49" t="s">
        <v>855</v>
      </c>
      <c r="I12" s="49" t="s">
        <v>854</v>
      </c>
      <c r="J12" s="25" t="s">
        <v>854</v>
      </c>
      <c r="K12" s="39"/>
      <c r="L12" s="39" t="str">
        <f>"22,5"</f>
        <v>22,5</v>
      </c>
      <c r="M12" s="39" t="str">
        <f>"28,1206"</f>
        <v>28,1206</v>
      </c>
      <c r="N12" s="38" t="s">
        <v>712</v>
      </c>
    </row>
    <row r="13" spans="1:14" x14ac:dyDescent="0.2">
      <c r="B13" s="31" t="s">
        <v>14</v>
      </c>
    </row>
    <row r="14" spans="1:14" ht="15" x14ac:dyDescent="0.2">
      <c r="A14" s="56" t="s">
        <v>90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4" x14ac:dyDescent="0.2">
      <c r="A15" s="39" t="s">
        <v>69</v>
      </c>
      <c r="B15" s="38" t="s">
        <v>734</v>
      </c>
      <c r="C15" s="38" t="s">
        <v>733</v>
      </c>
      <c r="D15" s="38" t="s">
        <v>464</v>
      </c>
      <c r="E15" s="38" t="str">
        <f>"0,8924"</f>
        <v>0,8924</v>
      </c>
      <c r="F15" s="38" t="s">
        <v>21</v>
      </c>
      <c r="G15" s="38" t="s">
        <v>77</v>
      </c>
      <c r="H15" s="25" t="s">
        <v>133</v>
      </c>
      <c r="I15" s="25" t="s">
        <v>853</v>
      </c>
      <c r="J15" s="39"/>
      <c r="K15" s="39"/>
      <c r="L15" s="39" t="str">
        <f>"32,5"</f>
        <v>32,5</v>
      </c>
      <c r="M15" s="39" t="str">
        <f>"30,7432"</f>
        <v>30,7432</v>
      </c>
      <c r="N15" s="38" t="s">
        <v>712</v>
      </c>
    </row>
    <row r="16" spans="1:14" x14ac:dyDescent="0.2">
      <c r="B16" s="31" t="s">
        <v>14</v>
      </c>
    </row>
    <row r="17" spans="1:14" ht="15" x14ac:dyDescent="0.2">
      <c r="A17" s="56" t="s">
        <v>157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4" x14ac:dyDescent="0.2">
      <c r="A18" s="39" t="s">
        <v>69</v>
      </c>
      <c r="B18" s="38" t="s">
        <v>825</v>
      </c>
      <c r="C18" s="38" t="s">
        <v>824</v>
      </c>
      <c r="D18" s="38" t="s">
        <v>823</v>
      </c>
      <c r="E18" s="38" t="str">
        <f>"0,8286"</f>
        <v>0,8286</v>
      </c>
      <c r="F18" s="38" t="s">
        <v>21</v>
      </c>
      <c r="G18" s="38" t="s">
        <v>31</v>
      </c>
      <c r="H18" s="25" t="s">
        <v>154</v>
      </c>
      <c r="I18" s="49" t="s">
        <v>822</v>
      </c>
      <c r="J18" s="49" t="s">
        <v>822</v>
      </c>
      <c r="K18" s="39"/>
      <c r="L18" s="39" t="str">
        <f>"52,5"</f>
        <v>52,5</v>
      </c>
      <c r="M18" s="39" t="str">
        <f>"43,5015"</f>
        <v>43,5015</v>
      </c>
      <c r="N18" s="38" t="s">
        <v>712</v>
      </c>
    </row>
    <row r="19" spans="1:14" x14ac:dyDescent="0.2">
      <c r="B19" s="31" t="s">
        <v>14</v>
      </c>
    </row>
    <row r="20" spans="1:14" ht="15" x14ac:dyDescent="0.2">
      <c r="A20" s="56" t="s">
        <v>163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4" x14ac:dyDescent="0.2">
      <c r="A21" s="47" t="s">
        <v>69</v>
      </c>
      <c r="B21" s="46" t="s">
        <v>698</v>
      </c>
      <c r="C21" s="46" t="s">
        <v>699</v>
      </c>
      <c r="D21" s="46" t="s">
        <v>700</v>
      </c>
      <c r="E21" s="46" t="str">
        <f>"0,7503"</f>
        <v>0,7503</v>
      </c>
      <c r="F21" s="46" t="s">
        <v>21</v>
      </c>
      <c r="G21" s="46" t="s">
        <v>230</v>
      </c>
      <c r="H21" s="22" t="s">
        <v>821</v>
      </c>
      <c r="I21" s="22" t="s">
        <v>100</v>
      </c>
      <c r="J21" s="51" t="s">
        <v>154</v>
      </c>
      <c r="K21" s="47"/>
      <c r="L21" s="47" t="str">
        <f>"50,0"</f>
        <v>50,0</v>
      </c>
      <c r="M21" s="47" t="str">
        <f>"37,5150"</f>
        <v>37,5150</v>
      </c>
      <c r="N21" s="46" t="s">
        <v>712</v>
      </c>
    </row>
    <row r="22" spans="1:14" x14ac:dyDescent="0.2">
      <c r="A22" s="45" t="s">
        <v>70</v>
      </c>
      <c r="B22" s="44" t="s">
        <v>839</v>
      </c>
      <c r="C22" s="44" t="s">
        <v>838</v>
      </c>
      <c r="D22" s="44" t="s">
        <v>837</v>
      </c>
      <c r="E22" s="44" t="str">
        <f>"0,7287"</f>
        <v>0,7287</v>
      </c>
      <c r="F22" s="44" t="s">
        <v>21</v>
      </c>
      <c r="G22" s="44" t="s">
        <v>77</v>
      </c>
      <c r="H22" s="52" t="s">
        <v>139</v>
      </c>
      <c r="I22" s="45"/>
      <c r="J22" s="45"/>
      <c r="K22" s="45"/>
      <c r="L22" s="45" t="str">
        <f>"0.00"</f>
        <v>0.00</v>
      </c>
      <c r="M22" s="45" t="str">
        <f>"0,0000"</f>
        <v>0,0000</v>
      </c>
      <c r="N22" s="44" t="s">
        <v>712</v>
      </c>
    </row>
    <row r="23" spans="1:14" x14ac:dyDescent="0.2">
      <c r="A23" s="43" t="s">
        <v>69</v>
      </c>
      <c r="B23" s="42" t="s">
        <v>852</v>
      </c>
      <c r="C23" s="42" t="s">
        <v>851</v>
      </c>
      <c r="D23" s="42" t="s">
        <v>850</v>
      </c>
      <c r="E23" s="42" t="str">
        <f>"0,7258"</f>
        <v>0,7258</v>
      </c>
      <c r="F23" s="42" t="s">
        <v>21</v>
      </c>
      <c r="G23" s="42" t="s">
        <v>77</v>
      </c>
      <c r="H23" s="27" t="s">
        <v>99</v>
      </c>
      <c r="I23" s="27" t="s">
        <v>100</v>
      </c>
      <c r="J23" s="50" t="s">
        <v>154</v>
      </c>
      <c r="K23" s="43"/>
      <c r="L23" s="43" t="str">
        <f>"50,0"</f>
        <v>50,0</v>
      </c>
      <c r="M23" s="43" t="str">
        <f>"38,0319"</f>
        <v>38,0319</v>
      </c>
      <c r="N23" s="42" t="s">
        <v>712</v>
      </c>
    </row>
    <row r="24" spans="1:14" x14ac:dyDescent="0.2">
      <c r="B24" s="31" t="s">
        <v>14</v>
      </c>
    </row>
    <row r="25" spans="1:14" ht="15" x14ac:dyDescent="0.2">
      <c r="A25" s="56" t="s">
        <v>182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4" x14ac:dyDescent="0.2">
      <c r="A26" s="47" t="s">
        <v>69</v>
      </c>
      <c r="B26" s="46" t="s">
        <v>849</v>
      </c>
      <c r="C26" s="46" t="s">
        <v>848</v>
      </c>
      <c r="D26" s="46" t="s">
        <v>506</v>
      </c>
      <c r="E26" s="46" t="str">
        <f>"0,6882"</f>
        <v>0,6882</v>
      </c>
      <c r="F26" s="46" t="s">
        <v>21</v>
      </c>
      <c r="G26" s="46" t="s">
        <v>230</v>
      </c>
      <c r="H26" s="22" t="s">
        <v>100</v>
      </c>
      <c r="I26" s="51" t="s">
        <v>161</v>
      </c>
      <c r="J26" s="51" t="s">
        <v>161</v>
      </c>
      <c r="K26" s="47"/>
      <c r="L26" s="47" t="str">
        <f>"50,0"</f>
        <v>50,0</v>
      </c>
      <c r="M26" s="47" t="str">
        <f>"35,7864"</f>
        <v>35,7864</v>
      </c>
      <c r="N26" s="46" t="s">
        <v>712</v>
      </c>
    </row>
    <row r="27" spans="1:14" x14ac:dyDescent="0.2">
      <c r="A27" s="43" t="s">
        <v>69</v>
      </c>
      <c r="B27" s="42" t="s">
        <v>349</v>
      </c>
      <c r="C27" s="42" t="s">
        <v>350</v>
      </c>
      <c r="D27" s="42" t="s">
        <v>351</v>
      </c>
      <c r="E27" s="42" t="str">
        <f>"0,6760"</f>
        <v>0,6760</v>
      </c>
      <c r="F27" s="42" t="s">
        <v>21</v>
      </c>
      <c r="G27" s="42" t="s">
        <v>230</v>
      </c>
      <c r="H27" s="27" t="s">
        <v>134</v>
      </c>
      <c r="I27" s="50" t="s">
        <v>98</v>
      </c>
      <c r="J27" s="50" t="s">
        <v>98</v>
      </c>
      <c r="K27" s="43"/>
      <c r="L27" s="43" t="str">
        <f>"35,0"</f>
        <v>35,0</v>
      </c>
      <c r="M27" s="43" t="str">
        <f>"48,9762"</f>
        <v>48,9762</v>
      </c>
      <c r="N27" s="42" t="s">
        <v>712</v>
      </c>
    </row>
    <row r="28" spans="1:14" x14ac:dyDescent="0.2">
      <c r="B28" s="31" t="s">
        <v>14</v>
      </c>
    </row>
    <row r="29" spans="1:14" ht="15" x14ac:dyDescent="0.2">
      <c r="A29" s="56" t="s">
        <v>73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4" x14ac:dyDescent="0.2">
      <c r="A30" s="47" t="s">
        <v>69</v>
      </c>
      <c r="B30" s="46" t="s">
        <v>662</v>
      </c>
      <c r="C30" s="46" t="s">
        <v>663</v>
      </c>
      <c r="D30" s="46" t="s">
        <v>517</v>
      </c>
      <c r="E30" s="46" t="str">
        <f>"0,6301"</f>
        <v>0,6301</v>
      </c>
      <c r="F30" s="46" t="s">
        <v>21</v>
      </c>
      <c r="G30" s="46" t="s">
        <v>143</v>
      </c>
      <c r="H30" s="22" t="s">
        <v>99</v>
      </c>
      <c r="I30" s="22" t="s">
        <v>154</v>
      </c>
      <c r="J30" s="51" t="s">
        <v>440</v>
      </c>
      <c r="K30" s="47"/>
      <c r="L30" s="47" t="str">
        <f>"52,5"</f>
        <v>52,5</v>
      </c>
      <c r="M30" s="47" t="str">
        <f>"34,0727"</f>
        <v>34,0727</v>
      </c>
      <c r="N30" s="46" t="s">
        <v>712</v>
      </c>
    </row>
    <row r="31" spans="1:14" x14ac:dyDescent="0.2">
      <c r="A31" s="45" t="s">
        <v>69</v>
      </c>
      <c r="B31" s="44" t="s">
        <v>520</v>
      </c>
      <c r="C31" s="44" t="s">
        <v>521</v>
      </c>
      <c r="D31" s="44" t="s">
        <v>517</v>
      </c>
      <c r="E31" s="44" t="str">
        <f>"0,6301"</f>
        <v>0,6301</v>
      </c>
      <c r="F31" s="44" t="s">
        <v>21</v>
      </c>
      <c r="G31" s="44" t="s">
        <v>42</v>
      </c>
      <c r="H31" s="28" t="s">
        <v>154</v>
      </c>
      <c r="I31" s="28" t="s">
        <v>137</v>
      </c>
      <c r="J31" s="52" t="s">
        <v>139</v>
      </c>
      <c r="K31" s="45"/>
      <c r="L31" s="45" t="str">
        <f>"60,0"</f>
        <v>60,0</v>
      </c>
      <c r="M31" s="45" t="str">
        <f>"37,8060"</f>
        <v>37,8060</v>
      </c>
      <c r="N31" s="44" t="s">
        <v>712</v>
      </c>
    </row>
    <row r="32" spans="1:14" x14ac:dyDescent="0.2">
      <c r="A32" s="45" t="s">
        <v>71</v>
      </c>
      <c r="B32" s="44" t="s">
        <v>212</v>
      </c>
      <c r="C32" s="44" t="s">
        <v>213</v>
      </c>
      <c r="D32" s="44" t="s">
        <v>214</v>
      </c>
      <c r="E32" s="44" t="str">
        <f>"0,6262"</f>
        <v>0,6262</v>
      </c>
      <c r="F32" s="44" t="s">
        <v>21</v>
      </c>
      <c r="G32" s="44" t="s">
        <v>167</v>
      </c>
      <c r="H32" s="28" t="s">
        <v>440</v>
      </c>
      <c r="I32" s="52" t="s">
        <v>146</v>
      </c>
      <c r="J32" s="52" t="s">
        <v>146</v>
      </c>
      <c r="K32" s="45"/>
      <c r="L32" s="45" t="str">
        <f>"57,5"</f>
        <v>57,5</v>
      </c>
      <c r="M32" s="45" t="str">
        <f>"36,0065"</f>
        <v>36,0065</v>
      </c>
      <c r="N32" s="44" t="s">
        <v>712</v>
      </c>
    </row>
    <row r="33" spans="1:14" x14ac:dyDescent="0.2">
      <c r="A33" s="43" t="s">
        <v>69</v>
      </c>
      <c r="B33" s="42" t="s">
        <v>773</v>
      </c>
      <c r="C33" s="42" t="s">
        <v>772</v>
      </c>
      <c r="D33" s="42" t="s">
        <v>771</v>
      </c>
      <c r="E33" s="42" t="str">
        <f>"0,6279"</f>
        <v>0,6279</v>
      </c>
      <c r="F33" s="42" t="s">
        <v>21</v>
      </c>
      <c r="G33" s="42" t="s">
        <v>77</v>
      </c>
      <c r="H33" s="27" t="s">
        <v>99</v>
      </c>
      <c r="I33" s="27" t="s">
        <v>100</v>
      </c>
      <c r="J33" s="50" t="s">
        <v>161</v>
      </c>
      <c r="K33" s="43"/>
      <c r="L33" s="43" t="str">
        <f>"50,0"</f>
        <v>50,0</v>
      </c>
      <c r="M33" s="43" t="str">
        <f>"43,3251"</f>
        <v>43,3251</v>
      </c>
      <c r="N33" s="42" t="s">
        <v>712</v>
      </c>
    </row>
    <row r="34" spans="1:14" x14ac:dyDescent="0.2">
      <c r="B34" s="31" t="s">
        <v>14</v>
      </c>
    </row>
    <row r="35" spans="1:14" ht="15" x14ac:dyDescent="0.2">
      <c r="A35" s="56" t="s">
        <v>20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4" x14ac:dyDescent="0.2">
      <c r="A36" s="39" t="s">
        <v>69</v>
      </c>
      <c r="B36" s="38" t="s">
        <v>531</v>
      </c>
      <c r="C36" s="38" t="s">
        <v>532</v>
      </c>
      <c r="D36" s="38" t="s">
        <v>533</v>
      </c>
      <c r="E36" s="38" t="str">
        <f>"0,6162"</f>
        <v>0,6162</v>
      </c>
      <c r="F36" s="38" t="s">
        <v>21</v>
      </c>
      <c r="G36" s="38" t="s">
        <v>167</v>
      </c>
      <c r="H36" s="25" t="s">
        <v>139</v>
      </c>
      <c r="I36" s="25" t="s">
        <v>169</v>
      </c>
      <c r="J36" s="25" t="s">
        <v>170</v>
      </c>
      <c r="K36" s="39"/>
      <c r="L36" s="39" t="str">
        <f>"80,0"</f>
        <v>80,0</v>
      </c>
      <c r="M36" s="39" t="str">
        <f>"49,2960"</f>
        <v>49,2960</v>
      </c>
      <c r="N36" s="38" t="s">
        <v>712</v>
      </c>
    </row>
    <row r="37" spans="1:14" x14ac:dyDescent="0.2">
      <c r="B37" s="31" t="s">
        <v>14</v>
      </c>
    </row>
    <row r="38" spans="1:14" ht="15" x14ac:dyDescent="0.2">
      <c r="A38" s="56" t="s">
        <v>33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spans="1:14" x14ac:dyDescent="0.2">
      <c r="A39" s="47" t="s">
        <v>69</v>
      </c>
      <c r="B39" s="46" t="s">
        <v>557</v>
      </c>
      <c r="C39" s="46" t="s">
        <v>558</v>
      </c>
      <c r="D39" s="46" t="s">
        <v>559</v>
      </c>
      <c r="E39" s="46" t="str">
        <f>"0,5660"</f>
        <v>0,5660</v>
      </c>
      <c r="F39" s="46" t="s">
        <v>21</v>
      </c>
      <c r="G39" s="46" t="s">
        <v>560</v>
      </c>
      <c r="H39" s="22" t="s">
        <v>161</v>
      </c>
      <c r="I39" s="22" t="s">
        <v>146</v>
      </c>
      <c r="J39" s="51" t="s">
        <v>260</v>
      </c>
      <c r="K39" s="47"/>
      <c r="L39" s="47" t="str">
        <f>"70,0"</f>
        <v>70,0</v>
      </c>
      <c r="M39" s="47" t="str">
        <f>"39,6200"</f>
        <v>39,6200</v>
      </c>
      <c r="N39" s="46" t="s">
        <v>712</v>
      </c>
    </row>
    <row r="40" spans="1:14" x14ac:dyDescent="0.2">
      <c r="A40" s="43" t="s">
        <v>69</v>
      </c>
      <c r="B40" s="42" t="s">
        <v>847</v>
      </c>
      <c r="C40" s="42" t="s">
        <v>846</v>
      </c>
      <c r="D40" s="42" t="s">
        <v>845</v>
      </c>
      <c r="E40" s="42" t="str">
        <f>"0,5663"</f>
        <v>0,5663</v>
      </c>
      <c r="F40" s="42" t="s">
        <v>21</v>
      </c>
      <c r="G40" s="42" t="s">
        <v>844</v>
      </c>
      <c r="H40" s="27" t="s">
        <v>170</v>
      </c>
      <c r="I40" s="27" t="s">
        <v>171</v>
      </c>
      <c r="J40" s="50" t="s">
        <v>153</v>
      </c>
      <c r="K40" s="43"/>
      <c r="L40" s="43" t="str">
        <f>"82,5"</f>
        <v>82,5</v>
      </c>
      <c r="M40" s="43" t="str">
        <f>"47,5607"</f>
        <v>47,5607</v>
      </c>
      <c r="N40" s="42" t="s">
        <v>712</v>
      </c>
    </row>
    <row r="41" spans="1:14" x14ac:dyDescent="0.2">
      <c r="B41" s="31" t="s">
        <v>14</v>
      </c>
    </row>
    <row r="42" spans="1:14" ht="15" x14ac:dyDescent="0.2">
      <c r="A42" s="56" t="s">
        <v>48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4" x14ac:dyDescent="0.2">
      <c r="A43" s="47" t="s">
        <v>69</v>
      </c>
      <c r="B43" s="46" t="s">
        <v>843</v>
      </c>
      <c r="C43" s="46" t="s">
        <v>842</v>
      </c>
      <c r="D43" s="46" t="s">
        <v>841</v>
      </c>
      <c r="E43" s="46" t="str">
        <f>"0,5089"</f>
        <v>0,5089</v>
      </c>
      <c r="F43" s="46" t="s">
        <v>21</v>
      </c>
      <c r="G43" s="46" t="s">
        <v>77</v>
      </c>
      <c r="H43" s="22" t="s">
        <v>161</v>
      </c>
      <c r="I43" s="51" t="s">
        <v>162</v>
      </c>
      <c r="J43" s="51" t="s">
        <v>162</v>
      </c>
      <c r="K43" s="47"/>
      <c r="L43" s="47" t="str">
        <f>"55,0"</f>
        <v>55,0</v>
      </c>
      <c r="M43" s="47" t="str">
        <f>"28,5487"</f>
        <v>28,5487</v>
      </c>
      <c r="N43" s="46" t="s">
        <v>712</v>
      </c>
    </row>
    <row r="44" spans="1:14" x14ac:dyDescent="0.2">
      <c r="A44" s="43" t="s">
        <v>69</v>
      </c>
      <c r="B44" s="42" t="s">
        <v>367</v>
      </c>
      <c r="C44" s="42" t="s">
        <v>368</v>
      </c>
      <c r="D44" s="42" t="s">
        <v>369</v>
      </c>
      <c r="E44" s="42" t="str">
        <f>"0,5130"</f>
        <v>0,5130</v>
      </c>
      <c r="F44" s="42" t="s">
        <v>21</v>
      </c>
      <c r="G44" s="42" t="s">
        <v>77</v>
      </c>
      <c r="H44" s="27" t="s">
        <v>100</v>
      </c>
      <c r="I44" s="27" t="s">
        <v>162</v>
      </c>
      <c r="J44" s="50" t="s">
        <v>139</v>
      </c>
      <c r="K44" s="43"/>
      <c r="L44" s="43" t="str">
        <f>"62,5"</f>
        <v>62,5</v>
      </c>
      <c r="M44" s="43" t="str">
        <f>"45,8458"</f>
        <v>45,8458</v>
      </c>
      <c r="N44" s="42" t="s">
        <v>712</v>
      </c>
    </row>
    <row r="45" spans="1:14" x14ac:dyDescent="0.2">
      <c r="B45" s="31" t="s">
        <v>14</v>
      </c>
    </row>
    <row r="46" spans="1:14" ht="15" x14ac:dyDescent="0.2">
      <c r="B46" s="31" t="s">
        <v>14</v>
      </c>
      <c r="F46" s="37"/>
    </row>
    <row r="47" spans="1:14" ht="15" x14ac:dyDescent="0.2">
      <c r="B47" s="31" t="s">
        <v>14</v>
      </c>
      <c r="F47" s="37"/>
    </row>
    <row r="48" spans="1:14" ht="15" x14ac:dyDescent="0.2">
      <c r="B48" s="31" t="s">
        <v>14</v>
      </c>
      <c r="F48" s="37"/>
    </row>
    <row r="49" spans="2:7" ht="15" x14ac:dyDescent="0.2">
      <c r="B49" s="31" t="s">
        <v>14</v>
      </c>
      <c r="F49" s="37"/>
    </row>
    <row r="50" spans="2:7" ht="15" x14ac:dyDescent="0.2">
      <c r="B50" s="31" t="s">
        <v>14</v>
      </c>
      <c r="F50" s="37"/>
    </row>
    <row r="51" spans="2:7" ht="15" x14ac:dyDescent="0.2">
      <c r="B51" s="31" t="s">
        <v>14</v>
      </c>
      <c r="F51" s="37"/>
    </row>
    <row r="52" spans="2:7" ht="15" x14ac:dyDescent="0.2">
      <c r="B52" s="31" t="s">
        <v>14</v>
      </c>
      <c r="F52" s="37"/>
    </row>
    <row r="53" spans="2:7" x14ac:dyDescent="0.2">
      <c r="B53" s="31" t="s">
        <v>14</v>
      </c>
    </row>
    <row r="54" spans="2:7" ht="18" x14ac:dyDescent="0.2">
      <c r="B54" s="31" t="s">
        <v>14</v>
      </c>
      <c r="C54" s="36"/>
      <c r="D54" s="36"/>
    </row>
    <row r="55" spans="2:7" ht="15" x14ac:dyDescent="0.2">
      <c r="B55" s="31" t="s">
        <v>14</v>
      </c>
      <c r="C55" s="13"/>
      <c r="D55" s="13"/>
    </row>
    <row r="56" spans="2:7" ht="14.25" x14ac:dyDescent="0.2">
      <c r="B56" s="31" t="s">
        <v>14</v>
      </c>
      <c r="C56" s="35"/>
      <c r="D56" s="34"/>
    </row>
    <row r="57" spans="2:7" ht="15" x14ac:dyDescent="0.2">
      <c r="B57" s="31" t="s">
        <v>14</v>
      </c>
      <c r="C57" s="33"/>
      <c r="D57" s="33"/>
      <c r="E57" s="33"/>
      <c r="F57" s="33"/>
      <c r="G57" s="33"/>
    </row>
    <row r="58" spans="2:7" x14ac:dyDescent="0.2">
      <c r="B58" s="31" t="s">
        <v>14</v>
      </c>
      <c r="E58" s="32"/>
      <c r="F58" s="32"/>
      <c r="G58" s="32"/>
    </row>
    <row r="59" spans="2:7" x14ac:dyDescent="0.2">
      <c r="B59" s="31" t="s">
        <v>14</v>
      </c>
    </row>
    <row r="60" spans="2:7" ht="14.25" x14ac:dyDescent="0.2">
      <c r="B60" s="31" t="s">
        <v>14</v>
      </c>
      <c r="C60" s="35"/>
      <c r="D60" s="34"/>
    </row>
    <row r="61" spans="2:7" ht="15" x14ac:dyDescent="0.2">
      <c r="B61" s="31" t="s">
        <v>14</v>
      </c>
      <c r="C61" s="33"/>
      <c r="D61" s="33"/>
      <c r="E61" s="33"/>
      <c r="F61" s="33"/>
      <c r="G61" s="33"/>
    </row>
    <row r="62" spans="2:7" x14ac:dyDescent="0.2">
      <c r="B62" s="31" t="s">
        <v>14</v>
      </c>
      <c r="E62" s="32"/>
      <c r="F62" s="32"/>
      <c r="G62" s="32"/>
    </row>
    <row r="63" spans="2:7" x14ac:dyDescent="0.2">
      <c r="B63" s="31" t="s">
        <v>14</v>
      </c>
    </row>
    <row r="64" spans="2:7" x14ac:dyDescent="0.2">
      <c r="B64" s="31" t="s">
        <v>14</v>
      </c>
    </row>
    <row r="65" spans="2:7" ht="15" x14ac:dyDescent="0.2">
      <c r="B65" s="31" t="s">
        <v>14</v>
      </c>
      <c r="C65" s="13"/>
      <c r="D65" s="13"/>
    </row>
    <row r="66" spans="2:7" ht="14.25" x14ac:dyDescent="0.2">
      <c r="B66" s="31" t="s">
        <v>14</v>
      </c>
      <c r="C66" s="35"/>
      <c r="D66" s="34"/>
    </row>
    <row r="67" spans="2:7" ht="15" x14ac:dyDescent="0.2">
      <c r="B67" s="31" t="s">
        <v>14</v>
      </c>
      <c r="C67" s="33"/>
      <c r="D67" s="33"/>
      <c r="E67" s="33"/>
      <c r="F67" s="33"/>
      <c r="G67" s="33"/>
    </row>
    <row r="68" spans="2:7" x14ac:dyDescent="0.2">
      <c r="B68" s="31" t="s">
        <v>14</v>
      </c>
      <c r="E68" s="32"/>
      <c r="F68" s="32"/>
      <c r="G68" s="32"/>
    </row>
    <row r="69" spans="2:7" x14ac:dyDescent="0.2">
      <c r="B69" s="31" t="s">
        <v>14</v>
      </c>
      <c r="E69" s="32"/>
      <c r="F69" s="32"/>
      <c r="G69" s="32"/>
    </row>
    <row r="70" spans="2:7" x14ac:dyDescent="0.2">
      <c r="B70" s="31" t="s">
        <v>14</v>
      </c>
      <c r="E70" s="32"/>
      <c r="F70" s="32"/>
      <c r="G70" s="32"/>
    </row>
    <row r="71" spans="2:7" x14ac:dyDescent="0.2">
      <c r="B71" s="31" t="s">
        <v>14</v>
      </c>
    </row>
    <row r="72" spans="2:7" ht="14.25" x14ac:dyDescent="0.2">
      <c r="B72" s="31" t="s">
        <v>14</v>
      </c>
      <c r="C72" s="35"/>
      <c r="D72" s="34"/>
    </row>
    <row r="73" spans="2:7" ht="15" x14ac:dyDescent="0.2">
      <c r="B73" s="31" t="s">
        <v>14</v>
      </c>
      <c r="C73" s="33"/>
      <c r="D73" s="33"/>
      <c r="E73" s="33"/>
      <c r="F73" s="33"/>
      <c r="G73" s="33"/>
    </row>
    <row r="74" spans="2:7" x14ac:dyDescent="0.2">
      <c r="B74" s="31" t="s">
        <v>14</v>
      </c>
      <c r="E74" s="32"/>
      <c r="F74" s="32"/>
      <c r="G74" s="32"/>
    </row>
    <row r="75" spans="2:7" x14ac:dyDescent="0.2">
      <c r="B75" s="31" t="s">
        <v>14</v>
      </c>
      <c r="E75" s="32"/>
      <c r="F75" s="32"/>
      <c r="G75" s="32"/>
    </row>
    <row r="76" spans="2:7" x14ac:dyDescent="0.2">
      <c r="B76" s="31" t="s">
        <v>14</v>
      </c>
      <c r="E76" s="32"/>
      <c r="F76" s="32"/>
      <c r="G76" s="32"/>
    </row>
    <row r="77" spans="2:7" x14ac:dyDescent="0.2">
      <c r="B77" s="31" t="s">
        <v>14</v>
      </c>
    </row>
    <row r="78" spans="2:7" ht="14.25" x14ac:dyDescent="0.2">
      <c r="B78" s="31" t="s">
        <v>14</v>
      </c>
      <c r="C78" s="35"/>
      <c r="D78" s="34"/>
    </row>
    <row r="79" spans="2:7" ht="15" x14ac:dyDescent="0.2">
      <c r="B79" s="31" t="s">
        <v>14</v>
      </c>
      <c r="C79" s="33"/>
      <c r="D79" s="33"/>
      <c r="E79" s="33"/>
      <c r="F79" s="33"/>
      <c r="G79" s="33"/>
    </row>
    <row r="80" spans="2:7" x14ac:dyDescent="0.2">
      <c r="B80" s="31" t="s">
        <v>14</v>
      </c>
      <c r="E80" s="32"/>
      <c r="F80" s="32"/>
      <c r="G80" s="32"/>
    </row>
    <row r="81" spans="2:7" x14ac:dyDescent="0.2">
      <c r="B81" s="31" t="s">
        <v>14</v>
      </c>
      <c r="E81" s="32"/>
      <c r="F81" s="32"/>
      <c r="G81" s="32"/>
    </row>
    <row r="82" spans="2:7" x14ac:dyDescent="0.2">
      <c r="B82" s="31" t="s">
        <v>14</v>
      </c>
      <c r="E82" s="32"/>
      <c r="F82" s="32"/>
      <c r="G82" s="32"/>
    </row>
    <row r="83" spans="2:7" x14ac:dyDescent="0.2">
      <c r="B83" s="31" t="s">
        <v>14</v>
      </c>
    </row>
    <row r="84" spans="2:7" ht="14.25" x14ac:dyDescent="0.2">
      <c r="B84" s="31" t="s">
        <v>14</v>
      </c>
      <c r="C84" s="35"/>
      <c r="D84" s="34"/>
    </row>
    <row r="85" spans="2:7" ht="15" x14ac:dyDescent="0.2">
      <c r="B85" s="31" t="s">
        <v>14</v>
      </c>
      <c r="C85" s="33"/>
      <c r="D85" s="33"/>
      <c r="E85" s="33"/>
      <c r="F85" s="33"/>
      <c r="G85" s="33"/>
    </row>
    <row r="86" spans="2:7" x14ac:dyDescent="0.2">
      <c r="B86" s="31" t="s">
        <v>14</v>
      </c>
      <c r="E86" s="32"/>
      <c r="F86" s="32"/>
      <c r="G86" s="32"/>
    </row>
    <row r="87" spans="2:7" x14ac:dyDescent="0.2">
      <c r="B87" s="31" t="s">
        <v>14</v>
      </c>
      <c r="E87" s="32"/>
      <c r="F87" s="32"/>
      <c r="G87" s="32"/>
    </row>
    <row r="88" spans="2:7" x14ac:dyDescent="0.2">
      <c r="B88" s="31" t="s">
        <v>14</v>
      </c>
      <c r="E88" s="32"/>
      <c r="F88" s="32"/>
      <c r="G88" s="32"/>
    </row>
    <row r="89" spans="2:7" x14ac:dyDescent="0.2">
      <c r="B89" s="31" t="s">
        <v>14</v>
      </c>
    </row>
  </sheetData>
  <mergeCells count="23">
    <mergeCell ref="A29:K29"/>
    <mergeCell ref="A35:K35"/>
    <mergeCell ref="A38:K38"/>
    <mergeCell ref="A42:K42"/>
    <mergeCell ref="B3:B4"/>
    <mergeCell ref="A8:K8"/>
    <mergeCell ref="A11:K11"/>
    <mergeCell ref="A14:K14"/>
    <mergeCell ref="A17:K17"/>
    <mergeCell ref="A20:K20"/>
    <mergeCell ref="A25:K25"/>
    <mergeCell ref="G3:G4"/>
    <mergeCell ref="H3:K3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C17" sqref="C17"/>
    </sheetView>
  </sheetViews>
  <sheetFormatPr defaultRowHeight="12.75" x14ac:dyDescent="0.2"/>
  <cols>
    <col min="1" max="1" width="7.42578125" style="31" bestFit="1" customWidth="1"/>
    <col min="2" max="2" width="16.28515625" style="31" bestFit="1" customWidth="1"/>
    <col min="3" max="3" width="26.28515625" style="31" bestFit="1" customWidth="1"/>
    <col min="4" max="4" width="21.42578125" style="31" bestFit="1" customWidth="1"/>
    <col min="5" max="5" width="10.5703125" style="31" bestFit="1" customWidth="1"/>
    <col min="6" max="6" width="22.7109375" style="31" bestFit="1" customWidth="1"/>
    <col min="7" max="7" width="27.28515625" style="31" bestFit="1" customWidth="1"/>
    <col min="8" max="10" width="4.5703125" style="32" customWidth="1"/>
    <col min="11" max="11" width="4.85546875" style="32" customWidth="1"/>
    <col min="12" max="12" width="7.85546875" style="32" bestFit="1" customWidth="1"/>
    <col min="13" max="13" width="7.5703125" style="32" bestFit="1" customWidth="1"/>
    <col min="14" max="14" width="15.140625" style="31" bestFit="1" customWidth="1"/>
    <col min="15" max="16384" width="9.140625" style="30"/>
  </cols>
  <sheetData>
    <row r="1" spans="1:14" s="41" customFormat="1" ht="29.1" customHeight="1" x14ac:dyDescent="0.2">
      <c r="A1" s="79" t="s">
        <v>857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s="41" customFormat="1" ht="62.1" customHeight="1" thickBot="1" x14ac:dyDescent="0.25">
      <c r="A2" s="83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s="33" customFormat="1" ht="12.75" customHeight="1" x14ac:dyDescent="0.2">
      <c r="A3" s="87" t="s">
        <v>15</v>
      </c>
      <c r="B3" s="78" t="s">
        <v>0</v>
      </c>
      <c r="C3" s="89" t="s">
        <v>6</v>
      </c>
      <c r="D3" s="89" t="s">
        <v>10</v>
      </c>
      <c r="E3" s="91" t="s">
        <v>16</v>
      </c>
      <c r="F3" s="91" t="s">
        <v>4</v>
      </c>
      <c r="G3" s="91" t="s">
        <v>7</v>
      </c>
      <c r="H3" s="91" t="s">
        <v>816</v>
      </c>
      <c r="I3" s="91"/>
      <c r="J3" s="91"/>
      <c r="K3" s="91"/>
      <c r="L3" s="91" t="s">
        <v>371</v>
      </c>
      <c r="M3" s="91" t="s">
        <v>3</v>
      </c>
      <c r="N3" s="76" t="s">
        <v>2</v>
      </c>
    </row>
    <row r="4" spans="1:14" s="33" customFormat="1" ht="21" customHeight="1" thickBot="1" x14ac:dyDescent="0.25">
      <c r="A4" s="88"/>
      <c r="B4" s="58"/>
      <c r="C4" s="90"/>
      <c r="D4" s="90"/>
      <c r="E4" s="90"/>
      <c r="F4" s="90"/>
      <c r="G4" s="90"/>
      <c r="H4" s="40">
        <v>1</v>
      </c>
      <c r="I4" s="40">
        <v>2</v>
      </c>
      <c r="J4" s="40">
        <v>3</v>
      </c>
      <c r="K4" s="40" t="s">
        <v>5</v>
      </c>
      <c r="L4" s="90"/>
      <c r="M4" s="90"/>
      <c r="N4" s="77"/>
    </row>
    <row r="5" spans="1:14" ht="15" x14ac:dyDescent="0.2">
      <c r="A5" s="64" t="s">
        <v>73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39" t="s">
        <v>70</v>
      </c>
      <c r="B6" s="38" t="s">
        <v>212</v>
      </c>
      <c r="C6" s="38" t="s">
        <v>213</v>
      </c>
      <c r="D6" s="38" t="s">
        <v>214</v>
      </c>
      <c r="E6" s="38" t="str">
        <f>"0,6262"</f>
        <v>0,6262</v>
      </c>
      <c r="F6" s="38" t="s">
        <v>21</v>
      </c>
      <c r="G6" s="38" t="s">
        <v>167</v>
      </c>
      <c r="H6" s="49" t="s">
        <v>169</v>
      </c>
      <c r="I6" s="49" t="s">
        <v>169</v>
      </c>
      <c r="J6" s="49" t="s">
        <v>169</v>
      </c>
      <c r="K6" s="39"/>
      <c r="L6" s="39" t="str">
        <f>"0.00"</f>
        <v>0.00</v>
      </c>
      <c r="M6" s="39" t="str">
        <f>"0,0000"</f>
        <v>0,0000</v>
      </c>
      <c r="N6" s="38" t="s">
        <v>712</v>
      </c>
    </row>
    <row r="7" spans="1:14" x14ac:dyDescent="0.2">
      <c r="B7" s="31" t="s">
        <v>14</v>
      </c>
    </row>
    <row r="8" spans="1:14" ht="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39" t="s">
        <v>69</v>
      </c>
      <c r="B9" s="38" t="s">
        <v>531</v>
      </c>
      <c r="C9" s="38" t="s">
        <v>532</v>
      </c>
      <c r="D9" s="38" t="s">
        <v>533</v>
      </c>
      <c r="E9" s="38" t="str">
        <f>"0,6162"</f>
        <v>0,6162</v>
      </c>
      <c r="F9" s="38" t="s">
        <v>21</v>
      </c>
      <c r="G9" s="38" t="s">
        <v>167</v>
      </c>
      <c r="H9" s="25" t="s">
        <v>95</v>
      </c>
      <c r="I9" s="25" t="s">
        <v>101</v>
      </c>
      <c r="J9" s="39"/>
      <c r="K9" s="39"/>
      <c r="L9" s="39" t="str">
        <f>"95,0"</f>
        <v>95,0</v>
      </c>
      <c r="M9" s="39" t="str">
        <f>"58,5390"</f>
        <v>58,5390</v>
      </c>
      <c r="N9" s="38" t="s">
        <v>712</v>
      </c>
    </row>
    <row r="10" spans="1:14" x14ac:dyDescent="0.2">
      <c r="B10" s="31" t="s">
        <v>14</v>
      </c>
    </row>
    <row r="11" spans="1:14" ht="15" x14ac:dyDescent="0.2">
      <c r="B11" s="31" t="s">
        <v>14</v>
      </c>
      <c r="F11" s="37"/>
    </row>
    <row r="12" spans="1:14" ht="15" x14ac:dyDescent="0.2">
      <c r="B12" s="31" t="s">
        <v>14</v>
      </c>
      <c r="F12" s="37"/>
    </row>
    <row r="13" spans="1:14" ht="15" x14ac:dyDescent="0.2">
      <c r="B13" s="31" t="s">
        <v>14</v>
      </c>
      <c r="F13" s="37"/>
    </row>
    <row r="14" spans="1:14" ht="15" x14ac:dyDescent="0.2">
      <c r="B14" s="31" t="s">
        <v>14</v>
      </c>
      <c r="F14" s="37"/>
    </row>
    <row r="15" spans="1:14" ht="15" x14ac:dyDescent="0.2">
      <c r="B15" s="31" t="s">
        <v>14</v>
      </c>
      <c r="F15" s="37"/>
    </row>
    <row r="16" spans="1:14" ht="15" x14ac:dyDescent="0.2">
      <c r="B16" s="31" t="s">
        <v>14</v>
      </c>
      <c r="F16" s="37"/>
    </row>
    <row r="17" spans="2:7" ht="15" x14ac:dyDescent="0.2">
      <c r="B17" s="31" t="s">
        <v>14</v>
      </c>
      <c r="F17" s="37"/>
    </row>
    <row r="18" spans="2:7" x14ac:dyDescent="0.2">
      <c r="B18" s="31" t="s">
        <v>14</v>
      </c>
    </row>
    <row r="19" spans="2:7" ht="18" x14ac:dyDescent="0.2">
      <c r="B19" s="31" t="s">
        <v>14</v>
      </c>
      <c r="C19" s="36"/>
      <c r="D19" s="36"/>
    </row>
    <row r="20" spans="2:7" ht="15" x14ac:dyDescent="0.2">
      <c r="B20" s="31" t="s">
        <v>14</v>
      </c>
      <c r="C20" s="13"/>
      <c r="D20" s="13"/>
    </row>
    <row r="21" spans="2:7" ht="14.25" x14ac:dyDescent="0.2">
      <c r="B21" s="31" t="s">
        <v>14</v>
      </c>
      <c r="C21" s="35"/>
      <c r="D21" s="34"/>
    </row>
    <row r="22" spans="2:7" ht="15" x14ac:dyDescent="0.2">
      <c r="B22" s="31" t="s">
        <v>14</v>
      </c>
      <c r="C22" s="33"/>
      <c r="D22" s="33"/>
      <c r="E22" s="33"/>
      <c r="F22" s="33"/>
      <c r="G22" s="33"/>
    </row>
    <row r="23" spans="2:7" x14ac:dyDescent="0.2">
      <c r="B23" s="31" t="s">
        <v>14</v>
      </c>
      <c r="E23" s="32"/>
      <c r="F23" s="32"/>
      <c r="G23" s="32"/>
    </row>
    <row r="24" spans="2:7" x14ac:dyDescent="0.2">
      <c r="B24" s="31" t="s">
        <v>14</v>
      </c>
    </row>
  </sheetData>
  <mergeCells count="14">
    <mergeCell ref="A5:K5"/>
    <mergeCell ref="A8:K8"/>
    <mergeCell ref="B3:B4"/>
    <mergeCell ref="E3:E4"/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2"/>
    </sheetView>
  </sheetViews>
  <sheetFormatPr defaultColWidth="8.85546875" defaultRowHeight="15.75" customHeight="1" x14ac:dyDescent="0.2"/>
  <cols>
    <col min="1" max="1" width="20.5703125" bestFit="1" customWidth="1"/>
    <col min="2" max="2" width="37.140625" bestFit="1" customWidth="1"/>
  </cols>
  <sheetData>
    <row r="1" spans="1:2" ht="30.75" customHeight="1" x14ac:dyDescent="0.2">
      <c r="A1" s="97" t="s">
        <v>871</v>
      </c>
      <c r="B1" s="98"/>
    </row>
    <row r="2" spans="1:2" ht="32.25" customHeight="1" x14ac:dyDescent="0.2">
      <c r="A2" s="99"/>
      <c r="B2" s="100"/>
    </row>
    <row r="3" spans="1:2" ht="15.75" customHeight="1" x14ac:dyDescent="0.2">
      <c r="A3" s="53"/>
      <c r="B3" s="53"/>
    </row>
    <row r="4" spans="1:2" ht="15.75" customHeight="1" x14ac:dyDescent="0.2">
      <c r="A4" s="54" t="s">
        <v>11</v>
      </c>
      <c r="B4" s="54" t="s">
        <v>858</v>
      </c>
    </row>
    <row r="5" spans="1:2" ht="15.75" customHeight="1" x14ac:dyDescent="0.2">
      <c r="A5" s="54" t="s">
        <v>12</v>
      </c>
      <c r="B5" s="54" t="s">
        <v>861</v>
      </c>
    </row>
    <row r="6" spans="1:2" ht="15.75" customHeight="1" x14ac:dyDescent="0.2">
      <c r="A6" s="54" t="s">
        <v>860</v>
      </c>
      <c r="B6" s="54" t="s">
        <v>862</v>
      </c>
    </row>
    <row r="7" spans="1:2" ht="15.75" customHeight="1" x14ac:dyDescent="0.2">
      <c r="A7" s="54"/>
      <c r="B7" s="54" t="s">
        <v>863</v>
      </c>
    </row>
    <row r="8" spans="1:2" ht="15.75" customHeight="1" x14ac:dyDescent="0.2">
      <c r="A8" s="54"/>
      <c r="B8" s="54"/>
    </row>
    <row r="9" spans="1:2" ht="15.75" customHeight="1" x14ac:dyDescent="0.2">
      <c r="A9" s="54" t="s">
        <v>859</v>
      </c>
      <c r="B9" s="54" t="s">
        <v>864</v>
      </c>
    </row>
    <row r="10" spans="1:2" ht="15.75" customHeight="1" x14ac:dyDescent="0.2">
      <c r="A10" s="54"/>
      <c r="B10" s="54" t="s">
        <v>865</v>
      </c>
    </row>
    <row r="11" spans="1:2" ht="15.75" customHeight="1" x14ac:dyDescent="0.2">
      <c r="B11" s="54" t="s">
        <v>866</v>
      </c>
    </row>
    <row r="12" spans="1:2" ht="15.75" customHeight="1" x14ac:dyDescent="0.2">
      <c r="B12" s="54" t="s">
        <v>867</v>
      </c>
    </row>
    <row r="13" spans="1:2" ht="15.75" customHeight="1" x14ac:dyDescent="0.2">
      <c r="B13" s="54" t="s">
        <v>868</v>
      </c>
    </row>
    <row r="14" spans="1:2" ht="15.75" customHeight="1" x14ac:dyDescent="0.2">
      <c r="B14" s="54" t="s">
        <v>869</v>
      </c>
    </row>
    <row r="15" spans="1:2" ht="15.75" customHeight="1" x14ac:dyDescent="0.2">
      <c r="B15" s="54" t="s">
        <v>870</v>
      </c>
    </row>
  </sheetData>
  <mergeCells count="1">
    <mergeCell ref="A1:B2"/>
  </mergeCells>
  <pageMargins left="0.69999998807907104" right="0.69999998807907104" top="0.75" bottom="0.75" header="0.30000001192092901" footer="0.30000001192092901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J11" sqref="J11"/>
    </sheetView>
  </sheetViews>
  <sheetFormatPr defaultRowHeight="12.75" x14ac:dyDescent="0.2"/>
  <cols>
    <col min="1" max="1" width="7.42578125" style="5" bestFit="1" customWidth="1"/>
    <col min="2" max="2" width="17.71093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4.42578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691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17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163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192</v>
      </c>
      <c r="C6" s="14" t="s">
        <v>197</v>
      </c>
      <c r="D6" s="14" t="s">
        <v>194</v>
      </c>
      <c r="E6" s="14" t="str">
        <f>"0,7347"</f>
        <v>0,7347</v>
      </c>
      <c r="F6" s="14" t="s">
        <v>21</v>
      </c>
      <c r="G6" s="14" t="s">
        <v>143</v>
      </c>
      <c r="H6" s="25" t="s">
        <v>173</v>
      </c>
      <c r="I6" s="25" t="s">
        <v>121</v>
      </c>
      <c r="J6" s="26" t="s">
        <v>174</v>
      </c>
      <c r="K6" s="15"/>
      <c r="L6" s="15" t="str">
        <f>"152,5"</f>
        <v>152,5</v>
      </c>
      <c r="M6" s="15" t="str">
        <f>"128,1758"</f>
        <v>128,1758</v>
      </c>
      <c r="N6" s="14" t="s">
        <v>712</v>
      </c>
    </row>
    <row r="7" spans="1:14" x14ac:dyDescent="0.2">
      <c r="B7" s="5" t="s">
        <v>14</v>
      </c>
    </row>
    <row r="8" spans="1:14" ht="15" x14ac:dyDescent="0.2">
      <c r="B8" s="5" t="s">
        <v>14</v>
      </c>
      <c r="F8" s="7"/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x14ac:dyDescent="0.2">
      <c r="B15" s="5" t="s">
        <v>14</v>
      </c>
    </row>
    <row r="16" spans="1:14" ht="18" x14ac:dyDescent="0.2">
      <c r="B16" s="5" t="s">
        <v>14</v>
      </c>
      <c r="C16" s="8"/>
      <c r="D16" s="8"/>
    </row>
    <row r="17" spans="2:7" ht="15" x14ac:dyDescent="0.2">
      <c r="B17" s="5" t="s">
        <v>14</v>
      </c>
      <c r="C17" s="18"/>
      <c r="D17" s="18"/>
    </row>
    <row r="18" spans="2:7" ht="14.25" x14ac:dyDescent="0.2">
      <c r="B18" s="5" t="s">
        <v>14</v>
      </c>
      <c r="C18" s="19"/>
      <c r="D18" s="20"/>
    </row>
    <row r="19" spans="2:7" ht="15" x14ac:dyDescent="0.2">
      <c r="B19" s="5" t="s">
        <v>14</v>
      </c>
      <c r="C19" s="1"/>
      <c r="D19" s="1"/>
      <c r="E19" s="1"/>
      <c r="F19" s="1"/>
      <c r="G19" s="1"/>
    </row>
    <row r="20" spans="2:7" x14ac:dyDescent="0.2">
      <c r="B20" s="5" t="s">
        <v>14</v>
      </c>
      <c r="E20" s="6"/>
      <c r="F20" s="6"/>
      <c r="G20" s="6"/>
    </row>
    <row r="21" spans="2:7" x14ac:dyDescent="0.2">
      <c r="B21" s="5" t="s">
        <v>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C16" workbookViewId="0">
      <selection activeCell="N27" sqref="N27"/>
    </sheetView>
  </sheetViews>
  <sheetFormatPr defaultRowHeight="12.75" x14ac:dyDescent="0.2"/>
  <cols>
    <col min="1" max="1" width="7.42578125" style="5" bestFit="1" customWidth="1"/>
    <col min="2" max="2" width="18.140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672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19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182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673</v>
      </c>
      <c r="C6" s="9" t="s">
        <v>674</v>
      </c>
      <c r="D6" s="9" t="s">
        <v>500</v>
      </c>
      <c r="E6" s="9" t="str">
        <f>"0,7283"</f>
        <v>0,7283</v>
      </c>
      <c r="F6" s="9" t="s">
        <v>21</v>
      </c>
      <c r="G6" s="9" t="s">
        <v>167</v>
      </c>
      <c r="H6" s="22" t="s">
        <v>145</v>
      </c>
      <c r="I6" s="22" t="s">
        <v>187</v>
      </c>
      <c r="J6" s="22" t="s">
        <v>172</v>
      </c>
      <c r="K6" s="10"/>
      <c r="L6" s="10" t="str">
        <f>"135,0"</f>
        <v>135,0</v>
      </c>
      <c r="M6" s="10" t="str">
        <f>"98,3138"</f>
        <v>98,3138</v>
      </c>
      <c r="N6" s="9" t="s">
        <v>712</v>
      </c>
    </row>
    <row r="7" spans="1:14" x14ac:dyDescent="0.2">
      <c r="A7" s="12" t="s">
        <v>69</v>
      </c>
      <c r="B7" s="11" t="s">
        <v>269</v>
      </c>
      <c r="C7" s="11" t="s">
        <v>270</v>
      </c>
      <c r="D7" s="11" t="s">
        <v>271</v>
      </c>
      <c r="E7" s="11" t="str">
        <f>"0,7311"</f>
        <v>0,7311</v>
      </c>
      <c r="F7" s="11" t="s">
        <v>21</v>
      </c>
      <c r="G7" s="11" t="s">
        <v>31</v>
      </c>
      <c r="H7" s="27" t="s">
        <v>145</v>
      </c>
      <c r="I7" s="27" t="s">
        <v>187</v>
      </c>
      <c r="J7" s="27" t="s">
        <v>261</v>
      </c>
      <c r="K7" s="12"/>
      <c r="L7" s="12" t="str">
        <f>"132,5"</f>
        <v>132,5</v>
      </c>
      <c r="M7" s="12" t="str">
        <f>"98,6212"</f>
        <v>98,6212</v>
      </c>
      <c r="N7" s="11" t="s">
        <v>712</v>
      </c>
    </row>
    <row r="8" spans="1:14" x14ac:dyDescent="0.2">
      <c r="B8" s="5" t="s">
        <v>14</v>
      </c>
    </row>
    <row r="9" spans="1:14" ht="15" x14ac:dyDescent="0.2">
      <c r="A9" s="55" t="s">
        <v>157</v>
      </c>
      <c r="B9" s="55"/>
      <c r="C9" s="56"/>
      <c r="D9" s="56"/>
      <c r="E9" s="56"/>
      <c r="F9" s="56"/>
      <c r="G9" s="56"/>
      <c r="H9" s="56"/>
      <c r="I9" s="56"/>
      <c r="J9" s="56"/>
      <c r="K9" s="56"/>
    </row>
    <row r="10" spans="1:14" x14ac:dyDescent="0.2">
      <c r="A10" s="15" t="s">
        <v>69</v>
      </c>
      <c r="B10" s="14" t="s">
        <v>675</v>
      </c>
      <c r="C10" s="14" t="s">
        <v>676</v>
      </c>
      <c r="D10" s="14" t="s">
        <v>493</v>
      </c>
      <c r="E10" s="14" t="str">
        <f>"0,8500"</f>
        <v>0,8500</v>
      </c>
      <c r="F10" s="14" t="s">
        <v>21</v>
      </c>
      <c r="G10" s="14" t="s">
        <v>77</v>
      </c>
      <c r="H10" s="25" t="s">
        <v>440</v>
      </c>
      <c r="I10" s="25" t="s">
        <v>138</v>
      </c>
      <c r="J10" s="25" t="s">
        <v>260</v>
      </c>
      <c r="K10" s="15"/>
      <c r="L10" s="15" t="str">
        <f>"72,5"</f>
        <v>72,5</v>
      </c>
      <c r="M10" s="15" t="str">
        <f>"61,6250"</f>
        <v>61,6250</v>
      </c>
      <c r="N10" s="14" t="s">
        <v>712</v>
      </c>
    </row>
    <row r="11" spans="1:14" x14ac:dyDescent="0.2">
      <c r="B11" s="5" t="s">
        <v>14</v>
      </c>
    </row>
    <row r="12" spans="1:14" ht="15" x14ac:dyDescent="0.2">
      <c r="A12" s="55" t="s">
        <v>182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</row>
    <row r="13" spans="1:14" x14ac:dyDescent="0.2">
      <c r="A13" s="15" t="s">
        <v>69</v>
      </c>
      <c r="B13" s="14" t="s">
        <v>677</v>
      </c>
      <c r="C13" s="14" t="s">
        <v>678</v>
      </c>
      <c r="D13" s="14" t="s">
        <v>351</v>
      </c>
      <c r="E13" s="14" t="str">
        <f>"0,6760"</f>
        <v>0,6760</v>
      </c>
      <c r="F13" s="14" t="s">
        <v>21</v>
      </c>
      <c r="G13" s="14" t="s">
        <v>56</v>
      </c>
      <c r="H13" s="25" t="s">
        <v>195</v>
      </c>
      <c r="I13" s="25" t="s">
        <v>24</v>
      </c>
      <c r="J13" s="26" t="s">
        <v>25</v>
      </c>
      <c r="K13" s="15"/>
      <c r="L13" s="15" t="str">
        <f>"175,0"</f>
        <v>175,0</v>
      </c>
      <c r="M13" s="15" t="str">
        <f>"118,3000"</f>
        <v>118,3000</v>
      </c>
      <c r="N13" s="14" t="s">
        <v>712</v>
      </c>
    </row>
    <row r="14" spans="1:14" x14ac:dyDescent="0.2">
      <c r="B14" s="5" t="s">
        <v>14</v>
      </c>
    </row>
    <row r="15" spans="1:14" ht="15" x14ac:dyDescent="0.2">
      <c r="A15" s="55" t="s">
        <v>73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4" x14ac:dyDescent="0.2">
      <c r="A16" s="15" t="s">
        <v>69</v>
      </c>
      <c r="B16" s="14" t="s">
        <v>679</v>
      </c>
      <c r="C16" s="14" t="s">
        <v>680</v>
      </c>
      <c r="D16" s="14" t="s">
        <v>392</v>
      </c>
      <c r="E16" s="14" t="str">
        <f>"0,6219"</f>
        <v>0,6219</v>
      </c>
      <c r="F16" s="14" t="s">
        <v>21</v>
      </c>
      <c r="G16" s="14" t="s">
        <v>56</v>
      </c>
      <c r="H16" s="25" t="s">
        <v>195</v>
      </c>
      <c r="I16" s="25" t="s">
        <v>25</v>
      </c>
      <c r="J16" s="25" t="s">
        <v>57</v>
      </c>
      <c r="K16" s="15"/>
      <c r="L16" s="15" t="str">
        <f>"190,0"</f>
        <v>190,0</v>
      </c>
      <c r="M16" s="15" t="str">
        <f>"118,1610"</f>
        <v>118,1610</v>
      </c>
      <c r="N16" s="14" t="s">
        <v>712</v>
      </c>
    </row>
    <row r="17" spans="1:14" x14ac:dyDescent="0.2">
      <c r="B17" s="5" t="s">
        <v>14</v>
      </c>
    </row>
    <row r="18" spans="1:14" ht="15" x14ac:dyDescent="0.2">
      <c r="A18" s="55" t="s">
        <v>20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4" x14ac:dyDescent="0.2">
      <c r="A19" s="10" t="s">
        <v>69</v>
      </c>
      <c r="B19" s="9" t="s">
        <v>681</v>
      </c>
      <c r="C19" s="9" t="s">
        <v>682</v>
      </c>
      <c r="D19" s="9" t="s">
        <v>683</v>
      </c>
      <c r="E19" s="9" t="str">
        <f>"0,5952"</f>
        <v>0,5952</v>
      </c>
      <c r="F19" s="9" t="s">
        <v>21</v>
      </c>
      <c r="G19" s="9" t="s">
        <v>31</v>
      </c>
      <c r="H19" s="22" t="s">
        <v>39</v>
      </c>
      <c r="I19" s="22" t="s">
        <v>119</v>
      </c>
      <c r="J19" s="23" t="s">
        <v>51</v>
      </c>
      <c r="K19" s="10"/>
      <c r="L19" s="10" t="str">
        <f>"220,0"</f>
        <v>220,0</v>
      </c>
      <c r="M19" s="10" t="str">
        <f>"130,9440"</f>
        <v>130,9440</v>
      </c>
      <c r="N19" s="9" t="s">
        <v>712</v>
      </c>
    </row>
    <row r="20" spans="1:14" x14ac:dyDescent="0.2">
      <c r="A20" s="12" t="s">
        <v>69</v>
      </c>
      <c r="B20" s="11" t="s">
        <v>681</v>
      </c>
      <c r="C20" s="11" t="s">
        <v>684</v>
      </c>
      <c r="D20" s="11" t="s">
        <v>683</v>
      </c>
      <c r="E20" s="11" t="str">
        <f>"0,5952"</f>
        <v>0,5952</v>
      </c>
      <c r="F20" s="11" t="s">
        <v>21</v>
      </c>
      <c r="G20" s="11" t="s">
        <v>31</v>
      </c>
      <c r="H20" s="27" t="s">
        <v>39</v>
      </c>
      <c r="I20" s="27" t="s">
        <v>119</v>
      </c>
      <c r="J20" s="24" t="s">
        <v>51</v>
      </c>
      <c r="K20" s="12"/>
      <c r="L20" s="12" t="str">
        <f>"220,0"</f>
        <v>220,0</v>
      </c>
      <c r="M20" s="12" t="str">
        <f>"146,2644"</f>
        <v>146,2644</v>
      </c>
      <c r="N20" s="11" t="s">
        <v>712</v>
      </c>
    </row>
    <row r="21" spans="1:14" x14ac:dyDescent="0.2">
      <c r="B21" s="5" t="s">
        <v>14</v>
      </c>
    </row>
    <row r="22" spans="1:14" ht="15" x14ac:dyDescent="0.2">
      <c r="A22" s="55" t="s">
        <v>33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</row>
    <row r="23" spans="1:14" x14ac:dyDescent="0.2">
      <c r="A23" s="15" t="s">
        <v>69</v>
      </c>
      <c r="B23" s="14" t="s">
        <v>306</v>
      </c>
      <c r="C23" s="14" t="s">
        <v>307</v>
      </c>
      <c r="D23" s="14" t="s">
        <v>236</v>
      </c>
      <c r="E23" s="14" t="str">
        <f>"0,5599"</f>
        <v>0,5599</v>
      </c>
      <c r="F23" s="14" t="s">
        <v>21</v>
      </c>
      <c r="G23" s="14" t="s">
        <v>304</v>
      </c>
      <c r="H23" s="25" t="s">
        <v>283</v>
      </c>
      <c r="I23" s="25" t="s">
        <v>308</v>
      </c>
      <c r="J23" s="25" t="s">
        <v>309</v>
      </c>
      <c r="K23" s="15"/>
      <c r="L23" s="15" t="str">
        <f>"292,5"</f>
        <v>292,5</v>
      </c>
      <c r="M23" s="15" t="str">
        <f>"163,7707"</f>
        <v>163,7707</v>
      </c>
      <c r="N23" s="14" t="s">
        <v>712</v>
      </c>
    </row>
    <row r="24" spans="1:14" x14ac:dyDescent="0.2">
      <c r="B24" s="5" t="s">
        <v>14</v>
      </c>
    </row>
    <row r="25" spans="1:14" ht="15" x14ac:dyDescent="0.2">
      <c r="A25" s="55" t="s">
        <v>37</v>
      </c>
      <c r="B25" s="55"/>
      <c r="C25" s="56"/>
      <c r="D25" s="56"/>
      <c r="E25" s="56"/>
      <c r="F25" s="56"/>
      <c r="G25" s="56"/>
      <c r="H25" s="56"/>
      <c r="I25" s="56"/>
      <c r="J25" s="56"/>
      <c r="K25" s="56"/>
    </row>
    <row r="26" spans="1:14" x14ac:dyDescent="0.2">
      <c r="A26" s="10" t="s">
        <v>69</v>
      </c>
      <c r="B26" s="9" t="s">
        <v>685</v>
      </c>
      <c r="C26" s="9" t="s">
        <v>460</v>
      </c>
      <c r="D26" s="9" t="s">
        <v>686</v>
      </c>
      <c r="E26" s="9" t="str">
        <f>"0,5339"</f>
        <v>0,5339</v>
      </c>
      <c r="F26" s="9" t="s">
        <v>21</v>
      </c>
      <c r="G26" s="9" t="s">
        <v>687</v>
      </c>
      <c r="H26" s="22" t="s">
        <v>305</v>
      </c>
      <c r="I26" s="22" t="s">
        <v>46</v>
      </c>
      <c r="J26" s="22" t="s">
        <v>47</v>
      </c>
      <c r="K26" s="10"/>
      <c r="L26" s="10" t="str">
        <f>"310,0"</f>
        <v>310,0</v>
      </c>
      <c r="M26" s="10" t="str">
        <f>"165,5090"</f>
        <v>165,5090</v>
      </c>
      <c r="N26" s="9" t="s">
        <v>712</v>
      </c>
    </row>
    <row r="27" spans="1:14" x14ac:dyDescent="0.2">
      <c r="A27" s="12" t="s">
        <v>69</v>
      </c>
      <c r="B27" s="11" t="s">
        <v>688</v>
      </c>
      <c r="C27" s="11" t="s">
        <v>689</v>
      </c>
      <c r="D27" s="11" t="s">
        <v>690</v>
      </c>
      <c r="E27" s="11" t="str">
        <f>"0,5242"</f>
        <v>0,5242</v>
      </c>
      <c r="F27" s="11" t="s">
        <v>21</v>
      </c>
      <c r="G27" s="11" t="s">
        <v>38</v>
      </c>
      <c r="H27" s="27" t="s">
        <v>43</v>
      </c>
      <c r="I27" s="27" t="s">
        <v>44</v>
      </c>
      <c r="J27" s="24" t="s">
        <v>41</v>
      </c>
      <c r="K27" s="12"/>
      <c r="L27" s="12" t="str">
        <f>"340,0"</f>
        <v>340,0</v>
      </c>
      <c r="M27" s="12" t="str">
        <f>"194,6250"</f>
        <v>194,6250</v>
      </c>
      <c r="N27" s="11" t="s">
        <v>712</v>
      </c>
    </row>
    <row r="28" spans="1:14" x14ac:dyDescent="0.2">
      <c r="B28" s="5" t="s">
        <v>14</v>
      </c>
    </row>
    <row r="29" spans="1:14" ht="15" x14ac:dyDescent="0.2">
      <c r="B29" s="5" t="s">
        <v>14</v>
      </c>
      <c r="F29" s="7"/>
    </row>
    <row r="30" spans="1:14" ht="15" x14ac:dyDescent="0.2">
      <c r="B30" s="5" t="s">
        <v>14</v>
      </c>
      <c r="F30" s="7"/>
    </row>
    <row r="31" spans="1:14" ht="15" x14ac:dyDescent="0.2">
      <c r="B31" s="5" t="s">
        <v>14</v>
      </c>
      <c r="F31" s="7"/>
    </row>
    <row r="32" spans="1:14" ht="15" x14ac:dyDescent="0.2">
      <c r="B32" s="5" t="s">
        <v>14</v>
      </c>
      <c r="F32" s="7"/>
    </row>
    <row r="33" spans="2:7" ht="15" x14ac:dyDescent="0.2">
      <c r="B33" s="5" t="s">
        <v>14</v>
      </c>
      <c r="F33" s="7"/>
    </row>
    <row r="34" spans="2:7" ht="15" x14ac:dyDescent="0.2">
      <c r="B34" s="5" t="s">
        <v>14</v>
      </c>
      <c r="F34" s="7"/>
    </row>
    <row r="35" spans="2:7" ht="15" x14ac:dyDescent="0.2">
      <c r="B35" s="5" t="s">
        <v>14</v>
      </c>
      <c r="F35" s="7"/>
    </row>
    <row r="36" spans="2:7" x14ac:dyDescent="0.2">
      <c r="B36" s="5" t="s">
        <v>14</v>
      </c>
    </row>
    <row r="37" spans="2:7" ht="18" x14ac:dyDescent="0.2">
      <c r="B37" s="5" t="s">
        <v>14</v>
      </c>
      <c r="C37" s="8"/>
      <c r="D37" s="8"/>
    </row>
    <row r="38" spans="2:7" ht="15" x14ac:dyDescent="0.2">
      <c r="B38" s="5" t="s">
        <v>14</v>
      </c>
      <c r="C38" s="18"/>
      <c r="D38" s="18"/>
    </row>
    <row r="39" spans="2:7" ht="14.25" x14ac:dyDescent="0.2">
      <c r="B39" s="5" t="s">
        <v>14</v>
      </c>
      <c r="C39" s="19"/>
      <c r="D39" s="20"/>
    </row>
    <row r="40" spans="2:7" ht="15" x14ac:dyDescent="0.2">
      <c r="B40" s="5" t="s">
        <v>14</v>
      </c>
      <c r="C40" s="1"/>
      <c r="D40" s="1"/>
      <c r="E40" s="1"/>
      <c r="F40" s="1"/>
      <c r="G40" s="1"/>
    </row>
    <row r="41" spans="2:7" x14ac:dyDescent="0.2">
      <c r="B41" s="5" t="s">
        <v>14</v>
      </c>
      <c r="E41" s="6"/>
      <c r="F41" s="6"/>
      <c r="G41" s="6"/>
    </row>
    <row r="42" spans="2:7" x14ac:dyDescent="0.2">
      <c r="B42" s="5" t="s">
        <v>14</v>
      </c>
    </row>
    <row r="43" spans="2:7" ht="14.25" x14ac:dyDescent="0.2">
      <c r="B43" s="5" t="s">
        <v>14</v>
      </c>
      <c r="C43" s="19"/>
      <c r="D43" s="20"/>
    </row>
    <row r="44" spans="2:7" ht="15" x14ac:dyDescent="0.2">
      <c r="B44" s="5" t="s">
        <v>14</v>
      </c>
      <c r="C44" s="1"/>
      <c r="D44" s="1"/>
      <c r="E44" s="1"/>
      <c r="F44" s="1"/>
      <c r="G44" s="1"/>
    </row>
    <row r="45" spans="2:7" x14ac:dyDescent="0.2">
      <c r="B45" s="5" t="s">
        <v>14</v>
      </c>
      <c r="E45" s="6"/>
      <c r="F45" s="6"/>
      <c r="G45" s="6"/>
    </row>
    <row r="46" spans="2:7" x14ac:dyDescent="0.2">
      <c r="B46" s="5" t="s">
        <v>14</v>
      </c>
    </row>
    <row r="47" spans="2:7" x14ac:dyDescent="0.2">
      <c r="B47" s="5" t="s">
        <v>14</v>
      </c>
    </row>
    <row r="48" spans="2:7" ht="15" x14ac:dyDescent="0.2">
      <c r="B48" s="5" t="s">
        <v>14</v>
      </c>
      <c r="C48" s="18"/>
      <c r="D48" s="18"/>
    </row>
    <row r="49" spans="2:7" ht="14.25" x14ac:dyDescent="0.2">
      <c r="B49" s="5" t="s">
        <v>14</v>
      </c>
      <c r="C49" s="19"/>
      <c r="D49" s="20"/>
    </row>
    <row r="50" spans="2:7" ht="15" x14ac:dyDescent="0.2">
      <c r="B50" s="5" t="s">
        <v>14</v>
      </c>
      <c r="C50" s="1"/>
      <c r="D50" s="1"/>
      <c r="E50" s="1"/>
      <c r="F50" s="1"/>
      <c r="G50" s="1"/>
    </row>
    <row r="51" spans="2:7" x14ac:dyDescent="0.2">
      <c r="B51" s="5" t="s">
        <v>14</v>
      </c>
      <c r="E51" s="6"/>
      <c r="F51" s="6"/>
      <c r="G51" s="6"/>
    </row>
    <row r="52" spans="2:7" x14ac:dyDescent="0.2">
      <c r="B52" s="5" t="s">
        <v>14</v>
      </c>
      <c r="E52" s="6"/>
      <c r="F52" s="6"/>
      <c r="G52" s="6"/>
    </row>
    <row r="53" spans="2:7" x14ac:dyDescent="0.2">
      <c r="B53" s="5" t="s">
        <v>14</v>
      </c>
      <c r="E53" s="6"/>
      <c r="F53" s="6"/>
      <c r="G53" s="6"/>
    </row>
    <row r="54" spans="2:7" x14ac:dyDescent="0.2">
      <c r="B54" s="5" t="s">
        <v>14</v>
      </c>
    </row>
    <row r="55" spans="2:7" ht="14.25" x14ac:dyDescent="0.2">
      <c r="B55" s="5" t="s">
        <v>14</v>
      </c>
      <c r="C55" s="19"/>
      <c r="D55" s="20"/>
    </row>
    <row r="56" spans="2:7" ht="15" x14ac:dyDescent="0.2">
      <c r="B56" s="5" t="s">
        <v>14</v>
      </c>
      <c r="C56" s="1"/>
      <c r="D56" s="1"/>
      <c r="E56" s="1"/>
      <c r="F56" s="1"/>
      <c r="G56" s="1"/>
    </row>
    <row r="57" spans="2:7" x14ac:dyDescent="0.2">
      <c r="B57" s="5" t="s">
        <v>14</v>
      </c>
      <c r="E57" s="6"/>
      <c r="F57" s="6"/>
      <c r="G57" s="6"/>
    </row>
    <row r="58" spans="2:7" x14ac:dyDescent="0.2">
      <c r="B58" s="5" t="s">
        <v>14</v>
      </c>
      <c r="E58" s="6"/>
      <c r="F58" s="6"/>
      <c r="G58" s="6"/>
    </row>
    <row r="59" spans="2:7" x14ac:dyDescent="0.2">
      <c r="B59" s="5" t="s">
        <v>14</v>
      </c>
    </row>
  </sheetData>
  <mergeCells count="19">
    <mergeCell ref="A1:N2"/>
    <mergeCell ref="A3:A4"/>
    <mergeCell ref="C3:C4"/>
    <mergeCell ref="D3:D4"/>
    <mergeCell ref="E3:E4"/>
    <mergeCell ref="F3:F4"/>
    <mergeCell ref="G3:G4"/>
    <mergeCell ref="H3:K3"/>
    <mergeCell ref="A25:K25"/>
    <mergeCell ref="L3:L4"/>
    <mergeCell ref="M3:M4"/>
    <mergeCell ref="N3:N4"/>
    <mergeCell ref="A5:K5"/>
    <mergeCell ref="B3:B4"/>
    <mergeCell ref="A9:K9"/>
    <mergeCell ref="A12:K12"/>
    <mergeCell ref="A15:K15"/>
    <mergeCell ref="A18:K18"/>
    <mergeCell ref="A22:K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C23" workbookViewId="0">
      <selection activeCell="N34" sqref="N34"/>
    </sheetView>
  </sheetViews>
  <sheetFormatPr defaultRowHeight="12.75" x14ac:dyDescent="0.2"/>
  <cols>
    <col min="1" max="1" width="7.42578125" style="5" bestFit="1" customWidth="1"/>
    <col min="2" max="2" width="18.425781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40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653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19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129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443</v>
      </c>
      <c r="C6" s="14" t="s">
        <v>444</v>
      </c>
      <c r="D6" s="14" t="s">
        <v>445</v>
      </c>
      <c r="E6" s="14" t="str">
        <f>"1,1109"</f>
        <v>1,1109</v>
      </c>
      <c r="F6" s="14" t="s">
        <v>21</v>
      </c>
      <c r="G6" s="14" t="s">
        <v>77</v>
      </c>
      <c r="H6" s="25" t="s">
        <v>137</v>
      </c>
      <c r="I6" s="25" t="s">
        <v>138</v>
      </c>
      <c r="J6" s="25" t="s">
        <v>169</v>
      </c>
      <c r="K6" s="15"/>
      <c r="L6" s="15" t="str">
        <f>"75,0"</f>
        <v>75,0</v>
      </c>
      <c r="M6" s="15" t="str">
        <f>"83,3175"</f>
        <v>83,3175</v>
      </c>
      <c r="N6" s="14" t="s">
        <v>712</v>
      </c>
    </row>
    <row r="7" spans="1:14" x14ac:dyDescent="0.2">
      <c r="B7" s="5" t="s">
        <v>14</v>
      </c>
    </row>
    <row r="8" spans="1:14" ht="15" x14ac:dyDescent="0.2">
      <c r="A8" s="55" t="s">
        <v>90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0" t="s">
        <v>69</v>
      </c>
      <c r="B9" s="9" t="s">
        <v>140</v>
      </c>
      <c r="C9" s="9" t="s">
        <v>141</v>
      </c>
      <c r="D9" s="9" t="s">
        <v>142</v>
      </c>
      <c r="E9" s="9" t="str">
        <f>"0,9326"</f>
        <v>0,9326</v>
      </c>
      <c r="F9" s="9" t="s">
        <v>21</v>
      </c>
      <c r="G9" s="9" t="s">
        <v>143</v>
      </c>
      <c r="H9" s="22" t="s">
        <v>147</v>
      </c>
      <c r="I9" s="22" t="s">
        <v>148</v>
      </c>
      <c r="J9" s="10"/>
      <c r="K9" s="10"/>
      <c r="L9" s="10" t="str">
        <f>"142,5"</f>
        <v>142,5</v>
      </c>
      <c r="M9" s="10" t="str">
        <f>"132,8955"</f>
        <v>132,8955</v>
      </c>
      <c r="N9" s="9" t="s">
        <v>712</v>
      </c>
    </row>
    <row r="10" spans="1:14" x14ac:dyDescent="0.2">
      <c r="A10" s="12" t="s">
        <v>71</v>
      </c>
      <c r="B10" s="11" t="s">
        <v>654</v>
      </c>
      <c r="C10" s="11" t="s">
        <v>655</v>
      </c>
      <c r="D10" s="11" t="s">
        <v>656</v>
      </c>
      <c r="E10" s="11" t="str">
        <f>"0,9455"</f>
        <v>0,9455</v>
      </c>
      <c r="F10" s="11" t="s">
        <v>21</v>
      </c>
      <c r="G10" s="11" t="s">
        <v>31</v>
      </c>
      <c r="H10" s="27" t="s">
        <v>155</v>
      </c>
      <c r="I10" s="27" t="s">
        <v>145</v>
      </c>
      <c r="J10" s="24" t="s">
        <v>187</v>
      </c>
      <c r="K10" s="12"/>
      <c r="L10" s="12" t="str">
        <f>"115,0"</f>
        <v>115,0</v>
      </c>
      <c r="M10" s="12" t="str">
        <f>"108,7325"</f>
        <v>108,7325</v>
      </c>
      <c r="N10" s="11" t="s">
        <v>712</v>
      </c>
    </row>
    <row r="11" spans="1:14" x14ac:dyDescent="0.2">
      <c r="B11" s="5" t="s">
        <v>14</v>
      </c>
    </row>
    <row r="12" spans="1:14" ht="15" x14ac:dyDescent="0.2">
      <c r="A12" s="55" t="s">
        <v>182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</row>
    <row r="13" spans="1:14" x14ac:dyDescent="0.2">
      <c r="A13" s="15" t="s">
        <v>69</v>
      </c>
      <c r="B13" s="14" t="s">
        <v>657</v>
      </c>
      <c r="C13" s="14" t="s">
        <v>658</v>
      </c>
      <c r="D13" s="14" t="s">
        <v>659</v>
      </c>
      <c r="E13" s="14" t="str">
        <f>"0,7472"</f>
        <v>0,7472</v>
      </c>
      <c r="F13" s="14" t="s">
        <v>21</v>
      </c>
      <c r="G13" s="14" t="s">
        <v>56</v>
      </c>
      <c r="H13" s="25" t="s">
        <v>155</v>
      </c>
      <c r="I13" s="25" t="s">
        <v>156</v>
      </c>
      <c r="J13" s="25" t="s">
        <v>272</v>
      </c>
      <c r="K13" s="15"/>
      <c r="L13" s="15" t="str">
        <f>"127,5"</f>
        <v>127,5</v>
      </c>
      <c r="M13" s="15" t="str">
        <f>"95,2616"</f>
        <v>95,2616</v>
      </c>
      <c r="N13" s="14" t="s">
        <v>225</v>
      </c>
    </row>
    <row r="14" spans="1:14" x14ac:dyDescent="0.2">
      <c r="B14" s="5" t="s">
        <v>14</v>
      </c>
    </row>
    <row r="15" spans="1:14" ht="15" x14ac:dyDescent="0.2">
      <c r="A15" s="55" t="s">
        <v>163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4" x14ac:dyDescent="0.2">
      <c r="A16" s="10" t="s">
        <v>69</v>
      </c>
      <c r="B16" s="9" t="s">
        <v>660</v>
      </c>
      <c r="C16" s="9" t="s">
        <v>661</v>
      </c>
      <c r="D16" s="9" t="s">
        <v>590</v>
      </c>
      <c r="E16" s="9" t="str">
        <f>"0,7367"</f>
        <v>0,7367</v>
      </c>
      <c r="F16" s="9" t="s">
        <v>21</v>
      </c>
      <c r="G16" s="9" t="s">
        <v>77</v>
      </c>
      <c r="H16" s="22" t="s">
        <v>195</v>
      </c>
      <c r="I16" s="22" t="s">
        <v>25</v>
      </c>
      <c r="J16" s="23" t="s">
        <v>196</v>
      </c>
      <c r="K16" s="10"/>
      <c r="L16" s="10" t="str">
        <f>"180,0"</f>
        <v>180,0</v>
      </c>
      <c r="M16" s="10" t="str">
        <f>"132,6060"</f>
        <v>132,6060</v>
      </c>
      <c r="N16" s="9" t="s">
        <v>712</v>
      </c>
    </row>
    <row r="17" spans="1:14" x14ac:dyDescent="0.2">
      <c r="A17" s="12" t="s">
        <v>69</v>
      </c>
      <c r="B17" s="11" t="s">
        <v>192</v>
      </c>
      <c r="C17" s="11" t="s">
        <v>197</v>
      </c>
      <c r="D17" s="11" t="s">
        <v>194</v>
      </c>
      <c r="E17" s="11" t="str">
        <f>"0,7347"</f>
        <v>0,7347</v>
      </c>
      <c r="F17" s="11" t="s">
        <v>21</v>
      </c>
      <c r="G17" s="11" t="s">
        <v>143</v>
      </c>
      <c r="H17" s="27" t="s">
        <v>195</v>
      </c>
      <c r="I17" s="27" t="s">
        <v>25</v>
      </c>
      <c r="J17" s="24" t="s">
        <v>196</v>
      </c>
      <c r="K17" s="12"/>
      <c r="L17" s="12" t="str">
        <f>"180,0"</f>
        <v>180,0</v>
      </c>
      <c r="M17" s="12" t="str">
        <f>"151,2894"</f>
        <v>151,2894</v>
      </c>
      <c r="N17" s="11" t="s">
        <v>712</v>
      </c>
    </row>
    <row r="18" spans="1:14" x14ac:dyDescent="0.2">
      <c r="B18" s="5" t="s">
        <v>14</v>
      </c>
    </row>
    <row r="19" spans="1:14" ht="15" x14ac:dyDescent="0.2">
      <c r="A19" s="55" t="s">
        <v>182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</row>
    <row r="20" spans="1:14" x14ac:dyDescent="0.2">
      <c r="A20" s="15" t="s">
        <v>69</v>
      </c>
      <c r="B20" s="14" t="s">
        <v>198</v>
      </c>
      <c r="C20" s="14" t="s">
        <v>199</v>
      </c>
      <c r="D20" s="14" t="s">
        <v>200</v>
      </c>
      <c r="E20" s="14" t="str">
        <f>"0,6680"</f>
        <v>0,6680</v>
      </c>
      <c r="F20" s="14" t="s">
        <v>21</v>
      </c>
      <c r="G20" s="14" t="s">
        <v>201</v>
      </c>
      <c r="H20" s="25" t="s">
        <v>51</v>
      </c>
      <c r="I20" s="25" t="s">
        <v>127</v>
      </c>
      <c r="J20" s="26" t="s">
        <v>78</v>
      </c>
      <c r="K20" s="15"/>
      <c r="L20" s="15" t="str">
        <f>"235,0"</f>
        <v>235,0</v>
      </c>
      <c r="M20" s="15" t="str">
        <f>"156,9800"</f>
        <v>156,9800</v>
      </c>
      <c r="N20" s="14" t="s">
        <v>202</v>
      </c>
    </row>
    <row r="21" spans="1:14" x14ac:dyDescent="0.2">
      <c r="B21" s="5" t="s">
        <v>14</v>
      </c>
    </row>
    <row r="22" spans="1:14" ht="15" x14ac:dyDescent="0.2">
      <c r="A22" s="55" t="s">
        <v>73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</row>
    <row r="23" spans="1:14" x14ac:dyDescent="0.2">
      <c r="A23" s="10" t="s">
        <v>69</v>
      </c>
      <c r="B23" s="9" t="s">
        <v>662</v>
      </c>
      <c r="C23" s="9" t="s">
        <v>663</v>
      </c>
      <c r="D23" s="9" t="s">
        <v>517</v>
      </c>
      <c r="E23" s="9" t="str">
        <f>"0,6301"</f>
        <v>0,6301</v>
      </c>
      <c r="F23" s="9" t="s">
        <v>21</v>
      </c>
      <c r="G23" s="9" t="s">
        <v>143</v>
      </c>
      <c r="H23" s="22" t="s">
        <v>195</v>
      </c>
      <c r="I23" s="22" t="s">
        <v>25</v>
      </c>
      <c r="J23" s="22" t="s">
        <v>26</v>
      </c>
      <c r="K23" s="10"/>
      <c r="L23" s="10" t="str">
        <f>"187,5"</f>
        <v>187,5</v>
      </c>
      <c r="M23" s="10" t="str">
        <f>"121,6881"</f>
        <v>121,6881</v>
      </c>
      <c r="N23" s="9" t="s">
        <v>712</v>
      </c>
    </row>
    <row r="24" spans="1:14" x14ac:dyDescent="0.2">
      <c r="A24" s="17" t="s">
        <v>69</v>
      </c>
      <c r="B24" s="16" t="s">
        <v>212</v>
      </c>
      <c r="C24" s="16" t="s">
        <v>213</v>
      </c>
      <c r="D24" s="16" t="s">
        <v>214</v>
      </c>
      <c r="E24" s="16" t="str">
        <f>"0,6262"</f>
        <v>0,6262</v>
      </c>
      <c r="F24" s="16" t="s">
        <v>21</v>
      </c>
      <c r="G24" s="16" t="s">
        <v>167</v>
      </c>
      <c r="H24" s="28" t="s">
        <v>215</v>
      </c>
      <c r="I24" s="28" t="s">
        <v>51</v>
      </c>
      <c r="J24" s="17"/>
      <c r="K24" s="17"/>
      <c r="L24" s="17" t="str">
        <f>"230,0"</f>
        <v>230,0</v>
      </c>
      <c r="M24" s="17" t="str">
        <f>"144,0260"</f>
        <v>144,0260</v>
      </c>
      <c r="N24" s="16" t="s">
        <v>712</v>
      </c>
    </row>
    <row r="25" spans="1:14" x14ac:dyDescent="0.2">
      <c r="A25" s="12" t="s">
        <v>69</v>
      </c>
      <c r="B25" s="11" t="s">
        <v>528</v>
      </c>
      <c r="C25" s="11" t="s">
        <v>529</v>
      </c>
      <c r="D25" s="11" t="s">
        <v>530</v>
      </c>
      <c r="E25" s="11" t="str">
        <f>"0,6329"</f>
        <v>0,6329</v>
      </c>
      <c r="F25" s="11" t="s">
        <v>21</v>
      </c>
      <c r="G25" s="11" t="s">
        <v>230</v>
      </c>
      <c r="H25" s="27" t="s">
        <v>239</v>
      </c>
      <c r="I25" s="27" t="s">
        <v>24</v>
      </c>
      <c r="J25" s="27" t="s">
        <v>25</v>
      </c>
      <c r="K25" s="12"/>
      <c r="L25" s="12" t="str">
        <f>"180,0"</f>
        <v>180,0</v>
      </c>
      <c r="M25" s="12" t="str">
        <f>"187,4017"</f>
        <v>187,4017</v>
      </c>
      <c r="N25" s="11" t="s">
        <v>712</v>
      </c>
    </row>
    <row r="26" spans="1:14" x14ac:dyDescent="0.2">
      <c r="B26" s="5" t="s">
        <v>14</v>
      </c>
    </row>
    <row r="27" spans="1:14" ht="15" x14ac:dyDescent="0.2">
      <c r="A27" s="55" t="s">
        <v>20</v>
      </c>
      <c r="B27" s="55"/>
      <c r="C27" s="56"/>
      <c r="D27" s="56"/>
      <c r="E27" s="56"/>
      <c r="F27" s="56"/>
      <c r="G27" s="56"/>
      <c r="H27" s="56"/>
      <c r="I27" s="56"/>
      <c r="J27" s="56"/>
      <c r="K27" s="56"/>
    </row>
    <row r="28" spans="1:14" x14ac:dyDescent="0.2">
      <c r="A28" s="10" t="s">
        <v>69</v>
      </c>
      <c r="B28" s="9" t="s">
        <v>664</v>
      </c>
      <c r="C28" s="9" t="s">
        <v>665</v>
      </c>
      <c r="D28" s="9" t="s">
        <v>666</v>
      </c>
      <c r="E28" s="9" t="str">
        <f>"0,5956"</f>
        <v>0,5956</v>
      </c>
      <c r="F28" s="9" t="s">
        <v>21</v>
      </c>
      <c r="G28" s="9" t="s">
        <v>94</v>
      </c>
      <c r="H28" s="22" t="s">
        <v>32</v>
      </c>
      <c r="I28" s="22" t="s">
        <v>25</v>
      </c>
      <c r="J28" s="22" t="s">
        <v>39</v>
      </c>
      <c r="K28" s="10"/>
      <c r="L28" s="10" t="str">
        <f>"200,0"</f>
        <v>200,0</v>
      </c>
      <c r="M28" s="10" t="str">
        <f>"133,0570"</f>
        <v>133,0570</v>
      </c>
      <c r="N28" s="9" t="s">
        <v>712</v>
      </c>
    </row>
    <row r="29" spans="1:14" x14ac:dyDescent="0.2">
      <c r="A29" s="12" t="s">
        <v>69</v>
      </c>
      <c r="B29" s="11" t="s">
        <v>227</v>
      </c>
      <c r="C29" s="11" t="s">
        <v>228</v>
      </c>
      <c r="D29" s="11" t="s">
        <v>229</v>
      </c>
      <c r="E29" s="11" t="str">
        <f>"0,5918"</f>
        <v>0,5918</v>
      </c>
      <c r="F29" s="11" t="s">
        <v>21</v>
      </c>
      <c r="G29" s="11" t="s">
        <v>230</v>
      </c>
      <c r="H29" s="27" t="s">
        <v>52</v>
      </c>
      <c r="I29" s="27" t="s">
        <v>53</v>
      </c>
      <c r="J29" s="27" t="s">
        <v>108</v>
      </c>
      <c r="K29" s="12"/>
      <c r="L29" s="12" t="str">
        <f>"260,0"</f>
        <v>260,0</v>
      </c>
      <c r="M29" s="12" t="str">
        <f>"185,2571"</f>
        <v>185,2571</v>
      </c>
      <c r="N29" s="11" t="s">
        <v>712</v>
      </c>
    </row>
    <row r="30" spans="1:14" x14ac:dyDescent="0.2">
      <c r="B30" s="5" t="s">
        <v>14</v>
      </c>
    </row>
    <row r="31" spans="1:14" ht="15" x14ac:dyDescent="0.2">
      <c r="A31" s="55" t="s">
        <v>33</v>
      </c>
      <c r="B31" s="55"/>
      <c r="C31" s="56"/>
      <c r="D31" s="56"/>
      <c r="E31" s="56"/>
      <c r="F31" s="56"/>
      <c r="G31" s="56"/>
      <c r="H31" s="56"/>
      <c r="I31" s="56"/>
      <c r="J31" s="56"/>
      <c r="K31" s="56"/>
    </row>
    <row r="32" spans="1:14" x14ac:dyDescent="0.2">
      <c r="A32" s="10" t="s">
        <v>69</v>
      </c>
      <c r="B32" s="9" t="s">
        <v>667</v>
      </c>
      <c r="C32" s="9" t="s">
        <v>668</v>
      </c>
      <c r="D32" s="9" t="s">
        <v>669</v>
      </c>
      <c r="E32" s="9" t="str">
        <f>"0,5586"</f>
        <v>0,5586</v>
      </c>
      <c r="F32" s="9" t="s">
        <v>21</v>
      </c>
      <c r="G32" s="9" t="s">
        <v>230</v>
      </c>
      <c r="H32" s="22" t="s">
        <v>52</v>
      </c>
      <c r="I32" s="23" t="s">
        <v>53</v>
      </c>
      <c r="J32" s="22" t="s">
        <v>53</v>
      </c>
      <c r="K32" s="10"/>
      <c r="L32" s="10" t="str">
        <f>"250,0"</f>
        <v>250,0</v>
      </c>
      <c r="M32" s="10" t="str">
        <f>"139,6500"</f>
        <v>139,6500</v>
      </c>
      <c r="N32" s="9" t="s">
        <v>712</v>
      </c>
    </row>
    <row r="33" spans="1:14" x14ac:dyDescent="0.2">
      <c r="A33" s="17" t="s">
        <v>71</v>
      </c>
      <c r="B33" s="16" t="s">
        <v>234</v>
      </c>
      <c r="C33" s="16" t="s">
        <v>235</v>
      </c>
      <c r="D33" s="16" t="s">
        <v>236</v>
      </c>
      <c r="E33" s="16" t="str">
        <f>"0,5599"</f>
        <v>0,5599</v>
      </c>
      <c r="F33" s="16" t="s">
        <v>21</v>
      </c>
      <c r="G33" s="16" t="s">
        <v>237</v>
      </c>
      <c r="H33" s="28" t="s">
        <v>119</v>
      </c>
      <c r="I33" s="28" t="s">
        <v>127</v>
      </c>
      <c r="J33" s="28" t="s">
        <v>52</v>
      </c>
      <c r="K33" s="17"/>
      <c r="L33" s="17" t="str">
        <f>"240,0"</f>
        <v>240,0</v>
      </c>
      <c r="M33" s="17" t="str">
        <f>"134,3760"</f>
        <v>134,3760</v>
      </c>
      <c r="N33" s="16" t="s">
        <v>712</v>
      </c>
    </row>
    <row r="34" spans="1:14" x14ac:dyDescent="0.2">
      <c r="A34" s="12" t="s">
        <v>69</v>
      </c>
      <c r="B34" s="11" t="s">
        <v>670</v>
      </c>
      <c r="C34" s="11" t="s">
        <v>671</v>
      </c>
      <c r="D34" s="11" t="s">
        <v>312</v>
      </c>
      <c r="E34" s="11" t="str">
        <f>"0,5570"</f>
        <v>0,5570</v>
      </c>
      <c r="F34" s="11" t="s">
        <v>21</v>
      </c>
      <c r="G34" s="11" t="s">
        <v>259</v>
      </c>
      <c r="H34" s="27" t="s">
        <v>35</v>
      </c>
      <c r="I34" s="27" t="s">
        <v>238</v>
      </c>
      <c r="J34" s="27" t="s">
        <v>51</v>
      </c>
      <c r="K34" s="12"/>
      <c r="L34" s="12" t="str">
        <f>"230,0"</f>
        <v>230,0</v>
      </c>
      <c r="M34" s="12" t="str">
        <f>"128,1100"</f>
        <v>128,1100</v>
      </c>
      <c r="N34" s="11" t="s">
        <v>712</v>
      </c>
    </row>
    <row r="35" spans="1:14" x14ac:dyDescent="0.2">
      <c r="B35" s="5" t="s">
        <v>14</v>
      </c>
    </row>
    <row r="36" spans="1:14" ht="15" x14ac:dyDescent="0.2">
      <c r="B36" s="5" t="s">
        <v>14</v>
      </c>
      <c r="F36" s="7"/>
    </row>
    <row r="37" spans="1:14" ht="15" x14ac:dyDescent="0.2">
      <c r="B37" s="5" t="s">
        <v>14</v>
      </c>
      <c r="F37" s="7"/>
    </row>
    <row r="38" spans="1:14" ht="15" x14ac:dyDescent="0.2">
      <c r="B38" s="5" t="s">
        <v>14</v>
      </c>
      <c r="F38" s="7"/>
    </row>
    <row r="39" spans="1:14" ht="15" x14ac:dyDescent="0.2">
      <c r="B39" s="5" t="s">
        <v>14</v>
      </c>
      <c r="F39" s="7"/>
    </row>
    <row r="40" spans="1:14" ht="15" x14ac:dyDescent="0.2">
      <c r="B40" s="5" t="s">
        <v>14</v>
      </c>
      <c r="F40" s="7"/>
    </row>
    <row r="41" spans="1:14" ht="15" x14ac:dyDescent="0.2">
      <c r="B41" s="5" t="s">
        <v>14</v>
      </c>
      <c r="F41" s="7"/>
    </row>
    <row r="42" spans="1:14" ht="15" x14ac:dyDescent="0.2">
      <c r="B42" s="5" t="s">
        <v>14</v>
      </c>
      <c r="F42" s="7"/>
    </row>
    <row r="43" spans="1:14" x14ac:dyDescent="0.2">
      <c r="B43" s="5" t="s">
        <v>14</v>
      </c>
    </row>
    <row r="44" spans="1:14" ht="18" x14ac:dyDescent="0.2">
      <c r="B44" s="5" t="s">
        <v>14</v>
      </c>
      <c r="C44" s="8"/>
      <c r="D44" s="8"/>
    </row>
    <row r="45" spans="1:14" ht="15" x14ac:dyDescent="0.2">
      <c r="B45" s="5" t="s">
        <v>14</v>
      </c>
      <c r="C45" s="18"/>
      <c r="D45" s="18"/>
    </row>
    <row r="46" spans="1:14" ht="14.25" x14ac:dyDescent="0.2">
      <c r="B46" s="5" t="s">
        <v>14</v>
      </c>
      <c r="C46" s="19"/>
      <c r="D46" s="20"/>
    </row>
    <row r="47" spans="1:14" ht="15" x14ac:dyDescent="0.2">
      <c r="B47" s="5" t="s">
        <v>14</v>
      </c>
      <c r="C47" s="1"/>
      <c r="D47" s="1"/>
      <c r="E47" s="1"/>
      <c r="F47" s="1"/>
      <c r="G47" s="1"/>
    </row>
    <row r="48" spans="1:14" x14ac:dyDescent="0.2">
      <c r="B48" s="5" t="s">
        <v>14</v>
      </c>
      <c r="E48" s="6"/>
      <c r="F48" s="6"/>
      <c r="G48" s="6"/>
    </row>
    <row r="49" spans="2:7" x14ac:dyDescent="0.2">
      <c r="B49" s="5" t="s">
        <v>14</v>
      </c>
      <c r="E49" s="6"/>
      <c r="F49" s="6"/>
      <c r="G49" s="6"/>
    </row>
    <row r="50" spans="2:7" x14ac:dyDescent="0.2">
      <c r="B50" s="5" t="s">
        <v>14</v>
      </c>
      <c r="E50" s="6"/>
      <c r="F50" s="6"/>
      <c r="G50" s="6"/>
    </row>
    <row r="51" spans="2:7" x14ac:dyDescent="0.2">
      <c r="B51" s="5" t="s">
        <v>14</v>
      </c>
    </row>
    <row r="52" spans="2:7" x14ac:dyDescent="0.2">
      <c r="B52" s="5" t="s">
        <v>14</v>
      </c>
    </row>
    <row r="53" spans="2:7" ht="15" x14ac:dyDescent="0.2">
      <c r="B53" s="5" t="s">
        <v>14</v>
      </c>
      <c r="C53" s="18"/>
      <c r="D53" s="18"/>
    </row>
    <row r="54" spans="2:7" ht="14.25" x14ac:dyDescent="0.2">
      <c r="B54" s="5" t="s">
        <v>14</v>
      </c>
      <c r="C54" s="19"/>
      <c r="D54" s="20"/>
    </row>
    <row r="55" spans="2:7" ht="15" x14ac:dyDescent="0.2">
      <c r="B55" s="5" t="s">
        <v>14</v>
      </c>
      <c r="C55" s="1"/>
      <c r="D55" s="1"/>
      <c r="E55" s="1"/>
      <c r="F55" s="1"/>
      <c r="G55" s="1"/>
    </row>
    <row r="56" spans="2:7" x14ac:dyDescent="0.2">
      <c r="B56" s="5" t="s">
        <v>14</v>
      </c>
      <c r="E56" s="6"/>
      <c r="F56" s="6"/>
      <c r="G56" s="6"/>
    </row>
    <row r="57" spans="2:7" x14ac:dyDescent="0.2">
      <c r="B57" s="5" t="s">
        <v>14</v>
      </c>
    </row>
    <row r="58" spans="2:7" ht="14.25" x14ac:dyDescent="0.2">
      <c r="B58" s="5" t="s">
        <v>14</v>
      </c>
      <c r="C58" s="19"/>
      <c r="D58" s="20"/>
    </row>
    <row r="59" spans="2:7" ht="15" x14ac:dyDescent="0.2">
      <c r="B59" s="5" t="s">
        <v>14</v>
      </c>
      <c r="C59" s="1"/>
      <c r="D59" s="1"/>
      <c r="E59" s="1"/>
      <c r="F59" s="1"/>
      <c r="G59" s="1"/>
    </row>
    <row r="60" spans="2:7" x14ac:dyDescent="0.2">
      <c r="B60" s="5" t="s">
        <v>14</v>
      </c>
      <c r="E60" s="6"/>
      <c r="F60" s="6"/>
      <c r="G60" s="6"/>
    </row>
    <row r="61" spans="2:7" x14ac:dyDescent="0.2">
      <c r="B61" s="5" t="s">
        <v>14</v>
      </c>
      <c r="E61" s="6"/>
      <c r="F61" s="6"/>
      <c r="G61" s="6"/>
    </row>
    <row r="62" spans="2:7" x14ac:dyDescent="0.2">
      <c r="B62" s="5" t="s">
        <v>14</v>
      </c>
      <c r="E62" s="6"/>
      <c r="F62" s="6"/>
      <c r="G62" s="6"/>
    </row>
    <row r="63" spans="2:7" x14ac:dyDescent="0.2">
      <c r="B63" s="5" t="s">
        <v>14</v>
      </c>
    </row>
    <row r="64" spans="2:7" ht="14.25" x14ac:dyDescent="0.2">
      <c r="B64" s="5" t="s">
        <v>14</v>
      </c>
      <c r="C64" s="19"/>
      <c r="D64" s="20"/>
    </row>
    <row r="65" spans="2:7" ht="15" x14ac:dyDescent="0.2">
      <c r="B65" s="5" t="s">
        <v>14</v>
      </c>
      <c r="C65" s="1"/>
      <c r="D65" s="1"/>
      <c r="E65" s="1"/>
      <c r="F65" s="1"/>
      <c r="G65" s="1"/>
    </row>
    <row r="66" spans="2:7" x14ac:dyDescent="0.2">
      <c r="B66" s="5" t="s">
        <v>14</v>
      </c>
      <c r="E66" s="6"/>
      <c r="F66" s="6"/>
      <c r="G66" s="6"/>
    </row>
    <row r="67" spans="2:7" x14ac:dyDescent="0.2">
      <c r="B67" s="5" t="s">
        <v>14</v>
      </c>
      <c r="E67" s="6"/>
      <c r="F67" s="6"/>
      <c r="G67" s="6"/>
    </row>
    <row r="68" spans="2:7" x14ac:dyDescent="0.2">
      <c r="B68" s="5" t="s">
        <v>14</v>
      </c>
      <c r="E68" s="6"/>
      <c r="F68" s="6"/>
      <c r="G68" s="6"/>
    </row>
    <row r="69" spans="2:7" x14ac:dyDescent="0.2">
      <c r="B69" s="5" t="s">
        <v>14</v>
      </c>
    </row>
  </sheetData>
  <mergeCells count="2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1:K31"/>
    <mergeCell ref="B3:B4"/>
    <mergeCell ref="A8:K8"/>
    <mergeCell ref="A12:K12"/>
    <mergeCell ref="A15:K15"/>
    <mergeCell ref="A19:K19"/>
    <mergeCell ref="A22:K22"/>
    <mergeCell ref="A27:K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7" workbookViewId="0">
      <selection activeCell="N16" sqref="N16"/>
    </sheetView>
  </sheetViews>
  <sheetFormatPr defaultRowHeight="12.75" x14ac:dyDescent="0.2"/>
  <cols>
    <col min="1" max="1" width="7.42578125" style="5" bestFit="1" customWidth="1"/>
    <col min="2" max="2" width="17.28515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643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73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5" t="s">
        <v>69</v>
      </c>
      <c r="B6" s="14" t="s">
        <v>644</v>
      </c>
      <c r="C6" s="14" t="s">
        <v>645</v>
      </c>
      <c r="D6" s="14" t="s">
        <v>287</v>
      </c>
      <c r="E6" s="14" t="str">
        <f>"0,6740"</f>
        <v>0,6740</v>
      </c>
      <c r="F6" s="14" t="s">
        <v>21</v>
      </c>
      <c r="G6" s="14" t="s">
        <v>31</v>
      </c>
      <c r="H6" s="25" t="s">
        <v>51</v>
      </c>
      <c r="I6" s="26" t="s">
        <v>52</v>
      </c>
      <c r="J6" s="26" t="s">
        <v>52</v>
      </c>
      <c r="K6" s="15"/>
      <c r="L6" s="15" t="str">
        <f>"230,0"</f>
        <v>230,0</v>
      </c>
      <c r="M6" s="15" t="str">
        <f>"155,0200"</f>
        <v>155,0200</v>
      </c>
      <c r="N6" s="14" t="s">
        <v>712</v>
      </c>
    </row>
    <row r="7" spans="1:14" x14ac:dyDescent="0.2">
      <c r="B7" s="5" t="s">
        <v>14</v>
      </c>
    </row>
    <row r="8" spans="1:14" ht="15" x14ac:dyDescent="0.2">
      <c r="A8" s="55" t="s">
        <v>73</v>
      </c>
      <c r="B8" s="55"/>
      <c r="C8" s="56"/>
      <c r="D8" s="56"/>
      <c r="E8" s="56"/>
      <c r="F8" s="56"/>
      <c r="G8" s="56"/>
      <c r="H8" s="56"/>
      <c r="I8" s="56"/>
      <c r="J8" s="56"/>
      <c r="K8" s="56"/>
    </row>
    <row r="9" spans="1:14" x14ac:dyDescent="0.2">
      <c r="A9" s="15" t="s">
        <v>69</v>
      </c>
      <c r="B9" s="14" t="s">
        <v>646</v>
      </c>
      <c r="C9" s="14" t="s">
        <v>647</v>
      </c>
      <c r="D9" s="14" t="s">
        <v>648</v>
      </c>
      <c r="E9" s="14" t="str">
        <f>"0,6230"</f>
        <v>0,6230</v>
      </c>
      <c r="F9" s="14" t="s">
        <v>21</v>
      </c>
      <c r="G9" s="14" t="s">
        <v>31</v>
      </c>
      <c r="H9" s="26" t="s">
        <v>305</v>
      </c>
      <c r="I9" s="26" t="s">
        <v>305</v>
      </c>
      <c r="J9" s="25" t="s">
        <v>305</v>
      </c>
      <c r="K9" s="15"/>
      <c r="L9" s="15" t="str">
        <f>"290,0"</f>
        <v>290,0</v>
      </c>
      <c r="M9" s="15" t="str">
        <f>"180,6700"</f>
        <v>180,6700</v>
      </c>
      <c r="N9" s="14" t="s">
        <v>712</v>
      </c>
    </row>
    <row r="10" spans="1:14" x14ac:dyDescent="0.2">
      <c r="B10" s="5" t="s">
        <v>14</v>
      </c>
    </row>
    <row r="11" spans="1:14" ht="15" x14ac:dyDescent="0.2">
      <c r="A11" s="55" t="s">
        <v>20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2" spans="1:14" x14ac:dyDescent="0.2">
      <c r="A12" s="10" t="s">
        <v>69</v>
      </c>
      <c r="B12" s="9" t="s">
        <v>596</v>
      </c>
      <c r="C12" s="9" t="s">
        <v>649</v>
      </c>
      <c r="D12" s="9" t="s">
        <v>598</v>
      </c>
      <c r="E12" s="9" t="str">
        <f>"0,5935"</f>
        <v>0,5935</v>
      </c>
      <c r="F12" s="9" t="s">
        <v>21</v>
      </c>
      <c r="G12" s="9" t="s">
        <v>599</v>
      </c>
      <c r="H12" s="22" t="s">
        <v>283</v>
      </c>
      <c r="I12" s="22" t="s">
        <v>46</v>
      </c>
      <c r="J12" s="10"/>
      <c r="K12" s="10"/>
      <c r="L12" s="10" t="str">
        <f>"300,0"</f>
        <v>300,0</v>
      </c>
      <c r="M12" s="10" t="str">
        <f>"178,0500"</f>
        <v>178,0500</v>
      </c>
      <c r="N12" s="9" t="s">
        <v>712</v>
      </c>
    </row>
    <row r="13" spans="1:14" x14ac:dyDescent="0.2">
      <c r="A13" s="12" t="s">
        <v>69</v>
      </c>
      <c r="B13" s="11" t="s">
        <v>596</v>
      </c>
      <c r="C13" s="11" t="s">
        <v>597</v>
      </c>
      <c r="D13" s="11" t="s">
        <v>598</v>
      </c>
      <c r="E13" s="11" t="str">
        <f>"0,5935"</f>
        <v>0,5935</v>
      </c>
      <c r="F13" s="11" t="s">
        <v>21</v>
      </c>
      <c r="G13" s="11" t="s">
        <v>599</v>
      </c>
      <c r="H13" s="27" t="s">
        <v>283</v>
      </c>
      <c r="I13" s="27" t="s">
        <v>46</v>
      </c>
      <c r="J13" s="12"/>
      <c r="K13" s="12"/>
      <c r="L13" s="12" t="str">
        <f>"300,0"</f>
        <v>300,0</v>
      </c>
      <c r="M13" s="12" t="str">
        <f>"181,2549"</f>
        <v>181,2549</v>
      </c>
      <c r="N13" s="11" t="s">
        <v>712</v>
      </c>
    </row>
    <row r="14" spans="1:14" x14ac:dyDescent="0.2">
      <c r="B14" s="5" t="s">
        <v>14</v>
      </c>
    </row>
    <row r="15" spans="1:14" ht="15" x14ac:dyDescent="0.2">
      <c r="A15" s="55" t="s">
        <v>33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4" x14ac:dyDescent="0.2">
      <c r="A16" s="15" t="s">
        <v>69</v>
      </c>
      <c r="B16" s="14" t="s">
        <v>650</v>
      </c>
      <c r="C16" s="14" t="s">
        <v>651</v>
      </c>
      <c r="D16" s="14" t="s">
        <v>652</v>
      </c>
      <c r="E16" s="14" t="str">
        <f>"0,5697"</f>
        <v>0,5697</v>
      </c>
      <c r="F16" s="14" t="s">
        <v>21</v>
      </c>
      <c r="G16" s="14" t="s">
        <v>31</v>
      </c>
      <c r="H16" s="25" t="s">
        <v>40</v>
      </c>
      <c r="I16" s="25" t="s">
        <v>51</v>
      </c>
      <c r="J16" s="26" t="s">
        <v>53</v>
      </c>
      <c r="K16" s="15"/>
      <c r="L16" s="15" t="str">
        <f>"230,0"</f>
        <v>230,0</v>
      </c>
      <c r="M16" s="15" t="str">
        <f>"131,0310"</f>
        <v>131,0310</v>
      </c>
      <c r="N16" s="14" t="s">
        <v>712</v>
      </c>
    </row>
    <row r="17" spans="2:7" x14ac:dyDescent="0.2">
      <c r="B17" s="5" t="s">
        <v>14</v>
      </c>
    </row>
    <row r="18" spans="2:7" ht="15" x14ac:dyDescent="0.2">
      <c r="B18" s="5" t="s">
        <v>14</v>
      </c>
      <c r="F18" s="7"/>
    </row>
    <row r="19" spans="2:7" ht="15" x14ac:dyDescent="0.2">
      <c r="B19" s="5" t="s">
        <v>14</v>
      </c>
      <c r="F19" s="7"/>
    </row>
    <row r="20" spans="2:7" ht="15" x14ac:dyDescent="0.2">
      <c r="B20" s="5" t="s">
        <v>14</v>
      </c>
      <c r="F20" s="7"/>
    </row>
    <row r="21" spans="2:7" ht="15" x14ac:dyDescent="0.2">
      <c r="B21" s="5" t="s">
        <v>14</v>
      </c>
      <c r="F21" s="7"/>
    </row>
    <row r="22" spans="2:7" ht="15" x14ac:dyDescent="0.2">
      <c r="B22" s="5" t="s">
        <v>14</v>
      </c>
      <c r="F22" s="7"/>
    </row>
    <row r="23" spans="2:7" ht="15" x14ac:dyDescent="0.2">
      <c r="B23" s="5" t="s">
        <v>14</v>
      </c>
      <c r="F23" s="7"/>
    </row>
    <row r="24" spans="2:7" ht="15" x14ac:dyDescent="0.2">
      <c r="B24" s="5" t="s">
        <v>14</v>
      </c>
      <c r="F24" s="7"/>
    </row>
    <row r="25" spans="2:7" x14ac:dyDescent="0.2">
      <c r="B25" s="5" t="s">
        <v>14</v>
      </c>
    </row>
    <row r="26" spans="2:7" ht="18" x14ac:dyDescent="0.2">
      <c r="B26" s="5" t="s">
        <v>14</v>
      </c>
      <c r="C26" s="8"/>
      <c r="D26" s="8"/>
    </row>
    <row r="27" spans="2:7" ht="15" x14ac:dyDescent="0.2">
      <c r="B27" s="5" t="s">
        <v>14</v>
      </c>
      <c r="C27" s="18"/>
      <c r="D27" s="18"/>
    </row>
    <row r="28" spans="2:7" ht="14.25" x14ac:dyDescent="0.2">
      <c r="B28" s="5" t="s">
        <v>14</v>
      </c>
      <c r="C28" s="19"/>
      <c r="D28" s="20"/>
    </row>
    <row r="29" spans="2:7" ht="15" x14ac:dyDescent="0.2">
      <c r="B29" s="5" t="s">
        <v>14</v>
      </c>
      <c r="C29" s="1"/>
      <c r="D29" s="1"/>
      <c r="E29" s="1"/>
      <c r="F29" s="1"/>
      <c r="G29" s="1"/>
    </row>
    <row r="30" spans="2:7" x14ac:dyDescent="0.2">
      <c r="B30" s="5" t="s">
        <v>14</v>
      </c>
      <c r="E30" s="6"/>
      <c r="F30" s="6"/>
      <c r="G30" s="6"/>
    </row>
    <row r="31" spans="2:7" x14ac:dyDescent="0.2">
      <c r="B31" s="5" t="s">
        <v>14</v>
      </c>
    </row>
    <row r="32" spans="2:7" x14ac:dyDescent="0.2">
      <c r="B32" s="5" t="s">
        <v>14</v>
      </c>
    </row>
    <row r="33" spans="2:7" ht="15" x14ac:dyDescent="0.2">
      <c r="B33" s="5" t="s">
        <v>14</v>
      </c>
      <c r="C33" s="18"/>
      <c r="D33" s="18"/>
    </row>
    <row r="34" spans="2:7" ht="14.25" x14ac:dyDescent="0.2">
      <c r="B34" s="5" t="s">
        <v>14</v>
      </c>
      <c r="C34" s="19"/>
      <c r="D34" s="20"/>
    </row>
    <row r="35" spans="2:7" ht="15" x14ac:dyDescent="0.2">
      <c r="B35" s="5" t="s">
        <v>14</v>
      </c>
      <c r="C35" s="1"/>
      <c r="D35" s="1"/>
      <c r="E35" s="1"/>
      <c r="F35" s="1"/>
      <c r="G35" s="1"/>
    </row>
    <row r="36" spans="2:7" x14ac:dyDescent="0.2">
      <c r="B36" s="5" t="s">
        <v>14</v>
      </c>
      <c r="E36" s="6"/>
      <c r="F36" s="6"/>
      <c r="G36" s="6"/>
    </row>
    <row r="37" spans="2:7" x14ac:dyDescent="0.2">
      <c r="B37" s="5" t="s">
        <v>14</v>
      </c>
      <c r="E37" s="6"/>
      <c r="F37" s="6"/>
      <c r="G37" s="6"/>
    </row>
    <row r="38" spans="2:7" x14ac:dyDescent="0.2">
      <c r="B38" s="5" t="s">
        <v>14</v>
      </c>
      <c r="E38" s="6"/>
      <c r="F38" s="6"/>
      <c r="G38" s="6"/>
    </row>
    <row r="39" spans="2:7" x14ac:dyDescent="0.2">
      <c r="B39" s="5" t="s">
        <v>14</v>
      </c>
    </row>
    <row r="40" spans="2:7" ht="14.25" x14ac:dyDescent="0.2">
      <c r="B40" s="5" t="s">
        <v>14</v>
      </c>
      <c r="C40" s="19"/>
      <c r="D40" s="20"/>
    </row>
    <row r="41" spans="2:7" ht="15" x14ac:dyDescent="0.2">
      <c r="B41" s="5" t="s">
        <v>14</v>
      </c>
      <c r="C41" s="1"/>
      <c r="D41" s="1"/>
      <c r="E41" s="1"/>
      <c r="F41" s="1"/>
      <c r="G41" s="1"/>
    </row>
    <row r="42" spans="2:7" x14ac:dyDescent="0.2">
      <c r="B42" s="5" t="s">
        <v>14</v>
      </c>
      <c r="E42" s="6"/>
      <c r="F42" s="6"/>
      <c r="G42" s="6"/>
    </row>
    <row r="43" spans="2:7" x14ac:dyDescent="0.2">
      <c r="B43" s="5" t="s">
        <v>14</v>
      </c>
    </row>
  </sheetData>
  <mergeCells count="16"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A15:K15"/>
    <mergeCell ref="B3:B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L12" sqref="L12"/>
    </sheetView>
  </sheetViews>
  <sheetFormatPr defaultRowHeight="12.75" x14ac:dyDescent="0.2"/>
  <cols>
    <col min="1" max="1" width="7.42578125" style="5" bestFit="1" customWidth="1"/>
    <col min="2" max="2" width="19.85546875" style="5" bestFit="1" customWidth="1"/>
    <col min="3" max="3" width="29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3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65" t="s">
        <v>641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62.1" customHeight="1" thickBot="1" x14ac:dyDescent="0.25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s="1" customFormat="1" ht="12.75" customHeight="1" x14ac:dyDescent="0.2">
      <c r="A3" s="73" t="s">
        <v>15</v>
      </c>
      <c r="B3" s="57" t="s">
        <v>0</v>
      </c>
      <c r="C3" s="75" t="s">
        <v>6</v>
      </c>
      <c r="D3" s="75" t="s">
        <v>10</v>
      </c>
      <c r="E3" s="59" t="s">
        <v>16</v>
      </c>
      <c r="F3" s="59" t="s">
        <v>4</v>
      </c>
      <c r="G3" s="59" t="s">
        <v>7</v>
      </c>
      <c r="H3" s="59" t="s">
        <v>18</v>
      </c>
      <c r="I3" s="59"/>
      <c r="J3" s="59"/>
      <c r="K3" s="59"/>
      <c r="L3" s="59" t="s">
        <v>371</v>
      </c>
      <c r="M3" s="59" t="s">
        <v>3</v>
      </c>
      <c r="N3" s="61" t="s">
        <v>2</v>
      </c>
    </row>
    <row r="4" spans="1:14" s="1" customFormat="1" ht="21" customHeight="1" thickBot="1" x14ac:dyDescent="0.25">
      <c r="A4" s="74"/>
      <c r="B4" s="58"/>
      <c r="C4" s="60"/>
      <c r="D4" s="60"/>
      <c r="E4" s="60"/>
      <c r="F4" s="60"/>
      <c r="G4" s="60"/>
      <c r="H4" s="4">
        <v>1</v>
      </c>
      <c r="I4" s="4">
        <v>2</v>
      </c>
      <c r="J4" s="4">
        <v>3</v>
      </c>
      <c r="K4" s="4" t="s">
        <v>5</v>
      </c>
      <c r="L4" s="60"/>
      <c r="M4" s="60"/>
      <c r="N4" s="62"/>
    </row>
    <row r="5" spans="1:14" ht="15" x14ac:dyDescent="0.2">
      <c r="A5" s="63" t="s">
        <v>90</v>
      </c>
      <c r="B5" s="63"/>
      <c r="C5" s="64"/>
      <c r="D5" s="64"/>
      <c r="E5" s="64"/>
      <c r="F5" s="64"/>
      <c r="G5" s="64"/>
      <c r="H5" s="64"/>
      <c r="I5" s="64"/>
      <c r="J5" s="64"/>
      <c r="K5" s="64"/>
    </row>
    <row r="6" spans="1:14" x14ac:dyDescent="0.2">
      <c r="A6" s="10" t="s">
        <v>69</v>
      </c>
      <c r="B6" s="9" t="s">
        <v>454</v>
      </c>
      <c r="C6" s="9" t="s">
        <v>455</v>
      </c>
      <c r="D6" s="9" t="s">
        <v>642</v>
      </c>
      <c r="E6" s="9" t="str">
        <f>"0,9355"</f>
        <v>0,9355</v>
      </c>
      <c r="F6" s="9" t="s">
        <v>21</v>
      </c>
      <c r="G6" s="9" t="s">
        <v>457</v>
      </c>
      <c r="H6" s="22" t="s">
        <v>96</v>
      </c>
      <c r="I6" s="22" t="s">
        <v>145</v>
      </c>
      <c r="J6" s="23" t="s">
        <v>168</v>
      </c>
      <c r="K6" s="10"/>
      <c r="L6" s="10" t="str">
        <f>"115,0"</f>
        <v>115,0</v>
      </c>
      <c r="M6" s="10" t="str">
        <f>"111,8858"</f>
        <v>111,8858</v>
      </c>
      <c r="N6" s="9" t="s">
        <v>712</v>
      </c>
    </row>
    <row r="7" spans="1:14" x14ac:dyDescent="0.2">
      <c r="A7" s="12" t="s">
        <v>69</v>
      </c>
      <c r="B7" s="11" t="s">
        <v>454</v>
      </c>
      <c r="C7" s="11" t="s">
        <v>458</v>
      </c>
      <c r="D7" s="11" t="s">
        <v>642</v>
      </c>
      <c r="E7" s="11" t="str">
        <f>"0,9355"</f>
        <v>0,9355</v>
      </c>
      <c r="F7" s="11" t="s">
        <v>21</v>
      </c>
      <c r="G7" s="11" t="s">
        <v>457</v>
      </c>
      <c r="H7" s="27" t="s">
        <v>96</v>
      </c>
      <c r="I7" s="27" t="s">
        <v>145</v>
      </c>
      <c r="J7" s="24" t="s">
        <v>168</v>
      </c>
      <c r="K7" s="12"/>
      <c r="L7" s="12" t="str">
        <f>"115,0"</f>
        <v>115,0</v>
      </c>
      <c r="M7" s="12" t="str">
        <f>"107,5825"</f>
        <v>107,5825</v>
      </c>
      <c r="N7" s="11" t="s">
        <v>712</v>
      </c>
    </row>
    <row r="8" spans="1:14" x14ac:dyDescent="0.2">
      <c r="B8" s="5" t="s">
        <v>14</v>
      </c>
    </row>
    <row r="9" spans="1:14" ht="15" x14ac:dyDescent="0.2">
      <c r="B9" s="5" t="s">
        <v>14</v>
      </c>
      <c r="F9" s="7"/>
    </row>
    <row r="10" spans="1:14" ht="15" x14ac:dyDescent="0.2">
      <c r="B10" s="5" t="s">
        <v>14</v>
      </c>
      <c r="F10" s="7"/>
    </row>
    <row r="11" spans="1:14" ht="15" x14ac:dyDescent="0.2">
      <c r="B11" s="5" t="s">
        <v>14</v>
      </c>
      <c r="F11" s="7"/>
    </row>
    <row r="12" spans="1:14" ht="15" x14ac:dyDescent="0.2">
      <c r="B12" s="5" t="s">
        <v>14</v>
      </c>
      <c r="F12" s="7"/>
    </row>
    <row r="13" spans="1:14" ht="15" x14ac:dyDescent="0.2">
      <c r="B13" s="5" t="s">
        <v>14</v>
      </c>
      <c r="F13" s="7"/>
    </row>
    <row r="14" spans="1:14" ht="15" x14ac:dyDescent="0.2">
      <c r="B14" s="5" t="s">
        <v>14</v>
      </c>
      <c r="F14" s="7"/>
    </row>
    <row r="15" spans="1:14" ht="15" x14ac:dyDescent="0.2">
      <c r="B15" s="5" t="s">
        <v>14</v>
      </c>
      <c r="F15" s="7"/>
    </row>
    <row r="16" spans="1:14" x14ac:dyDescent="0.2">
      <c r="B16" s="5" t="s">
        <v>14</v>
      </c>
    </row>
    <row r="17" spans="2:7" ht="18" x14ac:dyDescent="0.2">
      <c r="B17" s="5" t="s">
        <v>14</v>
      </c>
      <c r="C17" s="8"/>
      <c r="D17" s="8"/>
    </row>
    <row r="18" spans="2:7" ht="15" x14ac:dyDescent="0.2">
      <c r="B18" s="5" t="s">
        <v>14</v>
      </c>
      <c r="C18" s="18"/>
      <c r="D18" s="18"/>
    </row>
    <row r="19" spans="2:7" ht="14.25" x14ac:dyDescent="0.2">
      <c r="B19" s="5" t="s">
        <v>14</v>
      </c>
      <c r="C19" s="19"/>
      <c r="D19" s="20"/>
    </row>
    <row r="20" spans="2:7" ht="15" x14ac:dyDescent="0.2">
      <c r="B20" s="5" t="s">
        <v>14</v>
      </c>
      <c r="C20" s="1"/>
      <c r="D20" s="1"/>
      <c r="E20" s="1"/>
      <c r="F20" s="1"/>
      <c r="G20" s="1"/>
    </row>
    <row r="21" spans="2:7" x14ac:dyDescent="0.2">
      <c r="B21" s="5" t="s">
        <v>14</v>
      </c>
      <c r="E21" s="6"/>
      <c r="F21" s="6"/>
      <c r="G21" s="6"/>
    </row>
    <row r="22" spans="2:7" x14ac:dyDescent="0.2">
      <c r="B22" s="5" t="s">
        <v>14</v>
      </c>
    </row>
    <row r="23" spans="2:7" ht="14.25" x14ac:dyDescent="0.2">
      <c r="B23" s="5" t="s">
        <v>14</v>
      </c>
      <c r="C23" s="19"/>
      <c r="D23" s="20"/>
    </row>
    <row r="24" spans="2:7" ht="15" x14ac:dyDescent="0.2">
      <c r="B24" s="5" t="s">
        <v>14</v>
      </c>
      <c r="C24" s="1"/>
      <c r="D24" s="1"/>
      <c r="E24" s="1"/>
      <c r="F24" s="1"/>
      <c r="G24" s="1"/>
    </row>
    <row r="25" spans="2:7" x14ac:dyDescent="0.2">
      <c r="B25" s="5" t="s">
        <v>14</v>
      </c>
      <c r="E25" s="6"/>
      <c r="F25" s="6"/>
      <c r="G25" s="6"/>
    </row>
    <row r="26" spans="2:7" x14ac:dyDescent="0.2">
      <c r="B26" s="5" t="s">
        <v>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Двоеборье проф.</vt:lpstr>
      <vt:lpstr>Люб. ЖД</vt:lpstr>
      <vt:lpstr>Двоеборье люб</vt:lpstr>
      <vt:lpstr>ПРО присед б.э.</vt:lpstr>
      <vt:lpstr>Люб. присед б.э.</vt:lpstr>
      <vt:lpstr>ПРО тяга б.э.</vt:lpstr>
      <vt:lpstr>Люб. тяга б.э.</vt:lpstr>
      <vt:lpstr>ПРО жим софт мн.петельная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жим 1.слой</vt:lpstr>
      <vt:lpstr>Люб. жим 1.слой</vt:lpstr>
      <vt:lpstr>СОВ жим</vt:lpstr>
      <vt:lpstr>ПРО жим мн.слой</vt:lpstr>
      <vt:lpstr>Люб. жим мн.слой</vt:lpstr>
      <vt:lpstr>ПРО Военный жим класс.</vt:lpstr>
      <vt:lpstr>Люб. Военный жим класс.</vt:lpstr>
      <vt:lpstr>ПРО ПЛ. мн.петельная софт</vt:lpstr>
      <vt:lpstr>ПРО ПЛ. б.э.</vt:lpstr>
      <vt:lpstr>Люб. ПЛ. б.э.</vt:lpstr>
      <vt:lpstr>Люб. ПЛ. 1.петельная софт</vt:lpstr>
      <vt:lpstr>ПРО ПЛ. 1.петельная софт</vt:lpstr>
      <vt:lpstr>Люб. ПЛ. 1.слой</vt:lpstr>
      <vt:lpstr>Проф. становая тяга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Русская тяга люб. 150 кг.</vt:lpstr>
      <vt:lpstr>Русская тяга люб. 100 кг.</vt:lpstr>
      <vt:lpstr>Русская тяга люб. 55 кг.</vt:lpstr>
      <vt:lpstr>РЖ любители 75 кг.</vt:lpstr>
      <vt:lpstr>РЖ любители 55 кг.</vt:lpstr>
      <vt:lpstr>РЖ Проф 55 кг.</vt:lpstr>
      <vt:lpstr>РЖ Проф 35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Любители</vt:lpstr>
      <vt:lpstr>Судейский корпус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2021-10-24T04:18:09Z</dcterms:modified>
</cp:coreProperties>
</file>