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firstSheet="8" activeTab="13"/>
  </bookViews>
  <sheets>
    <sheet name="Русская тяга люб. 150 кг." sheetId="18" r:id="rId1"/>
    <sheet name="РЖ любители 55 кг." sheetId="17" r:id="rId2"/>
    <sheet name="Пауэрспорт Любители" sheetId="16" r:id="rId3"/>
    <sheet name="Бицепс Любители" sheetId="15" r:id="rId4"/>
    <sheet name="Двоеборье проф." sheetId="14" r:id="rId5"/>
    <sheet name="Двоеборье люб" sheetId="13" r:id="rId6"/>
    <sheet name="ПРО тяга б.э." sheetId="12" r:id="rId7"/>
    <sheet name="Люб. тяга б.э." sheetId="11" r:id="rId8"/>
    <sheet name="ПРО жим б.э." sheetId="10" r:id="rId9"/>
    <sheet name="Люб. жим б.э." sheetId="9" r:id="rId10"/>
    <sheet name="СОВ жим" sheetId="8" r:id="rId11"/>
    <sheet name="Люб. Военный жим класс." sheetId="7" r:id="rId12"/>
    <sheet name="ПРО ПЛ. б.э." sheetId="6" r:id="rId13"/>
    <sheet name="Люб. ПЛ. б.э." sheetId="5" r:id="rId14"/>
  </sheets>
  <definedNames>
    <definedName name="_FilterDatabase" localSheetId="13" hidden="1">'Люб. ПЛ. б.э.'!$A$1:$S$3</definedName>
  </definedNames>
  <calcPr calcId="162913" refMode="R1C1"/>
</workbook>
</file>

<file path=xl/calcChain.xml><?xml version="1.0" encoding="utf-8"?>
<calcChain xmlns="http://schemas.openxmlformats.org/spreadsheetml/2006/main">
  <c r="J7" i="18" l="1"/>
  <c r="I7" i="18"/>
  <c r="D7" i="18"/>
  <c r="J6" i="18"/>
  <c r="I6" i="18"/>
  <c r="D6" i="18"/>
  <c r="J9" i="17"/>
  <c r="I9" i="17"/>
  <c r="D9" i="17"/>
  <c r="J6" i="17"/>
  <c r="I6" i="17"/>
  <c r="D6" i="17"/>
  <c r="P6" i="16"/>
  <c r="O6" i="16"/>
  <c r="D6" i="16"/>
  <c r="L14" i="15"/>
  <c r="K14" i="15"/>
  <c r="D14" i="15"/>
  <c r="L13" i="15"/>
  <c r="K13" i="15"/>
  <c r="D13" i="15"/>
  <c r="L10" i="15"/>
  <c r="K10" i="15"/>
  <c r="D10" i="15"/>
  <c r="L9" i="15"/>
  <c r="K9" i="15"/>
  <c r="D9" i="15"/>
  <c r="L6" i="15"/>
  <c r="K6" i="15"/>
  <c r="D6" i="15"/>
  <c r="P9" i="14"/>
  <c r="O9" i="14"/>
  <c r="D9" i="14"/>
  <c r="P6" i="14"/>
  <c r="O6" i="14"/>
  <c r="D6" i="14"/>
  <c r="P13" i="13"/>
  <c r="O13" i="13"/>
  <c r="D13" i="13"/>
  <c r="P10" i="13"/>
  <c r="O10" i="13"/>
  <c r="D10" i="13"/>
  <c r="P9" i="13"/>
  <c r="O9" i="13"/>
  <c r="D9" i="13"/>
  <c r="P6" i="13"/>
  <c r="O6" i="13"/>
  <c r="D6" i="13"/>
  <c r="L9" i="12"/>
  <c r="K9" i="12"/>
  <c r="D9" i="12"/>
  <c r="L6" i="12"/>
  <c r="K6" i="12"/>
  <c r="D6" i="12"/>
  <c r="L26" i="11"/>
  <c r="K26" i="11"/>
  <c r="D26" i="11"/>
  <c r="L23" i="11"/>
  <c r="K23" i="11"/>
  <c r="D23" i="11"/>
  <c r="L22" i="11"/>
  <c r="K22" i="11"/>
  <c r="D22" i="11"/>
  <c r="L19" i="11"/>
  <c r="K19" i="11"/>
  <c r="D19" i="11"/>
  <c r="L18" i="11"/>
  <c r="K18" i="11"/>
  <c r="D18" i="11"/>
  <c r="L15" i="11"/>
  <c r="K15" i="11"/>
  <c r="D15" i="11"/>
  <c r="L12" i="11"/>
  <c r="K12" i="11"/>
  <c r="D12" i="11"/>
  <c r="L9" i="11"/>
  <c r="K9" i="11"/>
  <c r="D9" i="11"/>
  <c r="L6" i="11"/>
  <c r="K6" i="11"/>
  <c r="D6" i="11"/>
  <c r="L11" i="10"/>
  <c r="K11" i="10"/>
  <c r="D11" i="10"/>
  <c r="L10" i="10"/>
  <c r="K10" i="10"/>
  <c r="D10" i="10"/>
  <c r="L7" i="10"/>
  <c r="K7" i="10"/>
  <c r="D7" i="10"/>
  <c r="L6" i="10"/>
  <c r="K6" i="10"/>
  <c r="D6" i="10"/>
  <c r="L23" i="9"/>
  <c r="K23" i="9"/>
  <c r="D23" i="9"/>
  <c r="L20" i="9"/>
  <c r="K20" i="9"/>
  <c r="D20" i="9"/>
  <c r="L17" i="9"/>
  <c r="K17" i="9"/>
  <c r="D17" i="9"/>
  <c r="L16" i="9"/>
  <c r="K16" i="9"/>
  <c r="D16" i="9"/>
  <c r="L13" i="9"/>
  <c r="K13" i="9"/>
  <c r="D13" i="9"/>
  <c r="L12" i="9"/>
  <c r="K12" i="9"/>
  <c r="D12" i="9"/>
  <c r="L9" i="9"/>
  <c r="K9" i="9"/>
  <c r="D9" i="9"/>
  <c r="L6" i="9"/>
  <c r="K6" i="9"/>
  <c r="D6" i="9"/>
  <c r="L6" i="8"/>
  <c r="K6" i="8"/>
  <c r="D6" i="8"/>
  <c r="L9" i="7"/>
  <c r="K9" i="7"/>
  <c r="D9" i="7"/>
  <c r="L6" i="7"/>
  <c r="K6" i="7"/>
  <c r="D6" i="7"/>
  <c r="T9" i="6"/>
  <c r="S9" i="6"/>
  <c r="D9" i="6"/>
  <c r="T8" i="6"/>
  <c r="S8" i="6"/>
  <c r="D8" i="6"/>
  <c r="T7" i="6"/>
  <c r="S7" i="6"/>
  <c r="D7" i="6"/>
  <c r="T6" i="6"/>
  <c r="S6" i="6"/>
  <c r="D6" i="6"/>
  <c r="T16" i="5"/>
  <c r="S16" i="5"/>
  <c r="D16" i="5"/>
  <c r="T13" i="5"/>
  <c r="S13" i="5"/>
  <c r="D13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<sst xmlns="http://schemas.openxmlformats.org/spreadsheetml/2006/main" count="1348" uniqueCount="391">
  <si>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</si>
  <si>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</si>
  <si>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</si>
  <si>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</si>
  <si>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</si>
  <si>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</si>
  <si>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</si>
  <si>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</si>
  <si>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</si>
  <si>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</si>
  <si>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</si>
  <si>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Стальная весна
Любители пауэрлифтинг без экипировки
Курчатов/Курская область 19 - 20 марта 2021 г.</t>
  </si>
  <si>
    <t>Shv/Mel</t>
  </si>
  <si>
    <t>Приседание</t>
  </si>
  <si>
    <t>Жим лёжа</t>
  </si>
  <si>
    <t>Становая тяга</t>
  </si>
  <si>
    <t>ВЕСОВАЯ КАТЕГОРИЯ   48</t>
  </si>
  <si>
    <t>Рязанцева Алина</t>
  </si>
  <si>
    <t>1. Рязанцева Алина</t>
  </si>
  <si>
    <t>Открытая (10.06.1985)/35</t>
  </si>
  <si>
    <t>47,80</t>
  </si>
  <si>
    <t xml:space="preserve">West gym </t>
  </si>
  <si>
    <t xml:space="preserve">Курск/Курская область </t>
  </si>
  <si>
    <t>70,0</t>
  </si>
  <si>
    <t>75,0</t>
  </si>
  <si>
    <t>45,0</t>
  </si>
  <si>
    <t>50,0</t>
  </si>
  <si>
    <t>55,0</t>
  </si>
  <si>
    <t>110,0</t>
  </si>
  <si>
    <t>117,5</t>
  </si>
  <si>
    <t xml:space="preserve">Локтионова Илия </t>
  </si>
  <si>
    <t>ВЕСОВАЯ КАТЕГОРИЯ   82.5</t>
  </si>
  <si>
    <t>Обухов Игорь</t>
  </si>
  <si>
    <t>1. Обухов Игорь</t>
  </si>
  <si>
    <t>Открытая (07.11.1990)/30</t>
  </si>
  <si>
    <t>82,50</t>
  </si>
  <si>
    <t xml:space="preserve">лично </t>
  </si>
  <si>
    <t>180,0</t>
  </si>
  <si>
    <t>140,0</t>
  </si>
  <si>
    <t>150,0</t>
  </si>
  <si>
    <t>155,0</t>
  </si>
  <si>
    <t>230,0</t>
  </si>
  <si>
    <t>240,0</t>
  </si>
  <si>
    <t>247,5</t>
  </si>
  <si>
    <t xml:space="preserve"> </t>
  </si>
  <si>
    <t>ВЕСОВАЯ КАТЕГОРИЯ   90</t>
  </si>
  <si>
    <t>Воронковский Дмитрий</t>
  </si>
  <si>
    <t>1. Воронковский Дмитрий</t>
  </si>
  <si>
    <t>Открытая (24.01.1996)/25</t>
  </si>
  <si>
    <t>89,80</t>
  </si>
  <si>
    <t xml:space="preserve">Академия Силы </t>
  </si>
  <si>
    <t xml:space="preserve">Курчатов/Курская область </t>
  </si>
  <si>
    <t>165,0</t>
  </si>
  <si>
    <t>170,0</t>
  </si>
  <si>
    <t>135,0</t>
  </si>
  <si>
    <t>145,0</t>
  </si>
  <si>
    <t>200,0</t>
  </si>
  <si>
    <t>210,0</t>
  </si>
  <si>
    <t>215,0</t>
  </si>
  <si>
    <t xml:space="preserve">Меркулов Виталий </t>
  </si>
  <si>
    <t>Петрухин Александр</t>
  </si>
  <si>
    <t>2. Петрухин Александр</t>
  </si>
  <si>
    <t>Открытая (26.02.1984)/37</t>
  </si>
  <si>
    <t>89,40</t>
  </si>
  <si>
    <t>160,0</t>
  </si>
  <si>
    <t>95,0</t>
  </si>
  <si>
    <t>102,5</t>
  </si>
  <si>
    <t>105,0</t>
  </si>
  <si>
    <t>225,0</t>
  </si>
  <si>
    <t>ВЕСОВАЯ КАТЕГОРИЯ   110</t>
  </si>
  <si>
    <t>Ермолаев Иван</t>
  </si>
  <si>
    <t>1. Ермолаев Иван</t>
  </si>
  <si>
    <t>Открытая (29.12.1997)/23</t>
  </si>
  <si>
    <t>109,35</t>
  </si>
  <si>
    <t xml:space="preserve">Медведь </t>
  </si>
  <si>
    <t>220,0</t>
  </si>
  <si>
    <t>235,0</t>
  </si>
  <si>
    <t>250,0</t>
  </si>
  <si>
    <t>242,5</t>
  </si>
  <si>
    <t xml:space="preserve">Дородных Владимир Николаевич </t>
  </si>
  <si>
    <t>Главный судья:</t>
  </si>
  <si>
    <t>Главный секретарь:</t>
  </si>
  <si>
    <t>Старший судья:</t>
  </si>
  <si>
    <t>Боковой судья: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</si>
  <si>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</si>
  <si>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</si>
  <si>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</si>
  <si>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</si>
  <si>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</si>
  <si>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</si>
  <si>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</si>
  <si>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</si>
  <si>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48</t>
  </si>
  <si>
    <t>243,9065</t>
  </si>
  <si>
    <t xml:space="preserve">Мужчины </t>
  </si>
  <si>
    <t>82.5</t>
  </si>
  <si>
    <t>577,5</t>
  </si>
  <si>
    <t>357,6458</t>
  </si>
  <si>
    <t>110</t>
  </si>
  <si>
    <t>615,0</t>
  </si>
  <si>
    <t>330,4087</t>
  </si>
  <si>
    <t>90</t>
  </si>
  <si>
    <t>530,0</t>
  </si>
  <si>
    <t>310,6330</t>
  </si>
  <si>
    <t>465,0</t>
  </si>
  <si>
    <t>273,2805</t>
  </si>
  <si>
    <t>Стальная весна
ПРО пауэрлифтинг без экипировки
Курчатов/Курская область 19 - 20 марта 2021 г.</t>
  </si>
  <si>
    <t>Полухин Леонард</t>
  </si>
  <si>
    <t>1. Полухин Леонард</t>
  </si>
  <si>
    <t>Юниоры 20 - 23 (02.06.2000)/20</t>
  </si>
  <si>
    <t>80,30</t>
  </si>
  <si>
    <t>152,5</t>
  </si>
  <si>
    <t>112,5</t>
  </si>
  <si>
    <t>172,5</t>
  </si>
  <si>
    <t>182,5</t>
  </si>
  <si>
    <t>Беглов Юрий</t>
  </si>
  <si>
    <t>1. Беглов Юрий</t>
  </si>
  <si>
    <t>Открытая (06.05.1965)/55</t>
  </si>
  <si>
    <t>81,00</t>
  </si>
  <si>
    <t xml:space="preserve">Стальное Звено </t>
  </si>
  <si>
    <t xml:space="preserve">Воронеж/Воронежская область </t>
  </si>
  <si>
    <t>190,0</t>
  </si>
  <si>
    <t>120,0</t>
  </si>
  <si>
    <t>125,0</t>
  </si>
  <si>
    <t>132,5</t>
  </si>
  <si>
    <t>245,0</t>
  </si>
  <si>
    <t>Алфёров Алексей</t>
  </si>
  <si>
    <t>2. Алфёров Алексей</t>
  </si>
  <si>
    <t>Открытая (10.11.1986)/34</t>
  </si>
  <si>
    <t>76,70</t>
  </si>
  <si>
    <t>130,0</t>
  </si>
  <si>
    <t>100,0</t>
  </si>
  <si>
    <t>Мастера 55 - 59 (06.05.1965)/55</t>
  </si>
  <si>
    <t xml:space="preserve">Юниоры </t>
  </si>
  <si>
    <t xml:space="preserve">Юниоры 20 - 23 </t>
  </si>
  <si>
    <t>455,0</t>
  </si>
  <si>
    <t>295,8119</t>
  </si>
  <si>
    <t>582,5</t>
  </si>
  <si>
    <t>365,4023</t>
  </si>
  <si>
    <t>350,0</t>
  </si>
  <si>
    <t>228,5500</t>
  </si>
  <si>
    <t xml:space="preserve">Мастера </t>
  </si>
  <si>
    <t xml:space="preserve">Мастера 55 - 59 </t>
  </si>
  <si>
    <t>504,2551</t>
  </si>
  <si>
    <t>Стальная весна
Любители военный жим классический
Курчатов/Курская область 19 - 20 марта 2021 г.</t>
  </si>
  <si>
    <t>ВЕСОВАЯ КАТЕГОРИЯ   60</t>
  </si>
  <si>
    <t>Зиновьева Татьяна</t>
  </si>
  <si>
    <t>1. Зиновьева Татьяна</t>
  </si>
  <si>
    <t>Мастера 45 - 49 (24.04.1971)/49</t>
  </si>
  <si>
    <t>59,70</t>
  </si>
  <si>
    <t>60,0</t>
  </si>
  <si>
    <t>62,5</t>
  </si>
  <si>
    <t>65,0</t>
  </si>
  <si>
    <t>Карелов Антон</t>
  </si>
  <si>
    <t>1. Карелов Антон</t>
  </si>
  <si>
    <t>Открытая (27.03.1992)/28</t>
  </si>
  <si>
    <t>78,70</t>
  </si>
  <si>
    <t xml:space="preserve">Результат </t>
  </si>
  <si>
    <t xml:space="preserve">Мастера 45 - 49 </t>
  </si>
  <si>
    <t>60</t>
  </si>
  <si>
    <t>64,2954</t>
  </si>
  <si>
    <t>76,8600</t>
  </si>
  <si>
    <t>Результат</t>
  </si>
  <si>
    <t>Стальная весна
СОВ жим лежа
Курчатов/Курская область 19 - 20 марта 2021 г.</t>
  </si>
  <si>
    <t>Акатов Игорь</t>
  </si>
  <si>
    <t>1. Акатов Игорь</t>
  </si>
  <si>
    <t>Мастера 60 - 64 (02.11.1960)/60</t>
  </si>
  <si>
    <t>85,10</t>
  </si>
  <si>
    <t>97,5</t>
  </si>
  <si>
    <t>107,5</t>
  </si>
  <si>
    <t xml:space="preserve">Немчинов Александр </t>
  </si>
  <si>
    <t xml:space="preserve">Мастера 60 - 64 </t>
  </si>
  <si>
    <t>107,2343</t>
  </si>
  <si>
    <t>Стальная весна
Любители жим лежа без экипировки
Курчатов/Курская область 19 - 20 марта 2021 г.</t>
  </si>
  <si>
    <t>ВЕСОВАЯ КАТЕГОРИЯ   67.5</t>
  </si>
  <si>
    <t>Скляр Елена</t>
  </si>
  <si>
    <t>1. Скляр Елена</t>
  </si>
  <si>
    <t>Мастера 40 - 44 (10.02.1978)/43</t>
  </si>
  <si>
    <t>67,20</t>
  </si>
  <si>
    <t>Канойко Александр</t>
  </si>
  <si>
    <t>1. Канойко Александр</t>
  </si>
  <si>
    <t>Открытая (09.08.1990)/30</t>
  </si>
  <si>
    <t>66,00</t>
  </si>
  <si>
    <t>127,5</t>
  </si>
  <si>
    <t>ВЕСОВАЯ КАТЕГОРИЯ   75</t>
  </si>
  <si>
    <t>Цуканов Максим</t>
  </si>
  <si>
    <t>1. Цуканов Максим</t>
  </si>
  <si>
    <t>Открытая (15.02.1994)/27</t>
  </si>
  <si>
    <t>73,30</t>
  </si>
  <si>
    <t>115,0</t>
  </si>
  <si>
    <t>Рагулин Владимир</t>
  </si>
  <si>
    <t>1. Рагулин Владимир</t>
  </si>
  <si>
    <t>Мастера 45 - 49 (07.02.1973)/48</t>
  </si>
  <si>
    <t>73,60</t>
  </si>
  <si>
    <t>Глущенко Эдуард</t>
  </si>
  <si>
    <t>1. Глущенко Эдуард</t>
  </si>
  <si>
    <t>Открытая (20.11.1992)/28</t>
  </si>
  <si>
    <t>88,30</t>
  </si>
  <si>
    <t>Брыкин Юрий</t>
  </si>
  <si>
    <t>1. Брыкин Юрий</t>
  </si>
  <si>
    <t>Мастера 40 - 44 (12.04.1980)/40</t>
  </si>
  <si>
    <t>89,00</t>
  </si>
  <si>
    <t>Антинников Никита</t>
  </si>
  <si>
    <t>1. Антинников Никита</t>
  </si>
  <si>
    <t>Открытая (16.04.1992)/28</t>
  </si>
  <si>
    <t>110,00</t>
  </si>
  <si>
    <t>175,0</t>
  </si>
  <si>
    <t>ВЕСОВАЯ КАТЕГОРИЯ   125</t>
  </si>
  <si>
    <t>Слободянюк Игорь</t>
  </si>
  <si>
    <t>1. Слободянюк Игорь</t>
  </si>
  <si>
    <t>Открытая (03.02.1986)/35</t>
  </si>
  <si>
    <t>113,40</t>
  </si>
  <si>
    <t xml:space="preserve">Мастера 40 - 44 </t>
  </si>
  <si>
    <t>67.5</t>
  </si>
  <si>
    <t>51,7582</t>
  </si>
  <si>
    <t>96,5700</t>
  </si>
  <si>
    <t>96,3040</t>
  </si>
  <si>
    <t>85,8690</t>
  </si>
  <si>
    <t>125</t>
  </si>
  <si>
    <t>85,2480</t>
  </si>
  <si>
    <t>75</t>
  </si>
  <si>
    <t>81,2040</t>
  </si>
  <si>
    <t>94,2880</t>
  </si>
  <si>
    <t>79,1087</t>
  </si>
  <si>
    <t>Стальная весна
ПРО жим лежа без экипировки
Курчатов/Курская область 19 - 20 марта 2021 г.</t>
  </si>
  <si>
    <t>ВЕСОВАЯ КАТЕГОРИЯ   100</t>
  </si>
  <si>
    <t>Керусов Дмитрий</t>
  </si>
  <si>
    <t>1. Керусов Дмитрий</t>
  </si>
  <si>
    <t>Открытая (02.12.1989)/31</t>
  </si>
  <si>
    <t>99,80</t>
  </si>
  <si>
    <t>167,5</t>
  </si>
  <si>
    <t>192,5</t>
  </si>
  <si>
    <t>Шутеев Роман</t>
  </si>
  <si>
    <t>2. Шутеев Роман</t>
  </si>
  <si>
    <t>Открытая (13.08.1985)/35</t>
  </si>
  <si>
    <t>98,90</t>
  </si>
  <si>
    <t>Половков Михаил</t>
  </si>
  <si>
    <t>1. Половков Михаил</t>
  </si>
  <si>
    <t>Открытая (09.10.1977)/43</t>
  </si>
  <si>
    <t>109,90</t>
  </si>
  <si>
    <t>Мастера 40 - 44 (09.10.1977)/43</t>
  </si>
  <si>
    <t>100</t>
  </si>
  <si>
    <t>99,8100</t>
  </si>
  <si>
    <t>97,4400</t>
  </si>
  <si>
    <t>93,9050</t>
  </si>
  <si>
    <t>95,5953</t>
  </si>
  <si>
    <t>Стальная весна
Любители становая тяга без экипировки
Курчатов/Курская область 19 - 20 марта 2021 г.</t>
  </si>
  <si>
    <t>Максимов Андрей</t>
  </si>
  <si>
    <t>1. Максимов Андрей</t>
  </si>
  <si>
    <t>Открытая (24.10.1991)/29</t>
  </si>
  <si>
    <t>63,00</t>
  </si>
  <si>
    <t xml:space="preserve">Авалон </t>
  </si>
  <si>
    <t>205,0</t>
  </si>
  <si>
    <t xml:space="preserve">Карякин Виталий </t>
  </si>
  <si>
    <t>Умеренков Денис</t>
  </si>
  <si>
    <t>1. Умеренков Денис</t>
  </si>
  <si>
    <t>Открытая (07.11.1981)/39</t>
  </si>
  <si>
    <t>82,10</t>
  </si>
  <si>
    <t>217,5</t>
  </si>
  <si>
    <t>Сайко Владислав</t>
  </si>
  <si>
    <t>1. Сайко Владислав</t>
  </si>
  <si>
    <t>Юноши 16 - 17 (23.10.2003)/17</t>
  </si>
  <si>
    <t>83,75</t>
  </si>
  <si>
    <t>197,5</t>
  </si>
  <si>
    <t xml:space="preserve">Пеньков Евгений Витальевич </t>
  </si>
  <si>
    <t>1. Петрухин Александр</t>
  </si>
  <si>
    <t>Ломакин Дмитрий</t>
  </si>
  <si>
    <t>1. Ломакин Дмитрий</t>
  </si>
  <si>
    <t>Открытая (03.03.1992)/29</t>
  </si>
  <si>
    <t>98,70</t>
  </si>
  <si>
    <t>Жебенев Дмитрий</t>
  </si>
  <si>
    <t>2. Жебенев Дмитрий</t>
  </si>
  <si>
    <t>Открытая (14.08.1994)/26</t>
  </si>
  <si>
    <t>96,20</t>
  </si>
  <si>
    <t>Юниоры 20 - 23 (29.12.1997)/23</t>
  </si>
  <si>
    <t>114,1690</t>
  </si>
  <si>
    <t>118,6992</t>
  </si>
  <si>
    <t xml:space="preserve">Юноши </t>
  </si>
  <si>
    <t xml:space="preserve">Юноши 16 - 17 </t>
  </si>
  <si>
    <t>130,7422</t>
  </si>
  <si>
    <t>118,1950</t>
  </si>
  <si>
    <t>158,6905</t>
  </si>
  <si>
    <t>130,9655</t>
  </si>
  <si>
    <t>126,9450</t>
  </si>
  <si>
    <t>124,2800</t>
  </si>
  <si>
    <t>123,4170</t>
  </si>
  <si>
    <t>Стальная весна
ПРО становая тяга без экипировки
Курчатов/Курская область 19 - 20 марта 2021 г.</t>
  </si>
  <si>
    <t>ВЕСОВАЯ КАТЕГОРИЯ   56</t>
  </si>
  <si>
    <t>Дятлова Светлана</t>
  </si>
  <si>
    <t>1. Дятлова Светлана</t>
  </si>
  <si>
    <t>Открытая (09.12.1981)/39</t>
  </si>
  <si>
    <t>55,70</t>
  </si>
  <si>
    <t>80,0</t>
  </si>
  <si>
    <t>Гриднев Максим</t>
  </si>
  <si>
    <t>1. Гриднев Максим</t>
  </si>
  <si>
    <t>Открытая (27.06.1994)/26</t>
  </si>
  <si>
    <t>94,80</t>
  </si>
  <si>
    <t xml:space="preserve">Обоянь/Курская область </t>
  </si>
  <si>
    <t>252,5</t>
  </si>
  <si>
    <t>56</t>
  </si>
  <si>
    <t>73,2800</t>
  </si>
  <si>
    <t>139,2825</t>
  </si>
  <si>
    <t>Стальная весна
Силовое двоеборье любители
Курчатов/Курская область 19 - 20 марта 2021 г.</t>
  </si>
  <si>
    <t>Новицкий Михаил</t>
  </si>
  <si>
    <t>1. Новицкий Михаил</t>
  </si>
  <si>
    <t>Юноши 16 - 17 (01.11.2004)/16</t>
  </si>
  <si>
    <t>75,00</t>
  </si>
  <si>
    <t>Статив Илья</t>
  </si>
  <si>
    <t>1. Статив Илья</t>
  </si>
  <si>
    <t>Открытая (09.02.1991)/30</t>
  </si>
  <si>
    <t>195,0</t>
  </si>
  <si>
    <t>1. Жебенев Дмитрий</t>
  </si>
  <si>
    <t>127,4047</t>
  </si>
  <si>
    <t>272,5</t>
  </si>
  <si>
    <t>204,6162</t>
  </si>
  <si>
    <t>325,0</t>
  </si>
  <si>
    <t>215,9625</t>
  </si>
  <si>
    <t>197,4700</t>
  </si>
  <si>
    <t>Стальная весна
Силовое двоеборье профессионалы
Курчатов/Курская область 19 - 20 марта 2021 г.</t>
  </si>
  <si>
    <t>ВЕСОВАЯ КАТЕГОРИЯ   52</t>
  </si>
  <si>
    <t>Доценко Дмитрий</t>
  </si>
  <si>
    <t>1. Доценко Дмитрий</t>
  </si>
  <si>
    <t>Юноши 0-13 (12.06.2007)/13</t>
  </si>
  <si>
    <t>50,00</t>
  </si>
  <si>
    <t>30,0</t>
  </si>
  <si>
    <t>35,0</t>
  </si>
  <si>
    <t>40,0</t>
  </si>
  <si>
    <t>Захаров Павел</t>
  </si>
  <si>
    <t>1. Захаров Павел</t>
  </si>
  <si>
    <t>Юноши 14-15 (16.12.2005)/15</t>
  </si>
  <si>
    <t>55,00</t>
  </si>
  <si>
    <t xml:space="preserve">Юноши 0-13 </t>
  </si>
  <si>
    <t>52</t>
  </si>
  <si>
    <t>128,7109</t>
  </si>
  <si>
    <t xml:space="preserve">Юноши 14-15 </t>
  </si>
  <si>
    <t>121,0987</t>
  </si>
  <si>
    <t>Стальная весна
Одиночный подъём штанги на бицепс Любители
Курчатов/Курская область 19 - 20 марта 2021 г.</t>
  </si>
  <si>
    <t>Подъем на бицепс</t>
  </si>
  <si>
    <t>52,5</t>
  </si>
  <si>
    <t>57,5</t>
  </si>
  <si>
    <t>Малышев Евгений</t>
  </si>
  <si>
    <t>2. Малышев Евгений</t>
  </si>
  <si>
    <t>Открытая (20.12.1972)/48</t>
  </si>
  <si>
    <t>-. Горбачёв Александр</t>
  </si>
  <si>
    <t>Открытая (27.04.1988)/32</t>
  </si>
  <si>
    <t>99,55</t>
  </si>
  <si>
    <t xml:space="preserve">Дмитриев/Курская область </t>
  </si>
  <si>
    <t xml:space="preserve">Касперский Валерий Николаевич </t>
  </si>
  <si>
    <t>40,7440</t>
  </si>
  <si>
    <t>40,0313</t>
  </si>
  <si>
    <t>39,0110</t>
  </si>
  <si>
    <t>34,5015</t>
  </si>
  <si>
    <t>Стальная весна
Пауэрспорт Любители
Курчатов/Курская область 19 - 20 марта 2021 г.</t>
  </si>
  <si>
    <t>Жим стоя</t>
  </si>
  <si>
    <t>90,0</t>
  </si>
  <si>
    <t>86,7020</t>
  </si>
  <si>
    <t>Стальная весна
Русский жим любители 55 кг.
Курчатов/Курская область 19 - 20 марта 2021 г.</t>
  </si>
  <si>
    <t>Атлетизм</t>
  </si>
  <si>
    <t>Русский жим</t>
  </si>
  <si>
    <t>ВЕСОВАЯ КАТЕГОРИЯ   All</t>
  </si>
  <si>
    <t>Кельина Татьяна</t>
  </si>
  <si>
    <t>1. Кельина Татьяна</t>
  </si>
  <si>
    <t>Открытая (25.03.1985)/35</t>
  </si>
  <si>
    <t>64,40</t>
  </si>
  <si>
    <t>21,0</t>
  </si>
  <si>
    <t>Антошкин Алексей</t>
  </si>
  <si>
    <t>1. Антошкин Алексей</t>
  </si>
  <si>
    <t>Открытая (15.11.1992)/28</t>
  </si>
  <si>
    <t>61,0</t>
  </si>
  <si>
    <t xml:space="preserve">Атлетизм </t>
  </si>
  <si>
    <t>All</t>
  </si>
  <si>
    <t>1155,0</t>
  </si>
  <si>
    <t>17,9347</t>
  </si>
  <si>
    <t>3355,0</t>
  </si>
  <si>
    <t>37,6966</t>
  </si>
  <si>
    <t>Тоннаж</t>
  </si>
  <si>
    <t>Стальная весна
Русская станова тяга любители 150 кг.
Курчатов/Курская область 19 - 20 марта 2021 г.</t>
  </si>
  <si>
    <t>Русская становая</t>
  </si>
  <si>
    <t>26,0</t>
  </si>
  <si>
    <t>1. Малышев Евгений</t>
  </si>
  <si>
    <t>Мастера 45 - 49 (20.12.1972)/48</t>
  </si>
  <si>
    <t>25,0</t>
  </si>
  <si>
    <t>3900,0</t>
  </si>
  <si>
    <t>39,5136</t>
  </si>
  <si>
    <t>3750,0</t>
  </si>
  <si>
    <t>46,2962</t>
  </si>
  <si>
    <t>Меркулов В.В.</t>
  </si>
  <si>
    <t>Ляхова П.С.</t>
  </si>
  <si>
    <t>Крузина А.А.</t>
  </si>
  <si>
    <t>Огурцова Ю.И.</t>
  </si>
  <si>
    <t>Блохин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</si>
</sst>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.5703125" style="3" customWidth="1"/>
    <col min="8" max="8" width="10.42578125" style="3" customWidth="1"/>
    <col min="9" max="9" width="7.85546875" style="16" bestFit="1" customWidth="1"/>
    <col min="10" max="10" width="7.5703125" style="2" bestFit="1" customWidth="1"/>
    <col min="11" max="11" width="17.85546875" style="4" bestFit="1" customWidth="1"/>
    <col min="12" max="16384" width="9.140625" style="3"/>
  </cols>
  <sheetData>
    <row r="1" spans="1:11" s="2" customFormat="1" ht="29.1" customHeight="1" x14ac:dyDescent="0.2">
      <c r="A1" s="41" t="s">
        <v>376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357</v>
      </c>
      <c r="E3" s="35" t="s">
        <v>4</v>
      </c>
      <c r="F3" s="35" t="s">
        <v>7</v>
      </c>
      <c r="G3" s="35" t="s">
        <v>377</v>
      </c>
      <c r="H3" s="35"/>
      <c r="I3" s="35" t="s">
        <v>375</v>
      </c>
      <c r="J3" s="35" t="s">
        <v>3</v>
      </c>
      <c r="K3" s="37" t="s">
        <v>2</v>
      </c>
    </row>
    <row r="4" spans="1:11" s="1" customFormat="1" ht="21" customHeight="1" thickBot="1" x14ac:dyDescent="0.25">
      <c r="A4" s="48"/>
      <c r="B4" s="36"/>
      <c r="C4" s="36"/>
      <c r="D4" s="36"/>
      <c r="E4" s="36"/>
      <c r="F4" s="36"/>
      <c r="G4" s="5" t="s">
        <v>8</v>
      </c>
      <c r="H4" s="5" t="s">
        <v>9</v>
      </c>
      <c r="I4" s="36"/>
      <c r="J4" s="36"/>
      <c r="K4" s="38"/>
    </row>
    <row r="5" spans="1:11" ht="15" x14ac:dyDescent="0.2">
      <c r="A5" s="39" t="s">
        <v>359</v>
      </c>
      <c r="B5" s="40"/>
      <c r="C5" s="40"/>
      <c r="D5" s="40"/>
      <c r="E5" s="40"/>
      <c r="F5" s="40"/>
      <c r="G5" s="40"/>
      <c r="H5" s="40"/>
    </row>
    <row r="6" spans="1:11" x14ac:dyDescent="0.2">
      <c r="A6" s="9" t="s">
        <v>267</v>
      </c>
      <c r="B6" s="9" t="s">
        <v>268</v>
      </c>
      <c r="C6" s="9" t="s">
        <v>269</v>
      </c>
      <c r="D6" s="9" t="str">
        <f>"1,0000"</f>
        <v>1,0000</v>
      </c>
      <c r="E6" s="9" t="s">
        <v>21</v>
      </c>
      <c r="F6" s="9" t="s">
        <v>22</v>
      </c>
      <c r="G6" s="10" t="s">
        <v>39</v>
      </c>
      <c r="H6" s="10" t="s">
        <v>378</v>
      </c>
      <c r="I6" s="19" t="str">
        <f>"3900,0"</f>
        <v>3900,0</v>
      </c>
      <c r="J6" s="20" t="str">
        <f>"39,5136"</f>
        <v>39,5136</v>
      </c>
      <c r="K6" s="9" t="s">
        <v>30</v>
      </c>
    </row>
    <row r="7" spans="1:11" x14ac:dyDescent="0.2">
      <c r="A7" s="12" t="s">
        <v>379</v>
      </c>
      <c r="B7" s="12" t="s">
        <v>380</v>
      </c>
      <c r="C7" s="12" t="s">
        <v>118</v>
      </c>
      <c r="D7" s="12" t="str">
        <f>"1,0000"</f>
        <v>1,0000</v>
      </c>
      <c r="E7" s="12" t="s">
        <v>50</v>
      </c>
      <c r="F7" s="12" t="s">
        <v>51</v>
      </c>
      <c r="G7" s="13" t="s">
        <v>39</v>
      </c>
      <c r="H7" s="13" t="s">
        <v>381</v>
      </c>
      <c r="I7" s="21" t="str">
        <f>"3750,0"</f>
        <v>3750,0</v>
      </c>
      <c r="J7" s="22" t="str">
        <f>"46,2962"</f>
        <v>46,2962</v>
      </c>
      <c r="K7" s="12" t="s">
        <v>59</v>
      </c>
    </row>
    <row r="9" spans="1:11" ht="15" x14ac:dyDescent="0.2">
      <c r="E9" s="15" t="s">
        <v>80</v>
      </c>
      <c r="F9" s="34" t="s">
        <v>386</v>
      </c>
    </row>
    <row r="10" spans="1:11" ht="15" x14ac:dyDescent="0.2">
      <c r="E10" s="15" t="s">
        <v>81</v>
      </c>
      <c r="F10" s="34" t="s">
        <v>387</v>
      </c>
    </row>
    <row r="11" spans="1:11" ht="15" x14ac:dyDescent="0.2">
      <c r="E11" s="15" t="s">
        <v>82</v>
      </c>
      <c r="F11" s="34" t="s">
        <v>388</v>
      </c>
    </row>
    <row r="12" spans="1:11" ht="15" x14ac:dyDescent="0.2">
      <c r="E12" s="15" t="s">
        <v>83</v>
      </c>
      <c r="F12" s="34" t="s">
        <v>390</v>
      </c>
    </row>
    <row r="13" spans="1:11" ht="15" x14ac:dyDescent="0.2">
      <c r="E13" s="15" t="s">
        <v>83</v>
      </c>
      <c r="F13" s="34" t="s">
        <v>389</v>
      </c>
    </row>
    <row r="14" spans="1:11" ht="15" x14ac:dyDescent="0.2">
      <c r="E14" s="15"/>
    </row>
    <row r="15" spans="1:11" ht="15" x14ac:dyDescent="0.2">
      <c r="E15" s="15"/>
    </row>
    <row r="17" spans="1:5" ht="18" x14ac:dyDescent="0.25">
      <c r="A17" s="23" t="s">
        <v>84</v>
      </c>
      <c r="B17" s="23"/>
    </row>
    <row r="18" spans="1:5" ht="15" x14ac:dyDescent="0.2">
      <c r="A18" s="24" t="s">
        <v>94</v>
      </c>
      <c r="B18" s="24"/>
    </row>
    <row r="19" spans="1:5" ht="14.25" x14ac:dyDescent="0.2">
      <c r="A19" s="26"/>
      <c r="B19" s="27" t="s">
        <v>86</v>
      </c>
    </row>
    <row r="20" spans="1:5" ht="15" x14ac:dyDescent="0.2">
      <c r="A20" s="28" t="s">
        <v>87</v>
      </c>
      <c r="B20" s="28" t="s">
        <v>88</v>
      </c>
      <c r="C20" s="28" t="s">
        <v>89</v>
      </c>
      <c r="D20" s="28" t="s">
        <v>157</v>
      </c>
      <c r="E20" s="28" t="s">
        <v>369</v>
      </c>
    </row>
    <row r="21" spans="1:5" x14ac:dyDescent="0.2">
      <c r="A21" s="25" t="s">
        <v>266</v>
      </c>
      <c r="B21" s="4" t="s">
        <v>86</v>
      </c>
      <c r="C21" s="4" t="s">
        <v>370</v>
      </c>
      <c r="D21" s="4" t="s">
        <v>382</v>
      </c>
      <c r="E21" s="16" t="s">
        <v>383</v>
      </c>
    </row>
    <row r="23" spans="1:5" ht="14.25" x14ac:dyDescent="0.2">
      <c r="A23" s="26"/>
      <c r="B23" s="27" t="s">
        <v>141</v>
      </c>
    </row>
    <row r="24" spans="1:5" ht="15" x14ac:dyDescent="0.2">
      <c r="A24" s="28" t="s">
        <v>87</v>
      </c>
      <c r="B24" s="28" t="s">
        <v>88</v>
      </c>
      <c r="C24" s="28" t="s">
        <v>89</v>
      </c>
      <c r="D24" s="28" t="s">
        <v>157</v>
      </c>
      <c r="E24" s="28" t="s">
        <v>369</v>
      </c>
    </row>
    <row r="25" spans="1:5" x14ac:dyDescent="0.2">
      <c r="A25" s="25" t="s">
        <v>340</v>
      </c>
      <c r="B25" s="4" t="s">
        <v>158</v>
      </c>
      <c r="C25" s="4" t="s">
        <v>370</v>
      </c>
      <c r="D25" s="4" t="s">
        <v>384</v>
      </c>
      <c r="E25" s="16" t="s">
        <v>385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E30" sqref="E3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7.5703125" style="2" bestFit="1" customWidth="1"/>
    <col min="13" max="13" width="17.85546875" style="4" bestFit="1" customWidth="1"/>
    <col min="14" max="16384" width="9.140625" style="3"/>
  </cols>
  <sheetData>
    <row r="1" spans="1:13" s="2" customFormat="1" ht="29.1" customHeight="1" x14ac:dyDescent="0.2">
      <c r="A1" s="41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162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174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176</v>
      </c>
      <c r="B6" s="6" t="s">
        <v>177</v>
      </c>
      <c r="C6" s="6" t="s">
        <v>178</v>
      </c>
      <c r="D6" s="6" t="str">
        <f>"0,7822"</f>
        <v>0,7822</v>
      </c>
      <c r="E6" s="6" t="s">
        <v>50</v>
      </c>
      <c r="F6" s="6" t="s">
        <v>51</v>
      </c>
      <c r="G6" s="7" t="s">
        <v>150</v>
      </c>
      <c r="H6" s="7" t="s">
        <v>151</v>
      </c>
      <c r="I6" s="7" t="s">
        <v>152</v>
      </c>
      <c r="J6" s="8"/>
      <c r="K6" s="17" t="str">
        <f>"65,0"</f>
        <v>65,0</v>
      </c>
      <c r="L6" s="18" t="str">
        <f>"51,7582"</f>
        <v>51,7582</v>
      </c>
      <c r="M6" s="6" t="s">
        <v>59</v>
      </c>
    </row>
    <row r="8" spans="1:13" ht="15" x14ac:dyDescent="0.2">
      <c r="A8" s="50" t="s">
        <v>174</v>
      </c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2">
      <c r="A9" s="6" t="s">
        <v>180</v>
      </c>
      <c r="B9" s="6" t="s">
        <v>181</v>
      </c>
      <c r="C9" s="6" t="s">
        <v>182</v>
      </c>
      <c r="D9" s="6" t="str">
        <f>"0,7408"</f>
        <v>0,7408</v>
      </c>
      <c r="E9" s="6" t="s">
        <v>21</v>
      </c>
      <c r="F9" s="6" t="s">
        <v>22</v>
      </c>
      <c r="G9" s="7" t="s">
        <v>122</v>
      </c>
      <c r="H9" s="7" t="s">
        <v>183</v>
      </c>
      <c r="I9" s="7" t="s">
        <v>130</v>
      </c>
      <c r="J9" s="8"/>
      <c r="K9" s="17" t="str">
        <f>"130,0"</f>
        <v>130,0</v>
      </c>
      <c r="L9" s="18" t="str">
        <f>"96,3040"</f>
        <v>96,3040</v>
      </c>
      <c r="M9" s="6" t="s">
        <v>30</v>
      </c>
    </row>
    <row r="11" spans="1:13" ht="15" x14ac:dyDescent="0.2">
      <c r="A11" s="50" t="s">
        <v>184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 x14ac:dyDescent="0.2">
      <c r="A12" s="9" t="s">
        <v>186</v>
      </c>
      <c r="B12" s="9" t="s">
        <v>187</v>
      </c>
      <c r="C12" s="9" t="s">
        <v>188</v>
      </c>
      <c r="D12" s="9" t="str">
        <f>"0,6767"</f>
        <v>0,6767</v>
      </c>
      <c r="E12" s="9" t="s">
        <v>36</v>
      </c>
      <c r="F12" s="9" t="s">
        <v>22</v>
      </c>
      <c r="G12" s="10" t="s">
        <v>189</v>
      </c>
      <c r="H12" s="11" t="s">
        <v>122</v>
      </c>
      <c r="I12" s="10" t="s">
        <v>122</v>
      </c>
      <c r="J12" s="11"/>
      <c r="K12" s="19" t="str">
        <f>"120,0"</f>
        <v>120,0</v>
      </c>
      <c r="L12" s="20" t="str">
        <f>"81,2040"</f>
        <v>81,2040</v>
      </c>
      <c r="M12" s="9" t="s">
        <v>44</v>
      </c>
    </row>
    <row r="13" spans="1:13" x14ac:dyDescent="0.2">
      <c r="A13" s="12" t="s">
        <v>191</v>
      </c>
      <c r="B13" s="12" t="s">
        <v>192</v>
      </c>
      <c r="C13" s="12" t="s">
        <v>193</v>
      </c>
      <c r="D13" s="12" t="str">
        <f>"0,6745"</f>
        <v>0,6745</v>
      </c>
      <c r="E13" s="12" t="s">
        <v>36</v>
      </c>
      <c r="F13" s="12" t="s">
        <v>22</v>
      </c>
      <c r="G13" s="14" t="s">
        <v>67</v>
      </c>
      <c r="H13" s="14" t="s">
        <v>67</v>
      </c>
      <c r="I13" s="13" t="s">
        <v>67</v>
      </c>
      <c r="J13" s="14"/>
      <c r="K13" s="21" t="str">
        <f>"105,0"</f>
        <v>105,0</v>
      </c>
      <c r="L13" s="22" t="str">
        <f>"79,1087"</f>
        <v>79,1087</v>
      </c>
      <c r="M13" s="12" t="s">
        <v>44</v>
      </c>
    </row>
    <row r="15" spans="1:13" ht="15" x14ac:dyDescent="0.2">
      <c r="A15" s="50" t="s">
        <v>45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3" x14ac:dyDescent="0.2">
      <c r="A16" s="9" t="s">
        <v>195</v>
      </c>
      <c r="B16" s="9" t="s">
        <v>196</v>
      </c>
      <c r="C16" s="9" t="s">
        <v>197</v>
      </c>
      <c r="D16" s="9" t="str">
        <f>"0,5922"</f>
        <v>0,5922</v>
      </c>
      <c r="E16" s="9" t="s">
        <v>50</v>
      </c>
      <c r="F16" s="9" t="s">
        <v>51</v>
      </c>
      <c r="G16" s="10" t="s">
        <v>55</v>
      </c>
      <c r="H16" s="11" t="s">
        <v>39</v>
      </c>
      <c r="I16" s="11" t="s">
        <v>40</v>
      </c>
      <c r="J16" s="11"/>
      <c r="K16" s="19" t="str">
        <f>"145,0"</f>
        <v>145,0</v>
      </c>
      <c r="L16" s="20" t="str">
        <f>"85,8690"</f>
        <v>85,8690</v>
      </c>
      <c r="M16" s="9" t="s">
        <v>59</v>
      </c>
    </row>
    <row r="17" spans="1:13" x14ac:dyDescent="0.2">
      <c r="A17" s="12" t="s">
        <v>199</v>
      </c>
      <c r="B17" s="12" t="s">
        <v>200</v>
      </c>
      <c r="C17" s="12" t="s">
        <v>201</v>
      </c>
      <c r="D17" s="12" t="str">
        <f>"0,5893"</f>
        <v>0,5893</v>
      </c>
      <c r="E17" s="12" t="s">
        <v>21</v>
      </c>
      <c r="F17" s="12" t="s">
        <v>22</v>
      </c>
      <c r="G17" s="13" t="s">
        <v>39</v>
      </c>
      <c r="H17" s="13" t="s">
        <v>64</v>
      </c>
      <c r="I17" s="14" t="s">
        <v>53</v>
      </c>
      <c r="J17" s="14"/>
      <c r="K17" s="21" t="str">
        <f>"160,0"</f>
        <v>160,0</v>
      </c>
      <c r="L17" s="22" t="str">
        <f>"94,2880"</f>
        <v>94,2880</v>
      </c>
      <c r="M17" s="12" t="s">
        <v>30</v>
      </c>
    </row>
    <row r="19" spans="1:13" ht="15" x14ac:dyDescent="0.2">
      <c r="A19" s="50" t="s">
        <v>69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3" x14ac:dyDescent="0.2">
      <c r="A20" s="6" t="s">
        <v>203</v>
      </c>
      <c r="B20" s="6" t="s">
        <v>204</v>
      </c>
      <c r="C20" s="6" t="s">
        <v>205</v>
      </c>
      <c r="D20" s="6" t="str">
        <f>"0,5365"</f>
        <v>0,5365</v>
      </c>
      <c r="E20" s="6" t="s">
        <v>50</v>
      </c>
      <c r="F20" s="6" t="s">
        <v>51</v>
      </c>
      <c r="G20" s="7" t="s">
        <v>52</v>
      </c>
      <c r="H20" s="7" t="s">
        <v>206</v>
      </c>
      <c r="I20" s="7" t="s">
        <v>37</v>
      </c>
      <c r="J20" s="8"/>
      <c r="K20" s="17" t="str">
        <f>"180,0"</f>
        <v>180,0</v>
      </c>
      <c r="L20" s="18" t="str">
        <f>"96,5700"</f>
        <v>96,5700</v>
      </c>
      <c r="M20" s="6" t="s">
        <v>44</v>
      </c>
    </row>
    <row r="22" spans="1:13" ht="15" x14ac:dyDescent="0.2">
      <c r="A22" s="50" t="s">
        <v>207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3" x14ac:dyDescent="0.2">
      <c r="A23" s="6" t="s">
        <v>209</v>
      </c>
      <c r="B23" s="6" t="s">
        <v>210</v>
      </c>
      <c r="C23" s="6" t="s">
        <v>211</v>
      </c>
      <c r="D23" s="6" t="str">
        <f>"0,5328"</f>
        <v>0,5328</v>
      </c>
      <c r="E23" s="6" t="s">
        <v>36</v>
      </c>
      <c r="F23" s="6" t="s">
        <v>22</v>
      </c>
      <c r="G23" s="7" t="s">
        <v>39</v>
      </c>
      <c r="H23" s="7" t="s">
        <v>40</v>
      </c>
      <c r="I23" s="7" t="s">
        <v>64</v>
      </c>
      <c r="J23" s="8"/>
      <c r="K23" s="17" t="str">
        <f>"160,0"</f>
        <v>160,0</v>
      </c>
      <c r="L23" s="18" t="str">
        <f>"85,2480"</f>
        <v>85,2480</v>
      </c>
      <c r="M23" s="6" t="s">
        <v>44</v>
      </c>
    </row>
    <row r="25" spans="1:13" ht="15" x14ac:dyDescent="0.2">
      <c r="E25" s="15" t="s">
        <v>80</v>
      </c>
      <c r="F25" s="34" t="s">
        <v>386</v>
      </c>
    </row>
    <row r="26" spans="1:13" ht="15" x14ac:dyDescent="0.2">
      <c r="E26" s="15" t="s">
        <v>81</v>
      </c>
      <c r="F26" s="34" t="s">
        <v>387</v>
      </c>
    </row>
    <row r="27" spans="1:13" ht="15" x14ac:dyDescent="0.2">
      <c r="E27" s="15" t="s">
        <v>82</v>
      </c>
      <c r="F27" s="34" t="s">
        <v>388</v>
      </c>
    </row>
    <row r="28" spans="1:13" ht="15" x14ac:dyDescent="0.2">
      <c r="E28" s="15" t="s">
        <v>83</v>
      </c>
      <c r="F28" s="34" t="s">
        <v>390</v>
      </c>
    </row>
    <row r="29" spans="1:13" ht="15" x14ac:dyDescent="0.2">
      <c r="E29" s="15" t="s">
        <v>83</v>
      </c>
      <c r="F29" s="34" t="s">
        <v>389</v>
      </c>
    </row>
    <row r="30" spans="1:13" ht="15" x14ac:dyDescent="0.2">
      <c r="E30" s="15"/>
    </row>
    <row r="31" spans="1:13" ht="15" x14ac:dyDescent="0.2">
      <c r="E31" s="15"/>
    </row>
    <row r="33" spans="1:5" ht="18" x14ac:dyDescent="0.25">
      <c r="A33" s="23" t="s">
        <v>84</v>
      </c>
      <c r="B33" s="23"/>
    </row>
    <row r="34" spans="1:5" ht="15" x14ac:dyDescent="0.2">
      <c r="A34" s="24" t="s">
        <v>85</v>
      </c>
      <c r="B34" s="24"/>
    </row>
    <row r="35" spans="1:5" ht="14.25" x14ac:dyDescent="0.2">
      <c r="A35" s="26"/>
      <c r="B35" s="27" t="s">
        <v>141</v>
      </c>
    </row>
    <row r="36" spans="1:5" ht="15" x14ac:dyDescent="0.2">
      <c r="A36" s="28" t="s">
        <v>87</v>
      </c>
      <c r="B36" s="28" t="s">
        <v>88</v>
      </c>
      <c r="C36" s="28" t="s">
        <v>89</v>
      </c>
      <c r="D36" s="28" t="s">
        <v>157</v>
      </c>
      <c r="E36" s="28" t="s">
        <v>91</v>
      </c>
    </row>
    <row r="37" spans="1:5" x14ac:dyDescent="0.2">
      <c r="A37" s="25" t="s">
        <v>175</v>
      </c>
      <c r="B37" s="4" t="s">
        <v>212</v>
      </c>
      <c r="C37" s="4" t="s">
        <v>213</v>
      </c>
      <c r="D37" s="4" t="s">
        <v>152</v>
      </c>
      <c r="E37" s="16" t="s">
        <v>214</v>
      </c>
    </row>
    <row r="40" spans="1:5" ht="15" x14ac:dyDescent="0.2">
      <c r="A40" s="24" t="s">
        <v>94</v>
      </c>
      <c r="B40" s="24"/>
    </row>
    <row r="41" spans="1:5" ht="14.25" x14ac:dyDescent="0.2">
      <c r="A41" s="26"/>
      <c r="B41" s="27" t="s">
        <v>86</v>
      </c>
    </row>
    <row r="42" spans="1:5" ht="15" x14ac:dyDescent="0.2">
      <c r="A42" s="28" t="s">
        <v>87</v>
      </c>
      <c r="B42" s="28" t="s">
        <v>88</v>
      </c>
      <c r="C42" s="28" t="s">
        <v>89</v>
      </c>
      <c r="D42" s="28" t="s">
        <v>157</v>
      </c>
      <c r="E42" s="28" t="s">
        <v>91</v>
      </c>
    </row>
    <row r="43" spans="1:5" x14ac:dyDescent="0.2">
      <c r="A43" s="25" t="s">
        <v>202</v>
      </c>
      <c r="B43" s="4" t="s">
        <v>86</v>
      </c>
      <c r="C43" s="4" t="s">
        <v>98</v>
      </c>
      <c r="D43" s="4" t="s">
        <v>37</v>
      </c>
      <c r="E43" s="16" t="s">
        <v>215</v>
      </c>
    </row>
    <row r="44" spans="1:5" x14ac:dyDescent="0.2">
      <c r="A44" s="25" t="s">
        <v>179</v>
      </c>
      <c r="B44" s="4" t="s">
        <v>86</v>
      </c>
      <c r="C44" s="4" t="s">
        <v>213</v>
      </c>
      <c r="D44" s="4" t="s">
        <v>130</v>
      </c>
      <c r="E44" s="16" t="s">
        <v>216</v>
      </c>
    </row>
    <row r="45" spans="1:5" x14ac:dyDescent="0.2">
      <c r="A45" s="25" t="s">
        <v>194</v>
      </c>
      <c r="B45" s="4" t="s">
        <v>86</v>
      </c>
      <c r="C45" s="4" t="s">
        <v>101</v>
      </c>
      <c r="D45" s="4" t="s">
        <v>55</v>
      </c>
      <c r="E45" s="16" t="s">
        <v>217</v>
      </c>
    </row>
    <row r="46" spans="1:5" x14ac:dyDescent="0.2">
      <c r="A46" s="25" t="s">
        <v>208</v>
      </c>
      <c r="B46" s="4" t="s">
        <v>86</v>
      </c>
      <c r="C46" s="4" t="s">
        <v>218</v>
      </c>
      <c r="D46" s="4" t="s">
        <v>64</v>
      </c>
      <c r="E46" s="16" t="s">
        <v>219</v>
      </c>
    </row>
    <row r="47" spans="1:5" x14ac:dyDescent="0.2">
      <c r="A47" s="25" t="s">
        <v>185</v>
      </c>
      <c r="B47" s="4" t="s">
        <v>86</v>
      </c>
      <c r="C47" s="4" t="s">
        <v>220</v>
      </c>
      <c r="D47" s="4" t="s">
        <v>122</v>
      </c>
      <c r="E47" s="16" t="s">
        <v>221</v>
      </c>
    </row>
    <row r="49" spans="1:5" ht="14.25" x14ac:dyDescent="0.2">
      <c r="A49" s="26"/>
      <c r="B49" s="27" t="s">
        <v>141</v>
      </c>
    </row>
    <row r="50" spans="1:5" ht="15" x14ac:dyDescent="0.2">
      <c r="A50" s="28" t="s">
        <v>87</v>
      </c>
      <c r="B50" s="28" t="s">
        <v>88</v>
      </c>
      <c r="C50" s="28" t="s">
        <v>89</v>
      </c>
      <c r="D50" s="28" t="s">
        <v>157</v>
      </c>
      <c r="E50" s="28" t="s">
        <v>91</v>
      </c>
    </row>
    <row r="51" spans="1:5" x14ac:dyDescent="0.2">
      <c r="A51" s="25" t="s">
        <v>198</v>
      </c>
      <c r="B51" s="4" t="s">
        <v>212</v>
      </c>
      <c r="C51" s="4" t="s">
        <v>101</v>
      </c>
      <c r="D51" s="4" t="s">
        <v>64</v>
      </c>
      <c r="E51" s="16" t="s">
        <v>222</v>
      </c>
    </row>
    <row r="52" spans="1:5" x14ac:dyDescent="0.2">
      <c r="A52" s="25" t="s">
        <v>190</v>
      </c>
      <c r="B52" s="4" t="s">
        <v>158</v>
      </c>
      <c r="C52" s="4" t="s">
        <v>220</v>
      </c>
      <c r="D52" s="4" t="s">
        <v>67</v>
      </c>
      <c r="E52" s="16" t="s">
        <v>223</v>
      </c>
    </row>
  </sheetData>
  <mergeCells count="17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5:J15"/>
    <mergeCell ref="A19:J19"/>
    <mergeCell ref="A22:J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7" width="4.5703125" style="3" customWidth="1"/>
    <col min="8" max="9" width="5.5703125" style="3" customWidth="1"/>
    <col min="10" max="10" width="4.85546875" style="3" customWidth="1"/>
    <col min="11" max="11" width="7.85546875" style="16" bestFit="1" customWidth="1"/>
    <col min="12" max="12" width="8.5703125" style="2" bestFit="1" customWidth="1"/>
    <col min="13" max="13" width="20.28515625" style="4" bestFit="1" customWidth="1"/>
    <col min="14" max="16384" width="9.140625" style="3"/>
  </cols>
  <sheetData>
    <row r="1" spans="1:13" s="2" customFormat="1" ht="29.1" customHeight="1" x14ac:dyDescent="0.2">
      <c r="A1" s="41" t="s">
        <v>163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162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45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165</v>
      </c>
      <c r="B6" s="6" t="s">
        <v>166</v>
      </c>
      <c r="C6" s="6" t="s">
        <v>167</v>
      </c>
      <c r="D6" s="6" t="str">
        <f>"0,6064"</f>
        <v>0,6064</v>
      </c>
      <c r="E6" s="6" t="s">
        <v>36</v>
      </c>
      <c r="F6" s="6" t="s">
        <v>22</v>
      </c>
      <c r="G6" s="7" t="s">
        <v>168</v>
      </c>
      <c r="H6" s="7" t="s">
        <v>66</v>
      </c>
      <c r="I6" s="7" t="s">
        <v>169</v>
      </c>
      <c r="J6" s="8"/>
      <c r="K6" s="17" t="str">
        <f>"107,5"</f>
        <v>107,5</v>
      </c>
      <c r="L6" s="18" t="str">
        <f>"107,2343"</f>
        <v>107,2343</v>
      </c>
      <c r="M6" s="6" t="s">
        <v>170</v>
      </c>
    </row>
    <row r="8" spans="1:13" ht="15" x14ac:dyDescent="0.2">
      <c r="E8" s="15" t="s">
        <v>80</v>
      </c>
      <c r="F8" s="34" t="s">
        <v>386</v>
      </c>
    </row>
    <row r="9" spans="1:13" ht="15" x14ac:dyDescent="0.2">
      <c r="E9" s="15" t="s">
        <v>81</v>
      </c>
      <c r="F9" s="34" t="s">
        <v>387</v>
      </c>
    </row>
    <row r="10" spans="1:13" ht="15" x14ac:dyDescent="0.2">
      <c r="E10" s="15" t="s">
        <v>82</v>
      </c>
      <c r="F10" s="34" t="s">
        <v>388</v>
      </c>
    </row>
    <row r="11" spans="1:13" ht="15" x14ac:dyDescent="0.2">
      <c r="E11" s="15" t="s">
        <v>83</v>
      </c>
      <c r="F11" s="34" t="s">
        <v>390</v>
      </c>
    </row>
    <row r="12" spans="1:13" ht="15" x14ac:dyDescent="0.2">
      <c r="E12" s="15" t="s">
        <v>83</v>
      </c>
      <c r="F12" s="34" t="s">
        <v>389</v>
      </c>
    </row>
    <row r="13" spans="1:13" ht="15" x14ac:dyDescent="0.2">
      <c r="E13" s="15"/>
    </row>
    <row r="14" spans="1:13" ht="15" x14ac:dyDescent="0.2">
      <c r="E14" s="15"/>
    </row>
    <row r="16" spans="1:13" ht="18" x14ac:dyDescent="0.25">
      <c r="A16" s="23" t="s">
        <v>84</v>
      </c>
      <c r="B16" s="23"/>
    </row>
    <row r="17" spans="1:5" ht="15" x14ac:dyDescent="0.2">
      <c r="A17" s="24" t="s">
        <v>94</v>
      </c>
      <c r="B17" s="24"/>
    </row>
    <row r="18" spans="1:5" ht="14.25" x14ac:dyDescent="0.2">
      <c r="A18" s="26"/>
      <c r="B18" s="27" t="s">
        <v>141</v>
      </c>
    </row>
    <row r="19" spans="1:5" ht="15" x14ac:dyDescent="0.2">
      <c r="A19" s="28" t="s">
        <v>87</v>
      </c>
      <c r="B19" s="28" t="s">
        <v>88</v>
      </c>
      <c r="C19" s="28" t="s">
        <v>89</v>
      </c>
      <c r="D19" s="28" t="s">
        <v>157</v>
      </c>
      <c r="E19" s="28" t="s">
        <v>91</v>
      </c>
    </row>
    <row r="20" spans="1:5" x14ac:dyDescent="0.2">
      <c r="A20" s="25" t="s">
        <v>164</v>
      </c>
      <c r="B20" s="4" t="s">
        <v>171</v>
      </c>
      <c r="C20" s="4" t="s">
        <v>101</v>
      </c>
      <c r="D20" s="4" t="s">
        <v>169</v>
      </c>
      <c r="E20" s="16" t="s">
        <v>172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7.5703125" style="2" bestFit="1" customWidth="1"/>
    <col min="13" max="13" width="16.42578125" style="4" bestFit="1" customWidth="1"/>
    <col min="14" max="16384" width="9.140625" style="3"/>
  </cols>
  <sheetData>
    <row r="1" spans="1:13" s="2" customFormat="1" ht="29.1" customHeight="1" x14ac:dyDescent="0.2">
      <c r="A1" s="41" t="s">
        <v>144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162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145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147</v>
      </c>
      <c r="B6" s="6" t="s">
        <v>148</v>
      </c>
      <c r="C6" s="6" t="s">
        <v>149</v>
      </c>
      <c r="D6" s="6" t="str">
        <f>"0,8647"</f>
        <v>0,8647</v>
      </c>
      <c r="E6" s="6" t="s">
        <v>21</v>
      </c>
      <c r="F6" s="6" t="s">
        <v>22</v>
      </c>
      <c r="G6" s="7" t="s">
        <v>150</v>
      </c>
      <c r="H6" s="7" t="s">
        <v>151</v>
      </c>
      <c r="I6" s="7" t="s">
        <v>152</v>
      </c>
      <c r="J6" s="8"/>
      <c r="K6" s="17" t="str">
        <f>"65,0"</f>
        <v>65,0</v>
      </c>
      <c r="L6" s="18" t="str">
        <f>"64,2954"</f>
        <v>64,2954</v>
      </c>
      <c r="M6" s="6" t="s">
        <v>30</v>
      </c>
    </row>
    <row r="8" spans="1:13" ht="15" x14ac:dyDescent="0.2">
      <c r="A8" s="50" t="s">
        <v>31</v>
      </c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2">
      <c r="A9" s="6" t="s">
        <v>154</v>
      </c>
      <c r="B9" s="6" t="s">
        <v>155</v>
      </c>
      <c r="C9" s="6" t="s">
        <v>156</v>
      </c>
      <c r="D9" s="6" t="str">
        <f>"0,6405"</f>
        <v>0,6405</v>
      </c>
      <c r="E9" s="6" t="s">
        <v>21</v>
      </c>
      <c r="F9" s="6" t="s">
        <v>22</v>
      </c>
      <c r="G9" s="7" t="s">
        <v>28</v>
      </c>
      <c r="H9" s="7" t="s">
        <v>122</v>
      </c>
      <c r="I9" s="8" t="s">
        <v>123</v>
      </c>
      <c r="J9" s="8"/>
      <c r="K9" s="17" t="str">
        <f>"120,0"</f>
        <v>120,0</v>
      </c>
      <c r="L9" s="18" t="str">
        <f>"76,8600"</f>
        <v>76,8600</v>
      </c>
      <c r="M9" s="6" t="s">
        <v>30</v>
      </c>
    </row>
    <row r="11" spans="1:13" ht="15" x14ac:dyDescent="0.2">
      <c r="E11" s="15" t="s">
        <v>80</v>
      </c>
      <c r="F11" s="34" t="s">
        <v>386</v>
      </c>
    </row>
    <row r="12" spans="1:13" ht="15" x14ac:dyDescent="0.2">
      <c r="E12" s="15" t="s">
        <v>81</v>
      </c>
      <c r="F12" s="34" t="s">
        <v>387</v>
      </c>
    </row>
    <row r="13" spans="1:13" ht="15" x14ac:dyDescent="0.2">
      <c r="E13" s="15" t="s">
        <v>82</v>
      </c>
      <c r="F13" s="34" t="s">
        <v>388</v>
      </c>
    </row>
    <row r="14" spans="1:13" ht="15" x14ac:dyDescent="0.2">
      <c r="E14" s="15" t="s">
        <v>83</v>
      </c>
      <c r="F14" s="34" t="s">
        <v>390</v>
      </c>
    </row>
    <row r="15" spans="1:13" ht="15" x14ac:dyDescent="0.2">
      <c r="E15" s="15" t="s">
        <v>83</v>
      </c>
      <c r="F15" s="34" t="s">
        <v>389</v>
      </c>
    </row>
    <row r="16" spans="1:13" ht="15" x14ac:dyDescent="0.2">
      <c r="E16" s="15"/>
    </row>
    <row r="17" spans="1:5" ht="15" x14ac:dyDescent="0.2">
      <c r="E17" s="15"/>
    </row>
    <row r="19" spans="1:5" ht="18" x14ac:dyDescent="0.25">
      <c r="A19" s="23" t="s">
        <v>84</v>
      </c>
      <c r="B19" s="23"/>
    </row>
    <row r="20" spans="1:5" ht="15" x14ac:dyDescent="0.2">
      <c r="A20" s="24" t="s">
        <v>85</v>
      </c>
      <c r="B20" s="24"/>
    </row>
    <row r="21" spans="1:5" ht="14.25" x14ac:dyDescent="0.2">
      <c r="A21" s="26"/>
      <c r="B21" s="27" t="s">
        <v>141</v>
      </c>
    </row>
    <row r="22" spans="1:5" ht="15" x14ac:dyDescent="0.2">
      <c r="A22" s="28" t="s">
        <v>87</v>
      </c>
      <c r="B22" s="28" t="s">
        <v>88</v>
      </c>
      <c r="C22" s="28" t="s">
        <v>89</v>
      </c>
      <c r="D22" s="28" t="s">
        <v>157</v>
      </c>
      <c r="E22" s="28" t="s">
        <v>91</v>
      </c>
    </row>
    <row r="23" spans="1:5" x14ac:dyDescent="0.2">
      <c r="A23" s="25" t="s">
        <v>146</v>
      </c>
      <c r="B23" s="4" t="s">
        <v>158</v>
      </c>
      <c r="C23" s="4" t="s">
        <v>159</v>
      </c>
      <c r="D23" s="4" t="s">
        <v>152</v>
      </c>
      <c r="E23" s="16" t="s">
        <v>160</v>
      </c>
    </row>
    <row r="26" spans="1:5" ht="15" x14ac:dyDescent="0.2">
      <c r="A26" s="24" t="s">
        <v>94</v>
      </c>
      <c r="B26" s="24"/>
    </row>
    <row r="27" spans="1:5" ht="14.25" x14ac:dyDescent="0.2">
      <c r="A27" s="26"/>
      <c r="B27" s="27" t="s">
        <v>86</v>
      </c>
    </row>
    <row r="28" spans="1:5" ht="15" x14ac:dyDescent="0.2">
      <c r="A28" s="28" t="s">
        <v>87</v>
      </c>
      <c r="B28" s="28" t="s">
        <v>88</v>
      </c>
      <c r="C28" s="28" t="s">
        <v>89</v>
      </c>
      <c r="D28" s="28" t="s">
        <v>157</v>
      </c>
      <c r="E28" s="28" t="s">
        <v>91</v>
      </c>
    </row>
    <row r="29" spans="1:5" x14ac:dyDescent="0.2">
      <c r="A29" s="25" t="s">
        <v>153</v>
      </c>
      <c r="B29" s="4" t="s">
        <v>86</v>
      </c>
      <c r="C29" s="4" t="s">
        <v>95</v>
      </c>
      <c r="D29" s="4" t="s">
        <v>122</v>
      </c>
      <c r="E29" s="16" t="s">
        <v>161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6" bestFit="1" customWidth="1"/>
    <col min="20" max="20" width="8.5703125" style="2" bestFit="1" customWidth="1"/>
    <col min="21" max="21" width="16.42578125" style="4" bestFit="1" customWidth="1"/>
    <col min="22" max="16384" width="9.140625" style="3"/>
  </cols>
  <sheetData>
    <row r="1" spans="1:21" s="2" customFormat="1" ht="29.1" customHeight="1" x14ac:dyDescent="0.2">
      <c r="A1" s="41" t="s">
        <v>106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14</v>
      </c>
      <c r="L3" s="35"/>
      <c r="M3" s="35"/>
      <c r="N3" s="35"/>
      <c r="O3" s="35" t="s">
        <v>15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31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9" t="s">
        <v>108</v>
      </c>
      <c r="B6" s="9" t="s">
        <v>109</v>
      </c>
      <c r="C6" s="9" t="s">
        <v>110</v>
      </c>
      <c r="D6" s="9" t="str">
        <f>"0,6312"</f>
        <v>0,6312</v>
      </c>
      <c r="E6" s="9" t="s">
        <v>36</v>
      </c>
      <c r="F6" s="9" t="s">
        <v>22</v>
      </c>
      <c r="G6" s="11" t="s">
        <v>111</v>
      </c>
      <c r="H6" s="10" t="s">
        <v>111</v>
      </c>
      <c r="I6" s="10" t="s">
        <v>64</v>
      </c>
      <c r="J6" s="11"/>
      <c r="K6" s="10" t="s">
        <v>67</v>
      </c>
      <c r="L6" s="11" t="s">
        <v>112</v>
      </c>
      <c r="M6" s="10" t="s">
        <v>112</v>
      </c>
      <c r="N6" s="11"/>
      <c r="O6" s="10" t="s">
        <v>113</v>
      </c>
      <c r="P6" s="11" t="s">
        <v>114</v>
      </c>
      <c r="Q6" s="10" t="s">
        <v>114</v>
      </c>
      <c r="R6" s="11"/>
      <c r="S6" s="19" t="str">
        <f>"455,0"</f>
        <v>455,0</v>
      </c>
      <c r="T6" s="20" t="str">
        <f>"295,8119"</f>
        <v>295,8119</v>
      </c>
      <c r="U6" s="9" t="s">
        <v>44</v>
      </c>
    </row>
    <row r="7" spans="1:21" x14ac:dyDescent="0.2">
      <c r="A7" s="29" t="s">
        <v>116</v>
      </c>
      <c r="B7" s="29" t="s">
        <v>117</v>
      </c>
      <c r="C7" s="29" t="s">
        <v>118</v>
      </c>
      <c r="D7" s="29" t="str">
        <f>"0,6273"</f>
        <v>0,6273</v>
      </c>
      <c r="E7" s="29" t="s">
        <v>119</v>
      </c>
      <c r="F7" s="29" t="s">
        <v>120</v>
      </c>
      <c r="G7" s="30" t="s">
        <v>121</v>
      </c>
      <c r="H7" s="31" t="s">
        <v>56</v>
      </c>
      <c r="I7" s="30" t="s">
        <v>56</v>
      </c>
      <c r="J7" s="31"/>
      <c r="K7" s="30" t="s">
        <v>122</v>
      </c>
      <c r="L7" s="30" t="s">
        <v>123</v>
      </c>
      <c r="M7" s="30" t="s">
        <v>124</v>
      </c>
      <c r="N7" s="31"/>
      <c r="O7" s="30" t="s">
        <v>76</v>
      </c>
      <c r="P7" s="30" t="s">
        <v>125</v>
      </c>
      <c r="Q7" s="30" t="s">
        <v>77</v>
      </c>
      <c r="R7" s="31"/>
      <c r="S7" s="32" t="str">
        <f>"582,5"</f>
        <v>582,5</v>
      </c>
      <c r="T7" s="33" t="str">
        <f>"365,4023"</f>
        <v>365,4023</v>
      </c>
      <c r="U7" s="29" t="s">
        <v>44</v>
      </c>
    </row>
    <row r="8" spans="1:21" x14ac:dyDescent="0.2">
      <c r="A8" s="29" t="s">
        <v>127</v>
      </c>
      <c r="B8" s="29" t="s">
        <v>128</v>
      </c>
      <c r="C8" s="29" t="s">
        <v>129</v>
      </c>
      <c r="D8" s="29" t="str">
        <f>"0,6530"</f>
        <v>0,6530</v>
      </c>
      <c r="E8" s="29" t="s">
        <v>21</v>
      </c>
      <c r="F8" s="29" t="s">
        <v>22</v>
      </c>
      <c r="G8" s="30" t="s">
        <v>122</v>
      </c>
      <c r="H8" s="31" t="s">
        <v>130</v>
      </c>
      <c r="I8" s="31" t="s">
        <v>130</v>
      </c>
      <c r="J8" s="31"/>
      <c r="K8" s="30" t="s">
        <v>131</v>
      </c>
      <c r="L8" s="31" t="s">
        <v>67</v>
      </c>
      <c r="M8" s="31" t="s">
        <v>67</v>
      </c>
      <c r="N8" s="31"/>
      <c r="O8" s="30" t="s">
        <v>130</v>
      </c>
      <c r="P8" s="31" t="s">
        <v>39</v>
      </c>
      <c r="Q8" s="31" t="s">
        <v>39</v>
      </c>
      <c r="R8" s="31"/>
      <c r="S8" s="32" t="str">
        <f>"350,0"</f>
        <v>350,0</v>
      </c>
      <c r="T8" s="33" t="str">
        <f>"228,5500"</f>
        <v>228,5500</v>
      </c>
      <c r="U8" s="29" t="s">
        <v>30</v>
      </c>
    </row>
    <row r="9" spans="1:21" x14ac:dyDescent="0.2">
      <c r="A9" s="12" t="s">
        <v>116</v>
      </c>
      <c r="B9" s="12" t="s">
        <v>132</v>
      </c>
      <c r="C9" s="12" t="s">
        <v>118</v>
      </c>
      <c r="D9" s="12" t="str">
        <f>"0,6273"</f>
        <v>0,6273</v>
      </c>
      <c r="E9" s="12" t="s">
        <v>119</v>
      </c>
      <c r="F9" s="12" t="s">
        <v>120</v>
      </c>
      <c r="G9" s="13" t="s">
        <v>121</v>
      </c>
      <c r="H9" s="14" t="s">
        <v>56</v>
      </c>
      <c r="I9" s="13" t="s">
        <v>56</v>
      </c>
      <c r="J9" s="14"/>
      <c r="K9" s="13" t="s">
        <v>122</v>
      </c>
      <c r="L9" s="13" t="s">
        <v>123</v>
      </c>
      <c r="M9" s="13" t="s">
        <v>124</v>
      </c>
      <c r="N9" s="14"/>
      <c r="O9" s="13" t="s">
        <v>76</v>
      </c>
      <c r="P9" s="13" t="s">
        <v>125</v>
      </c>
      <c r="Q9" s="13" t="s">
        <v>77</v>
      </c>
      <c r="R9" s="14"/>
      <c r="S9" s="21" t="str">
        <f>"582,5"</f>
        <v>582,5</v>
      </c>
      <c r="T9" s="22" t="str">
        <f>"504,2551"</f>
        <v>504,2551</v>
      </c>
      <c r="U9" s="12" t="s">
        <v>44</v>
      </c>
    </row>
    <row r="11" spans="1:21" ht="15" x14ac:dyDescent="0.2">
      <c r="E11" s="15" t="s">
        <v>80</v>
      </c>
      <c r="F11" s="34" t="s">
        <v>386</v>
      </c>
    </row>
    <row r="12" spans="1:21" ht="15" x14ac:dyDescent="0.2">
      <c r="E12" s="15" t="s">
        <v>81</v>
      </c>
      <c r="F12" s="34" t="s">
        <v>387</v>
      </c>
    </row>
    <row r="13" spans="1:21" ht="15" x14ac:dyDescent="0.2">
      <c r="E13" s="15" t="s">
        <v>82</v>
      </c>
      <c r="F13" s="34" t="s">
        <v>388</v>
      </c>
    </row>
    <row r="14" spans="1:21" ht="15" x14ac:dyDescent="0.2">
      <c r="E14" s="15" t="s">
        <v>83</v>
      </c>
      <c r="F14" s="34" t="s">
        <v>390</v>
      </c>
    </row>
    <row r="15" spans="1:21" ht="15" x14ac:dyDescent="0.2">
      <c r="E15" s="15" t="s">
        <v>83</v>
      </c>
      <c r="F15" s="34" t="s">
        <v>389</v>
      </c>
    </row>
    <row r="16" spans="1:21" ht="15" x14ac:dyDescent="0.2">
      <c r="E16" s="15"/>
    </row>
    <row r="17" spans="1:5" ht="15" x14ac:dyDescent="0.2">
      <c r="E17" s="15"/>
    </row>
    <row r="19" spans="1:5" ht="18" x14ac:dyDescent="0.25">
      <c r="A19" s="23" t="s">
        <v>84</v>
      </c>
      <c r="B19" s="23"/>
    </row>
    <row r="20" spans="1:5" ht="15" x14ac:dyDescent="0.2">
      <c r="A20" s="24" t="s">
        <v>94</v>
      </c>
      <c r="B20" s="24"/>
    </row>
    <row r="21" spans="1:5" ht="14.25" x14ac:dyDescent="0.2">
      <c r="A21" s="26"/>
      <c r="B21" s="27" t="s">
        <v>133</v>
      </c>
    </row>
    <row r="22" spans="1:5" ht="15" x14ac:dyDescent="0.2">
      <c r="A22" s="28" t="s">
        <v>87</v>
      </c>
      <c r="B22" s="28" t="s">
        <v>88</v>
      </c>
      <c r="C22" s="28" t="s">
        <v>89</v>
      </c>
      <c r="D22" s="28" t="s">
        <v>90</v>
      </c>
      <c r="E22" s="28" t="s">
        <v>91</v>
      </c>
    </row>
    <row r="23" spans="1:5" x14ac:dyDescent="0.2">
      <c r="A23" s="25" t="s">
        <v>107</v>
      </c>
      <c r="B23" s="4" t="s">
        <v>134</v>
      </c>
      <c r="C23" s="4" t="s">
        <v>95</v>
      </c>
      <c r="D23" s="4" t="s">
        <v>135</v>
      </c>
      <c r="E23" s="16" t="s">
        <v>136</v>
      </c>
    </row>
    <row r="25" spans="1:5" ht="14.25" x14ac:dyDescent="0.2">
      <c r="A25" s="26"/>
      <c r="B25" s="27" t="s">
        <v>86</v>
      </c>
    </row>
    <row r="26" spans="1:5" ht="15" x14ac:dyDescent="0.2">
      <c r="A26" s="28" t="s">
        <v>87</v>
      </c>
      <c r="B26" s="28" t="s">
        <v>88</v>
      </c>
      <c r="C26" s="28" t="s">
        <v>89</v>
      </c>
      <c r="D26" s="28" t="s">
        <v>90</v>
      </c>
      <c r="E26" s="28" t="s">
        <v>91</v>
      </c>
    </row>
    <row r="27" spans="1:5" x14ac:dyDescent="0.2">
      <c r="A27" s="25" t="s">
        <v>115</v>
      </c>
      <c r="B27" s="4" t="s">
        <v>86</v>
      </c>
      <c r="C27" s="4" t="s">
        <v>95</v>
      </c>
      <c r="D27" s="4" t="s">
        <v>137</v>
      </c>
      <c r="E27" s="16" t="s">
        <v>138</v>
      </c>
    </row>
    <row r="28" spans="1:5" x14ac:dyDescent="0.2">
      <c r="A28" s="25" t="s">
        <v>126</v>
      </c>
      <c r="B28" s="4" t="s">
        <v>86</v>
      </c>
      <c r="C28" s="4" t="s">
        <v>95</v>
      </c>
      <c r="D28" s="4" t="s">
        <v>139</v>
      </c>
      <c r="E28" s="16" t="s">
        <v>140</v>
      </c>
    </row>
    <row r="30" spans="1:5" ht="14.25" x14ac:dyDescent="0.2">
      <c r="A30" s="26"/>
      <c r="B30" s="27" t="s">
        <v>141</v>
      </c>
    </row>
    <row r="31" spans="1:5" ht="15" x14ac:dyDescent="0.2">
      <c r="A31" s="28" t="s">
        <v>87</v>
      </c>
      <c r="B31" s="28" t="s">
        <v>88</v>
      </c>
      <c r="C31" s="28" t="s">
        <v>89</v>
      </c>
      <c r="D31" s="28" t="s">
        <v>90</v>
      </c>
      <c r="E31" s="28" t="s">
        <v>91</v>
      </c>
    </row>
    <row r="32" spans="1:5" x14ac:dyDescent="0.2">
      <c r="A32" s="25" t="s">
        <v>115</v>
      </c>
      <c r="B32" s="4" t="s">
        <v>142</v>
      </c>
      <c r="C32" s="4" t="s">
        <v>95</v>
      </c>
      <c r="D32" s="4" t="s">
        <v>137</v>
      </c>
      <c r="E32" s="16" t="s">
        <v>143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39"/>
  <sheetViews>
    <sheetView tabSelected="1" workbookViewId="0">
      <selection activeCell="A11" sqref="A11:R11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6" bestFit="1" customWidth="1"/>
    <col min="20" max="20" width="8.5703125" style="2" bestFit="1" customWidth="1"/>
    <col min="21" max="21" width="31" style="4" bestFit="1" customWidth="1"/>
    <col min="22" max="16384" width="9.140625" style="3"/>
  </cols>
  <sheetData>
    <row r="1" spans="1:21" s="2" customFormat="1" ht="29.1" customHeight="1" x14ac:dyDescent="0.2">
      <c r="A1" s="41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14</v>
      </c>
      <c r="L3" s="35"/>
      <c r="M3" s="35"/>
      <c r="N3" s="35"/>
      <c r="O3" s="35" t="s">
        <v>15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16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6" t="s">
        <v>18</v>
      </c>
      <c r="B6" s="6" t="s">
        <v>19</v>
      </c>
      <c r="C6" s="6" t="s">
        <v>20</v>
      </c>
      <c r="D6" s="6" t="str">
        <f>"1,0379"</f>
        <v>1,0379</v>
      </c>
      <c r="E6" s="6" t="s">
        <v>21</v>
      </c>
      <c r="F6" s="6" t="s">
        <v>22</v>
      </c>
      <c r="G6" s="7" t="s">
        <v>23</v>
      </c>
      <c r="H6" s="8" t="s">
        <v>24</v>
      </c>
      <c r="I6" s="7" t="s">
        <v>24</v>
      </c>
      <c r="J6" s="8"/>
      <c r="K6" s="7" t="s">
        <v>25</v>
      </c>
      <c r="L6" s="7" t="s">
        <v>26</v>
      </c>
      <c r="M6" s="8" t="s">
        <v>27</v>
      </c>
      <c r="N6" s="8"/>
      <c r="O6" s="7" t="s">
        <v>28</v>
      </c>
      <c r="P6" s="8" t="s">
        <v>29</v>
      </c>
      <c r="Q6" s="8" t="s">
        <v>29</v>
      </c>
      <c r="R6" s="8"/>
      <c r="S6" s="17" t="str">
        <f>"235,0"</f>
        <v>235,0</v>
      </c>
      <c r="T6" s="18" t="str">
        <f>"243,9065"</f>
        <v>243,9065</v>
      </c>
      <c r="U6" s="6" t="s">
        <v>30</v>
      </c>
    </row>
    <row r="8" spans="1:21" ht="15" x14ac:dyDescent="0.2">
      <c r="A8" s="50" t="s">
        <v>31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 x14ac:dyDescent="0.2">
      <c r="A9" s="6" t="s">
        <v>33</v>
      </c>
      <c r="B9" s="6" t="s">
        <v>34</v>
      </c>
      <c r="C9" s="6" t="s">
        <v>35</v>
      </c>
      <c r="D9" s="6" t="str">
        <f>"0,6193"</f>
        <v>0,6193</v>
      </c>
      <c r="E9" s="6" t="s">
        <v>36</v>
      </c>
      <c r="F9" s="6" t="s">
        <v>22</v>
      </c>
      <c r="G9" s="8" t="s">
        <v>37</v>
      </c>
      <c r="H9" s="8" t="s">
        <v>37</v>
      </c>
      <c r="I9" s="7" t="s">
        <v>37</v>
      </c>
      <c r="J9" s="8"/>
      <c r="K9" s="7" t="s">
        <v>38</v>
      </c>
      <c r="L9" s="7" t="s">
        <v>39</v>
      </c>
      <c r="M9" s="8" t="s">
        <v>40</v>
      </c>
      <c r="N9" s="8"/>
      <c r="O9" s="7" t="s">
        <v>41</v>
      </c>
      <c r="P9" s="7" t="s">
        <v>42</v>
      </c>
      <c r="Q9" s="7" t="s">
        <v>43</v>
      </c>
      <c r="R9" s="8"/>
      <c r="S9" s="17" t="str">
        <f>"577,5"</f>
        <v>577,5</v>
      </c>
      <c r="T9" s="18" t="str">
        <f>"357,6458"</f>
        <v>357,6458</v>
      </c>
      <c r="U9" s="6" t="s">
        <v>44</v>
      </c>
    </row>
    <row r="11" spans="1:21" ht="15" x14ac:dyDescent="0.2">
      <c r="A11" s="50" t="s">
        <v>45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 x14ac:dyDescent="0.2">
      <c r="A12" s="9" t="s">
        <v>47</v>
      </c>
      <c r="B12" s="9" t="s">
        <v>48</v>
      </c>
      <c r="C12" s="9" t="s">
        <v>49</v>
      </c>
      <c r="D12" s="9" t="str">
        <f>"0,5861"</f>
        <v>0,5861</v>
      </c>
      <c r="E12" s="9" t="s">
        <v>50</v>
      </c>
      <c r="F12" s="9" t="s">
        <v>51</v>
      </c>
      <c r="G12" s="10" t="s">
        <v>52</v>
      </c>
      <c r="H12" s="10" t="s">
        <v>53</v>
      </c>
      <c r="I12" s="10" t="s">
        <v>37</v>
      </c>
      <c r="J12" s="11"/>
      <c r="K12" s="10" t="s">
        <v>54</v>
      </c>
      <c r="L12" s="10" t="s">
        <v>38</v>
      </c>
      <c r="M12" s="11" t="s">
        <v>55</v>
      </c>
      <c r="N12" s="11"/>
      <c r="O12" s="10" t="s">
        <v>56</v>
      </c>
      <c r="P12" s="10" t="s">
        <v>57</v>
      </c>
      <c r="Q12" s="11" t="s">
        <v>58</v>
      </c>
      <c r="R12" s="11"/>
      <c r="S12" s="19" t="str">
        <f>"530,0"</f>
        <v>530,0</v>
      </c>
      <c r="T12" s="20" t="str">
        <f>"310,6330"</f>
        <v>310,6330</v>
      </c>
      <c r="U12" s="9" t="s">
        <v>59</v>
      </c>
    </row>
    <row r="13" spans="1:21" x14ac:dyDescent="0.2">
      <c r="A13" s="12" t="s">
        <v>61</v>
      </c>
      <c r="B13" s="12" t="s">
        <v>62</v>
      </c>
      <c r="C13" s="12" t="s">
        <v>63</v>
      </c>
      <c r="D13" s="12" t="str">
        <f>"0,5877"</f>
        <v>0,5877</v>
      </c>
      <c r="E13" s="12" t="s">
        <v>21</v>
      </c>
      <c r="F13" s="12" t="s">
        <v>22</v>
      </c>
      <c r="G13" s="13" t="s">
        <v>64</v>
      </c>
      <c r="H13" s="14" t="s">
        <v>53</v>
      </c>
      <c r="I13" s="14" t="s">
        <v>37</v>
      </c>
      <c r="J13" s="14"/>
      <c r="K13" s="13" t="s">
        <v>65</v>
      </c>
      <c r="L13" s="14" t="s">
        <v>66</v>
      </c>
      <c r="M13" s="14" t="s">
        <v>67</v>
      </c>
      <c r="N13" s="14"/>
      <c r="O13" s="13" t="s">
        <v>57</v>
      </c>
      <c r="P13" s="14" t="s">
        <v>68</v>
      </c>
      <c r="Q13" s="14"/>
      <c r="R13" s="14"/>
      <c r="S13" s="21" t="str">
        <f>"465,0"</f>
        <v>465,0</v>
      </c>
      <c r="T13" s="22" t="str">
        <f>"273,2805"</f>
        <v>273,2805</v>
      </c>
      <c r="U13" s="12" t="s">
        <v>30</v>
      </c>
    </row>
    <row r="15" spans="1:21" ht="15" x14ac:dyDescent="0.2">
      <c r="A15" s="50" t="s">
        <v>69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21" x14ac:dyDescent="0.2">
      <c r="A16" s="6" t="s">
        <v>71</v>
      </c>
      <c r="B16" s="6" t="s">
        <v>72</v>
      </c>
      <c r="C16" s="6" t="s">
        <v>73</v>
      </c>
      <c r="D16" s="6" t="str">
        <f>"0,5372"</f>
        <v>0,5372</v>
      </c>
      <c r="E16" s="6" t="s">
        <v>74</v>
      </c>
      <c r="F16" s="6" t="s">
        <v>22</v>
      </c>
      <c r="G16" s="7" t="s">
        <v>75</v>
      </c>
      <c r="H16" s="7" t="s">
        <v>76</v>
      </c>
      <c r="I16" s="8" t="s">
        <v>77</v>
      </c>
      <c r="J16" s="8"/>
      <c r="K16" s="7" t="s">
        <v>39</v>
      </c>
      <c r="L16" s="7" t="s">
        <v>64</v>
      </c>
      <c r="M16" s="8" t="s">
        <v>52</v>
      </c>
      <c r="N16" s="8"/>
      <c r="O16" s="7" t="s">
        <v>75</v>
      </c>
      <c r="P16" s="8" t="s">
        <v>78</v>
      </c>
      <c r="Q16" s="8" t="s">
        <v>78</v>
      </c>
      <c r="R16" s="8"/>
      <c r="S16" s="17" t="str">
        <f>"615,0"</f>
        <v>615,0</v>
      </c>
      <c r="T16" s="18" t="str">
        <f>"330,4087"</f>
        <v>330,4087</v>
      </c>
      <c r="U16" s="6" t="s">
        <v>79</v>
      </c>
    </row>
    <row r="18" spans="1:6" ht="15" x14ac:dyDescent="0.2">
      <c r="E18" s="15" t="s">
        <v>80</v>
      </c>
      <c r="F18" s="34" t="s">
        <v>386</v>
      </c>
    </row>
    <row r="19" spans="1:6" ht="15" x14ac:dyDescent="0.2">
      <c r="E19" s="15" t="s">
        <v>81</v>
      </c>
      <c r="F19" s="34" t="s">
        <v>387</v>
      </c>
    </row>
    <row r="20" spans="1:6" ht="15" x14ac:dyDescent="0.2">
      <c r="E20" s="15" t="s">
        <v>82</v>
      </c>
      <c r="F20" s="34" t="s">
        <v>388</v>
      </c>
    </row>
    <row r="21" spans="1:6" ht="15" x14ac:dyDescent="0.2">
      <c r="E21" s="15" t="s">
        <v>83</v>
      </c>
      <c r="F21" s="34" t="s">
        <v>390</v>
      </c>
    </row>
    <row r="22" spans="1:6" ht="15" x14ac:dyDescent="0.2">
      <c r="E22" s="15" t="s">
        <v>83</v>
      </c>
      <c r="F22" s="34" t="s">
        <v>389</v>
      </c>
    </row>
    <row r="23" spans="1:6" ht="15" x14ac:dyDescent="0.2">
      <c r="E23" s="15"/>
    </row>
    <row r="24" spans="1:6" ht="15" x14ac:dyDescent="0.2">
      <c r="E24" s="15"/>
    </row>
    <row r="26" spans="1:6" ht="18" x14ac:dyDescent="0.25">
      <c r="A26" s="23" t="s">
        <v>84</v>
      </c>
      <c r="B26" s="23"/>
    </row>
    <row r="27" spans="1:6" ht="15" x14ac:dyDescent="0.2">
      <c r="A27" s="24" t="s">
        <v>85</v>
      </c>
      <c r="B27" s="24"/>
    </row>
    <row r="28" spans="1:6" ht="14.25" x14ac:dyDescent="0.2">
      <c r="A28" s="26"/>
      <c r="B28" s="27" t="s">
        <v>86</v>
      </c>
    </row>
    <row r="29" spans="1:6" ht="15" x14ac:dyDescent="0.2">
      <c r="A29" s="28" t="s">
        <v>87</v>
      </c>
      <c r="B29" s="28" t="s">
        <v>88</v>
      </c>
      <c r="C29" s="28" t="s">
        <v>89</v>
      </c>
      <c r="D29" s="28" t="s">
        <v>90</v>
      </c>
      <c r="E29" s="28" t="s">
        <v>91</v>
      </c>
    </row>
    <row r="30" spans="1:6" x14ac:dyDescent="0.2">
      <c r="A30" s="25" t="s">
        <v>17</v>
      </c>
      <c r="B30" s="4" t="s">
        <v>86</v>
      </c>
      <c r="C30" s="4" t="s">
        <v>92</v>
      </c>
      <c r="D30" s="4" t="s">
        <v>76</v>
      </c>
      <c r="E30" s="16" t="s">
        <v>93</v>
      </c>
    </row>
    <row r="33" spans="1:5" ht="15" x14ac:dyDescent="0.2">
      <c r="A33" s="24" t="s">
        <v>94</v>
      </c>
      <c r="B33" s="24"/>
    </row>
    <row r="34" spans="1:5" ht="14.25" x14ac:dyDescent="0.2">
      <c r="A34" s="26"/>
      <c r="B34" s="27" t="s">
        <v>86</v>
      </c>
    </row>
    <row r="35" spans="1:5" ht="15" x14ac:dyDescent="0.2">
      <c r="A35" s="28" t="s">
        <v>87</v>
      </c>
      <c r="B35" s="28" t="s">
        <v>88</v>
      </c>
      <c r="C35" s="28" t="s">
        <v>89</v>
      </c>
      <c r="D35" s="28" t="s">
        <v>90</v>
      </c>
      <c r="E35" s="28" t="s">
        <v>91</v>
      </c>
    </row>
    <row r="36" spans="1:5" x14ac:dyDescent="0.2">
      <c r="A36" s="25" t="s">
        <v>32</v>
      </c>
      <c r="B36" s="4" t="s">
        <v>86</v>
      </c>
      <c r="C36" s="4" t="s">
        <v>95</v>
      </c>
      <c r="D36" s="4" t="s">
        <v>96</v>
      </c>
      <c r="E36" s="16" t="s">
        <v>97</v>
      </c>
    </row>
    <row r="37" spans="1:5" x14ac:dyDescent="0.2">
      <c r="A37" s="25" t="s">
        <v>70</v>
      </c>
      <c r="B37" s="4" t="s">
        <v>86</v>
      </c>
      <c r="C37" s="4" t="s">
        <v>98</v>
      </c>
      <c r="D37" s="4" t="s">
        <v>99</v>
      </c>
      <c r="E37" s="16" t="s">
        <v>100</v>
      </c>
    </row>
    <row r="38" spans="1:5" x14ac:dyDescent="0.2">
      <c r="A38" s="25" t="s">
        <v>46</v>
      </c>
      <c r="B38" s="4" t="s">
        <v>86</v>
      </c>
      <c r="C38" s="4" t="s">
        <v>101</v>
      </c>
      <c r="D38" s="4" t="s">
        <v>102</v>
      </c>
      <c r="E38" s="16" t="s">
        <v>103</v>
      </c>
    </row>
    <row r="39" spans="1:5" x14ac:dyDescent="0.2">
      <c r="A39" s="25" t="s">
        <v>60</v>
      </c>
      <c r="B39" s="4" t="s">
        <v>86</v>
      </c>
      <c r="C39" s="4" t="s">
        <v>101</v>
      </c>
      <c r="D39" s="4" t="s">
        <v>104</v>
      </c>
      <c r="E39" s="16" t="s">
        <v>105</v>
      </c>
    </row>
  </sheetData>
  <mergeCells count="17"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R5"/>
    <mergeCell ref="A8:R8"/>
    <mergeCell ref="A11:R11"/>
    <mergeCell ref="A15:R15"/>
    <mergeCell ref="D3:D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" style="3" customWidth="1"/>
    <col min="8" max="8" width="10.42578125" style="3" customWidth="1"/>
    <col min="9" max="9" width="7.85546875" style="16" bestFit="1" customWidth="1"/>
    <col min="10" max="10" width="7.5703125" style="2" bestFit="1" customWidth="1"/>
    <col min="11" max="11" width="20.28515625" style="4" bestFit="1" customWidth="1"/>
    <col min="12" max="16384" width="9.140625" style="3"/>
  </cols>
  <sheetData>
    <row r="1" spans="1:11" s="2" customFormat="1" ht="29.1" customHeight="1" x14ac:dyDescent="0.2">
      <c r="A1" s="41" t="s">
        <v>356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357</v>
      </c>
      <c r="E3" s="35" t="s">
        <v>4</v>
      </c>
      <c r="F3" s="35" t="s">
        <v>7</v>
      </c>
      <c r="G3" s="35" t="s">
        <v>358</v>
      </c>
      <c r="H3" s="35"/>
      <c r="I3" s="35" t="s">
        <v>375</v>
      </c>
      <c r="J3" s="35" t="s">
        <v>3</v>
      </c>
      <c r="K3" s="37" t="s">
        <v>2</v>
      </c>
    </row>
    <row r="4" spans="1:11" s="1" customFormat="1" ht="21" customHeight="1" thickBot="1" x14ac:dyDescent="0.25">
      <c r="A4" s="48"/>
      <c r="B4" s="36"/>
      <c r="C4" s="36"/>
      <c r="D4" s="36"/>
      <c r="E4" s="36"/>
      <c r="F4" s="36"/>
      <c r="G4" s="5" t="s">
        <v>8</v>
      </c>
      <c r="H4" s="5" t="s">
        <v>9</v>
      </c>
      <c r="I4" s="36"/>
      <c r="J4" s="36"/>
      <c r="K4" s="38"/>
    </row>
    <row r="5" spans="1:11" ht="15" x14ac:dyDescent="0.2">
      <c r="A5" s="39" t="s">
        <v>359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361</v>
      </c>
      <c r="B6" s="6" t="s">
        <v>362</v>
      </c>
      <c r="C6" s="6" t="s">
        <v>363</v>
      </c>
      <c r="D6" s="6" t="str">
        <f>"1,0000"</f>
        <v>1,0000</v>
      </c>
      <c r="E6" s="6" t="s">
        <v>50</v>
      </c>
      <c r="F6" s="6" t="s">
        <v>51</v>
      </c>
      <c r="G6" s="7" t="s">
        <v>27</v>
      </c>
      <c r="H6" s="7" t="s">
        <v>364</v>
      </c>
      <c r="I6" s="17" t="str">
        <f>"1155,0"</f>
        <v>1155,0</v>
      </c>
      <c r="J6" s="18" t="str">
        <f>"17,9347"</f>
        <v>17,9347</v>
      </c>
      <c r="K6" s="6" t="s">
        <v>59</v>
      </c>
    </row>
    <row r="8" spans="1:11" ht="15" x14ac:dyDescent="0.2">
      <c r="A8" s="50" t="s">
        <v>359</v>
      </c>
      <c r="B8" s="50"/>
      <c r="C8" s="50"/>
      <c r="D8" s="50"/>
      <c r="E8" s="50"/>
      <c r="F8" s="50"/>
      <c r="G8" s="50"/>
      <c r="H8" s="50"/>
    </row>
    <row r="9" spans="1:11" x14ac:dyDescent="0.2">
      <c r="A9" s="6" t="s">
        <v>366</v>
      </c>
      <c r="B9" s="6" t="s">
        <v>367</v>
      </c>
      <c r="C9" s="6" t="s">
        <v>201</v>
      </c>
      <c r="D9" s="6" t="str">
        <f>"1,0000"</f>
        <v>1,0000</v>
      </c>
      <c r="E9" s="6" t="s">
        <v>119</v>
      </c>
      <c r="F9" s="6" t="s">
        <v>22</v>
      </c>
      <c r="G9" s="7" t="s">
        <v>27</v>
      </c>
      <c r="H9" s="7" t="s">
        <v>368</v>
      </c>
      <c r="I9" s="17" t="str">
        <f>"3355,0"</f>
        <v>3355,0</v>
      </c>
      <c r="J9" s="18" t="str">
        <f>"37,6966"</f>
        <v>37,6966</v>
      </c>
      <c r="K9" s="6" t="s">
        <v>170</v>
      </c>
    </row>
    <row r="11" spans="1:11" ht="15" x14ac:dyDescent="0.2">
      <c r="E11" s="15" t="s">
        <v>80</v>
      </c>
      <c r="F11" s="34" t="s">
        <v>386</v>
      </c>
    </row>
    <row r="12" spans="1:11" ht="15" x14ac:dyDescent="0.2">
      <c r="E12" s="15" t="s">
        <v>81</v>
      </c>
      <c r="F12" s="34" t="s">
        <v>387</v>
      </c>
    </row>
    <row r="13" spans="1:11" ht="15" x14ac:dyDescent="0.2">
      <c r="E13" s="15" t="s">
        <v>82</v>
      </c>
      <c r="F13" s="34" t="s">
        <v>388</v>
      </c>
    </row>
    <row r="14" spans="1:11" ht="15" x14ac:dyDescent="0.2">
      <c r="E14" s="15" t="s">
        <v>83</v>
      </c>
      <c r="F14" s="34" t="s">
        <v>390</v>
      </c>
    </row>
    <row r="15" spans="1:11" ht="15" x14ac:dyDescent="0.2">
      <c r="E15" s="15" t="s">
        <v>83</v>
      </c>
      <c r="F15" s="34" t="s">
        <v>389</v>
      </c>
    </row>
    <row r="16" spans="1:11" ht="15" x14ac:dyDescent="0.2">
      <c r="E16" s="15"/>
    </row>
    <row r="17" spans="1:5" ht="15" x14ac:dyDescent="0.2">
      <c r="E17" s="15"/>
    </row>
    <row r="19" spans="1:5" ht="18" x14ac:dyDescent="0.25">
      <c r="A19" s="23" t="s">
        <v>84</v>
      </c>
      <c r="B19" s="23"/>
    </row>
    <row r="20" spans="1:5" ht="15" x14ac:dyDescent="0.2">
      <c r="A20" s="24" t="s">
        <v>85</v>
      </c>
      <c r="B20" s="24"/>
    </row>
    <row r="21" spans="1:5" ht="14.25" x14ac:dyDescent="0.2">
      <c r="A21" s="26"/>
      <c r="B21" s="27" t="s">
        <v>86</v>
      </c>
    </row>
    <row r="22" spans="1:5" ht="15" x14ac:dyDescent="0.2">
      <c r="A22" s="28" t="s">
        <v>87</v>
      </c>
      <c r="B22" s="28" t="s">
        <v>88</v>
      </c>
      <c r="C22" s="28" t="s">
        <v>89</v>
      </c>
      <c r="D22" s="28" t="s">
        <v>157</v>
      </c>
      <c r="E22" s="28" t="s">
        <v>369</v>
      </c>
    </row>
    <row r="23" spans="1:5" x14ac:dyDescent="0.2">
      <c r="A23" s="25" t="s">
        <v>360</v>
      </c>
      <c r="B23" s="4" t="s">
        <v>86</v>
      </c>
      <c r="C23" s="4" t="s">
        <v>370</v>
      </c>
      <c r="D23" s="4" t="s">
        <v>371</v>
      </c>
      <c r="E23" s="16" t="s">
        <v>372</v>
      </c>
    </row>
    <row r="26" spans="1:5" ht="15" x14ac:dyDescent="0.2">
      <c r="A26" s="24" t="s">
        <v>94</v>
      </c>
      <c r="B26" s="24"/>
    </row>
    <row r="27" spans="1:5" ht="14.25" x14ac:dyDescent="0.2">
      <c r="A27" s="26"/>
      <c r="B27" s="27" t="s">
        <v>86</v>
      </c>
    </row>
    <row r="28" spans="1:5" ht="15" x14ac:dyDescent="0.2">
      <c r="A28" s="28" t="s">
        <v>87</v>
      </c>
      <c r="B28" s="28" t="s">
        <v>88</v>
      </c>
      <c r="C28" s="28" t="s">
        <v>89</v>
      </c>
      <c r="D28" s="28" t="s">
        <v>157</v>
      </c>
      <c r="E28" s="28" t="s">
        <v>369</v>
      </c>
    </row>
    <row r="29" spans="1:5" x14ac:dyDescent="0.2">
      <c r="A29" s="25" t="s">
        <v>365</v>
      </c>
      <c r="B29" s="4" t="s">
        <v>86</v>
      </c>
      <c r="C29" s="4" t="s">
        <v>370</v>
      </c>
      <c r="D29" s="4" t="s">
        <v>373</v>
      </c>
      <c r="E29" s="16" t="s">
        <v>374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8:H8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1.85546875" style="4" bestFit="1" customWidth="1"/>
    <col min="7" max="8" width="4.5703125" style="3" customWidth="1"/>
    <col min="9" max="9" width="2.1406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6" bestFit="1" customWidth="1"/>
    <col min="16" max="16" width="7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41" t="s">
        <v>352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353</v>
      </c>
      <c r="H3" s="35"/>
      <c r="I3" s="35"/>
      <c r="J3" s="35"/>
      <c r="K3" s="35" t="s">
        <v>337</v>
      </c>
      <c r="L3" s="35"/>
      <c r="M3" s="35"/>
      <c r="N3" s="35"/>
      <c r="O3" s="35" t="s">
        <v>1</v>
      </c>
      <c r="P3" s="35" t="s">
        <v>3</v>
      </c>
      <c r="Q3" s="37" t="s">
        <v>2</v>
      </c>
    </row>
    <row r="4" spans="1:17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6"/>
      <c r="P4" s="36"/>
      <c r="Q4" s="38"/>
    </row>
    <row r="5" spans="1:17" ht="15" x14ac:dyDescent="0.2">
      <c r="A5" s="39" t="s">
        <v>31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 x14ac:dyDescent="0.2">
      <c r="A6" s="6" t="s">
        <v>33</v>
      </c>
      <c r="B6" s="6" t="s">
        <v>34</v>
      </c>
      <c r="C6" s="6" t="s">
        <v>35</v>
      </c>
      <c r="D6" s="6" t="str">
        <f>"0,6193"</f>
        <v>0,6193</v>
      </c>
      <c r="E6" s="6" t="s">
        <v>36</v>
      </c>
      <c r="F6" s="6" t="s">
        <v>22</v>
      </c>
      <c r="G6" s="7" t="s">
        <v>292</v>
      </c>
      <c r="H6" s="8" t="s">
        <v>354</v>
      </c>
      <c r="I6" s="8"/>
      <c r="J6" s="8"/>
      <c r="K6" s="7" t="s">
        <v>26</v>
      </c>
      <c r="L6" s="7" t="s">
        <v>150</v>
      </c>
      <c r="M6" s="8" t="s">
        <v>152</v>
      </c>
      <c r="N6" s="8"/>
      <c r="O6" s="17" t="str">
        <f>"140,0"</f>
        <v>140,0</v>
      </c>
      <c r="P6" s="18" t="str">
        <f>"86,7020"</f>
        <v>86,7020</v>
      </c>
      <c r="Q6" s="6" t="s">
        <v>44</v>
      </c>
    </row>
    <row r="8" spans="1:17" ht="15" x14ac:dyDescent="0.2">
      <c r="E8" s="15" t="s">
        <v>80</v>
      </c>
      <c r="F8" s="34" t="s">
        <v>386</v>
      </c>
    </row>
    <row r="9" spans="1:17" ht="15" x14ac:dyDescent="0.2">
      <c r="E9" s="15" t="s">
        <v>81</v>
      </c>
      <c r="F9" s="34" t="s">
        <v>387</v>
      </c>
    </row>
    <row r="10" spans="1:17" ht="15" x14ac:dyDescent="0.2">
      <c r="E10" s="15" t="s">
        <v>82</v>
      </c>
      <c r="F10" s="34" t="s">
        <v>388</v>
      </c>
    </row>
    <row r="11" spans="1:17" ht="15" x14ac:dyDescent="0.2">
      <c r="E11" s="15" t="s">
        <v>83</v>
      </c>
      <c r="F11" s="34" t="s">
        <v>390</v>
      </c>
    </row>
    <row r="12" spans="1:17" ht="15" x14ac:dyDescent="0.2">
      <c r="E12" s="15" t="s">
        <v>83</v>
      </c>
      <c r="F12" s="34" t="s">
        <v>389</v>
      </c>
    </row>
    <row r="13" spans="1:17" ht="15" x14ac:dyDescent="0.2">
      <c r="E13" s="15"/>
    </row>
    <row r="14" spans="1:17" ht="15" x14ac:dyDescent="0.2">
      <c r="E14" s="15"/>
    </row>
    <row r="16" spans="1:17" ht="18" x14ac:dyDescent="0.25">
      <c r="A16" s="23" t="s">
        <v>84</v>
      </c>
      <c r="B16" s="23"/>
    </row>
    <row r="17" spans="1:5" ht="15" x14ac:dyDescent="0.2">
      <c r="A17" s="24" t="s">
        <v>94</v>
      </c>
      <c r="B17" s="24"/>
    </row>
    <row r="18" spans="1:5" ht="14.25" x14ac:dyDescent="0.2">
      <c r="A18" s="26"/>
      <c r="B18" s="27" t="s">
        <v>86</v>
      </c>
    </row>
    <row r="19" spans="1:5" ht="15" x14ac:dyDescent="0.2">
      <c r="A19" s="28" t="s">
        <v>87</v>
      </c>
      <c r="B19" s="28" t="s">
        <v>88</v>
      </c>
      <c r="C19" s="28" t="s">
        <v>89</v>
      </c>
      <c r="D19" s="28" t="s">
        <v>90</v>
      </c>
      <c r="E19" s="28" t="s">
        <v>91</v>
      </c>
    </row>
    <row r="20" spans="1:5" x14ac:dyDescent="0.2">
      <c r="A20" s="25" t="s">
        <v>32</v>
      </c>
      <c r="B20" s="4" t="s">
        <v>86</v>
      </c>
      <c r="C20" s="4" t="s">
        <v>95</v>
      </c>
      <c r="D20" s="4" t="s">
        <v>38</v>
      </c>
      <c r="E20" s="16" t="s">
        <v>355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E21" sqref="E21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5.140625" style="4" bestFit="1" customWidth="1"/>
    <col min="7" max="9" width="4.5703125" style="3" customWidth="1"/>
    <col min="10" max="10" width="4.85546875" style="3" customWidth="1"/>
    <col min="11" max="11" width="7.85546875" style="16" bestFit="1" customWidth="1"/>
    <col min="12" max="12" width="7.5703125" style="2" bestFit="1" customWidth="1"/>
    <col min="13" max="13" width="30.85546875" style="4" bestFit="1" customWidth="1"/>
    <col min="14" max="16384" width="9.140625" style="3"/>
  </cols>
  <sheetData>
    <row r="1" spans="1:13" s="2" customFormat="1" ht="29.1" customHeight="1" x14ac:dyDescent="0.2">
      <c r="A1" s="41" t="s">
        <v>336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337</v>
      </c>
      <c r="H3" s="35"/>
      <c r="I3" s="35"/>
      <c r="J3" s="35"/>
      <c r="K3" s="35" t="s">
        <v>162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174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180</v>
      </c>
      <c r="B6" s="6" t="s">
        <v>181</v>
      </c>
      <c r="C6" s="6" t="s">
        <v>182</v>
      </c>
      <c r="D6" s="6" t="str">
        <f>"0,7408"</f>
        <v>0,7408</v>
      </c>
      <c r="E6" s="6" t="s">
        <v>21</v>
      </c>
      <c r="F6" s="6" t="s">
        <v>22</v>
      </c>
      <c r="G6" s="7" t="s">
        <v>26</v>
      </c>
      <c r="H6" s="7" t="s">
        <v>27</v>
      </c>
      <c r="I6" s="8" t="s">
        <v>150</v>
      </c>
      <c r="J6" s="8"/>
      <c r="K6" s="17" t="str">
        <f>"55,0"</f>
        <v>55,0</v>
      </c>
      <c r="L6" s="18" t="str">
        <f>"40,7440"</f>
        <v>40,7440</v>
      </c>
      <c r="M6" s="6" t="s">
        <v>30</v>
      </c>
    </row>
    <row r="8" spans="1:13" ht="15" x14ac:dyDescent="0.2">
      <c r="A8" s="50" t="s">
        <v>31</v>
      </c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2">
      <c r="A9" s="9" t="s">
        <v>154</v>
      </c>
      <c r="B9" s="9" t="s">
        <v>155</v>
      </c>
      <c r="C9" s="9" t="s">
        <v>156</v>
      </c>
      <c r="D9" s="9" t="str">
        <f>"0,6405"</f>
        <v>0,6405</v>
      </c>
      <c r="E9" s="9" t="s">
        <v>21</v>
      </c>
      <c r="F9" s="9" t="s">
        <v>22</v>
      </c>
      <c r="G9" s="10" t="s">
        <v>338</v>
      </c>
      <c r="H9" s="10" t="s">
        <v>339</v>
      </c>
      <c r="I9" s="10" t="s">
        <v>151</v>
      </c>
      <c r="J9" s="11"/>
      <c r="K9" s="19" t="str">
        <f>"62,5"</f>
        <v>62,5</v>
      </c>
      <c r="L9" s="20" t="str">
        <f>"40,0313"</f>
        <v>40,0313</v>
      </c>
      <c r="M9" s="9" t="s">
        <v>30</v>
      </c>
    </row>
    <row r="10" spans="1:13" x14ac:dyDescent="0.2">
      <c r="A10" s="12" t="s">
        <v>341</v>
      </c>
      <c r="B10" s="12" t="s">
        <v>342</v>
      </c>
      <c r="C10" s="12" t="s">
        <v>118</v>
      </c>
      <c r="D10" s="12" t="str">
        <f>"0,6273"</f>
        <v>0,6273</v>
      </c>
      <c r="E10" s="12" t="s">
        <v>50</v>
      </c>
      <c r="F10" s="12" t="s">
        <v>51</v>
      </c>
      <c r="G10" s="13" t="s">
        <v>27</v>
      </c>
      <c r="H10" s="14" t="s">
        <v>150</v>
      </c>
      <c r="I10" s="14" t="s">
        <v>152</v>
      </c>
      <c r="J10" s="14"/>
      <c r="K10" s="21" t="str">
        <f>"55,0"</f>
        <v>55,0</v>
      </c>
      <c r="L10" s="22" t="str">
        <f>"34,5015"</f>
        <v>34,5015</v>
      </c>
      <c r="M10" s="12" t="s">
        <v>59</v>
      </c>
    </row>
    <row r="12" spans="1:13" ht="15" x14ac:dyDescent="0.2">
      <c r="A12" s="50" t="s">
        <v>225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3" x14ac:dyDescent="0.2">
      <c r="A13" s="9" t="s">
        <v>267</v>
      </c>
      <c r="B13" s="9" t="s">
        <v>268</v>
      </c>
      <c r="C13" s="9" t="s">
        <v>269</v>
      </c>
      <c r="D13" s="9" t="str">
        <f>"0,5573"</f>
        <v>0,5573</v>
      </c>
      <c r="E13" s="9" t="s">
        <v>21</v>
      </c>
      <c r="F13" s="9" t="s">
        <v>22</v>
      </c>
      <c r="G13" s="10" t="s">
        <v>27</v>
      </c>
      <c r="H13" s="10" t="s">
        <v>151</v>
      </c>
      <c r="I13" s="10" t="s">
        <v>23</v>
      </c>
      <c r="J13" s="11"/>
      <c r="K13" s="19" t="str">
        <f>"70,0"</f>
        <v>70,0</v>
      </c>
      <c r="L13" s="20" t="str">
        <f>"39,0110"</f>
        <v>39,0110</v>
      </c>
      <c r="M13" s="9" t="s">
        <v>30</v>
      </c>
    </row>
    <row r="14" spans="1:13" x14ac:dyDescent="0.2">
      <c r="A14" s="12" t="s">
        <v>343</v>
      </c>
      <c r="B14" s="12" t="s">
        <v>344</v>
      </c>
      <c r="C14" s="12" t="s">
        <v>345</v>
      </c>
      <c r="D14" s="12" t="str">
        <f>"0,5551"</f>
        <v>0,5551</v>
      </c>
      <c r="E14" s="12" t="s">
        <v>119</v>
      </c>
      <c r="F14" s="12" t="s">
        <v>346</v>
      </c>
      <c r="G14" s="14" t="s">
        <v>150</v>
      </c>
      <c r="H14" s="14"/>
      <c r="I14" s="14"/>
      <c r="J14" s="14"/>
      <c r="K14" s="21" t="str">
        <f>"0.00"</f>
        <v>0.00</v>
      </c>
      <c r="L14" s="22" t="str">
        <f>"0,0000"</f>
        <v>0,0000</v>
      </c>
      <c r="M14" s="12" t="s">
        <v>347</v>
      </c>
    </row>
    <row r="16" spans="1:13" ht="15" x14ac:dyDescent="0.2">
      <c r="E16" s="15" t="s">
        <v>80</v>
      </c>
      <c r="F16" s="34" t="s">
        <v>386</v>
      </c>
    </row>
    <row r="17" spans="1:6" ht="15" x14ac:dyDescent="0.2">
      <c r="E17" s="15" t="s">
        <v>81</v>
      </c>
      <c r="F17" s="34" t="s">
        <v>387</v>
      </c>
    </row>
    <row r="18" spans="1:6" ht="15" x14ac:dyDescent="0.2">
      <c r="E18" s="15" t="s">
        <v>82</v>
      </c>
      <c r="F18" s="34" t="s">
        <v>388</v>
      </c>
    </row>
    <row r="19" spans="1:6" ht="15" x14ac:dyDescent="0.2">
      <c r="E19" s="15" t="s">
        <v>83</v>
      </c>
      <c r="F19" s="34" t="s">
        <v>390</v>
      </c>
    </row>
    <row r="20" spans="1:6" ht="15" x14ac:dyDescent="0.2">
      <c r="E20" s="15" t="s">
        <v>83</v>
      </c>
      <c r="F20" s="34" t="s">
        <v>389</v>
      </c>
    </row>
    <row r="21" spans="1:6" ht="15" x14ac:dyDescent="0.2">
      <c r="E21" s="15"/>
    </row>
    <row r="22" spans="1:6" ht="15" x14ac:dyDescent="0.2">
      <c r="E22" s="15"/>
    </row>
    <row r="24" spans="1:6" ht="18" x14ac:dyDescent="0.25">
      <c r="A24" s="23" t="s">
        <v>84</v>
      </c>
      <c r="B24" s="23"/>
    </row>
    <row r="25" spans="1:6" ht="15" x14ac:dyDescent="0.2">
      <c r="A25" s="24" t="s">
        <v>94</v>
      </c>
      <c r="B25" s="24"/>
    </row>
    <row r="26" spans="1:6" ht="14.25" x14ac:dyDescent="0.2">
      <c r="A26" s="26"/>
      <c r="B26" s="27" t="s">
        <v>86</v>
      </c>
    </row>
    <row r="27" spans="1:6" ht="15" x14ac:dyDescent="0.2">
      <c r="A27" s="28" t="s">
        <v>87</v>
      </c>
      <c r="B27" s="28" t="s">
        <v>88</v>
      </c>
      <c r="C27" s="28" t="s">
        <v>89</v>
      </c>
      <c r="D27" s="28" t="s">
        <v>157</v>
      </c>
      <c r="E27" s="28" t="s">
        <v>91</v>
      </c>
    </row>
    <row r="28" spans="1:6" x14ac:dyDescent="0.2">
      <c r="A28" s="25" t="s">
        <v>179</v>
      </c>
      <c r="B28" s="4" t="s">
        <v>86</v>
      </c>
      <c r="C28" s="4" t="s">
        <v>213</v>
      </c>
      <c r="D28" s="4" t="s">
        <v>27</v>
      </c>
      <c r="E28" s="16" t="s">
        <v>348</v>
      </c>
    </row>
    <row r="29" spans="1:6" x14ac:dyDescent="0.2">
      <c r="A29" s="25" t="s">
        <v>153</v>
      </c>
      <c r="B29" s="4" t="s">
        <v>86</v>
      </c>
      <c r="C29" s="4" t="s">
        <v>95</v>
      </c>
      <c r="D29" s="4" t="s">
        <v>151</v>
      </c>
      <c r="E29" s="16" t="s">
        <v>349</v>
      </c>
    </row>
    <row r="30" spans="1:6" x14ac:dyDescent="0.2">
      <c r="A30" s="25" t="s">
        <v>266</v>
      </c>
      <c r="B30" s="4" t="s">
        <v>86</v>
      </c>
      <c r="C30" s="4" t="s">
        <v>241</v>
      </c>
      <c r="D30" s="4" t="s">
        <v>23</v>
      </c>
      <c r="E30" s="16" t="s">
        <v>350</v>
      </c>
    </row>
    <row r="31" spans="1:6" x14ac:dyDescent="0.2">
      <c r="A31" s="25" t="s">
        <v>340</v>
      </c>
      <c r="B31" s="4" t="s">
        <v>86</v>
      </c>
      <c r="C31" s="4" t="s">
        <v>95</v>
      </c>
      <c r="D31" s="4" t="s">
        <v>27</v>
      </c>
      <c r="E31" s="16" t="s">
        <v>351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2:J12"/>
    <mergeCell ref="K3:K4"/>
    <mergeCell ref="L3:L4"/>
    <mergeCell ref="M3:M4"/>
    <mergeCell ref="A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6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1.8554687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6" bestFit="1" customWidth="1"/>
    <col min="16" max="16" width="8.5703125" style="2" bestFit="1" customWidth="1"/>
    <col min="17" max="17" width="16.42578125" style="4" bestFit="1" customWidth="1"/>
    <col min="18" max="16384" width="9.140625" style="3"/>
  </cols>
  <sheetData>
    <row r="1" spans="1:17" s="2" customFormat="1" ht="29.1" customHeight="1" x14ac:dyDescent="0.2">
      <c r="A1" s="41" t="s">
        <v>318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15</v>
      </c>
      <c r="L3" s="35"/>
      <c r="M3" s="35"/>
      <c r="N3" s="35"/>
      <c r="O3" s="35" t="s">
        <v>1</v>
      </c>
      <c r="P3" s="35" t="s">
        <v>3</v>
      </c>
      <c r="Q3" s="37" t="s">
        <v>2</v>
      </c>
    </row>
    <row r="4" spans="1:17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6"/>
      <c r="P4" s="36"/>
      <c r="Q4" s="38"/>
    </row>
    <row r="5" spans="1:17" ht="15" x14ac:dyDescent="0.2">
      <c r="A5" s="39" t="s">
        <v>319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 x14ac:dyDescent="0.2">
      <c r="A6" s="6" t="s">
        <v>321</v>
      </c>
      <c r="B6" s="6" t="s">
        <v>322</v>
      </c>
      <c r="C6" s="6" t="s">
        <v>323</v>
      </c>
      <c r="D6" s="6" t="str">
        <f>"0,9966"</f>
        <v>0,9966</v>
      </c>
      <c r="E6" s="6" t="s">
        <v>21</v>
      </c>
      <c r="F6" s="6" t="s">
        <v>22</v>
      </c>
      <c r="G6" s="7" t="s">
        <v>324</v>
      </c>
      <c r="H6" s="7" t="s">
        <v>325</v>
      </c>
      <c r="I6" s="7" t="s">
        <v>326</v>
      </c>
      <c r="J6" s="8"/>
      <c r="K6" s="7" t="s">
        <v>27</v>
      </c>
      <c r="L6" s="7" t="s">
        <v>150</v>
      </c>
      <c r="M6" s="7" t="s">
        <v>152</v>
      </c>
      <c r="N6" s="8"/>
      <c r="O6" s="17" t="str">
        <f>"105,0"</f>
        <v>105,0</v>
      </c>
      <c r="P6" s="18" t="str">
        <f>"128,7109"</f>
        <v>128,7109</v>
      </c>
      <c r="Q6" s="6" t="s">
        <v>30</v>
      </c>
    </row>
    <row r="8" spans="1:17" ht="15" x14ac:dyDescent="0.2">
      <c r="A8" s="50" t="s">
        <v>287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 x14ac:dyDescent="0.2">
      <c r="A9" s="6" t="s">
        <v>328</v>
      </c>
      <c r="B9" s="6" t="s">
        <v>329</v>
      </c>
      <c r="C9" s="6" t="s">
        <v>330</v>
      </c>
      <c r="D9" s="6" t="str">
        <f>"0,8924"</f>
        <v>0,8924</v>
      </c>
      <c r="E9" s="6" t="s">
        <v>21</v>
      </c>
      <c r="F9" s="6" t="s">
        <v>22</v>
      </c>
      <c r="G9" s="7" t="s">
        <v>325</v>
      </c>
      <c r="H9" s="7" t="s">
        <v>326</v>
      </c>
      <c r="I9" s="7" t="s">
        <v>25</v>
      </c>
      <c r="J9" s="8"/>
      <c r="K9" s="7" t="s">
        <v>150</v>
      </c>
      <c r="L9" s="7" t="s">
        <v>152</v>
      </c>
      <c r="M9" s="7" t="s">
        <v>23</v>
      </c>
      <c r="N9" s="8"/>
      <c r="O9" s="17" t="str">
        <f>"115,0"</f>
        <v>115,0</v>
      </c>
      <c r="P9" s="18" t="str">
        <f>"121,0987"</f>
        <v>121,0987</v>
      </c>
      <c r="Q9" s="6" t="s">
        <v>30</v>
      </c>
    </row>
    <row r="11" spans="1:17" ht="15" x14ac:dyDescent="0.2">
      <c r="E11" s="15" t="s">
        <v>80</v>
      </c>
      <c r="F11" s="34" t="s">
        <v>386</v>
      </c>
    </row>
    <row r="12" spans="1:17" ht="15" x14ac:dyDescent="0.2">
      <c r="E12" s="15" t="s">
        <v>81</v>
      </c>
      <c r="F12" s="34" t="s">
        <v>387</v>
      </c>
    </row>
    <row r="13" spans="1:17" ht="15" x14ac:dyDescent="0.2">
      <c r="E13" s="15" t="s">
        <v>82</v>
      </c>
      <c r="F13" s="34" t="s">
        <v>388</v>
      </c>
    </row>
    <row r="14" spans="1:17" ht="15" x14ac:dyDescent="0.2">
      <c r="E14" s="15" t="s">
        <v>83</v>
      </c>
      <c r="F14" s="34" t="s">
        <v>390</v>
      </c>
    </row>
    <row r="15" spans="1:17" ht="15" x14ac:dyDescent="0.2">
      <c r="E15" s="15" t="s">
        <v>83</v>
      </c>
      <c r="F15" s="34" t="s">
        <v>389</v>
      </c>
    </row>
    <row r="16" spans="1:17" ht="15" x14ac:dyDescent="0.2">
      <c r="E16" s="15"/>
    </row>
    <row r="17" spans="1:5" ht="15" x14ac:dyDescent="0.2">
      <c r="E17" s="15"/>
    </row>
    <row r="19" spans="1:5" ht="18" x14ac:dyDescent="0.25">
      <c r="A19" s="23" t="s">
        <v>84</v>
      </c>
      <c r="B19" s="23"/>
    </row>
    <row r="20" spans="1:5" ht="15" x14ac:dyDescent="0.2">
      <c r="A20" s="24" t="s">
        <v>94</v>
      </c>
      <c r="B20" s="24"/>
    </row>
    <row r="21" spans="1:5" ht="14.25" x14ac:dyDescent="0.2">
      <c r="A21" s="26"/>
      <c r="B21" s="27" t="s">
        <v>277</v>
      </c>
    </row>
    <row r="22" spans="1:5" ht="15" x14ac:dyDescent="0.2">
      <c r="A22" s="28" t="s">
        <v>87</v>
      </c>
      <c r="B22" s="28" t="s">
        <v>88</v>
      </c>
      <c r="C22" s="28" t="s">
        <v>89</v>
      </c>
      <c r="D22" s="28" t="s">
        <v>90</v>
      </c>
      <c r="E22" s="28" t="s">
        <v>91</v>
      </c>
    </row>
    <row r="23" spans="1:5" x14ac:dyDescent="0.2">
      <c r="A23" s="25" t="s">
        <v>320</v>
      </c>
      <c r="B23" s="4" t="s">
        <v>331</v>
      </c>
      <c r="C23" s="4" t="s">
        <v>332</v>
      </c>
      <c r="D23" s="4" t="s">
        <v>67</v>
      </c>
      <c r="E23" s="16" t="s">
        <v>333</v>
      </c>
    </row>
    <row r="24" spans="1:5" x14ac:dyDescent="0.2">
      <c r="A24" s="25" t="s">
        <v>327</v>
      </c>
      <c r="B24" s="4" t="s">
        <v>334</v>
      </c>
      <c r="C24" s="4" t="s">
        <v>299</v>
      </c>
      <c r="D24" s="4" t="s">
        <v>189</v>
      </c>
      <c r="E24" s="16" t="s">
        <v>335</v>
      </c>
    </row>
  </sheetData>
  <mergeCells count="14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E20" sqref="E2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6" bestFit="1" customWidth="1"/>
    <col min="16" max="16" width="8.5703125" style="2" bestFit="1" customWidth="1"/>
    <col min="17" max="17" width="17.85546875" style="4" bestFit="1" customWidth="1"/>
    <col min="18" max="16384" width="9.140625" style="3"/>
  </cols>
  <sheetData>
    <row r="1" spans="1:17" s="2" customFormat="1" ht="29.1" customHeight="1" x14ac:dyDescent="0.2">
      <c r="A1" s="41" t="s">
        <v>302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15</v>
      </c>
      <c r="L3" s="35"/>
      <c r="M3" s="35"/>
      <c r="N3" s="35"/>
      <c r="O3" s="35" t="s">
        <v>1</v>
      </c>
      <c r="P3" s="35" t="s">
        <v>3</v>
      </c>
      <c r="Q3" s="37" t="s">
        <v>2</v>
      </c>
    </row>
    <row r="4" spans="1:17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6"/>
      <c r="P4" s="36"/>
      <c r="Q4" s="38"/>
    </row>
    <row r="5" spans="1:17" ht="15" x14ac:dyDescent="0.2">
      <c r="A5" s="39" t="s">
        <v>174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 x14ac:dyDescent="0.2">
      <c r="A6" s="6" t="s">
        <v>176</v>
      </c>
      <c r="B6" s="6" t="s">
        <v>177</v>
      </c>
      <c r="C6" s="6" t="s">
        <v>178</v>
      </c>
      <c r="D6" s="6" t="str">
        <f>"0,7822"</f>
        <v>0,7822</v>
      </c>
      <c r="E6" s="6" t="s">
        <v>50</v>
      </c>
      <c r="F6" s="6" t="s">
        <v>51</v>
      </c>
      <c r="G6" s="7" t="s">
        <v>150</v>
      </c>
      <c r="H6" s="7" t="s">
        <v>151</v>
      </c>
      <c r="I6" s="7" t="s">
        <v>152</v>
      </c>
      <c r="J6" s="8"/>
      <c r="K6" s="7" t="s">
        <v>65</v>
      </c>
      <c r="L6" s="8" t="s">
        <v>67</v>
      </c>
      <c r="M6" s="8"/>
      <c r="N6" s="8"/>
      <c r="O6" s="17" t="str">
        <f>"160,0"</f>
        <v>160,0</v>
      </c>
      <c r="P6" s="18" t="str">
        <f>"127,4047"</f>
        <v>127,4047</v>
      </c>
      <c r="Q6" s="6" t="s">
        <v>59</v>
      </c>
    </row>
    <row r="8" spans="1:17" ht="15" x14ac:dyDescent="0.2">
      <c r="A8" s="50" t="s">
        <v>184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 x14ac:dyDescent="0.2">
      <c r="A9" s="9" t="s">
        <v>304</v>
      </c>
      <c r="B9" s="9" t="s">
        <v>305</v>
      </c>
      <c r="C9" s="9" t="s">
        <v>306</v>
      </c>
      <c r="D9" s="9" t="str">
        <f>"0,6645"</f>
        <v>0,6645</v>
      </c>
      <c r="E9" s="9" t="s">
        <v>50</v>
      </c>
      <c r="F9" s="9" t="s">
        <v>51</v>
      </c>
      <c r="G9" s="10" t="s">
        <v>65</v>
      </c>
      <c r="H9" s="10" t="s">
        <v>131</v>
      </c>
      <c r="I9" s="10" t="s">
        <v>169</v>
      </c>
      <c r="J9" s="11"/>
      <c r="K9" s="10" t="s">
        <v>39</v>
      </c>
      <c r="L9" s="10" t="s">
        <v>64</v>
      </c>
      <c r="M9" s="10" t="s">
        <v>52</v>
      </c>
      <c r="N9" s="11"/>
      <c r="O9" s="19" t="str">
        <f>"272,5"</f>
        <v>272,5</v>
      </c>
      <c r="P9" s="20" t="str">
        <f>"204,6162"</f>
        <v>204,6162</v>
      </c>
      <c r="Q9" s="9" t="s">
        <v>59</v>
      </c>
    </row>
    <row r="10" spans="1:17" x14ac:dyDescent="0.2">
      <c r="A10" s="12" t="s">
        <v>308</v>
      </c>
      <c r="B10" s="12" t="s">
        <v>309</v>
      </c>
      <c r="C10" s="12" t="s">
        <v>306</v>
      </c>
      <c r="D10" s="12" t="str">
        <f>"0,6645"</f>
        <v>0,6645</v>
      </c>
      <c r="E10" s="12" t="s">
        <v>50</v>
      </c>
      <c r="F10" s="12" t="s">
        <v>51</v>
      </c>
      <c r="G10" s="13" t="s">
        <v>130</v>
      </c>
      <c r="H10" s="14"/>
      <c r="I10" s="14"/>
      <c r="J10" s="14"/>
      <c r="K10" s="13" t="s">
        <v>37</v>
      </c>
      <c r="L10" s="13" t="s">
        <v>310</v>
      </c>
      <c r="M10" s="14" t="s">
        <v>252</v>
      </c>
      <c r="N10" s="14"/>
      <c r="O10" s="21" t="str">
        <f>"325,0"</f>
        <v>325,0</v>
      </c>
      <c r="P10" s="22" t="str">
        <f>"215,9625"</f>
        <v>215,9625</v>
      </c>
      <c r="Q10" s="12" t="s">
        <v>59</v>
      </c>
    </row>
    <row r="12" spans="1:17" ht="15" x14ac:dyDescent="0.2">
      <c r="A12" s="50" t="s">
        <v>225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7" x14ac:dyDescent="0.2">
      <c r="A13" s="6" t="s">
        <v>311</v>
      </c>
      <c r="B13" s="6" t="s">
        <v>272</v>
      </c>
      <c r="C13" s="6" t="s">
        <v>273</v>
      </c>
      <c r="D13" s="6" t="str">
        <f>"0,5642"</f>
        <v>0,5642</v>
      </c>
      <c r="E13" s="6" t="s">
        <v>50</v>
      </c>
      <c r="F13" s="6" t="s">
        <v>51</v>
      </c>
      <c r="G13" s="7" t="s">
        <v>123</v>
      </c>
      <c r="H13" s="8" t="s">
        <v>130</v>
      </c>
      <c r="I13" s="8" t="s">
        <v>130</v>
      </c>
      <c r="J13" s="8"/>
      <c r="K13" s="7" t="s">
        <v>68</v>
      </c>
      <c r="L13" s="8" t="s">
        <v>76</v>
      </c>
      <c r="M13" s="8" t="s">
        <v>76</v>
      </c>
      <c r="N13" s="8"/>
      <c r="O13" s="17" t="str">
        <f>"350,0"</f>
        <v>350,0</v>
      </c>
      <c r="P13" s="18" t="str">
        <f>"197,4700"</f>
        <v>197,4700</v>
      </c>
      <c r="Q13" s="6" t="s">
        <v>59</v>
      </c>
    </row>
    <row r="15" spans="1:17" ht="15" x14ac:dyDescent="0.2">
      <c r="E15" s="15" t="s">
        <v>80</v>
      </c>
      <c r="F15" s="34" t="s">
        <v>386</v>
      </c>
    </row>
    <row r="16" spans="1:17" ht="15" x14ac:dyDescent="0.2">
      <c r="E16" s="15" t="s">
        <v>81</v>
      </c>
      <c r="F16" s="34" t="s">
        <v>387</v>
      </c>
    </row>
    <row r="17" spans="1:6" ht="15" x14ac:dyDescent="0.2">
      <c r="E17" s="15" t="s">
        <v>82</v>
      </c>
      <c r="F17" s="34" t="s">
        <v>388</v>
      </c>
    </row>
    <row r="18" spans="1:6" ht="15" x14ac:dyDescent="0.2">
      <c r="E18" s="15" t="s">
        <v>83</v>
      </c>
      <c r="F18" s="34" t="s">
        <v>390</v>
      </c>
    </row>
    <row r="19" spans="1:6" ht="15" x14ac:dyDescent="0.2">
      <c r="E19" s="15" t="s">
        <v>83</v>
      </c>
      <c r="F19" s="34" t="s">
        <v>389</v>
      </c>
    </row>
    <row r="20" spans="1:6" ht="15" x14ac:dyDescent="0.2">
      <c r="E20" s="15"/>
    </row>
    <row r="21" spans="1:6" ht="15" x14ac:dyDescent="0.2">
      <c r="E21" s="15"/>
    </row>
    <row r="23" spans="1:6" ht="18" x14ac:dyDescent="0.25">
      <c r="A23" s="23" t="s">
        <v>84</v>
      </c>
      <c r="B23" s="23"/>
    </row>
    <row r="24" spans="1:6" ht="15" x14ac:dyDescent="0.2">
      <c r="A24" s="24" t="s">
        <v>85</v>
      </c>
      <c r="B24" s="24"/>
    </row>
    <row r="25" spans="1:6" ht="14.25" x14ac:dyDescent="0.2">
      <c r="A25" s="26"/>
      <c r="B25" s="27" t="s">
        <v>141</v>
      </c>
    </row>
    <row r="26" spans="1:6" ht="15" x14ac:dyDescent="0.2">
      <c r="A26" s="28" t="s">
        <v>87</v>
      </c>
      <c r="B26" s="28" t="s">
        <v>88</v>
      </c>
      <c r="C26" s="28" t="s">
        <v>89</v>
      </c>
      <c r="D26" s="28" t="s">
        <v>90</v>
      </c>
      <c r="E26" s="28" t="s">
        <v>91</v>
      </c>
    </row>
    <row r="27" spans="1:6" x14ac:dyDescent="0.2">
      <c r="A27" s="25" t="s">
        <v>175</v>
      </c>
      <c r="B27" s="4" t="s">
        <v>212</v>
      </c>
      <c r="C27" s="4" t="s">
        <v>213</v>
      </c>
      <c r="D27" s="4" t="s">
        <v>64</v>
      </c>
      <c r="E27" s="16" t="s">
        <v>312</v>
      </c>
    </row>
    <row r="30" spans="1:6" ht="15" x14ac:dyDescent="0.2">
      <c r="A30" s="24" t="s">
        <v>94</v>
      </c>
      <c r="B30" s="24"/>
    </row>
    <row r="31" spans="1:6" ht="14.25" x14ac:dyDescent="0.2">
      <c r="A31" s="26"/>
      <c r="B31" s="27" t="s">
        <v>277</v>
      </c>
    </row>
    <row r="32" spans="1:6" ht="15" x14ac:dyDescent="0.2">
      <c r="A32" s="28" t="s">
        <v>87</v>
      </c>
      <c r="B32" s="28" t="s">
        <v>88</v>
      </c>
      <c r="C32" s="28" t="s">
        <v>89</v>
      </c>
      <c r="D32" s="28" t="s">
        <v>90</v>
      </c>
      <c r="E32" s="28" t="s">
        <v>91</v>
      </c>
    </row>
    <row r="33" spans="1:5" x14ac:dyDescent="0.2">
      <c r="A33" s="25" t="s">
        <v>303</v>
      </c>
      <c r="B33" s="4" t="s">
        <v>278</v>
      </c>
      <c r="C33" s="4" t="s">
        <v>220</v>
      </c>
      <c r="D33" s="4" t="s">
        <v>313</v>
      </c>
      <c r="E33" s="16" t="s">
        <v>314</v>
      </c>
    </row>
    <row r="35" spans="1:5" ht="14.25" x14ac:dyDescent="0.2">
      <c r="A35" s="26"/>
      <c r="B35" s="27" t="s">
        <v>86</v>
      </c>
    </row>
    <row r="36" spans="1:5" ht="15" x14ac:dyDescent="0.2">
      <c r="A36" s="28" t="s">
        <v>87</v>
      </c>
      <c r="B36" s="28" t="s">
        <v>88</v>
      </c>
      <c r="C36" s="28" t="s">
        <v>89</v>
      </c>
      <c r="D36" s="28" t="s">
        <v>90</v>
      </c>
      <c r="E36" s="28" t="s">
        <v>91</v>
      </c>
    </row>
    <row r="37" spans="1:5" x14ac:dyDescent="0.2">
      <c r="A37" s="25" t="s">
        <v>307</v>
      </c>
      <c r="B37" s="4" t="s">
        <v>86</v>
      </c>
      <c r="C37" s="4" t="s">
        <v>220</v>
      </c>
      <c r="D37" s="4" t="s">
        <v>315</v>
      </c>
      <c r="E37" s="16" t="s">
        <v>316</v>
      </c>
    </row>
    <row r="38" spans="1:5" x14ac:dyDescent="0.2">
      <c r="A38" s="25" t="s">
        <v>270</v>
      </c>
      <c r="B38" s="4" t="s">
        <v>86</v>
      </c>
      <c r="C38" s="4" t="s">
        <v>241</v>
      </c>
      <c r="D38" s="4" t="s">
        <v>139</v>
      </c>
      <c r="E38" s="16" t="s">
        <v>317</v>
      </c>
    </row>
  </sheetData>
  <mergeCells count="15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A12:N12"/>
    <mergeCell ref="O3:O4"/>
    <mergeCell ref="P3:P4"/>
    <mergeCell ref="Q3:Q4"/>
    <mergeCell ref="A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3.2851562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8.5703125" style="2" bestFit="1" customWidth="1"/>
    <col min="13" max="13" width="16.42578125" style="4" bestFit="1" customWidth="1"/>
    <col min="14" max="16384" width="9.140625" style="3"/>
  </cols>
  <sheetData>
    <row r="1" spans="1:13" s="2" customFormat="1" ht="29.1" customHeight="1" x14ac:dyDescent="0.2">
      <c r="A1" s="41" t="s">
        <v>286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15</v>
      </c>
      <c r="H3" s="35"/>
      <c r="I3" s="35"/>
      <c r="J3" s="35"/>
      <c r="K3" s="35" t="s">
        <v>162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287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289</v>
      </c>
      <c r="B6" s="6" t="s">
        <v>290</v>
      </c>
      <c r="C6" s="6" t="s">
        <v>291</v>
      </c>
      <c r="D6" s="6" t="str">
        <f>"0,9160"</f>
        <v>0,9160</v>
      </c>
      <c r="E6" s="6" t="s">
        <v>21</v>
      </c>
      <c r="F6" s="6" t="s">
        <v>22</v>
      </c>
      <c r="G6" s="7" t="s">
        <v>152</v>
      </c>
      <c r="H6" s="7" t="s">
        <v>24</v>
      </c>
      <c r="I6" s="7" t="s">
        <v>292</v>
      </c>
      <c r="J6" s="8"/>
      <c r="K6" s="17" t="str">
        <f>"80,0"</f>
        <v>80,0</v>
      </c>
      <c r="L6" s="18" t="str">
        <f>"73,2800"</f>
        <v>73,2800</v>
      </c>
      <c r="M6" s="6" t="s">
        <v>30</v>
      </c>
    </row>
    <row r="8" spans="1:13" ht="15" x14ac:dyDescent="0.2">
      <c r="A8" s="50" t="s">
        <v>225</v>
      </c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2">
      <c r="A9" s="6" t="s">
        <v>294</v>
      </c>
      <c r="B9" s="6" t="s">
        <v>295</v>
      </c>
      <c r="C9" s="6" t="s">
        <v>296</v>
      </c>
      <c r="D9" s="6" t="str">
        <f>"0,5685"</f>
        <v>0,5685</v>
      </c>
      <c r="E9" s="6" t="s">
        <v>36</v>
      </c>
      <c r="F9" s="6" t="s">
        <v>297</v>
      </c>
      <c r="G9" s="7" t="s">
        <v>41</v>
      </c>
      <c r="H9" s="7" t="s">
        <v>125</v>
      </c>
      <c r="I9" s="8" t="s">
        <v>298</v>
      </c>
      <c r="J9" s="8"/>
      <c r="K9" s="17" t="str">
        <f>"245,0"</f>
        <v>245,0</v>
      </c>
      <c r="L9" s="18" t="str">
        <f>"139,2825"</f>
        <v>139,2825</v>
      </c>
      <c r="M9" s="6" t="s">
        <v>44</v>
      </c>
    </row>
    <row r="11" spans="1:13" ht="15" x14ac:dyDescent="0.2">
      <c r="E11" s="15" t="s">
        <v>80</v>
      </c>
      <c r="F11" s="34" t="s">
        <v>386</v>
      </c>
    </row>
    <row r="12" spans="1:13" ht="15" x14ac:dyDescent="0.2">
      <c r="E12" s="15" t="s">
        <v>81</v>
      </c>
      <c r="F12" s="34" t="s">
        <v>387</v>
      </c>
    </row>
    <row r="13" spans="1:13" ht="15" x14ac:dyDescent="0.2">
      <c r="E13" s="15" t="s">
        <v>82</v>
      </c>
      <c r="F13" s="34" t="s">
        <v>388</v>
      </c>
    </row>
    <row r="14" spans="1:13" ht="15" x14ac:dyDescent="0.2">
      <c r="E14" s="15" t="s">
        <v>83</v>
      </c>
      <c r="F14" s="34" t="s">
        <v>390</v>
      </c>
    </row>
    <row r="15" spans="1:13" ht="15" x14ac:dyDescent="0.2">
      <c r="E15" s="15" t="s">
        <v>83</v>
      </c>
      <c r="F15" s="34" t="s">
        <v>389</v>
      </c>
    </row>
    <row r="16" spans="1:13" ht="15" x14ac:dyDescent="0.2">
      <c r="E16" s="15"/>
    </row>
    <row r="17" spans="1:5" ht="15" x14ac:dyDescent="0.2">
      <c r="E17" s="15"/>
    </row>
    <row r="19" spans="1:5" ht="18" x14ac:dyDescent="0.25">
      <c r="A19" s="23" t="s">
        <v>84</v>
      </c>
      <c r="B19" s="23"/>
    </row>
    <row r="20" spans="1:5" ht="15" x14ac:dyDescent="0.2">
      <c r="A20" s="24" t="s">
        <v>85</v>
      </c>
      <c r="B20" s="24"/>
    </row>
    <row r="21" spans="1:5" ht="14.25" x14ac:dyDescent="0.2">
      <c r="A21" s="26"/>
      <c r="B21" s="27" t="s">
        <v>86</v>
      </c>
    </row>
    <row r="22" spans="1:5" ht="15" x14ac:dyDescent="0.2">
      <c r="A22" s="28" t="s">
        <v>87</v>
      </c>
      <c r="B22" s="28" t="s">
        <v>88</v>
      </c>
      <c r="C22" s="28" t="s">
        <v>89</v>
      </c>
      <c r="D22" s="28" t="s">
        <v>157</v>
      </c>
      <c r="E22" s="28" t="s">
        <v>91</v>
      </c>
    </row>
    <row r="23" spans="1:5" x14ac:dyDescent="0.2">
      <c r="A23" s="25" t="s">
        <v>288</v>
      </c>
      <c r="B23" s="4" t="s">
        <v>86</v>
      </c>
      <c r="C23" s="4" t="s">
        <v>299</v>
      </c>
      <c r="D23" s="4" t="s">
        <v>292</v>
      </c>
      <c r="E23" s="16" t="s">
        <v>300</v>
      </c>
    </row>
    <row r="26" spans="1:5" ht="15" x14ac:dyDescent="0.2">
      <c r="A26" s="24" t="s">
        <v>94</v>
      </c>
      <c r="B26" s="24"/>
    </row>
    <row r="27" spans="1:5" ht="14.25" x14ac:dyDescent="0.2">
      <c r="A27" s="26"/>
      <c r="B27" s="27" t="s">
        <v>86</v>
      </c>
    </row>
    <row r="28" spans="1:5" ht="15" x14ac:dyDescent="0.2">
      <c r="A28" s="28" t="s">
        <v>87</v>
      </c>
      <c r="B28" s="28" t="s">
        <v>88</v>
      </c>
      <c r="C28" s="28" t="s">
        <v>89</v>
      </c>
      <c r="D28" s="28" t="s">
        <v>157</v>
      </c>
      <c r="E28" s="28" t="s">
        <v>91</v>
      </c>
    </row>
    <row r="29" spans="1:5" x14ac:dyDescent="0.2">
      <c r="A29" s="25" t="s">
        <v>293</v>
      </c>
      <c r="B29" s="4" t="s">
        <v>86</v>
      </c>
      <c r="C29" s="4" t="s">
        <v>241</v>
      </c>
      <c r="D29" s="4" t="s">
        <v>125</v>
      </c>
      <c r="E29" s="16" t="s">
        <v>301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E33" sqref="E3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8.5703125" style="2" bestFit="1" customWidth="1"/>
    <col min="13" max="13" width="31" style="4" bestFit="1" customWidth="1"/>
    <col min="14" max="16384" width="9.140625" style="3"/>
  </cols>
  <sheetData>
    <row r="1" spans="1:13" s="2" customFormat="1" ht="29.1" customHeight="1" x14ac:dyDescent="0.2">
      <c r="A1" s="41" t="s">
        <v>246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15</v>
      </c>
      <c r="H3" s="35"/>
      <c r="I3" s="35"/>
      <c r="J3" s="35"/>
      <c r="K3" s="35" t="s">
        <v>162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16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18</v>
      </c>
      <c r="B6" s="6" t="s">
        <v>19</v>
      </c>
      <c r="C6" s="6" t="s">
        <v>20</v>
      </c>
      <c r="D6" s="6" t="str">
        <f>"1,0379"</f>
        <v>1,0379</v>
      </c>
      <c r="E6" s="6" t="s">
        <v>21</v>
      </c>
      <c r="F6" s="6" t="s">
        <v>22</v>
      </c>
      <c r="G6" s="7" t="s">
        <v>28</v>
      </c>
      <c r="H6" s="8" t="s">
        <v>29</v>
      </c>
      <c r="I6" s="8" t="s">
        <v>29</v>
      </c>
      <c r="J6" s="8"/>
      <c r="K6" s="17" t="str">
        <f>"110,0"</f>
        <v>110,0</v>
      </c>
      <c r="L6" s="18" t="str">
        <f>"114,1690"</f>
        <v>114,1690</v>
      </c>
      <c r="M6" s="6" t="s">
        <v>30</v>
      </c>
    </row>
    <row r="8" spans="1:13" ht="15" x14ac:dyDescent="0.2">
      <c r="A8" s="50" t="s">
        <v>145</v>
      </c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2">
      <c r="A9" s="6" t="s">
        <v>147</v>
      </c>
      <c r="B9" s="6" t="s">
        <v>148</v>
      </c>
      <c r="C9" s="6" t="s">
        <v>149</v>
      </c>
      <c r="D9" s="6" t="str">
        <f>"0,8647"</f>
        <v>0,8647</v>
      </c>
      <c r="E9" s="6" t="s">
        <v>21</v>
      </c>
      <c r="F9" s="6" t="s">
        <v>22</v>
      </c>
      <c r="G9" s="7" t="s">
        <v>28</v>
      </c>
      <c r="H9" s="7" t="s">
        <v>122</v>
      </c>
      <c r="I9" s="8" t="s">
        <v>123</v>
      </c>
      <c r="J9" s="8"/>
      <c r="K9" s="17" t="str">
        <f>"120,0"</f>
        <v>120,0</v>
      </c>
      <c r="L9" s="18" t="str">
        <f>"118,6992"</f>
        <v>118,6992</v>
      </c>
      <c r="M9" s="6" t="s">
        <v>30</v>
      </c>
    </row>
    <row r="11" spans="1:13" ht="15" x14ac:dyDescent="0.2">
      <c r="A11" s="50" t="s">
        <v>174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 x14ac:dyDescent="0.2">
      <c r="A12" s="6" t="s">
        <v>248</v>
      </c>
      <c r="B12" s="6" t="s">
        <v>249</v>
      </c>
      <c r="C12" s="6" t="s">
        <v>250</v>
      </c>
      <c r="D12" s="6" t="str">
        <f>"0,7741"</f>
        <v>0,7741</v>
      </c>
      <c r="E12" s="6" t="s">
        <v>251</v>
      </c>
      <c r="F12" s="6" t="s">
        <v>22</v>
      </c>
      <c r="G12" s="7" t="s">
        <v>56</v>
      </c>
      <c r="H12" s="7" t="s">
        <v>252</v>
      </c>
      <c r="I12" s="8" t="s">
        <v>57</v>
      </c>
      <c r="J12" s="8"/>
      <c r="K12" s="17" t="str">
        <f>"205,0"</f>
        <v>205,0</v>
      </c>
      <c r="L12" s="18" t="str">
        <f>"158,6905"</f>
        <v>158,6905</v>
      </c>
      <c r="M12" s="6" t="s">
        <v>253</v>
      </c>
    </row>
    <row r="14" spans="1:13" ht="15" x14ac:dyDescent="0.2">
      <c r="A14" s="50" t="s">
        <v>31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 x14ac:dyDescent="0.2">
      <c r="A15" s="6" t="s">
        <v>255</v>
      </c>
      <c r="B15" s="6" t="s">
        <v>256</v>
      </c>
      <c r="C15" s="6" t="s">
        <v>257</v>
      </c>
      <c r="D15" s="6" t="str">
        <f>"0,6214"</f>
        <v>0,6214</v>
      </c>
      <c r="E15" s="6" t="s">
        <v>21</v>
      </c>
      <c r="F15" s="6" t="s">
        <v>22</v>
      </c>
      <c r="G15" s="7" t="s">
        <v>37</v>
      </c>
      <c r="H15" s="7" t="s">
        <v>56</v>
      </c>
      <c r="I15" s="8" t="s">
        <v>258</v>
      </c>
      <c r="J15" s="8"/>
      <c r="K15" s="17" t="str">
        <f>"200,0"</f>
        <v>200,0</v>
      </c>
      <c r="L15" s="18" t="str">
        <f>"124,2800"</f>
        <v>124,2800</v>
      </c>
      <c r="M15" s="6" t="s">
        <v>30</v>
      </c>
    </row>
    <row r="17" spans="1:13" ht="15" x14ac:dyDescent="0.2">
      <c r="A17" s="50" t="s">
        <v>45</v>
      </c>
      <c r="B17" s="50"/>
      <c r="C17" s="50"/>
      <c r="D17" s="50"/>
      <c r="E17" s="50"/>
      <c r="F17" s="50"/>
      <c r="G17" s="50"/>
      <c r="H17" s="50"/>
      <c r="I17" s="50"/>
      <c r="J17" s="50"/>
    </row>
    <row r="18" spans="1:13" x14ac:dyDescent="0.2">
      <c r="A18" s="9" t="s">
        <v>260</v>
      </c>
      <c r="B18" s="9" t="s">
        <v>261</v>
      </c>
      <c r="C18" s="9" t="s">
        <v>262</v>
      </c>
      <c r="D18" s="9" t="str">
        <f>"0,6130"</f>
        <v>0,6130</v>
      </c>
      <c r="E18" s="9" t="s">
        <v>36</v>
      </c>
      <c r="F18" s="9" t="s">
        <v>22</v>
      </c>
      <c r="G18" s="10" t="s">
        <v>113</v>
      </c>
      <c r="H18" s="10" t="s">
        <v>263</v>
      </c>
      <c r="I18" s="11" t="s">
        <v>68</v>
      </c>
      <c r="J18" s="11"/>
      <c r="K18" s="19" t="str">
        <f>"197,5"</f>
        <v>197,5</v>
      </c>
      <c r="L18" s="20" t="str">
        <f>"130,7422"</f>
        <v>130,7422</v>
      </c>
      <c r="M18" s="9" t="s">
        <v>264</v>
      </c>
    </row>
    <row r="19" spans="1:13" x14ac:dyDescent="0.2">
      <c r="A19" s="12" t="s">
        <v>265</v>
      </c>
      <c r="B19" s="12" t="s">
        <v>62</v>
      </c>
      <c r="C19" s="12" t="s">
        <v>63</v>
      </c>
      <c r="D19" s="12" t="str">
        <f>"0,5877"</f>
        <v>0,5877</v>
      </c>
      <c r="E19" s="12" t="s">
        <v>21</v>
      </c>
      <c r="F19" s="12" t="s">
        <v>22</v>
      </c>
      <c r="G19" s="13" t="s">
        <v>57</v>
      </c>
      <c r="H19" s="14" t="s">
        <v>68</v>
      </c>
      <c r="I19" s="14"/>
      <c r="J19" s="14"/>
      <c r="K19" s="21" t="str">
        <f>"210,0"</f>
        <v>210,0</v>
      </c>
      <c r="L19" s="22" t="str">
        <f>"123,4170"</f>
        <v>123,4170</v>
      </c>
      <c r="M19" s="12" t="s">
        <v>30</v>
      </c>
    </row>
    <row r="21" spans="1:13" ht="15" x14ac:dyDescent="0.2">
      <c r="A21" s="50" t="s">
        <v>225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3" x14ac:dyDescent="0.2">
      <c r="A22" s="9" t="s">
        <v>267</v>
      </c>
      <c r="B22" s="9" t="s">
        <v>268</v>
      </c>
      <c r="C22" s="9" t="s">
        <v>269</v>
      </c>
      <c r="D22" s="9" t="str">
        <f>"0,5573"</f>
        <v>0,5573</v>
      </c>
      <c r="E22" s="9" t="s">
        <v>21</v>
      </c>
      <c r="F22" s="9" t="s">
        <v>22</v>
      </c>
      <c r="G22" s="10" t="s">
        <v>57</v>
      </c>
      <c r="H22" s="10" t="s">
        <v>75</v>
      </c>
      <c r="I22" s="10" t="s">
        <v>76</v>
      </c>
      <c r="J22" s="11"/>
      <c r="K22" s="19" t="str">
        <f>"235,0"</f>
        <v>235,0</v>
      </c>
      <c r="L22" s="20" t="str">
        <f>"130,9655"</f>
        <v>130,9655</v>
      </c>
      <c r="M22" s="9" t="s">
        <v>30</v>
      </c>
    </row>
    <row r="23" spans="1:13" x14ac:dyDescent="0.2">
      <c r="A23" s="12" t="s">
        <v>271</v>
      </c>
      <c r="B23" s="12" t="s">
        <v>272</v>
      </c>
      <c r="C23" s="12" t="s">
        <v>273</v>
      </c>
      <c r="D23" s="12" t="str">
        <f>"0,5642"</f>
        <v>0,5642</v>
      </c>
      <c r="E23" s="12" t="s">
        <v>50</v>
      </c>
      <c r="F23" s="12" t="s">
        <v>51</v>
      </c>
      <c r="G23" s="13" t="s">
        <v>68</v>
      </c>
      <c r="H23" s="14" t="s">
        <v>76</v>
      </c>
      <c r="I23" s="14" t="s">
        <v>76</v>
      </c>
      <c r="J23" s="14"/>
      <c r="K23" s="21" t="str">
        <f>"225,0"</f>
        <v>225,0</v>
      </c>
      <c r="L23" s="22" t="str">
        <f>"126,9450"</f>
        <v>126,9450</v>
      </c>
      <c r="M23" s="12" t="s">
        <v>59</v>
      </c>
    </row>
    <row r="25" spans="1:13" ht="15" x14ac:dyDescent="0.2">
      <c r="A25" s="50" t="s">
        <v>69</v>
      </c>
      <c r="B25" s="50"/>
      <c r="C25" s="50"/>
      <c r="D25" s="50"/>
      <c r="E25" s="50"/>
      <c r="F25" s="50"/>
      <c r="G25" s="50"/>
      <c r="H25" s="50"/>
      <c r="I25" s="50"/>
      <c r="J25" s="50"/>
    </row>
    <row r="26" spans="1:13" x14ac:dyDescent="0.2">
      <c r="A26" s="6" t="s">
        <v>71</v>
      </c>
      <c r="B26" s="6" t="s">
        <v>274</v>
      </c>
      <c r="C26" s="6" t="s">
        <v>73</v>
      </c>
      <c r="D26" s="6" t="str">
        <f>"0,5372"</f>
        <v>0,5372</v>
      </c>
      <c r="E26" s="6" t="s">
        <v>74</v>
      </c>
      <c r="F26" s="6" t="s">
        <v>22</v>
      </c>
      <c r="G26" s="7" t="s">
        <v>75</v>
      </c>
      <c r="H26" s="8" t="s">
        <v>78</v>
      </c>
      <c r="I26" s="8" t="s">
        <v>78</v>
      </c>
      <c r="J26" s="8"/>
      <c r="K26" s="17" t="str">
        <f>"220,0"</f>
        <v>220,0</v>
      </c>
      <c r="L26" s="18" t="str">
        <f>"118,1950"</f>
        <v>118,1950</v>
      </c>
      <c r="M26" s="6" t="s">
        <v>79</v>
      </c>
    </row>
    <row r="28" spans="1:13" ht="15" x14ac:dyDescent="0.2">
      <c r="E28" s="15" t="s">
        <v>80</v>
      </c>
      <c r="F28" s="34" t="s">
        <v>386</v>
      </c>
    </row>
    <row r="29" spans="1:13" ht="15" x14ac:dyDescent="0.2">
      <c r="E29" s="15" t="s">
        <v>81</v>
      </c>
      <c r="F29" s="34" t="s">
        <v>387</v>
      </c>
    </row>
    <row r="30" spans="1:13" ht="15" x14ac:dyDescent="0.2">
      <c r="E30" s="15" t="s">
        <v>82</v>
      </c>
      <c r="F30" s="34" t="s">
        <v>388</v>
      </c>
    </row>
    <row r="31" spans="1:13" ht="15" x14ac:dyDescent="0.2">
      <c r="E31" s="15" t="s">
        <v>83</v>
      </c>
      <c r="F31" s="34" t="s">
        <v>390</v>
      </c>
    </row>
    <row r="32" spans="1:13" ht="15" x14ac:dyDescent="0.2">
      <c r="E32" s="15" t="s">
        <v>83</v>
      </c>
      <c r="F32" s="34" t="s">
        <v>389</v>
      </c>
    </row>
    <row r="33" spans="1:5" ht="15" x14ac:dyDescent="0.2">
      <c r="E33" s="15"/>
    </row>
    <row r="34" spans="1:5" ht="15" x14ac:dyDescent="0.2">
      <c r="E34" s="15"/>
    </row>
    <row r="36" spans="1:5" ht="18" x14ac:dyDescent="0.25">
      <c r="A36" s="23" t="s">
        <v>84</v>
      </c>
      <c r="B36" s="23"/>
    </row>
    <row r="37" spans="1:5" ht="15" x14ac:dyDescent="0.2">
      <c r="A37" s="24" t="s">
        <v>85</v>
      </c>
      <c r="B37" s="24"/>
    </row>
    <row r="38" spans="1:5" ht="14.25" x14ac:dyDescent="0.2">
      <c r="A38" s="26"/>
      <c r="B38" s="27" t="s">
        <v>86</v>
      </c>
    </row>
    <row r="39" spans="1:5" ht="15" x14ac:dyDescent="0.2">
      <c r="A39" s="28" t="s">
        <v>87</v>
      </c>
      <c r="B39" s="28" t="s">
        <v>88</v>
      </c>
      <c r="C39" s="28" t="s">
        <v>89</v>
      </c>
      <c r="D39" s="28" t="s">
        <v>157</v>
      </c>
      <c r="E39" s="28" t="s">
        <v>91</v>
      </c>
    </row>
    <row r="40" spans="1:5" x14ac:dyDescent="0.2">
      <c r="A40" s="25" t="s">
        <v>17</v>
      </c>
      <c r="B40" s="4" t="s">
        <v>86</v>
      </c>
      <c r="C40" s="4" t="s">
        <v>92</v>
      </c>
      <c r="D40" s="4" t="s">
        <v>28</v>
      </c>
      <c r="E40" s="16" t="s">
        <v>275</v>
      </c>
    </row>
    <row r="42" spans="1:5" ht="14.25" x14ac:dyDescent="0.2">
      <c r="A42" s="26"/>
      <c r="B42" s="27" t="s">
        <v>141</v>
      </c>
    </row>
    <row r="43" spans="1:5" ht="15" x14ac:dyDescent="0.2">
      <c r="A43" s="28" t="s">
        <v>87</v>
      </c>
      <c r="B43" s="28" t="s">
        <v>88</v>
      </c>
      <c r="C43" s="28" t="s">
        <v>89</v>
      </c>
      <c r="D43" s="28" t="s">
        <v>157</v>
      </c>
      <c r="E43" s="28" t="s">
        <v>91</v>
      </c>
    </row>
    <row r="44" spans="1:5" x14ac:dyDescent="0.2">
      <c r="A44" s="25" t="s">
        <v>146</v>
      </c>
      <c r="B44" s="4" t="s">
        <v>158</v>
      </c>
      <c r="C44" s="4" t="s">
        <v>159</v>
      </c>
      <c r="D44" s="4" t="s">
        <v>122</v>
      </c>
      <c r="E44" s="16" t="s">
        <v>276</v>
      </c>
    </row>
    <row r="47" spans="1:5" ht="15" x14ac:dyDescent="0.2">
      <c r="A47" s="24" t="s">
        <v>94</v>
      </c>
      <c r="B47" s="24"/>
    </row>
    <row r="48" spans="1:5" ht="14.25" x14ac:dyDescent="0.2">
      <c r="A48" s="26"/>
      <c r="B48" s="27" t="s">
        <v>277</v>
      </c>
    </row>
    <row r="49" spans="1:5" ht="15" x14ac:dyDescent="0.2">
      <c r="A49" s="28" t="s">
        <v>87</v>
      </c>
      <c r="B49" s="28" t="s">
        <v>88</v>
      </c>
      <c r="C49" s="28" t="s">
        <v>89</v>
      </c>
      <c r="D49" s="28" t="s">
        <v>157</v>
      </c>
      <c r="E49" s="28" t="s">
        <v>91</v>
      </c>
    </row>
    <row r="50" spans="1:5" x14ac:dyDescent="0.2">
      <c r="A50" s="25" t="s">
        <v>259</v>
      </c>
      <c r="B50" s="4" t="s">
        <v>278</v>
      </c>
      <c r="C50" s="4" t="s">
        <v>101</v>
      </c>
      <c r="D50" s="4" t="s">
        <v>263</v>
      </c>
      <c r="E50" s="16" t="s">
        <v>279</v>
      </c>
    </row>
    <row r="52" spans="1:5" ht="14.25" x14ac:dyDescent="0.2">
      <c r="A52" s="26"/>
      <c r="B52" s="27" t="s">
        <v>133</v>
      </c>
    </row>
    <row r="53" spans="1:5" ht="15" x14ac:dyDescent="0.2">
      <c r="A53" s="28" t="s">
        <v>87</v>
      </c>
      <c r="B53" s="28" t="s">
        <v>88</v>
      </c>
      <c r="C53" s="28" t="s">
        <v>89</v>
      </c>
      <c r="D53" s="28" t="s">
        <v>157</v>
      </c>
      <c r="E53" s="28" t="s">
        <v>91</v>
      </c>
    </row>
    <row r="54" spans="1:5" x14ac:dyDescent="0.2">
      <c r="A54" s="25" t="s">
        <v>70</v>
      </c>
      <c r="B54" s="4" t="s">
        <v>134</v>
      </c>
      <c r="C54" s="4" t="s">
        <v>98</v>
      </c>
      <c r="D54" s="4" t="s">
        <v>75</v>
      </c>
      <c r="E54" s="16" t="s">
        <v>280</v>
      </c>
    </row>
    <row r="56" spans="1:5" ht="14.25" x14ac:dyDescent="0.2">
      <c r="A56" s="26"/>
      <c r="B56" s="27" t="s">
        <v>86</v>
      </c>
    </row>
    <row r="57" spans="1:5" ht="15" x14ac:dyDescent="0.2">
      <c r="A57" s="28" t="s">
        <v>87</v>
      </c>
      <c r="B57" s="28" t="s">
        <v>88</v>
      </c>
      <c r="C57" s="28" t="s">
        <v>89</v>
      </c>
      <c r="D57" s="28" t="s">
        <v>157</v>
      </c>
      <c r="E57" s="28" t="s">
        <v>91</v>
      </c>
    </row>
    <row r="58" spans="1:5" x14ac:dyDescent="0.2">
      <c r="A58" s="25" t="s">
        <v>247</v>
      </c>
      <c r="B58" s="4" t="s">
        <v>86</v>
      </c>
      <c r="C58" s="4" t="s">
        <v>213</v>
      </c>
      <c r="D58" s="4" t="s">
        <v>252</v>
      </c>
      <c r="E58" s="16" t="s">
        <v>281</v>
      </c>
    </row>
    <row r="59" spans="1:5" x14ac:dyDescent="0.2">
      <c r="A59" s="25" t="s">
        <v>266</v>
      </c>
      <c r="B59" s="4" t="s">
        <v>86</v>
      </c>
      <c r="C59" s="4" t="s">
        <v>241</v>
      </c>
      <c r="D59" s="4" t="s">
        <v>76</v>
      </c>
      <c r="E59" s="16" t="s">
        <v>282</v>
      </c>
    </row>
    <row r="60" spans="1:5" x14ac:dyDescent="0.2">
      <c r="A60" s="25" t="s">
        <v>270</v>
      </c>
      <c r="B60" s="4" t="s">
        <v>86</v>
      </c>
      <c r="C60" s="4" t="s">
        <v>241</v>
      </c>
      <c r="D60" s="4" t="s">
        <v>68</v>
      </c>
      <c r="E60" s="16" t="s">
        <v>283</v>
      </c>
    </row>
    <row r="61" spans="1:5" x14ac:dyDescent="0.2">
      <c r="A61" s="25" t="s">
        <v>254</v>
      </c>
      <c r="B61" s="4" t="s">
        <v>86</v>
      </c>
      <c r="C61" s="4" t="s">
        <v>95</v>
      </c>
      <c r="D61" s="4" t="s">
        <v>56</v>
      </c>
      <c r="E61" s="16" t="s">
        <v>284</v>
      </c>
    </row>
    <row r="62" spans="1:5" x14ac:dyDescent="0.2">
      <c r="A62" s="25" t="s">
        <v>60</v>
      </c>
      <c r="B62" s="4" t="s">
        <v>86</v>
      </c>
      <c r="C62" s="4" t="s">
        <v>101</v>
      </c>
      <c r="D62" s="4" t="s">
        <v>57</v>
      </c>
      <c r="E62" s="16" t="s">
        <v>285</v>
      </c>
    </row>
  </sheetData>
  <mergeCells count="18">
    <mergeCell ref="A1:M2"/>
    <mergeCell ref="A3:A4"/>
    <mergeCell ref="B3:B4"/>
    <mergeCell ref="C3:C4"/>
    <mergeCell ref="D3:D4"/>
    <mergeCell ref="E3:E4"/>
    <mergeCell ref="F3:F4"/>
    <mergeCell ref="G3:J3"/>
    <mergeCell ref="A25:J25"/>
    <mergeCell ref="K3:K4"/>
    <mergeCell ref="L3:L4"/>
    <mergeCell ref="M3:M4"/>
    <mergeCell ref="A5:J5"/>
    <mergeCell ref="A8:J8"/>
    <mergeCell ref="A11:J11"/>
    <mergeCell ref="A14:J14"/>
    <mergeCell ref="A17:J17"/>
    <mergeCell ref="A21:J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E18" sqref="E18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7.5703125" style="2" bestFit="1" customWidth="1"/>
    <col min="13" max="13" width="17.85546875" style="4" bestFit="1" customWidth="1"/>
    <col min="14" max="16384" width="9.140625" style="3"/>
  </cols>
  <sheetData>
    <row r="1" spans="1:13" s="2" customFormat="1" ht="29.1" customHeight="1" x14ac:dyDescent="0.2">
      <c r="A1" s="41" t="s">
        <v>224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162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225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9" t="s">
        <v>227</v>
      </c>
      <c r="B6" s="9" t="s">
        <v>228</v>
      </c>
      <c r="C6" s="9" t="s">
        <v>229</v>
      </c>
      <c r="D6" s="9" t="str">
        <f>"0,5545"</f>
        <v>0,5545</v>
      </c>
      <c r="E6" s="9" t="s">
        <v>21</v>
      </c>
      <c r="F6" s="9" t="s">
        <v>22</v>
      </c>
      <c r="G6" s="10" t="s">
        <v>230</v>
      </c>
      <c r="H6" s="10" t="s">
        <v>37</v>
      </c>
      <c r="I6" s="11" t="s">
        <v>231</v>
      </c>
      <c r="J6" s="11"/>
      <c r="K6" s="19" t="str">
        <f>"180,0"</f>
        <v>180,0</v>
      </c>
      <c r="L6" s="20" t="str">
        <f>"99,8100"</f>
        <v>99,8100</v>
      </c>
      <c r="M6" s="9" t="s">
        <v>30</v>
      </c>
    </row>
    <row r="7" spans="1:13" x14ac:dyDescent="0.2">
      <c r="A7" s="12" t="s">
        <v>233</v>
      </c>
      <c r="B7" s="12" t="s">
        <v>234</v>
      </c>
      <c r="C7" s="12" t="s">
        <v>235</v>
      </c>
      <c r="D7" s="12" t="str">
        <f>"0,5568"</f>
        <v>0,5568</v>
      </c>
      <c r="E7" s="12" t="s">
        <v>21</v>
      </c>
      <c r="F7" s="12" t="s">
        <v>22</v>
      </c>
      <c r="G7" s="13" t="s">
        <v>206</v>
      </c>
      <c r="H7" s="14" t="s">
        <v>114</v>
      </c>
      <c r="I7" s="14" t="s">
        <v>114</v>
      </c>
      <c r="J7" s="14"/>
      <c r="K7" s="21" t="str">
        <f>"175,0"</f>
        <v>175,0</v>
      </c>
      <c r="L7" s="22" t="str">
        <f>"97,4400"</f>
        <v>97,4400</v>
      </c>
      <c r="M7" s="12" t="s">
        <v>30</v>
      </c>
    </row>
    <row r="9" spans="1:13" ht="15" x14ac:dyDescent="0.2">
      <c r="A9" s="50" t="s">
        <v>69</v>
      </c>
      <c r="B9" s="50"/>
      <c r="C9" s="50"/>
      <c r="D9" s="50"/>
      <c r="E9" s="50"/>
      <c r="F9" s="50"/>
      <c r="G9" s="50"/>
      <c r="H9" s="50"/>
      <c r="I9" s="50"/>
      <c r="J9" s="50"/>
    </row>
    <row r="10" spans="1:13" x14ac:dyDescent="0.2">
      <c r="A10" s="9" t="s">
        <v>237</v>
      </c>
      <c r="B10" s="9" t="s">
        <v>238</v>
      </c>
      <c r="C10" s="9" t="s">
        <v>239</v>
      </c>
      <c r="D10" s="9" t="str">
        <f>"0,5366"</f>
        <v>0,5366</v>
      </c>
      <c r="E10" s="9" t="s">
        <v>50</v>
      </c>
      <c r="F10" s="9" t="s">
        <v>51</v>
      </c>
      <c r="G10" s="10" t="s">
        <v>52</v>
      </c>
      <c r="H10" s="10" t="s">
        <v>206</v>
      </c>
      <c r="I10" s="11" t="s">
        <v>114</v>
      </c>
      <c r="J10" s="11"/>
      <c r="K10" s="19" t="str">
        <f>"175,0"</f>
        <v>175,0</v>
      </c>
      <c r="L10" s="20" t="str">
        <f>"93,9050"</f>
        <v>93,9050</v>
      </c>
      <c r="M10" s="9" t="s">
        <v>59</v>
      </c>
    </row>
    <row r="11" spans="1:13" x14ac:dyDescent="0.2">
      <c r="A11" s="12" t="s">
        <v>237</v>
      </c>
      <c r="B11" s="12" t="s">
        <v>240</v>
      </c>
      <c r="C11" s="12" t="s">
        <v>239</v>
      </c>
      <c r="D11" s="12" t="str">
        <f>"0,5366"</f>
        <v>0,5366</v>
      </c>
      <c r="E11" s="12" t="s">
        <v>50</v>
      </c>
      <c r="F11" s="12" t="s">
        <v>51</v>
      </c>
      <c r="G11" s="13" t="s">
        <v>52</v>
      </c>
      <c r="H11" s="13" t="s">
        <v>206</v>
      </c>
      <c r="I11" s="14" t="s">
        <v>114</v>
      </c>
      <c r="J11" s="14"/>
      <c r="K11" s="21" t="str">
        <f>"175,0"</f>
        <v>175,0</v>
      </c>
      <c r="L11" s="22" t="str">
        <f>"95,5953"</f>
        <v>95,5953</v>
      </c>
      <c r="M11" s="12" t="s">
        <v>59</v>
      </c>
    </row>
    <row r="13" spans="1:13" ht="15" x14ac:dyDescent="0.2">
      <c r="E13" s="15" t="s">
        <v>80</v>
      </c>
      <c r="F13" s="34" t="s">
        <v>386</v>
      </c>
    </row>
    <row r="14" spans="1:13" ht="15" x14ac:dyDescent="0.2">
      <c r="E14" s="15" t="s">
        <v>81</v>
      </c>
      <c r="F14" s="34" t="s">
        <v>387</v>
      </c>
    </row>
    <row r="15" spans="1:13" ht="15" x14ac:dyDescent="0.2">
      <c r="E15" s="15" t="s">
        <v>82</v>
      </c>
      <c r="F15" s="34" t="s">
        <v>388</v>
      </c>
    </row>
    <row r="16" spans="1:13" ht="15" x14ac:dyDescent="0.2">
      <c r="E16" s="15" t="s">
        <v>83</v>
      </c>
      <c r="F16" s="34" t="s">
        <v>390</v>
      </c>
    </row>
    <row r="17" spans="1:6" ht="15" x14ac:dyDescent="0.2">
      <c r="E17" s="15" t="s">
        <v>83</v>
      </c>
      <c r="F17" s="34" t="s">
        <v>389</v>
      </c>
    </row>
    <row r="18" spans="1:6" ht="15" x14ac:dyDescent="0.2">
      <c r="E18" s="15"/>
    </row>
    <row r="19" spans="1:6" ht="15" x14ac:dyDescent="0.2">
      <c r="E19" s="15"/>
    </row>
    <row r="21" spans="1:6" ht="18" x14ac:dyDescent="0.25">
      <c r="A21" s="23" t="s">
        <v>84</v>
      </c>
      <c r="B21" s="23"/>
    </row>
    <row r="22" spans="1:6" ht="15" x14ac:dyDescent="0.2">
      <c r="A22" s="24" t="s">
        <v>94</v>
      </c>
      <c r="B22" s="24"/>
    </row>
    <row r="23" spans="1:6" ht="14.25" x14ac:dyDescent="0.2">
      <c r="A23" s="26"/>
      <c r="B23" s="27" t="s">
        <v>86</v>
      </c>
    </row>
    <row r="24" spans="1:6" ht="15" x14ac:dyDescent="0.2">
      <c r="A24" s="28" t="s">
        <v>87</v>
      </c>
      <c r="B24" s="28" t="s">
        <v>88</v>
      </c>
      <c r="C24" s="28" t="s">
        <v>89</v>
      </c>
      <c r="D24" s="28" t="s">
        <v>157</v>
      </c>
      <c r="E24" s="28" t="s">
        <v>91</v>
      </c>
    </row>
    <row r="25" spans="1:6" x14ac:dyDescent="0.2">
      <c r="A25" s="25" t="s">
        <v>226</v>
      </c>
      <c r="B25" s="4" t="s">
        <v>86</v>
      </c>
      <c r="C25" s="4" t="s">
        <v>241</v>
      </c>
      <c r="D25" s="4" t="s">
        <v>37</v>
      </c>
      <c r="E25" s="16" t="s">
        <v>242</v>
      </c>
    </row>
    <row r="26" spans="1:6" x14ac:dyDescent="0.2">
      <c r="A26" s="25" t="s">
        <v>232</v>
      </c>
      <c r="B26" s="4" t="s">
        <v>86</v>
      </c>
      <c r="C26" s="4" t="s">
        <v>241</v>
      </c>
      <c r="D26" s="4" t="s">
        <v>206</v>
      </c>
      <c r="E26" s="16" t="s">
        <v>243</v>
      </c>
    </row>
    <row r="27" spans="1:6" x14ac:dyDescent="0.2">
      <c r="A27" s="25" t="s">
        <v>236</v>
      </c>
      <c r="B27" s="4" t="s">
        <v>86</v>
      </c>
      <c r="C27" s="4" t="s">
        <v>98</v>
      </c>
      <c r="D27" s="4" t="s">
        <v>206</v>
      </c>
      <c r="E27" s="16" t="s">
        <v>244</v>
      </c>
    </row>
    <row r="29" spans="1:6" ht="14.25" x14ac:dyDescent="0.2">
      <c r="A29" s="26"/>
      <c r="B29" s="27" t="s">
        <v>141</v>
      </c>
    </row>
    <row r="30" spans="1:6" ht="15" x14ac:dyDescent="0.2">
      <c r="A30" s="28" t="s">
        <v>87</v>
      </c>
      <c r="B30" s="28" t="s">
        <v>88</v>
      </c>
      <c r="C30" s="28" t="s">
        <v>89</v>
      </c>
      <c r="D30" s="28" t="s">
        <v>157</v>
      </c>
      <c r="E30" s="28" t="s">
        <v>91</v>
      </c>
    </row>
    <row r="31" spans="1:6" x14ac:dyDescent="0.2">
      <c r="A31" s="25" t="s">
        <v>236</v>
      </c>
      <c r="B31" s="4" t="s">
        <v>212</v>
      </c>
      <c r="C31" s="4" t="s">
        <v>98</v>
      </c>
      <c r="D31" s="4" t="s">
        <v>206</v>
      </c>
      <c r="E31" s="16" t="s">
        <v>245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Русская тяга люб. 150 кг.</vt:lpstr>
      <vt:lpstr>РЖ любители 55 кг.</vt:lpstr>
      <vt:lpstr>Пауэрспорт Любители</vt:lpstr>
      <vt:lpstr>Бицепс Любители</vt:lpstr>
      <vt:lpstr>Двоеборье проф.</vt:lpstr>
      <vt:lpstr>Двоеборье люб</vt:lpstr>
      <vt:lpstr>ПРО тяга б.э.</vt:lpstr>
      <vt:lpstr>Люб. тяга б.э.</vt:lpstr>
      <vt:lpstr>ПРО жим б.э.</vt:lpstr>
      <vt:lpstr>Люб. жим б.э.</vt:lpstr>
      <vt:lpstr>СОВ жим</vt:lpstr>
      <vt:lpstr>Люб. Военный жим класс.</vt:lpstr>
      <vt:lpstr>ПРО ПЛ. б.э.</vt:lpstr>
      <vt:lpstr>Люб.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2021-03-24T07:24:00Z</dcterms:modified>
</cp:coreProperties>
</file>