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/>
  </bookViews>
  <sheets>
    <sheet name="Бицепс Профессионалы" sheetId="19" r:id="rId1"/>
    <sheet name="Бицепс Любители" sheetId="18" r:id="rId2"/>
    <sheet name="Люб. народный жим 1 вес" sheetId="17" r:id="rId3"/>
    <sheet name="Силовое двоеборие. Любители" sheetId="15" r:id="rId4"/>
    <sheet name="Люб. присед б.э." sheetId="14" r:id="rId5"/>
    <sheet name="ПРО тяга б.э." sheetId="13" r:id="rId6"/>
    <sheet name="Люб. тяга б.э." sheetId="12" r:id="rId7"/>
    <sheet name="СОВ тяга" sheetId="11" r:id="rId8"/>
    <sheet name="ПРО жим софт мн.петельная" sheetId="10" r:id="rId9"/>
    <sheet name="ПРО жим б.э." sheetId="9" r:id="rId10"/>
    <sheet name="Люб. жим б.э." sheetId="8" r:id="rId11"/>
    <sheet name="ПРО ПЛ. б.э." sheetId="6" r:id="rId12"/>
    <sheet name="Люб. ПЛ. б.э." sheetId="5" r:id="rId13"/>
  </sheets>
  <definedNames>
    <definedName name="_FilterDatabase" localSheetId="12" hidden="1">'Люб. ПЛ. б.э.'!$A$1:$S$3</definedName>
  </definedNames>
  <calcPr calcId="162913" refMode="R1C1"/>
</workbook>
</file>

<file path=xl/calcChain.xml><?xml version="1.0" encoding="utf-8"?>
<calcChain xmlns="http://schemas.openxmlformats.org/spreadsheetml/2006/main">
  <c r="L6" i="19" l="1"/>
  <c r="K6" i="19"/>
  <c r="D6" i="19"/>
  <c r="L13" i="18"/>
  <c r="K13" i="18"/>
  <c r="D13" i="18"/>
  <c r="L10" i="18"/>
  <c r="K10" i="18"/>
  <c r="D10" i="18"/>
  <c r="L9" i="18"/>
  <c r="K9" i="18"/>
  <c r="D9" i="18"/>
  <c r="L6" i="18"/>
  <c r="K6" i="18"/>
  <c r="D6" i="18"/>
  <c r="J6" i="17"/>
  <c r="I6" i="17"/>
  <c r="D6" i="17"/>
  <c r="P9" i="15"/>
  <c r="O9" i="15"/>
  <c r="D9" i="15"/>
  <c r="P6" i="15"/>
  <c r="O6" i="15"/>
  <c r="D6" i="15"/>
  <c r="L6" i="14"/>
  <c r="K6" i="14"/>
  <c r="D6" i="14"/>
  <c r="L6" i="13"/>
  <c r="K6" i="13"/>
  <c r="D6" i="13"/>
  <c r="L25" i="12"/>
  <c r="K25" i="12"/>
  <c r="D25" i="12"/>
  <c r="L24" i="12"/>
  <c r="K24" i="12"/>
  <c r="D24" i="12"/>
  <c r="L23" i="12"/>
  <c r="K23" i="12"/>
  <c r="D23" i="12"/>
  <c r="L20" i="12"/>
  <c r="K20" i="12"/>
  <c r="D20" i="12"/>
  <c r="L19" i="12"/>
  <c r="K19" i="12"/>
  <c r="D19" i="12"/>
  <c r="L16" i="12"/>
  <c r="K16" i="12"/>
  <c r="D16" i="12"/>
  <c r="L15" i="12"/>
  <c r="K15" i="12"/>
  <c r="D15" i="12"/>
  <c r="L12" i="12"/>
  <c r="K12" i="12"/>
  <c r="D12" i="12"/>
  <c r="L9" i="12"/>
  <c r="K9" i="12"/>
  <c r="D9" i="12"/>
  <c r="L6" i="12"/>
  <c r="K6" i="12"/>
  <c r="D6" i="12"/>
  <c r="L6" i="11"/>
  <c r="K6" i="11"/>
  <c r="D6" i="11"/>
  <c r="L9" i="10"/>
  <c r="K9" i="10"/>
  <c r="D9" i="10"/>
  <c r="L6" i="10"/>
  <c r="K6" i="10"/>
  <c r="D6" i="10"/>
  <c r="L6" i="9"/>
  <c r="K6" i="9"/>
  <c r="D6" i="9"/>
  <c r="L25" i="8"/>
  <c r="K25" i="8"/>
  <c r="D25" i="8"/>
  <c r="L24" i="8"/>
  <c r="K24" i="8"/>
  <c r="D24" i="8"/>
  <c r="L21" i="8"/>
  <c r="K21" i="8"/>
  <c r="D21" i="8"/>
  <c r="L20" i="8"/>
  <c r="K20" i="8"/>
  <c r="D20" i="8"/>
  <c r="L17" i="8"/>
  <c r="K17" i="8"/>
  <c r="D17" i="8"/>
  <c r="L16" i="8"/>
  <c r="K16" i="8"/>
  <c r="D16" i="8"/>
  <c r="L15" i="8"/>
  <c r="K15" i="8"/>
  <c r="D15" i="8"/>
  <c r="L12" i="8"/>
  <c r="K12" i="8"/>
  <c r="D12" i="8"/>
  <c r="L11" i="8"/>
  <c r="K11" i="8"/>
  <c r="D11" i="8"/>
  <c r="L10" i="8"/>
  <c r="K10" i="8"/>
  <c r="D10" i="8"/>
  <c r="L7" i="8"/>
  <c r="K7" i="8"/>
  <c r="D7" i="8"/>
  <c r="L6" i="8"/>
  <c r="K6" i="8"/>
  <c r="D6" i="8"/>
  <c r="T6" i="6"/>
  <c r="S6" i="6"/>
  <c r="D6" i="6"/>
  <c r="T22" i="5"/>
  <c r="S22" i="5"/>
  <c r="D22" i="5"/>
  <c r="T19" i="5"/>
  <c r="S19" i="5"/>
  <c r="D19" i="5"/>
  <c r="T18" i="5"/>
  <c r="S18" i="5"/>
  <c r="D18" i="5"/>
  <c r="T15" i="5"/>
  <c r="S15" i="5"/>
  <c r="D15" i="5"/>
  <c r="T12" i="5"/>
  <c r="S12" i="5"/>
  <c r="D12" i="5"/>
  <c r="T9" i="5"/>
  <c r="S9" i="5"/>
  <c r="D9" i="5"/>
  <c r="T6" i="5"/>
  <c r="S6" i="5"/>
  <c r="D6" i="5"/>
</calcChain>
</file>

<file path=xl/sharedStrings.xml><?xml version="1.0" encoding="utf-8"?>
<sst xmlns="http://schemas.openxmlformats.org/spreadsheetml/2006/main" count="1202" uniqueCount="371">
  <si>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</si>
  <si>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</si>
  <si>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</si>
  <si>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</si>
  <si>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</si>
  <si>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</si>
  <si>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</si>
  <si>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</si>
  <si>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</si>
  <si>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</si>
  <si>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</si>
  <si>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Первенство города Курчатова
Любители пауэрлифтинг без экипировки
Курчатов/Курская область 19 - 20 июня 2021 г.</t>
  </si>
  <si>
    <t>Shv/Mel</t>
  </si>
  <si>
    <t>Приседание</t>
  </si>
  <si>
    <t>Жим лёжа</t>
  </si>
  <si>
    <t>Становая тяга</t>
  </si>
  <si>
    <t>ВЕСОВАЯ КАТЕГОРИЯ   48</t>
  </si>
  <si>
    <t>Шарапова Анастасия</t>
  </si>
  <si>
    <t>1. Шарапова Анастасия</t>
  </si>
  <si>
    <t>Открытая (10.02.1986)/35</t>
  </si>
  <si>
    <t>47,95</t>
  </si>
  <si>
    <t xml:space="preserve">Санта Моника </t>
  </si>
  <si>
    <t xml:space="preserve">Курск/Курская область </t>
  </si>
  <si>
    <t>55,0</t>
  </si>
  <si>
    <t>60,0</t>
  </si>
  <si>
    <t>65,0</t>
  </si>
  <si>
    <t>27,5</t>
  </si>
  <si>
    <t>32,5</t>
  </si>
  <si>
    <t>70,0</t>
  </si>
  <si>
    <t xml:space="preserve">Корпачёв Алексей </t>
  </si>
  <si>
    <t>ВЕСОВАЯ КАТЕГОРИЯ   60</t>
  </si>
  <si>
    <t>Агибалова Майя</t>
  </si>
  <si>
    <t>1. Агибалова Майя</t>
  </si>
  <si>
    <t>Юниорки 20 - 23 (13.12.1998)/22</t>
  </si>
  <si>
    <t>59,90</t>
  </si>
  <si>
    <t>75,0</t>
  </si>
  <si>
    <t>80,0</t>
  </si>
  <si>
    <t>35,0</t>
  </si>
  <si>
    <t>ВЕСОВАЯ КАТЕГОРИЯ   67.5</t>
  </si>
  <si>
    <t>Дудакова Анастасия</t>
  </si>
  <si>
    <t>1. Дудакова Анастасия</t>
  </si>
  <si>
    <t>Открытая (27.12.1995)/25</t>
  </si>
  <si>
    <t>66,30</t>
  </si>
  <si>
    <t xml:space="preserve">Академия Силы </t>
  </si>
  <si>
    <t xml:space="preserve">Курчатов/Курская область </t>
  </si>
  <si>
    <t>105,0</t>
  </si>
  <si>
    <t>110,0</t>
  </si>
  <si>
    <t>77,5</t>
  </si>
  <si>
    <t>82,5</t>
  </si>
  <si>
    <t>85,0</t>
  </si>
  <si>
    <t>120,0</t>
  </si>
  <si>
    <t xml:space="preserve">Меркулов Виталий </t>
  </si>
  <si>
    <t>Мяснянкин Даниил</t>
  </si>
  <si>
    <t>1. Мяснянкин Даниил</t>
  </si>
  <si>
    <t>Юноши 14-15 (31.01.2006)/15</t>
  </si>
  <si>
    <t>61,00</t>
  </si>
  <si>
    <t>45,0</t>
  </si>
  <si>
    <t>50,0</t>
  </si>
  <si>
    <t>90,0</t>
  </si>
  <si>
    <t>95,0</t>
  </si>
  <si>
    <t xml:space="preserve">Прыгов Дмитрий Александрович </t>
  </si>
  <si>
    <t>ВЕСОВАЯ КАТЕГОРИЯ   90</t>
  </si>
  <si>
    <t>Денисов Александр</t>
  </si>
  <si>
    <t>1. Денисов Александр</t>
  </si>
  <si>
    <t>Открытая (20.04.1989)/32</t>
  </si>
  <si>
    <t>88,70</t>
  </si>
  <si>
    <t xml:space="preserve">Sfera Impuls </t>
  </si>
  <si>
    <t>190,0</t>
  </si>
  <si>
    <t>200,0</t>
  </si>
  <si>
    <t>205,0</t>
  </si>
  <si>
    <t>130,0</t>
  </si>
  <si>
    <t>140,0</t>
  </si>
  <si>
    <t>210,0</t>
  </si>
  <si>
    <t>225,0</t>
  </si>
  <si>
    <t xml:space="preserve"> </t>
  </si>
  <si>
    <t>Мальцев Евгений</t>
  </si>
  <si>
    <t>1. Мальцев Евгений</t>
  </si>
  <si>
    <t>Мастера 40 - 44 (10.04.1979)/42</t>
  </si>
  <si>
    <t>88,55</t>
  </si>
  <si>
    <t xml:space="preserve">Brutal Gym </t>
  </si>
  <si>
    <t>100,0</t>
  </si>
  <si>
    <t>150,0</t>
  </si>
  <si>
    <t xml:space="preserve">Лысенко Максим Андреевич </t>
  </si>
  <si>
    <t>ВЕСОВАЯ КАТЕГОРИЯ   100</t>
  </si>
  <si>
    <t>Ермолаев Иван</t>
  </si>
  <si>
    <t>1. Ермолаев Иван</t>
  </si>
  <si>
    <t>Юниоры 20 - 23 (29.12.1997)/23</t>
  </si>
  <si>
    <t>97,75</t>
  </si>
  <si>
    <t xml:space="preserve">Медведь </t>
  </si>
  <si>
    <t>220,0</t>
  </si>
  <si>
    <t>240,0</t>
  </si>
  <si>
    <t>162,5</t>
  </si>
  <si>
    <t>235,0</t>
  </si>
  <si>
    <t xml:space="preserve">Дородных Владимир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</si>
  <si>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</si>
  <si>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</si>
  <si>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</si>
  <si>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</si>
  <si>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</si>
  <si>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</si>
  <si>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</si>
  <si>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Юниорки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</si>
  <si>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</si>
  <si>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</si>
  <si>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</si>
  <si>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</si>
  <si>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</si>
  <si>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Юниоры 20 - 23 </t>
  </si>
  <si>
    <t>60</t>
  </si>
  <si>
    <t>192,5</t>
  </si>
  <si>
    <t>167,6235</t>
  </si>
  <si>
    <t xml:space="preserve">Открытая </t>
  </si>
  <si>
    <t>67.5</t>
  </si>
  <si>
    <t>312,5</t>
  </si>
  <si>
    <t>247,2812</t>
  </si>
  <si>
    <t>48</t>
  </si>
  <si>
    <t>157,5</t>
  </si>
  <si>
    <t>163,0598</t>
  </si>
  <si>
    <t xml:space="preserve">Мужчины </t>
  </si>
  <si>
    <t xml:space="preserve">Юноши </t>
  </si>
  <si>
    <t xml:space="preserve">Юноши 14-15 </t>
  </si>
  <si>
    <t>212,2142</t>
  </si>
  <si>
    <t xml:space="preserve">Юниоры </t>
  </si>
  <si>
    <t>100</t>
  </si>
  <si>
    <t>580,0</t>
  </si>
  <si>
    <t>324,6840</t>
  </si>
  <si>
    <t>90</t>
  </si>
  <si>
    <t>565,0</t>
  </si>
  <si>
    <t>333,6325</t>
  </si>
  <si>
    <t xml:space="preserve">Мастера </t>
  </si>
  <si>
    <t xml:space="preserve">Мастера 40 - 44 </t>
  </si>
  <si>
    <t>350,0</t>
  </si>
  <si>
    <t>208,7823</t>
  </si>
  <si>
    <t>Первенство города Курчатова
ПРО пауэрлифтинг без экипировки
Курчатов/Курская область 19 - 20 июня 2021 г.</t>
  </si>
  <si>
    <t>Лысенко Максим</t>
  </si>
  <si>
    <t>1. Лысенко Максим</t>
  </si>
  <si>
    <t>Открытая (19.10.1989)/31</t>
  </si>
  <si>
    <t>98,65</t>
  </si>
  <si>
    <t>230,0</t>
  </si>
  <si>
    <t>155,0</t>
  </si>
  <si>
    <t>167,5</t>
  </si>
  <si>
    <t>250,0</t>
  </si>
  <si>
    <t>270,0</t>
  </si>
  <si>
    <t>280,0</t>
  </si>
  <si>
    <t>667,5</t>
  </si>
  <si>
    <t>372,0645</t>
  </si>
  <si>
    <t>Результат</t>
  </si>
  <si>
    <t>Первенство города Курчатова
Любители жим лежа без экипировки
Курчатов/Курская область 19 - 20 июня 2021 г.</t>
  </si>
  <si>
    <t>ВЕСОВАЯ КАТЕГОРИЯ   75</t>
  </si>
  <si>
    <t>Мовсесян Марат</t>
  </si>
  <si>
    <t>1. Мовсесян Марат</t>
  </si>
  <si>
    <t>Открытая (10.11.1982)/38</t>
  </si>
  <si>
    <t>71,35</t>
  </si>
  <si>
    <t xml:space="preserve">лично </t>
  </si>
  <si>
    <t xml:space="preserve">Тверь/Тверская область </t>
  </si>
  <si>
    <t>115,0</t>
  </si>
  <si>
    <t>Рагулин Владимир</t>
  </si>
  <si>
    <t>-. Рагулин Владимир</t>
  </si>
  <si>
    <t>Мастера 45 - 49 (07.02.1973)/48</t>
  </si>
  <si>
    <t>73,25</t>
  </si>
  <si>
    <t>ВЕСОВАЯ КАТЕГОРИЯ   82.5</t>
  </si>
  <si>
    <t>Сотников Александр</t>
  </si>
  <si>
    <t>1. Сотников Александр</t>
  </si>
  <si>
    <t>Юниоры 20 - 23 (02.09.1999)/21</t>
  </si>
  <si>
    <t>81,90</t>
  </si>
  <si>
    <t>135,0</t>
  </si>
  <si>
    <t>Антонов Александр</t>
  </si>
  <si>
    <t>1. Антонов Александр</t>
  </si>
  <si>
    <t>Открытая (06.01.1988)/33</t>
  </si>
  <si>
    <t>81,40</t>
  </si>
  <si>
    <t>145,0</t>
  </si>
  <si>
    <t>147,5</t>
  </si>
  <si>
    <t>Нагорных Дмитрий</t>
  </si>
  <si>
    <t>2. Нагорных Дмитрий</t>
  </si>
  <si>
    <t>Открытая (10.11.1989)/31</t>
  </si>
  <si>
    <t>81,45</t>
  </si>
  <si>
    <t>125,0</t>
  </si>
  <si>
    <t>Кошлаков Кирилл</t>
  </si>
  <si>
    <t>1. Кошлаков Кирилл</t>
  </si>
  <si>
    <t>Юниоры 20 - 23 (03.09.1999)/21</t>
  </si>
  <si>
    <t>88,65</t>
  </si>
  <si>
    <t>142,5</t>
  </si>
  <si>
    <t>Хализев Даниил</t>
  </si>
  <si>
    <t>2. Хализев Даниил</t>
  </si>
  <si>
    <t>Юниоры 20 - 23 (15.04.1998)/23</t>
  </si>
  <si>
    <t>89,00</t>
  </si>
  <si>
    <t>Глущенко Эдуард</t>
  </si>
  <si>
    <t>1. Глущенко Эдуард</t>
  </si>
  <si>
    <t>Открытая (20.11.1992)/28</t>
  </si>
  <si>
    <t>86,80</t>
  </si>
  <si>
    <t>Корпачев Алексей</t>
  </si>
  <si>
    <t>1. Корпачев Алексей</t>
  </si>
  <si>
    <t>Открытая (27.07.1989)/31</t>
  </si>
  <si>
    <t>98,50</t>
  </si>
  <si>
    <t>170,0</t>
  </si>
  <si>
    <t>Иванов Алексей</t>
  </si>
  <si>
    <t>2. Иванов Алексей</t>
  </si>
  <si>
    <t>Открытая (06.04.1989)/32</t>
  </si>
  <si>
    <t>94,50</t>
  </si>
  <si>
    <t>152,5</t>
  </si>
  <si>
    <t>ВЕСОВАЯ КАТЕГОРИЯ   110</t>
  </si>
  <si>
    <t>Желтушко Виктор</t>
  </si>
  <si>
    <t>1. Желтушко Виктор</t>
  </si>
  <si>
    <t>Открытая (29.01.1978)/43</t>
  </si>
  <si>
    <t>106,20</t>
  </si>
  <si>
    <t xml:space="preserve">Волгодонск/Ростовская область </t>
  </si>
  <si>
    <t>172,5</t>
  </si>
  <si>
    <t>175,0</t>
  </si>
  <si>
    <t>Маркелов Юрий</t>
  </si>
  <si>
    <t>2. Маркелов Юрий</t>
  </si>
  <si>
    <t>Открытая (14.08.1982)/38</t>
  </si>
  <si>
    <t>102,20</t>
  </si>
  <si>
    <t xml:space="preserve">Сталь Брянск </t>
  </si>
  <si>
    <t xml:space="preserve">Брянск/Брянская область </t>
  </si>
  <si>
    <t>165,0</t>
  </si>
  <si>
    <t xml:space="preserve">Результат </t>
  </si>
  <si>
    <t>85,8655</t>
  </si>
  <si>
    <t>82.5</t>
  </si>
  <si>
    <t>85,7045</t>
  </si>
  <si>
    <t>70,7160</t>
  </si>
  <si>
    <t>110</t>
  </si>
  <si>
    <t>93,4433</t>
  </si>
  <si>
    <t>90,6425</t>
  </si>
  <si>
    <t>90,6395</t>
  </si>
  <si>
    <t>90,6015</t>
  </si>
  <si>
    <t>89,7900</t>
  </si>
  <si>
    <t>86,8335</t>
  </si>
  <si>
    <t>81,2305</t>
  </si>
  <si>
    <t>75</t>
  </si>
  <si>
    <t>76,1035</t>
  </si>
  <si>
    <t>Первенство города Курчатова
ПРО жим лежа без экипировки
Курчатов/Курская область 19 - 20 июня 2021 г.</t>
  </si>
  <si>
    <t>Керусов Дмитрий</t>
  </si>
  <si>
    <t>1. Керусов Дмитрий</t>
  </si>
  <si>
    <t>Открытая (02.12.1983)/37</t>
  </si>
  <si>
    <t>108,40</t>
  </si>
  <si>
    <t>185,0</t>
  </si>
  <si>
    <t>99,6225</t>
  </si>
  <si>
    <t>Первенство города Курчатова
ПРО жим лежа в Софт экипировка многопетельная
Курчатов/Курская область 19 - 20 июня 2021 г.</t>
  </si>
  <si>
    <t>Петряев Николай</t>
  </si>
  <si>
    <t>1. Петряев Николай</t>
  </si>
  <si>
    <t>Открытая (21.04.1989)/32</t>
  </si>
  <si>
    <t>104,70</t>
  </si>
  <si>
    <t>290,0</t>
  </si>
  <si>
    <t xml:space="preserve">Немчинов Александр Михайлович </t>
  </si>
  <si>
    <t>ВЕСОВАЯ КАТЕГОРИЯ   140</t>
  </si>
  <si>
    <t>Виноходов Сергей</t>
  </si>
  <si>
    <t>1. Виноходов Сергей</t>
  </si>
  <si>
    <t>Открытая (17.09.1982)/38</t>
  </si>
  <si>
    <t>133,50</t>
  </si>
  <si>
    <t>340,0</t>
  </si>
  <si>
    <t>365,0</t>
  </si>
  <si>
    <t>140</t>
  </si>
  <si>
    <t>173,6720</t>
  </si>
  <si>
    <t>152,4040</t>
  </si>
  <si>
    <t>Первенство города Курчатова
СОВ становая тяга
Курчатов/Курская область 19 - 20 июня 2021 г.</t>
  </si>
  <si>
    <t>Новиков Денис</t>
  </si>
  <si>
    <t>1. Новиков Денис</t>
  </si>
  <si>
    <t>Юниоры 20 - 23 (25.09.1997)/23</t>
  </si>
  <si>
    <t>67,00</t>
  </si>
  <si>
    <t xml:space="preserve">Стальное Звено </t>
  </si>
  <si>
    <t>212,5</t>
  </si>
  <si>
    <t>146,1400</t>
  </si>
  <si>
    <t>Первенство города Курчатова
Любители становая тяга без экипировки
Курчатов/Курская область 19 - 20 июня 2021 г.</t>
  </si>
  <si>
    <t>ВЕСОВАЯ КАТЕГОРИЯ   52</t>
  </si>
  <si>
    <t>Гостева Валентина</t>
  </si>
  <si>
    <t>1. Гостева Валентина</t>
  </si>
  <si>
    <t>Открытая (07.08.1955)/65</t>
  </si>
  <si>
    <t>51,55</t>
  </si>
  <si>
    <t>62,5</t>
  </si>
  <si>
    <t>ВЕСОВАЯ КАТЕГОРИЯ   56</t>
  </si>
  <si>
    <t>Козловская Анна</t>
  </si>
  <si>
    <t>1. Козловская Анна</t>
  </si>
  <si>
    <t>Девушки 18 - 19 (15.09.2002)/18</t>
  </si>
  <si>
    <t>55,90</t>
  </si>
  <si>
    <t xml:space="preserve">Авалон </t>
  </si>
  <si>
    <t xml:space="preserve">Карякин Виталий </t>
  </si>
  <si>
    <t>Хохлова Анастасия</t>
  </si>
  <si>
    <t>1. Хохлова Анастасия</t>
  </si>
  <si>
    <t>Открытая (28.12.1991)/29</t>
  </si>
  <si>
    <t>82,30</t>
  </si>
  <si>
    <t>127,5</t>
  </si>
  <si>
    <t>132,5</t>
  </si>
  <si>
    <t>Литвинов Евгений</t>
  </si>
  <si>
    <t>1. Литвинов Евгений</t>
  </si>
  <si>
    <t>Юноши 18 - 19 (30.10.2002)/18</t>
  </si>
  <si>
    <t>67,30</t>
  </si>
  <si>
    <t>180,0</t>
  </si>
  <si>
    <t>Максимов Андрей</t>
  </si>
  <si>
    <t>1. Максимов Андрей</t>
  </si>
  <si>
    <t>Открытая (24.10.1991)/29</t>
  </si>
  <si>
    <t>66,25</t>
  </si>
  <si>
    <t>Сайков Владислав</t>
  </si>
  <si>
    <t>1. Сайков Владислав</t>
  </si>
  <si>
    <t>Юноши 16 - 17 (23.10.2003)/17</t>
  </si>
  <si>
    <t>88,80</t>
  </si>
  <si>
    <t>Волохо Андрей</t>
  </si>
  <si>
    <t>1. Волохо Андрей</t>
  </si>
  <si>
    <t>Открытая (26.07.1975)/45</t>
  </si>
  <si>
    <t>96,60</t>
  </si>
  <si>
    <t xml:space="preserve">Шерман Дмитрий </t>
  </si>
  <si>
    <t>Мастера 45 - 49 (26.07.1975)/45</t>
  </si>
  <si>
    <t xml:space="preserve">Девушки </t>
  </si>
  <si>
    <t xml:space="preserve">Юноши 18 - 19 </t>
  </si>
  <si>
    <t>56</t>
  </si>
  <si>
    <t>111,3313</t>
  </si>
  <si>
    <t>52</t>
  </si>
  <si>
    <t>112,2630</t>
  </si>
  <si>
    <t>86,0115</t>
  </si>
  <si>
    <t>138,8642</t>
  </si>
  <si>
    <t xml:space="preserve">Юноши 16 - 17 </t>
  </si>
  <si>
    <t>130,6481</t>
  </si>
  <si>
    <t>117,5580</t>
  </si>
  <si>
    <t>162,4040</t>
  </si>
  <si>
    <t>132,8625</t>
  </si>
  <si>
    <t>118,2300</t>
  </si>
  <si>
    <t xml:space="preserve">Мастера 45 - 49 </t>
  </si>
  <si>
    <t>123,9050</t>
  </si>
  <si>
    <t>Первенство города Курчатова
ПРО становая тяга без экипировки
Курчатов/Курская область 19 - 20 июня 2021 г.</t>
  </si>
  <si>
    <t>Жебенев Дмитрий</t>
  </si>
  <si>
    <t>1. Жебенев Дмитрий</t>
  </si>
  <si>
    <t>Открытая (14.08.1994)/26</t>
  </si>
  <si>
    <t>97,40</t>
  </si>
  <si>
    <t xml:space="preserve">Никимт АтомСтрой </t>
  </si>
  <si>
    <t>245,0</t>
  </si>
  <si>
    <t>255,0</t>
  </si>
  <si>
    <t>143,0040</t>
  </si>
  <si>
    <t>Первенство города Курчатова
Любители присед без экипировки
Курчатов/Курская область 19 - 20 июня 2021 г.</t>
  </si>
  <si>
    <t>118,1000</t>
  </si>
  <si>
    <t>Первенство города Курчатова
Силовое двоеборье любители
Курчатов/Курская область 19 - 20 июня 2021 г.</t>
  </si>
  <si>
    <t>Мастера 65 - 69 (07.08.1955)/65</t>
  </si>
  <si>
    <t>Маркин Святослав</t>
  </si>
  <si>
    <t>1. Маркин Святослав</t>
  </si>
  <si>
    <t>Юноши 0-13 (08.08.2007)/13</t>
  </si>
  <si>
    <t>68,20</t>
  </si>
  <si>
    <t xml:space="preserve">Мастера 65 - 69 </t>
  </si>
  <si>
    <t>328,0032</t>
  </si>
  <si>
    <t xml:space="preserve">Юноши 0-13 </t>
  </si>
  <si>
    <t>154,8078</t>
  </si>
  <si>
    <t>Тоннаж</t>
  </si>
  <si>
    <t>Первенство города Курчатова
Любители народный жим (1 вес)
Курчатов/Курская область 19 - 20 июня 2021 г.</t>
  </si>
  <si>
    <t>НАП Н.Ж.</t>
  </si>
  <si>
    <t>Народный жим</t>
  </si>
  <si>
    <t>27,0</t>
  </si>
  <si>
    <t xml:space="preserve">НАП Н.Ж. </t>
  </si>
  <si>
    <t>2227,5</t>
  </si>
  <si>
    <t>1707,6015</t>
  </si>
  <si>
    <t>Первенство города Курчатова
Одиночный подъём штанги на бицепс Любители
Курчатов/Курская область 19 - 20 июня 2021 г.</t>
  </si>
  <si>
    <t>Подъем на бицепс</t>
  </si>
  <si>
    <t>1. Рагулин Владимир</t>
  </si>
  <si>
    <t>73,30</t>
  </si>
  <si>
    <t>1. Маркелов Юрий</t>
  </si>
  <si>
    <t>72,5</t>
  </si>
  <si>
    <t>42,2250</t>
  </si>
  <si>
    <t>38,4370</t>
  </si>
  <si>
    <t>44,2518</t>
  </si>
  <si>
    <t>41,5731</t>
  </si>
  <si>
    <t>Первенство города Курчатова
Одиночный подъём штанги на бицепс Профессионалы
Курчатов/Курская область 19 - 20 июня 2021 г.</t>
  </si>
  <si>
    <t>Соколов Владимир</t>
  </si>
  <si>
    <t>1. Соколов Владимир</t>
  </si>
  <si>
    <t>Открытая (18.08.1983)/37</t>
  </si>
  <si>
    <t>94,80</t>
  </si>
  <si>
    <t xml:space="preserve">Липецк/Липецкая область </t>
  </si>
  <si>
    <t>67,5</t>
  </si>
  <si>
    <t xml:space="preserve">Шашок Роман Юрьевич </t>
  </si>
  <si>
    <t>38,3737</t>
  </si>
  <si>
    <t>Меркулов В.В.</t>
  </si>
  <si>
    <t>Ляхова П.С.</t>
  </si>
  <si>
    <t>Малышев Е.Н.</t>
  </si>
  <si>
    <t>Блохин В.Н.</t>
  </si>
  <si>
    <t>Шевченко Е.В.</t>
  </si>
  <si>
    <t>Абуладзе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</si>
</sst>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0" fontId="0" fillId="0" borderId="0" xfId="0" applyFont="1" applyAlignment="1">
      <alignment horizontal="left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D9" sqref="D9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140625" style="4" bestFit="1" customWidth="1"/>
    <col min="7" max="9" width="4.5703125" style="3" customWidth="1"/>
    <col min="10" max="10" width="4.85546875" style="3" customWidth="1"/>
    <col min="11" max="11" width="7.85546875" style="16" bestFit="1" customWidth="1"/>
    <col min="12" max="12" width="7.5703125" style="2" bestFit="1" customWidth="1"/>
    <col min="13" max="13" width="22.5703125" style="4" bestFit="1" customWidth="1"/>
    <col min="14" max="16384" width="9.140625" style="3"/>
  </cols>
  <sheetData>
    <row r="1" spans="1:13" s="2" customFormat="1" ht="29.1" customHeight="1" x14ac:dyDescent="0.2">
      <c r="A1" s="41" t="s">
        <v>356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347</v>
      </c>
      <c r="H3" s="35"/>
      <c r="I3" s="35"/>
      <c r="J3" s="35"/>
      <c r="K3" s="35" t="s">
        <v>146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83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358</v>
      </c>
      <c r="B6" s="6" t="s">
        <v>359</v>
      </c>
      <c r="C6" s="6" t="s">
        <v>360</v>
      </c>
      <c r="D6" s="6" t="str">
        <f>"0,5685"</f>
        <v>0,5685</v>
      </c>
      <c r="E6" s="6" t="s">
        <v>153</v>
      </c>
      <c r="F6" s="6" t="s">
        <v>361</v>
      </c>
      <c r="G6" s="7" t="s">
        <v>24</v>
      </c>
      <c r="H6" s="8" t="s">
        <v>362</v>
      </c>
      <c r="I6" s="7" t="s">
        <v>362</v>
      </c>
      <c r="J6" s="8"/>
      <c r="K6" s="17" t="str">
        <f>"67,5"</f>
        <v>67,5</v>
      </c>
      <c r="L6" s="18" t="str">
        <f>"38,3737"</f>
        <v>38,3737</v>
      </c>
      <c r="M6" s="6" t="s">
        <v>363</v>
      </c>
    </row>
    <row r="8" spans="1:13" ht="15" x14ac:dyDescent="0.2">
      <c r="E8" s="15" t="s">
        <v>94</v>
      </c>
      <c r="F8" s="4" t="s">
        <v>365</v>
      </c>
    </row>
    <row r="9" spans="1:13" ht="15" x14ac:dyDescent="0.2">
      <c r="E9" s="15" t="s">
        <v>95</v>
      </c>
      <c r="F9" s="4" t="s">
        <v>366</v>
      </c>
    </row>
    <row r="10" spans="1:13" ht="15" x14ac:dyDescent="0.2">
      <c r="E10" s="15" t="s">
        <v>96</v>
      </c>
      <c r="F10" s="4" t="s">
        <v>367</v>
      </c>
    </row>
    <row r="11" spans="1:13" ht="15" x14ac:dyDescent="0.2">
      <c r="E11" s="15" t="s">
        <v>97</v>
      </c>
      <c r="F11" s="4" t="s">
        <v>368</v>
      </c>
    </row>
    <row r="12" spans="1:13" ht="15" x14ac:dyDescent="0.2">
      <c r="E12" s="15" t="s">
        <v>97</v>
      </c>
      <c r="F12" s="4" t="s">
        <v>369</v>
      </c>
    </row>
    <row r="13" spans="1:13" ht="15" x14ac:dyDescent="0.2">
      <c r="E13" s="15" t="s">
        <v>98</v>
      </c>
      <c r="F13" s="34" t="s">
        <v>370</v>
      </c>
    </row>
    <row r="14" spans="1:13" ht="15" x14ac:dyDescent="0.2">
      <c r="E14" s="15"/>
    </row>
    <row r="16" spans="1:13" ht="18" x14ac:dyDescent="0.25">
      <c r="A16" s="23" t="s">
        <v>99</v>
      </c>
      <c r="B16" s="23"/>
    </row>
    <row r="17" spans="1:5" ht="15" x14ac:dyDescent="0.2">
      <c r="A17" s="24" t="s">
        <v>118</v>
      </c>
      <c r="B17" s="24"/>
    </row>
    <row r="18" spans="1:5" ht="14.25" x14ac:dyDescent="0.2">
      <c r="A18" s="26"/>
      <c r="B18" s="27" t="s">
        <v>111</v>
      </c>
    </row>
    <row r="19" spans="1:5" ht="15" x14ac:dyDescent="0.2">
      <c r="A19" s="28" t="s">
        <v>102</v>
      </c>
      <c r="B19" s="28" t="s">
        <v>103</v>
      </c>
      <c r="C19" s="28" t="s">
        <v>104</v>
      </c>
      <c r="D19" s="28" t="s">
        <v>215</v>
      </c>
      <c r="E19" s="28" t="s">
        <v>106</v>
      </c>
    </row>
    <row r="20" spans="1:5" x14ac:dyDescent="0.2">
      <c r="A20" s="25" t="s">
        <v>357</v>
      </c>
      <c r="B20" s="4" t="s">
        <v>111</v>
      </c>
      <c r="C20" s="4" t="s">
        <v>123</v>
      </c>
      <c r="D20" s="4" t="s">
        <v>362</v>
      </c>
      <c r="E20" s="16" t="s">
        <v>364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13" sqref="F13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9" width="5.5703125" style="3" customWidth="1"/>
    <col min="10" max="10" width="4.85546875" style="3" customWidth="1"/>
    <col min="11" max="11" width="7.85546875" style="16" bestFit="1" customWidth="1"/>
    <col min="12" max="12" width="7.5703125" style="2" bestFit="1" customWidth="1"/>
    <col min="13" max="13" width="26.85546875" style="4" bestFit="1" customWidth="1"/>
    <col min="14" max="16384" width="9.140625" style="3"/>
  </cols>
  <sheetData>
    <row r="1" spans="1:13" s="2" customFormat="1" ht="29.1" customHeight="1" x14ac:dyDescent="0.2">
      <c r="A1" s="41" t="s">
        <v>230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14</v>
      </c>
      <c r="H3" s="35"/>
      <c r="I3" s="35"/>
      <c r="J3" s="35"/>
      <c r="K3" s="35" t="s">
        <v>146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200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232</v>
      </c>
      <c r="B6" s="6" t="s">
        <v>233</v>
      </c>
      <c r="C6" s="6" t="s">
        <v>234</v>
      </c>
      <c r="D6" s="6" t="str">
        <f>"0,5385"</f>
        <v>0,5385</v>
      </c>
      <c r="E6" s="6" t="s">
        <v>79</v>
      </c>
      <c r="F6" s="6" t="s">
        <v>22</v>
      </c>
      <c r="G6" s="7" t="s">
        <v>207</v>
      </c>
      <c r="H6" s="7" t="s">
        <v>235</v>
      </c>
      <c r="I6" s="8" t="s">
        <v>68</v>
      </c>
      <c r="J6" s="8"/>
      <c r="K6" s="17" t="str">
        <f>"185,0"</f>
        <v>185,0</v>
      </c>
      <c r="L6" s="18" t="str">
        <f>"99,6225"</f>
        <v>99,6225</v>
      </c>
      <c r="M6" s="6" t="s">
        <v>82</v>
      </c>
    </row>
    <row r="8" spans="1:13" ht="15" x14ac:dyDescent="0.2">
      <c r="E8" s="15" t="s">
        <v>94</v>
      </c>
      <c r="F8" s="4" t="s">
        <v>365</v>
      </c>
    </row>
    <row r="9" spans="1:13" ht="15" x14ac:dyDescent="0.2">
      <c r="E9" s="15" t="s">
        <v>95</v>
      </c>
      <c r="F9" s="4" t="s">
        <v>366</v>
      </c>
    </row>
    <row r="10" spans="1:13" ht="15" x14ac:dyDescent="0.2">
      <c r="E10" s="15" t="s">
        <v>96</v>
      </c>
      <c r="F10" s="4" t="s">
        <v>367</v>
      </c>
    </row>
    <row r="11" spans="1:13" ht="15" x14ac:dyDescent="0.2">
      <c r="E11" s="15" t="s">
        <v>97</v>
      </c>
      <c r="F11" s="4" t="s">
        <v>368</v>
      </c>
    </row>
    <row r="12" spans="1:13" ht="15" x14ac:dyDescent="0.2">
      <c r="E12" s="15" t="s">
        <v>97</v>
      </c>
      <c r="F12" s="4" t="s">
        <v>369</v>
      </c>
    </row>
    <row r="13" spans="1:13" ht="15" x14ac:dyDescent="0.2">
      <c r="E13" s="15" t="s">
        <v>98</v>
      </c>
      <c r="F13" s="34" t="s">
        <v>370</v>
      </c>
    </row>
    <row r="14" spans="1:13" ht="15" x14ac:dyDescent="0.2">
      <c r="E14" s="15"/>
    </row>
    <row r="16" spans="1:13" ht="18" x14ac:dyDescent="0.25">
      <c r="A16" s="23" t="s">
        <v>99</v>
      </c>
      <c r="B16" s="23"/>
    </row>
    <row r="17" spans="1:5" ht="15" x14ac:dyDescent="0.2">
      <c r="A17" s="24" t="s">
        <v>118</v>
      </c>
      <c r="B17" s="24"/>
    </row>
    <row r="18" spans="1:5" ht="14.25" x14ac:dyDescent="0.2">
      <c r="A18" s="26"/>
      <c r="B18" s="27" t="s">
        <v>111</v>
      </c>
    </row>
    <row r="19" spans="1:5" ht="15" x14ac:dyDescent="0.2">
      <c r="A19" s="28" t="s">
        <v>102</v>
      </c>
      <c r="B19" s="28" t="s">
        <v>103</v>
      </c>
      <c r="C19" s="28" t="s">
        <v>104</v>
      </c>
      <c r="D19" s="28" t="s">
        <v>215</v>
      </c>
      <c r="E19" s="28" t="s">
        <v>106</v>
      </c>
    </row>
    <row r="20" spans="1:5" x14ac:dyDescent="0.2">
      <c r="A20" s="25" t="s">
        <v>231</v>
      </c>
      <c r="B20" s="4" t="s">
        <v>111</v>
      </c>
      <c r="C20" s="4" t="s">
        <v>220</v>
      </c>
      <c r="D20" s="4" t="s">
        <v>235</v>
      </c>
      <c r="E20" s="16" t="s">
        <v>236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16" workbookViewId="0">
      <selection activeCell="F32" sqref="F3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" style="4" bestFit="1" customWidth="1"/>
    <col min="7" max="9" width="5.5703125" style="3" customWidth="1"/>
    <col min="10" max="10" width="4.85546875" style="3" customWidth="1"/>
    <col min="11" max="11" width="7.85546875" style="16" bestFit="1" customWidth="1"/>
    <col min="12" max="12" width="7.5703125" style="2" bestFit="1" customWidth="1"/>
    <col min="13" max="13" width="26.85546875" style="4" bestFit="1" customWidth="1"/>
    <col min="14" max="16384" width="9.140625" style="3"/>
  </cols>
  <sheetData>
    <row r="1" spans="1:13" s="2" customFormat="1" ht="29.1" customHeight="1" x14ac:dyDescent="0.2">
      <c r="A1" s="41" t="s">
        <v>147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14</v>
      </c>
      <c r="H3" s="35"/>
      <c r="I3" s="35"/>
      <c r="J3" s="35"/>
      <c r="K3" s="35" t="s">
        <v>146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148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9" t="s">
        <v>150</v>
      </c>
      <c r="B6" s="9" t="s">
        <v>151</v>
      </c>
      <c r="C6" s="9" t="s">
        <v>152</v>
      </c>
      <c r="D6" s="9" t="str">
        <f>"0,6919"</f>
        <v>0,6919</v>
      </c>
      <c r="E6" s="9" t="s">
        <v>153</v>
      </c>
      <c r="F6" s="9" t="s">
        <v>154</v>
      </c>
      <c r="G6" s="10" t="s">
        <v>80</v>
      </c>
      <c r="H6" s="10" t="s">
        <v>46</v>
      </c>
      <c r="I6" s="11" t="s">
        <v>155</v>
      </c>
      <c r="J6" s="11"/>
      <c r="K6" s="19" t="str">
        <f>"110,0"</f>
        <v>110,0</v>
      </c>
      <c r="L6" s="20" t="str">
        <f>"76,1035"</f>
        <v>76,1035</v>
      </c>
      <c r="M6" s="9" t="s">
        <v>74</v>
      </c>
    </row>
    <row r="7" spans="1:13" x14ac:dyDescent="0.2">
      <c r="A7" s="12" t="s">
        <v>157</v>
      </c>
      <c r="B7" s="12" t="s">
        <v>158</v>
      </c>
      <c r="C7" s="12" t="s">
        <v>159</v>
      </c>
      <c r="D7" s="12" t="str">
        <f>"0,6770"</f>
        <v>0,6770</v>
      </c>
      <c r="E7" s="12" t="s">
        <v>153</v>
      </c>
      <c r="F7" s="12" t="s">
        <v>22</v>
      </c>
      <c r="G7" s="13" t="s">
        <v>46</v>
      </c>
      <c r="H7" s="13" t="s">
        <v>46</v>
      </c>
      <c r="I7" s="13" t="s">
        <v>46</v>
      </c>
      <c r="J7" s="13"/>
      <c r="K7" s="21" t="str">
        <f>"0.00"</f>
        <v>0.00</v>
      </c>
      <c r="L7" s="22" t="str">
        <f>"0,0000"</f>
        <v>0,0000</v>
      </c>
      <c r="M7" s="12" t="s">
        <v>74</v>
      </c>
    </row>
    <row r="9" spans="1:13" ht="15" x14ac:dyDescent="0.2">
      <c r="A9" s="50" t="s">
        <v>160</v>
      </c>
      <c r="B9" s="50"/>
      <c r="C9" s="50"/>
      <c r="D9" s="50"/>
      <c r="E9" s="50"/>
      <c r="F9" s="50"/>
      <c r="G9" s="50"/>
      <c r="H9" s="50"/>
      <c r="I9" s="50"/>
      <c r="J9" s="50"/>
    </row>
    <row r="10" spans="1:13" x14ac:dyDescent="0.2">
      <c r="A10" s="9" t="s">
        <v>162</v>
      </c>
      <c r="B10" s="9" t="s">
        <v>163</v>
      </c>
      <c r="C10" s="9" t="s">
        <v>164</v>
      </c>
      <c r="D10" s="9" t="str">
        <f>"0,6224"</f>
        <v>0,6224</v>
      </c>
      <c r="E10" s="9" t="s">
        <v>153</v>
      </c>
      <c r="F10" s="9" t="s">
        <v>22</v>
      </c>
      <c r="G10" s="10" t="s">
        <v>165</v>
      </c>
      <c r="H10" s="11" t="s">
        <v>71</v>
      </c>
      <c r="I10" s="11" t="s">
        <v>71</v>
      </c>
      <c r="J10" s="11"/>
      <c r="K10" s="19" t="str">
        <f>"135,0"</f>
        <v>135,0</v>
      </c>
      <c r="L10" s="20" t="str">
        <f>"85,7045"</f>
        <v>85,7045</v>
      </c>
      <c r="M10" s="9" t="s">
        <v>74</v>
      </c>
    </row>
    <row r="11" spans="1:13" x14ac:dyDescent="0.2">
      <c r="A11" s="29" t="s">
        <v>167</v>
      </c>
      <c r="B11" s="29" t="s">
        <v>168</v>
      </c>
      <c r="C11" s="29" t="s">
        <v>169</v>
      </c>
      <c r="D11" s="29" t="str">
        <f>"0,6251"</f>
        <v>0,6251</v>
      </c>
      <c r="E11" s="29" t="s">
        <v>153</v>
      </c>
      <c r="F11" s="29" t="s">
        <v>44</v>
      </c>
      <c r="G11" s="31" t="s">
        <v>71</v>
      </c>
      <c r="H11" s="31" t="s">
        <v>170</v>
      </c>
      <c r="I11" s="30" t="s">
        <v>171</v>
      </c>
      <c r="J11" s="30"/>
      <c r="K11" s="32" t="str">
        <f>"145,0"</f>
        <v>145,0</v>
      </c>
      <c r="L11" s="33" t="str">
        <f>"90,6395"</f>
        <v>90,6395</v>
      </c>
      <c r="M11" s="29" t="s">
        <v>74</v>
      </c>
    </row>
    <row r="12" spans="1:13" x14ac:dyDescent="0.2">
      <c r="A12" s="12" t="s">
        <v>173</v>
      </c>
      <c r="B12" s="12" t="s">
        <v>174</v>
      </c>
      <c r="C12" s="12" t="s">
        <v>175</v>
      </c>
      <c r="D12" s="12" t="str">
        <f>"0,6248"</f>
        <v>0,6248</v>
      </c>
      <c r="E12" s="12" t="s">
        <v>43</v>
      </c>
      <c r="F12" s="12" t="s">
        <v>44</v>
      </c>
      <c r="G12" s="14" t="s">
        <v>50</v>
      </c>
      <c r="H12" s="14" t="s">
        <v>176</v>
      </c>
      <c r="I12" s="14" t="s">
        <v>70</v>
      </c>
      <c r="J12" s="13"/>
      <c r="K12" s="21" t="str">
        <f>"130,0"</f>
        <v>130,0</v>
      </c>
      <c r="L12" s="22" t="str">
        <f>"81,2305"</f>
        <v>81,2305</v>
      </c>
      <c r="M12" s="12" t="s">
        <v>51</v>
      </c>
    </row>
    <row r="14" spans="1:13" ht="15" x14ac:dyDescent="0.2">
      <c r="A14" s="50" t="s">
        <v>61</v>
      </c>
      <c r="B14" s="50"/>
      <c r="C14" s="50"/>
      <c r="D14" s="50"/>
      <c r="E14" s="50"/>
      <c r="F14" s="50"/>
      <c r="G14" s="50"/>
      <c r="H14" s="50"/>
      <c r="I14" s="50"/>
      <c r="J14" s="50"/>
    </row>
    <row r="15" spans="1:13" x14ac:dyDescent="0.2">
      <c r="A15" s="9" t="s">
        <v>178</v>
      </c>
      <c r="B15" s="9" t="s">
        <v>179</v>
      </c>
      <c r="C15" s="9" t="s">
        <v>180</v>
      </c>
      <c r="D15" s="9" t="str">
        <f>"0,5907"</f>
        <v>0,5907</v>
      </c>
      <c r="E15" s="9" t="s">
        <v>79</v>
      </c>
      <c r="F15" s="9" t="s">
        <v>22</v>
      </c>
      <c r="G15" s="10" t="s">
        <v>70</v>
      </c>
      <c r="H15" s="10" t="s">
        <v>165</v>
      </c>
      <c r="I15" s="10" t="s">
        <v>181</v>
      </c>
      <c r="J15" s="11"/>
      <c r="K15" s="19" t="str">
        <f>"142,5"</f>
        <v>142,5</v>
      </c>
      <c r="L15" s="20" t="str">
        <f>"85,8655"</f>
        <v>85,8655</v>
      </c>
      <c r="M15" s="9" t="s">
        <v>82</v>
      </c>
    </row>
    <row r="16" spans="1:13" x14ac:dyDescent="0.2">
      <c r="A16" s="29" t="s">
        <v>183</v>
      </c>
      <c r="B16" s="29" t="s">
        <v>184</v>
      </c>
      <c r="C16" s="29" t="s">
        <v>185</v>
      </c>
      <c r="D16" s="29" t="str">
        <f>"0,5893"</f>
        <v>0,5893</v>
      </c>
      <c r="E16" s="29" t="s">
        <v>79</v>
      </c>
      <c r="F16" s="29" t="s">
        <v>22</v>
      </c>
      <c r="G16" s="31" t="s">
        <v>155</v>
      </c>
      <c r="H16" s="31" t="s">
        <v>50</v>
      </c>
      <c r="I16" s="30" t="s">
        <v>176</v>
      </c>
      <c r="J16" s="30"/>
      <c r="K16" s="32" t="str">
        <f>"120,0"</f>
        <v>120,0</v>
      </c>
      <c r="L16" s="33" t="str">
        <f>"70,7160"</f>
        <v>70,7160</v>
      </c>
      <c r="M16" s="29" t="s">
        <v>82</v>
      </c>
    </row>
    <row r="17" spans="1:13" x14ac:dyDescent="0.2">
      <c r="A17" s="12" t="s">
        <v>187</v>
      </c>
      <c r="B17" s="12" t="s">
        <v>188</v>
      </c>
      <c r="C17" s="12" t="s">
        <v>189</v>
      </c>
      <c r="D17" s="12" t="str">
        <f>"0,5986"</f>
        <v>0,5986</v>
      </c>
      <c r="E17" s="12" t="s">
        <v>43</v>
      </c>
      <c r="F17" s="12" t="s">
        <v>44</v>
      </c>
      <c r="G17" s="14" t="s">
        <v>81</v>
      </c>
      <c r="H17" s="13" t="s">
        <v>139</v>
      </c>
      <c r="I17" s="13" t="s">
        <v>139</v>
      </c>
      <c r="J17" s="13"/>
      <c r="K17" s="21" t="str">
        <f>"150,0"</f>
        <v>150,0</v>
      </c>
      <c r="L17" s="22" t="str">
        <f>"89,7900"</f>
        <v>89,7900</v>
      </c>
      <c r="M17" s="12" t="s">
        <v>51</v>
      </c>
    </row>
    <row r="19" spans="1:13" ht="15" x14ac:dyDescent="0.2">
      <c r="A19" s="50" t="s">
        <v>83</v>
      </c>
      <c r="B19" s="50"/>
      <c r="C19" s="50"/>
      <c r="D19" s="50"/>
      <c r="E19" s="50"/>
      <c r="F19" s="50"/>
      <c r="G19" s="50"/>
      <c r="H19" s="50"/>
      <c r="I19" s="50"/>
      <c r="J19" s="50"/>
    </row>
    <row r="20" spans="1:13" x14ac:dyDescent="0.2">
      <c r="A20" s="9" t="s">
        <v>191</v>
      </c>
      <c r="B20" s="9" t="s">
        <v>192</v>
      </c>
      <c r="C20" s="9" t="s">
        <v>193</v>
      </c>
      <c r="D20" s="9" t="str">
        <f>"0,5578"</f>
        <v>0,5578</v>
      </c>
      <c r="E20" s="9" t="s">
        <v>21</v>
      </c>
      <c r="F20" s="9" t="s">
        <v>22</v>
      </c>
      <c r="G20" s="10" t="s">
        <v>139</v>
      </c>
      <c r="H20" s="10" t="s">
        <v>91</v>
      </c>
      <c r="I20" s="11" t="s">
        <v>194</v>
      </c>
      <c r="J20" s="11"/>
      <c r="K20" s="19" t="str">
        <f>"162,5"</f>
        <v>162,5</v>
      </c>
      <c r="L20" s="20" t="str">
        <f>"90,6425"</f>
        <v>90,6425</v>
      </c>
      <c r="M20" s="9" t="s">
        <v>74</v>
      </c>
    </row>
    <row r="21" spans="1:13" x14ac:dyDescent="0.2">
      <c r="A21" s="12" t="s">
        <v>196</v>
      </c>
      <c r="B21" s="12" t="s">
        <v>197</v>
      </c>
      <c r="C21" s="12" t="s">
        <v>198</v>
      </c>
      <c r="D21" s="12" t="str">
        <f>"0,5694"</f>
        <v>0,5694</v>
      </c>
      <c r="E21" s="12" t="s">
        <v>79</v>
      </c>
      <c r="F21" s="12" t="s">
        <v>22</v>
      </c>
      <c r="G21" s="14" t="s">
        <v>181</v>
      </c>
      <c r="H21" s="14" t="s">
        <v>171</v>
      </c>
      <c r="I21" s="14" t="s">
        <v>199</v>
      </c>
      <c r="J21" s="13"/>
      <c r="K21" s="21" t="str">
        <f>"152,5"</f>
        <v>152,5</v>
      </c>
      <c r="L21" s="22" t="str">
        <f>"86,8335"</f>
        <v>86,8335</v>
      </c>
      <c r="M21" s="12" t="s">
        <v>82</v>
      </c>
    </row>
    <row r="23" spans="1:13" ht="15" x14ac:dyDescent="0.2">
      <c r="A23" s="50" t="s">
        <v>200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3" x14ac:dyDescent="0.2">
      <c r="A24" s="9" t="s">
        <v>202</v>
      </c>
      <c r="B24" s="9" t="s">
        <v>203</v>
      </c>
      <c r="C24" s="9" t="s">
        <v>204</v>
      </c>
      <c r="D24" s="9" t="str">
        <f>"0,5417"</f>
        <v>0,5417</v>
      </c>
      <c r="E24" s="9" t="s">
        <v>43</v>
      </c>
      <c r="F24" s="9" t="s">
        <v>205</v>
      </c>
      <c r="G24" s="10" t="s">
        <v>194</v>
      </c>
      <c r="H24" s="10" t="s">
        <v>206</v>
      </c>
      <c r="I24" s="11" t="s">
        <v>207</v>
      </c>
      <c r="J24" s="11"/>
      <c r="K24" s="19" t="str">
        <f>"172,5"</f>
        <v>172,5</v>
      </c>
      <c r="L24" s="20" t="str">
        <f>"93,4433"</f>
        <v>93,4433</v>
      </c>
      <c r="M24" s="9" t="s">
        <v>51</v>
      </c>
    </row>
    <row r="25" spans="1:13" x14ac:dyDescent="0.2">
      <c r="A25" s="12" t="s">
        <v>209</v>
      </c>
      <c r="B25" s="12" t="s">
        <v>210</v>
      </c>
      <c r="C25" s="12" t="s">
        <v>211</v>
      </c>
      <c r="D25" s="12" t="str">
        <f>"0,5491"</f>
        <v>0,5491</v>
      </c>
      <c r="E25" s="12" t="s">
        <v>212</v>
      </c>
      <c r="F25" s="12" t="s">
        <v>213</v>
      </c>
      <c r="G25" s="14" t="s">
        <v>139</v>
      </c>
      <c r="H25" s="14" t="s">
        <v>214</v>
      </c>
      <c r="I25" s="13" t="s">
        <v>140</v>
      </c>
      <c r="J25" s="13"/>
      <c r="K25" s="21" t="str">
        <f>"165,0"</f>
        <v>165,0</v>
      </c>
      <c r="L25" s="22" t="str">
        <f>"90,6015"</f>
        <v>90,6015</v>
      </c>
      <c r="M25" s="12" t="s">
        <v>74</v>
      </c>
    </row>
    <row r="27" spans="1:13" ht="15" x14ac:dyDescent="0.2">
      <c r="E27" s="15" t="s">
        <v>94</v>
      </c>
      <c r="F27" s="4" t="s">
        <v>365</v>
      </c>
    </row>
    <row r="28" spans="1:13" ht="15" x14ac:dyDescent="0.2">
      <c r="E28" s="15" t="s">
        <v>95</v>
      </c>
      <c r="F28" s="4" t="s">
        <v>366</v>
      </c>
    </row>
    <row r="29" spans="1:13" ht="15" x14ac:dyDescent="0.2">
      <c r="E29" s="15" t="s">
        <v>96</v>
      </c>
      <c r="F29" s="4" t="s">
        <v>367</v>
      </c>
    </row>
    <row r="30" spans="1:13" ht="15" x14ac:dyDescent="0.2">
      <c r="E30" s="15" t="s">
        <v>97</v>
      </c>
      <c r="F30" s="4" t="s">
        <v>368</v>
      </c>
    </row>
    <row r="31" spans="1:13" ht="15" x14ac:dyDescent="0.2">
      <c r="E31" s="15" t="s">
        <v>97</v>
      </c>
      <c r="F31" s="4" t="s">
        <v>369</v>
      </c>
    </row>
    <row r="32" spans="1:13" ht="15" x14ac:dyDescent="0.2">
      <c r="E32" s="15" t="s">
        <v>98</v>
      </c>
      <c r="F32" s="34" t="s">
        <v>370</v>
      </c>
    </row>
    <row r="33" spans="1:5" ht="15" x14ac:dyDescent="0.2">
      <c r="E33" s="15"/>
    </row>
    <row r="35" spans="1:5" ht="18" x14ac:dyDescent="0.25">
      <c r="A35" s="23" t="s">
        <v>99</v>
      </c>
      <c r="B35" s="23"/>
    </row>
    <row r="36" spans="1:5" ht="15" x14ac:dyDescent="0.2">
      <c r="A36" s="24" t="s">
        <v>118</v>
      </c>
      <c r="B36" s="24"/>
    </row>
    <row r="37" spans="1:5" ht="14.25" x14ac:dyDescent="0.2">
      <c r="A37" s="26"/>
      <c r="B37" s="27" t="s">
        <v>122</v>
      </c>
    </row>
    <row r="38" spans="1:5" ht="15" x14ac:dyDescent="0.2">
      <c r="A38" s="28" t="s">
        <v>102</v>
      </c>
      <c r="B38" s="28" t="s">
        <v>103</v>
      </c>
      <c r="C38" s="28" t="s">
        <v>104</v>
      </c>
      <c r="D38" s="28" t="s">
        <v>215</v>
      </c>
      <c r="E38" s="28" t="s">
        <v>106</v>
      </c>
    </row>
    <row r="39" spans="1:5" x14ac:dyDescent="0.2">
      <c r="A39" s="25" t="s">
        <v>177</v>
      </c>
      <c r="B39" s="4" t="s">
        <v>107</v>
      </c>
      <c r="C39" s="4" t="s">
        <v>126</v>
      </c>
      <c r="D39" s="4" t="s">
        <v>181</v>
      </c>
      <c r="E39" s="16" t="s">
        <v>216</v>
      </c>
    </row>
    <row r="40" spans="1:5" x14ac:dyDescent="0.2">
      <c r="A40" s="25" t="s">
        <v>161</v>
      </c>
      <c r="B40" s="4" t="s">
        <v>107</v>
      </c>
      <c r="C40" s="4" t="s">
        <v>217</v>
      </c>
      <c r="D40" s="4" t="s">
        <v>165</v>
      </c>
      <c r="E40" s="16" t="s">
        <v>218</v>
      </c>
    </row>
    <row r="41" spans="1:5" x14ac:dyDescent="0.2">
      <c r="A41" s="25" t="s">
        <v>182</v>
      </c>
      <c r="B41" s="4" t="s">
        <v>107</v>
      </c>
      <c r="C41" s="4" t="s">
        <v>126</v>
      </c>
      <c r="D41" s="4" t="s">
        <v>50</v>
      </c>
      <c r="E41" s="16" t="s">
        <v>219</v>
      </c>
    </row>
    <row r="43" spans="1:5" ht="14.25" x14ac:dyDescent="0.2">
      <c r="A43" s="26"/>
      <c r="B43" s="27" t="s">
        <v>111</v>
      </c>
    </row>
    <row r="44" spans="1:5" ht="15" x14ac:dyDescent="0.2">
      <c r="A44" s="28" t="s">
        <v>102</v>
      </c>
      <c r="B44" s="28" t="s">
        <v>103</v>
      </c>
      <c r="C44" s="28" t="s">
        <v>104</v>
      </c>
      <c r="D44" s="28" t="s">
        <v>215</v>
      </c>
      <c r="E44" s="28" t="s">
        <v>106</v>
      </c>
    </row>
    <row r="45" spans="1:5" x14ac:dyDescent="0.2">
      <c r="A45" s="25" t="s">
        <v>201</v>
      </c>
      <c r="B45" s="4" t="s">
        <v>111</v>
      </c>
      <c r="C45" s="4" t="s">
        <v>220</v>
      </c>
      <c r="D45" s="4" t="s">
        <v>206</v>
      </c>
      <c r="E45" s="16" t="s">
        <v>221</v>
      </c>
    </row>
    <row r="46" spans="1:5" x14ac:dyDescent="0.2">
      <c r="A46" s="25" t="s">
        <v>190</v>
      </c>
      <c r="B46" s="4" t="s">
        <v>111</v>
      </c>
      <c r="C46" s="4" t="s">
        <v>123</v>
      </c>
      <c r="D46" s="4" t="s">
        <v>91</v>
      </c>
      <c r="E46" s="16" t="s">
        <v>222</v>
      </c>
    </row>
    <row r="47" spans="1:5" x14ac:dyDescent="0.2">
      <c r="A47" s="25" t="s">
        <v>166</v>
      </c>
      <c r="B47" s="4" t="s">
        <v>111</v>
      </c>
      <c r="C47" s="4" t="s">
        <v>217</v>
      </c>
      <c r="D47" s="4" t="s">
        <v>170</v>
      </c>
      <c r="E47" s="16" t="s">
        <v>223</v>
      </c>
    </row>
    <row r="48" spans="1:5" x14ac:dyDescent="0.2">
      <c r="A48" s="25" t="s">
        <v>208</v>
      </c>
      <c r="B48" s="4" t="s">
        <v>111</v>
      </c>
      <c r="C48" s="4" t="s">
        <v>220</v>
      </c>
      <c r="D48" s="4" t="s">
        <v>214</v>
      </c>
      <c r="E48" s="16" t="s">
        <v>224</v>
      </c>
    </row>
    <row r="49" spans="1:5" x14ac:dyDescent="0.2">
      <c r="A49" s="25" t="s">
        <v>186</v>
      </c>
      <c r="B49" s="4" t="s">
        <v>111</v>
      </c>
      <c r="C49" s="4" t="s">
        <v>126</v>
      </c>
      <c r="D49" s="4" t="s">
        <v>81</v>
      </c>
      <c r="E49" s="16" t="s">
        <v>225</v>
      </c>
    </row>
    <row r="50" spans="1:5" x14ac:dyDescent="0.2">
      <c r="A50" s="25" t="s">
        <v>195</v>
      </c>
      <c r="B50" s="4" t="s">
        <v>111</v>
      </c>
      <c r="C50" s="4" t="s">
        <v>123</v>
      </c>
      <c r="D50" s="4" t="s">
        <v>199</v>
      </c>
      <c r="E50" s="16" t="s">
        <v>226</v>
      </c>
    </row>
    <row r="51" spans="1:5" x14ac:dyDescent="0.2">
      <c r="A51" s="25" t="s">
        <v>172</v>
      </c>
      <c r="B51" s="4" t="s">
        <v>111</v>
      </c>
      <c r="C51" s="4" t="s">
        <v>217</v>
      </c>
      <c r="D51" s="4" t="s">
        <v>70</v>
      </c>
      <c r="E51" s="16" t="s">
        <v>227</v>
      </c>
    </row>
    <row r="52" spans="1:5" x14ac:dyDescent="0.2">
      <c r="A52" s="25" t="s">
        <v>149</v>
      </c>
      <c r="B52" s="4" t="s">
        <v>111</v>
      </c>
      <c r="C52" s="4" t="s">
        <v>228</v>
      </c>
      <c r="D52" s="4" t="s">
        <v>46</v>
      </c>
      <c r="E52" s="16" t="s">
        <v>229</v>
      </c>
    </row>
  </sheetData>
  <mergeCells count="16">
    <mergeCell ref="A9:J9"/>
    <mergeCell ref="A14:J14"/>
    <mergeCell ref="A19:J19"/>
    <mergeCell ref="A23:J2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F13" sqref="F13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1.855468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6" bestFit="1" customWidth="1"/>
    <col min="20" max="20" width="8.5703125" style="2" bestFit="1" customWidth="1"/>
    <col min="21" max="21" width="8.85546875" style="4" bestFit="1" customWidth="1"/>
    <col min="22" max="16384" width="9.140625" style="3"/>
  </cols>
  <sheetData>
    <row r="1" spans="1:21" s="2" customFormat="1" ht="29.1" customHeight="1" x14ac:dyDescent="0.2">
      <c r="A1" s="41" t="s">
        <v>133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13</v>
      </c>
      <c r="H3" s="35"/>
      <c r="I3" s="35"/>
      <c r="J3" s="35"/>
      <c r="K3" s="35" t="s">
        <v>14</v>
      </c>
      <c r="L3" s="35"/>
      <c r="M3" s="35"/>
      <c r="N3" s="35"/>
      <c r="O3" s="35" t="s">
        <v>15</v>
      </c>
      <c r="P3" s="35"/>
      <c r="Q3" s="35"/>
      <c r="R3" s="35"/>
      <c r="S3" s="35" t="s">
        <v>1</v>
      </c>
      <c r="T3" s="35" t="s">
        <v>3</v>
      </c>
      <c r="U3" s="37" t="s">
        <v>2</v>
      </c>
    </row>
    <row r="4" spans="1:21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6"/>
      <c r="T4" s="36"/>
      <c r="U4" s="38"/>
    </row>
    <row r="5" spans="1:21" ht="15" x14ac:dyDescent="0.2">
      <c r="A5" s="39" t="s">
        <v>83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 x14ac:dyDescent="0.2">
      <c r="A6" s="6" t="s">
        <v>135</v>
      </c>
      <c r="B6" s="6" t="s">
        <v>136</v>
      </c>
      <c r="C6" s="6" t="s">
        <v>137</v>
      </c>
      <c r="D6" s="6" t="str">
        <f>"0,5574"</f>
        <v>0,5574</v>
      </c>
      <c r="E6" s="6" t="s">
        <v>79</v>
      </c>
      <c r="F6" s="6" t="s">
        <v>22</v>
      </c>
      <c r="G6" s="7" t="s">
        <v>72</v>
      </c>
      <c r="H6" s="7" t="s">
        <v>89</v>
      </c>
      <c r="I6" s="7" t="s">
        <v>138</v>
      </c>
      <c r="J6" s="8"/>
      <c r="K6" s="7" t="s">
        <v>139</v>
      </c>
      <c r="L6" s="7" t="s">
        <v>91</v>
      </c>
      <c r="M6" s="7" t="s">
        <v>140</v>
      </c>
      <c r="N6" s="8"/>
      <c r="O6" s="7" t="s">
        <v>141</v>
      </c>
      <c r="P6" s="7" t="s">
        <v>142</v>
      </c>
      <c r="Q6" s="8" t="s">
        <v>143</v>
      </c>
      <c r="R6" s="8"/>
      <c r="S6" s="17" t="str">
        <f>"667,5"</f>
        <v>667,5</v>
      </c>
      <c r="T6" s="18" t="str">
        <f>"372,0645"</f>
        <v>372,0645</v>
      </c>
      <c r="U6" s="6" t="s">
        <v>74</v>
      </c>
    </row>
    <row r="8" spans="1:21" ht="15" x14ac:dyDescent="0.2">
      <c r="E8" s="15" t="s">
        <v>94</v>
      </c>
      <c r="F8" s="4" t="s">
        <v>365</v>
      </c>
    </row>
    <row r="9" spans="1:21" ht="15" x14ac:dyDescent="0.2">
      <c r="E9" s="15" t="s">
        <v>95</v>
      </c>
      <c r="F9" s="4" t="s">
        <v>366</v>
      </c>
    </row>
    <row r="10" spans="1:21" ht="15" x14ac:dyDescent="0.2">
      <c r="E10" s="15" t="s">
        <v>96</v>
      </c>
      <c r="F10" s="4" t="s">
        <v>367</v>
      </c>
    </row>
    <row r="11" spans="1:21" ht="15" x14ac:dyDescent="0.2">
      <c r="E11" s="15" t="s">
        <v>97</v>
      </c>
      <c r="F11" s="4" t="s">
        <v>368</v>
      </c>
    </row>
    <row r="12" spans="1:21" ht="15" x14ac:dyDescent="0.2">
      <c r="E12" s="15" t="s">
        <v>97</v>
      </c>
      <c r="F12" s="4" t="s">
        <v>369</v>
      </c>
    </row>
    <row r="13" spans="1:21" ht="15" x14ac:dyDescent="0.2">
      <c r="E13" s="15" t="s">
        <v>98</v>
      </c>
      <c r="F13" s="34" t="s">
        <v>370</v>
      </c>
    </row>
    <row r="14" spans="1:21" ht="15" x14ac:dyDescent="0.2">
      <c r="E14" s="15"/>
    </row>
    <row r="16" spans="1:21" ht="18" x14ac:dyDescent="0.25">
      <c r="A16" s="23" t="s">
        <v>99</v>
      </c>
      <c r="B16" s="23"/>
    </row>
    <row r="17" spans="1:5" ht="15" x14ac:dyDescent="0.2">
      <c r="A17" s="24" t="s">
        <v>118</v>
      </c>
      <c r="B17" s="24"/>
    </row>
    <row r="18" spans="1:5" ht="14.25" x14ac:dyDescent="0.2">
      <c r="A18" s="26"/>
      <c r="B18" s="27" t="s">
        <v>111</v>
      </c>
    </row>
    <row r="19" spans="1:5" ht="15" x14ac:dyDescent="0.2">
      <c r="A19" s="28" t="s">
        <v>102</v>
      </c>
      <c r="B19" s="28" t="s">
        <v>103</v>
      </c>
      <c r="C19" s="28" t="s">
        <v>104</v>
      </c>
      <c r="D19" s="28" t="s">
        <v>105</v>
      </c>
      <c r="E19" s="28" t="s">
        <v>106</v>
      </c>
    </row>
    <row r="20" spans="1:5" x14ac:dyDescent="0.2">
      <c r="A20" s="25" t="s">
        <v>134</v>
      </c>
      <c r="B20" s="4" t="s">
        <v>111</v>
      </c>
      <c r="C20" s="4" t="s">
        <v>123</v>
      </c>
      <c r="D20" s="4" t="s">
        <v>144</v>
      </c>
      <c r="E20" s="16" t="s">
        <v>145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59"/>
  <sheetViews>
    <sheetView topLeftCell="A4" workbookViewId="0">
      <selection activeCell="F29" sqref="F29"/>
    </sheetView>
  </sheetViews>
  <sheetFormatPr defaultRowHeight="12.75" x14ac:dyDescent="0.2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4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6" bestFit="1" customWidth="1"/>
    <col min="20" max="20" width="8.5703125" style="2" bestFit="1" customWidth="1"/>
    <col min="21" max="21" width="30.28515625" style="4" bestFit="1" customWidth="1"/>
    <col min="22" max="16384" width="9.140625" style="3"/>
  </cols>
  <sheetData>
    <row r="1" spans="1:21" s="2" customFormat="1" ht="29.1" customHeight="1" x14ac:dyDescent="0.2">
      <c r="A1" s="41" t="s">
        <v>11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13</v>
      </c>
      <c r="H3" s="35"/>
      <c r="I3" s="35"/>
      <c r="J3" s="35"/>
      <c r="K3" s="35" t="s">
        <v>14</v>
      </c>
      <c r="L3" s="35"/>
      <c r="M3" s="35"/>
      <c r="N3" s="35"/>
      <c r="O3" s="35" t="s">
        <v>15</v>
      </c>
      <c r="P3" s="35"/>
      <c r="Q3" s="35"/>
      <c r="R3" s="35"/>
      <c r="S3" s="35" t="s">
        <v>1</v>
      </c>
      <c r="T3" s="35" t="s">
        <v>3</v>
      </c>
      <c r="U3" s="37" t="s">
        <v>2</v>
      </c>
    </row>
    <row r="4" spans="1:21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6"/>
      <c r="T4" s="36"/>
      <c r="U4" s="38"/>
    </row>
    <row r="5" spans="1:21" ht="15" x14ac:dyDescent="0.2">
      <c r="A5" s="39" t="s">
        <v>16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 x14ac:dyDescent="0.2">
      <c r="A6" s="6" t="s">
        <v>18</v>
      </c>
      <c r="B6" s="6" t="s">
        <v>19</v>
      </c>
      <c r="C6" s="6" t="s">
        <v>20</v>
      </c>
      <c r="D6" s="6" t="str">
        <f>"1,0353"</f>
        <v>1,0353</v>
      </c>
      <c r="E6" s="6" t="s">
        <v>21</v>
      </c>
      <c r="F6" s="6" t="s">
        <v>22</v>
      </c>
      <c r="G6" s="7" t="s">
        <v>23</v>
      </c>
      <c r="H6" s="7" t="s">
        <v>24</v>
      </c>
      <c r="I6" s="7" t="s">
        <v>25</v>
      </c>
      <c r="J6" s="8"/>
      <c r="K6" s="7" t="s">
        <v>26</v>
      </c>
      <c r="L6" s="8" t="s">
        <v>27</v>
      </c>
      <c r="M6" s="8" t="s">
        <v>27</v>
      </c>
      <c r="N6" s="8"/>
      <c r="O6" s="7" t="s">
        <v>24</v>
      </c>
      <c r="P6" s="7" t="s">
        <v>25</v>
      </c>
      <c r="Q6" s="8" t="s">
        <v>28</v>
      </c>
      <c r="R6" s="8"/>
      <c r="S6" s="17" t="str">
        <f>"157,5"</f>
        <v>157,5</v>
      </c>
      <c r="T6" s="18" t="str">
        <f>"163,0598"</f>
        <v>163,0598</v>
      </c>
      <c r="U6" s="6" t="s">
        <v>29</v>
      </c>
    </row>
    <row r="8" spans="1:21" ht="15" x14ac:dyDescent="0.2">
      <c r="A8" s="50" t="s">
        <v>30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21" x14ac:dyDescent="0.2">
      <c r="A9" s="6" t="s">
        <v>32</v>
      </c>
      <c r="B9" s="6" t="s">
        <v>33</v>
      </c>
      <c r="C9" s="6" t="s">
        <v>34</v>
      </c>
      <c r="D9" s="6" t="str">
        <f>"0,8622"</f>
        <v>0,8622</v>
      </c>
      <c r="E9" s="6" t="s">
        <v>21</v>
      </c>
      <c r="F9" s="6" t="s">
        <v>22</v>
      </c>
      <c r="G9" s="7" t="s">
        <v>28</v>
      </c>
      <c r="H9" s="7" t="s">
        <v>35</v>
      </c>
      <c r="I9" s="7" t="s">
        <v>36</v>
      </c>
      <c r="J9" s="8"/>
      <c r="K9" s="7" t="s">
        <v>26</v>
      </c>
      <c r="L9" s="7" t="s">
        <v>27</v>
      </c>
      <c r="M9" s="8" t="s">
        <v>37</v>
      </c>
      <c r="N9" s="8"/>
      <c r="O9" s="7" t="s">
        <v>28</v>
      </c>
      <c r="P9" s="7" t="s">
        <v>35</v>
      </c>
      <c r="Q9" s="7" t="s">
        <v>36</v>
      </c>
      <c r="R9" s="8"/>
      <c r="S9" s="17" t="str">
        <f>"192,5"</f>
        <v>192,5</v>
      </c>
      <c r="T9" s="18" t="str">
        <f>"167,6235"</f>
        <v>167,6235</v>
      </c>
      <c r="U9" s="6" t="s">
        <v>29</v>
      </c>
    </row>
    <row r="11" spans="1:21" ht="15" x14ac:dyDescent="0.2">
      <c r="A11" s="50" t="s">
        <v>38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21" x14ac:dyDescent="0.2">
      <c r="A12" s="6" t="s">
        <v>40</v>
      </c>
      <c r="B12" s="6" t="s">
        <v>41</v>
      </c>
      <c r="C12" s="6" t="s">
        <v>42</v>
      </c>
      <c r="D12" s="6" t="str">
        <f>"0,7913"</f>
        <v>0,7913</v>
      </c>
      <c r="E12" s="6" t="s">
        <v>43</v>
      </c>
      <c r="F12" s="6" t="s">
        <v>44</v>
      </c>
      <c r="G12" s="8" t="s">
        <v>45</v>
      </c>
      <c r="H12" s="7" t="s">
        <v>45</v>
      </c>
      <c r="I12" s="7" t="s">
        <v>46</v>
      </c>
      <c r="J12" s="8"/>
      <c r="K12" s="7" t="s">
        <v>47</v>
      </c>
      <c r="L12" s="7" t="s">
        <v>48</v>
      </c>
      <c r="M12" s="8" t="s">
        <v>49</v>
      </c>
      <c r="N12" s="8"/>
      <c r="O12" s="7" t="s">
        <v>46</v>
      </c>
      <c r="P12" s="7" t="s">
        <v>50</v>
      </c>
      <c r="Q12" s="8"/>
      <c r="R12" s="8"/>
      <c r="S12" s="17" t="str">
        <f>"312,5"</f>
        <v>312,5</v>
      </c>
      <c r="T12" s="18" t="str">
        <f>"247,2812"</f>
        <v>247,2812</v>
      </c>
      <c r="U12" s="6" t="s">
        <v>51</v>
      </c>
    </row>
    <row r="14" spans="1:21" ht="15" x14ac:dyDescent="0.2">
      <c r="A14" s="50" t="s">
        <v>38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spans="1:21" x14ac:dyDescent="0.2">
      <c r="A15" s="6" t="s">
        <v>53</v>
      </c>
      <c r="B15" s="6" t="s">
        <v>54</v>
      </c>
      <c r="C15" s="6" t="s">
        <v>55</v>
      </c>
      <c r="D15" s="6" t="str">
        <f>"0,7993"</f>
        <v>0,7993</v>
      </c>
      <c r="E15" s="6" t="s">
        <v>43</v>
      </c>
      <c r="F15" s="6" t="s">
        <v>44</v>
      </c>
      <c r="G15" s="7" t="s">
        <v>28</v>
      </c>
      <c r="H15" s="7" t="s">
        <v>35</v>
      </c>
      <c r="I15" s="7" t="s">
        <v>36</v>
      </c>
      <c r="J15" s="8"/>
      <c r="K15" s="7" t="s">
        <v>56</v>
      </c>
      <c r="L15" s="7" t="s">
        <v>57</v>
      </c>
      <c r="M15" s="7" t="s">
        <v>23</v>
      </c>
      <c r="N15" s="8"/>
      <c r="O15" s="7" t="s">
        <v>36</v>
      </c>
      <c r="P15" s="7" t="s">
        <v>58</v>
      </c>
      <c r="Q15" s="8" t="s">
        <v>59</v>
      </c>
      <c r="R15" s="8"/>
      <c r="S15" s="17" t="str">
        <f>"225,0"</f>
        <v>225,0</v>
      </c>
      <c r="T15" s="18" t="str">
        <f>"212,2142"</f>
        <v>212,2142</v>
      </c>
      <c r="U15" s="6" t="s">
        <v>60</v>
      </c>
    </row>
    <row r="17" spans="1:21" ht="15" x14ac:dyDescent="0.2">
      <c r="A17" s="50" t="s">
        <v>61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spans="1:21" x14ac:dyDescent="0.2">
      <c r="A18" s="9" t="s">
        <v>63</v>
      </c>
      <c r="B18" s="9" t="s">
        <v>64</v>
      </c>
      <c r="C18" s="9" t="s">
        <v>65</v>
      </c>
      <c r="D18" s="9" t="str">
        <f>"0,5905"</f>
        <v>0,5905</v>
      </c>
      <c r="E18" s="9" t="s">
        <v>66</v>
      </c>
      <c r="F18" s="9" t="s">
        <v>44</v>
      </c>
      <c r="G18" s="10" t="s">
        <v>67</v>
      </c>
      <c r="H18" s="10" t="s">
        <v>68</v>
      </c>
      <c r="I18" s="11" t="s">
        <v>69</v>
      </c>
      <c r="J18" s="11"/>
      <c r="K18" s="10" t="s">
        <v>50</v>
      </c>
      <c r="L18" s="10" t="s">
        <v>70</v>
      </c>
      <c r="M18" s="10" t="s">
        <v>71</v>
      </c>
      <c r="N18" s="11"/>
      <c r="O18" s="10" t="s">
        <v>68</v>
      </c>
      <c r="P18" s="10" t="s">
        <v>72</v>
      </c>
      <c r="Q18" s="10" t="s">
        <v>73</v>
      </c>
      <c r="R18" s="11"/>
      <c r="S18" s="19" t="str">
        <f>"565,0"</f>
        <v>565,0</v>
      </c>
      <c r="T18" s="20" t="str">
        <f>"333,6325"</f>
        <v>333,6325</v>
      </c>
      <c r="U18" s="9" t="s">
        <v>74</v>
      </c>
    </row>
    <row r="19" spans="1:21" x14ac:dyDescent="0.2">
      <c r="A19" s="12" t="s">
        <v>76</v>
      </c>
      <c r="B19" s="12" t="s">
        <v>77</v>
      </c>
      <c r="C19" s="12" t="s">
        <v>78</v>
      </c>
      <c r="D19" s="12" t="str">
        <f>"0,5912"</f>
        <v>0,5912</v>
      </c>
      <c r="E19" s="12" t="s">
        <v>79</v>
      </c>
      <c r="F19" s="12" t="s">
        <v>22</v>
      </c>
      <c r="G19" s="13" t="s">
        <v>59</v>
      </c>
      <c r="H19" s="14" t="s">
        <v>59</v>
      </c>
      <c r="I19" s="13" t="s">
        <v>80</v>
      </c>
      <c r="J19" s="13"/>
      <c r="K19" s="14" t="s">
        <v>59</v>
      </c>
      <c r="L19" s="14" t="s">
        <v>80</v>
      </c>
      <c r="M19" s="14" t="s">
        <v>45</v>
      </c>
      <c r="N19" s="13"/>
      <c r="O19" s="14" t="s">
        <v>70</v>
      </c>
      <c r="P19" s="14" t="s">
        <v>71</v>
      </c>
      <c r="Q19" s="14" t="s">
        <v>81</v>
      </c>
      <c r="R19" s="13"/>
      <c r="S19" s="21" t="str">
        <f>"350,0"</f>
        <v>350,0</v>
      </c>
      <c r="T19" s="22" t="str">
        <f>"208,7823"</f>
        <v>208,7823</v>
      </c>
      <c r="U19" s="12" t="s">
        <v>82</v>
      </c>
    </row>
    <row r="21" spans="1:21" ht="15" x14ac:dyDescent="0.2">
      <c r="A21" s="50" t="s">
        <v>83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</row>
    <row r="22" spans="1:21" x14ac:dyDescent="0.2">
      <c r="A22" s="6" t="s">
        <v>85</v>
      </c>
      <c r="B22" s="6" t="s">
        <v>86</v>
      </c>
      <c r="C22" s="6" t="s">
        <v>87</v>
      </c>
      <c r="D22" s="6" t="str">
        <f>"0,5598"</f>
        <v>0,5598</v>
      </c>
      <c r="E22" s="6" t="s">
        <v>88</v>
      </c>
      <c r="F22" s="6" t="s">
        <v>22</v>
      </c>
      <c r="G22" s="7" t="s">
        <v>89</v>
      </c>
      <c r="H22" s="8" t="s">
        <v>90</v>
      </c>
      <c r="I22" s="8" t="s">
        <v>90</v>
      </c>
      <c r="J22" s="8"/>
      <c r="K22" s="7" t="s">
        <v>81</v>
      </c>
      <c r="L22" s="8" t="s">
        <v>91</v>
      </c>
      <c r="M22" s="8" t="s">
        <v>91</v>
      </c>
      <c r="N22" s="8"/>
      <c r="O22" s="7" t="s">
        <v>72</v>
      </c>
      <c r="P22" s="8" t="s">
        <v>92</v>
      </c>
      <c r="Q22" s="8" t="s">
        <v>92</v>
      </c>
      <c r="R22" s="8"/>
      <c r="S22" s="17" t="str">
        <f>"580,0"</f>
        <v>580,0</v>
      </c>
      <c r="T22" s="18" t="str">
        <f>"324,6840"</f>
        <v>324,6840</v>
      </c>
      <c r="U22" s="6" t="s">
        <v>93</v>
      </c>
    </row>
    <row r="24" spans="1:21" ht="15" x14ac:dyDescent="0.2">
      <c r="E24" s="15" t="s">
        <v>94</v>
      </c>
      <c r="F24" s="4" t="s">
        <v>365</v>
      </c>
    </row>
    <row r="25" spans="1:21" ht="15" x14ac:dyDescent="0.2">
      <c r="E25" s="15" t="s">
        <v>95</v>
      </c>
      <c r="F25" s="4" t="s">
        <v>366</v>
      </c>
    </row>
    <row r="26" spans="1:21" ht="15" x14ac:dyDescent="0.2">
      <c r="E26" s="15" t="s">
        <v>96</v>
      </c>
      <c r="F26" s="4" t="s">
        <v>367</v>
      </c>
    </row>
    <row r="27" spans="1:21" ht="15" x14ac:dyDescent="0.2">
      <c r="E27" s="15" t="s">
        <v>97</v>
      </c>
      <c r="F27" s="4" t="s">
        <v>368</v>
      </c>
    </row>
    <row r="28" spans="1:21" ht="15" x14ac:dyDescent="0.2">
      <c r="E28" s="15" t="s">
        <v>97</v>
      </c>
      <c r="F28" s="4" t="s">
        <v>369</v>
      </c>
    </row>
    <row r="29" spans="1:21" ht="15" x14ac:dyDescent="0.2">
      <c r="E29" s="15" t="s">
        <v>98</v>
      </c>
      <c r="F29" s="34" t="s">
        <v>370</v>
      </c>
    </row>
    <row r="30" spans="1:21" ht="15" x14ac:dyDescent="0.2">
      <c r="E30" s="15"/>
    </row>
    <row r="32" spans="1:21" ht="18" x14ac:dyDescent="0.25">
      <c r="A32" s="23" t="s">
        <v>99</v>
      </c>
      <c r="B32" s="23"/>
    </row>
    <row r="33" spans="1:5" ht="15" x14ac:dyDescent="0.2">
      <c r="A33" s="24" t="s">
        <v>100</v>
      </c>
      <c r="B33" s="24"/>
    </row>
    <row r="34" spans="1:5" ht="14.25" x14ac:dyDescent="0.2">
      <c r="A34" s="26"/>
      <c r="B34" s="27" t="s">
        <v>101</v>
      </c>
    </row>
    <row r="35" spans="1:5" ht="15" x14ac:dyDescent="0.2">
      <c r="A35" s="28" t="s">
        <v>102</v>
      </c>
      <c r="B35" s="28" t="s">
        <v>103</v>
      </c>
      <c r="C35" s="28" t="s">
        <v>104</v>
      </c>
      <c r="D35" s="28" t="s">
        <v>105</v>
      </c>
      <c r="E35" s="28" t="s">
        <v>106</v>
      </c>
    </row>
    <row r="36" spans="1:5" x14ac:dyDescent="0.2">
      <c r="A36" s="25" t="s">
        <v>31</v>
      </c>
      <c r="B36" s="4" t="s">
        <v>107</v>
      </c>
      <c r="C36" s="4" t="s">
        <v>108</v>
      </c>
      <c r="D36" s="4" t="s">
        <v>109</v>
      </c>
      <c r="E36" s="16" t="s">
        <v>110</v>
      </c>
    </row>
    <row r="38" spans="1:5" ht="14.25" x14ac:dyDescent="0.2">
      <c r="A38" s="26"/>
      <c r="B38" s="27" t="s">
        <v>111</v>
      </c>
    </row>
    <row r="39" spans="1:5" ht="15" x14ac:dyDescent="0.2">
      <c r="A39" s="28" t="s">
        <v>102</v>
      </c>
      <c r="B39" s="28" t="s">
        <v>103</v>
      </c>
      <c r="C39" s="28" t="s">
        <v>104</v>
      </c>
      <c r="D39" s="28" t="s">
        <v>105</v>
      </c>
      <c r="E39" s="28" t="s">
        <v>106</v>
      </c>
    </row>
    <row r="40" spans="1:5" x14ac:dyDescent="0.2">
      <c r="A40" s="25" t="s">
        <v>39</v>
      </c>
      <c r="B40" s="4" t="s">
        <v>111</v>
      </c>
      <c r="C40" s="4" t="s">
        <v>112</v>
      </c>
      <c r="D40" s="4" t="s">
        <v>113</v>
      </c>
      <c r="E40" s="16" t="s">
        <v>114</v>
      </c>
    </row>
    <row r="41" spans="1:5" x14ac:dyDescent="0.2">
      <c r="A41" s="25" t="s">
        <v>17</v>
      </c>
      <c r="B41" s="4" t="s">
        <v>111</v>
      </c>
      <c r="C41" s="4" t="s">
        <v>115</v>
      </c>
      <c r="D41" s="4" t="s">
        <v>116</v>
      </c>
      <c r="E41" s="16" t="s">
        <v>117</v>
      </c>
    </row>
    <row r="44" spans="1:5" ht="15" x14ac:dyDescent="0.2">
      <c r="A44" s="24" t="s">
        <v>118</v>
      </c>
      <c r="B44" s="24"/>
    </row>
    <row r="45" spans="1:5" ht="14.25" x14ac:dyDescent="0.2">
      <c r="A45" s="26"/>
      <c r="B45" s="27" t="s">
        <v>119</v>
      </c>
    </row>
    <row r="46" spans="1:5" ht="15" x14ac:dyDescent="0.2">
      <c r="A46" s="28" t="s">
        <v>102</v>
      </c>
      <c r="B46" s="28" t="s">
        <v>103</v>
      </c>
      <c r="C46" s="28" t="s">
        <v>104</v>
      </c>
      <c r="D46" s="28" t="s">
        <v>105</v>
      </c>
      <c r="E46" s="28" t="s">
        <v>106</v>
      </c>
    </row>
    <row r="47" spans="1:5" x14ac:dyDescent="0.2">
      <c r="A47" s="25" t="s">
        <v>52</v>
      </c>
      <c r="B47" s="4" t="s">
        <v>120</v>
      </c>
      <c r="C47" s="4" t="s">
        <v>112</v>
      </c>
      <c r="D47" s="4" t="s">
        <v>73</v>
      </c>
      <c r="E47" s="16" t="s">
        <v>121</v>
      </c>
    </row>
    <row r="49" spans="1:5" ht="14.25" x14ac:dyDescent="0.2">
      <c r="A49" s="26"/>
      <c r="B49" s="27" t="s">
        <v>122</v>
      </c>
    </row>
    <row r="50" spans="1:5" ht="15" x14ac:dyDescent="0.2">
      <c r="A50" s="28" t="s">
        <v>102</v>
      </c>
      <c r="B50" s="28" t="s">
        <v>103</v>
      </c>
      <c r="C50" s="28" t="s">
        <v>104</v>
      </c>
      <c r="D50" s="28" t="s">
        <v>105</v>
      </c>
      <c r="E50" s="28" t="s">
        <v>106</v>
      </c>
    </row>
    <row r="51" spans="1:5" x14ac:dyDescent="0.2">
      <c r="A51" s="25" t="s">
        <v>84</v>
      </c>
      <c r="B51" s="4" t="s">
        <v>107</v>
      </c>
      <c r="C51" s="4" t="s">
        <v>123</v>
      </c>
      <c r="D51" s="4" t="s">
        <v>124</v>
      </c>
      <c r="E51" s="16" t="s">
        <v>125</v>
      </c>
    </row>
    <row r="53" spans="1:5" ht="14.25" x14ac:dyDescent="0.2">
      <c r="A53" s="26"/>
      <c r="B53" s="27" t="s">
        <v>111</v>
      </c>
    </row>
    <row r="54" spans="1:5" ht="15" x14ac:dyDescent="0.2">
      <c r="A54" s="28" t="s">
        <v>102</v>
      </c>
      <c r="B54" s="28" t="s">
        <v>103</v>
      </c>
      <c r="C54" s="28" t="s">
        <v>104</v>
      </c>
      <c r="D54" s="28" t="s">
        <v>105</v>
      </c>
      <c r="E54" s="28" t="s">
        <v>106</v>
      </c>
    </row>
    <row r="55" spans="1:5" x14ac:dyDescent="0.2">
      <c r="A55" s="25" t="s">
        <v>62</v>
      </c>
      <c r="B55" s="4" t="s">
        <v>111</v>
      </c>
      <c r="C55" s="4" t="s">
        <v>126</v>
      </c>
      <c r="D55" s="4" t="s">
        <v>127</v>
      </c>
      <c r="E55" s="16" t="s">
        <v>128</v>
      </c>
    </row>
    <row r="57" spans="1:5" ht="14.25" x14ac:dyDescent="0.2">
      <c r="A57" s="26"/>
      <c r="B57" s="27" t="s">
        <v>129</v>
      </c>
    </row>
    <row r="58" spans="1:5" ht="15" x14ac:dyDescent="0.2">
      <c r="A58" s="28" t="s">
        <v>102</v>
      </c>
      <c r="B58" s="28" t="s">
        <v>103</v>
      </c>
      <c r="C58" s="28" t="s">
        <v>104</v>
      </c>
      <c r="D58" s="28" t="s">
        <v>105</v>
      </c>
      <c r="E58" s="28" t="s">
        <v>106</v>
      </c>
    </row>
    <row r="59" spans="1:5" x14ac:dyDescent="0.2">
      <c r="A59" s="25" t="s">
        <v>75</v>
      </c>
      <c r="B59" s="4" t="s">
        <v>130</v>
      </c>
      <c r="C59" s="4" t="s">
        <v>126</v>
      </c>
      <c r="D59" s="4" t="s">
        <v>131</v>
      </c>
      <c r="E59" s="16" t="s">
        <v>132</v>
      </c>
    </row>
  </sheetData>
  <mergeCells count="19">
    <mergeCell ref="A21:R21"/>
    <mergeCell ref="A5:R5"/>
    <mergeCell ref="A8:R8"/>
    <mergeCell ref="A11:R11"/>
    <mergeCell ref="A14:R14"/>
    <mergeCell ref="A17:R17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F20" sqref="F20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140625" style="4" bestFit="1" customWidth="1"/>
    <col min="7" max="9" width="4.5703125" style="3" customWidth="1"/>
    <col min="10" max="10" width="4.85546875" style="3" customWidth="1"/>
    <col min="11" max="11" width="7.85546875" style="16" bestFit="1" customWidth="1"/>
    <col min="12" max="12" width="7.5703125" style="2" bestFit="1" customWidth="1"/>
    <col min="13" max="13" width="16.42578125" style="4" bestFit="1" customWidth="1"/>
    <col min="14" max="16384" width="9.140625" style="3"/>
  </cols>
  <sheetData>
    <row r="1" spans="1:13" s="2" customFormat="1" ht="29.1" customHeight="1" x14ac:dyDescent="0.2">
      <c r="A1" s="41" t="s">
        <v>346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347</v>
      </c>
      <c r="H3" s="35"/>
      <c r="I3" s="35"/>
      <c r="J3" s="35"/>
      <c r="K3" s="35" t="s">
        <v>146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148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348</v>
      </c>
      <c r="B6" s="6" t="s">
        <v>158</v>
      </c>
      <c r="C6" s="6" t="s">
        <v>349</v>
      </c>
      <c r="D6" s="6" t="str">
        <f>"0,6767"</f>
        <v>0,6767</v>
      </c>
      <c r="E6" s="6" t="s">
        <v>153</v>
      </c>
      <c r="F6" s="6" t="s">
        <v>22</v>
      </c>
      <c r="G6" s="7" t="s">
        <v>56</v>
      </c>
      <c r="H6" s="7" t="s">
        <v>57</v>
      </c>
      <c r="I6" s="7" t="s">
        <v>23</v>
      </c>
      <c r="J6" s="8"/>
      <c r="K6" s="17" t="str">
        <f>"55,0"</f>
        <v>55,0</v>
      </c>
      <c r="L6" s="18" t="str">
        <f>"41,5731"</f>
        <v>41,5731</v>
      </c>
      <c r="M6" s="6" t="s">
        <v>74</v>
      </c>
    </row>
    <row r="8" spans="1:13" ht="15" x14ac:dyDescent="0.2">
      <c r="A8" s="50" t="s">
        <v>83</v>
      </c>
      <c r="B8" s="50"/>
      <c r="C8" s="50"/>
      <c r="D8" s="50"/>
      <c r="E8" s="50"/>
      <c r="F8" s="50"/>
      <c r="G8" s="50"/>
      <c r="H8" s="50"/>
      <c r="I8" s="50"/>
      <c r="J8" s="50"/>
    </row>
    <row r="9" spans="1:13" x14ac:dyDescent="0.2">
      <c r="A9" s="9" t="s">
        <v>296</v>
      </c>
      <c r="B9" s="9" t="s">
        <v>297</v>
      </c>
      <c r="C9" s="9" t="s">
        <v>298</v>
      </c>
      <c r="D9" s="9" t="str">
        <f>"0,5630"</f>
        <v>0,5630</v>
      </c>
      <c r="E9" s="9" t="s">
        <v>212</v>
      </c>
      <c r="F9" s="9" t="s">
        <v>213</v>
      </c>
      <c r="G9" s="10" t="s">
        <v>28</v>
      </c>
      <c r="H9" s="10" t="s">
        <v>35</v>
      </c>
      <c r="I9" s="11" t="s">
        <v>36</v>
      </c>
      <c r="J9" s="11"/>
      <c r="K9" s="19" t="str">
        <f>"75,0"</f>
        <v>75,0</v>
      </c>
      <c r="L9" s="20" t="str">
        <f>"42,2250"</f>
        <v>42,2250</v>
      </c>
      <c r="M9" s="9" t="s">
        <v>299</v>
      </c>
    </row>
    <row r="10" spans="1:13" x14ac:dyDescent="0.2">
      <c r="A10" s="12" t="s">
        <v>296</v>
      </c>
      <c r="B10" s="12" t="s">
        <v>300</v>
      </c>
      <c r="C10" s="12" t="s">
        <v>298</v>
      </c>
      <c r="D10" s="12" t="str">
        <f>"0,5630"</f>
        <v>0,5630</v>
      </c>
      <c r="E10" s="12" t="s">
        <v>212</v>
      </c>
      <c r="F10" s="12" t="s">
        <v>213</v>
      </c>
      <c r="G10" s="14" t="s">
        <v>28</v>
      </c>
      <c r="H10" s="14" t="s">
        <v>35</v>
      </c>
      <c r="I10" s="13" t="s">
        <v>36</v>
      </c>
      <c r="J10" s="13"/>
      <c r="K10" s="21" t="str">
        <f>"75,0"</f>
        <v>75,0</v>
      </c>
      <c r="L10" s="22" t="str">
        <f>"44,2518"</f>
        <v>44,2518</v>
      </c>
      <c r="M10" s="12" t="s">
        <v>299</v>
      </c>
    </row>
    <row r="12" spans="1:13" ht="15" x14ac:dyDescent="0.2">
      <c r="A12" s="50" t="s">
        <v>200</v>
      </c>
      <c r="B12" s="50"/>
      <c r="C12" s="50"/>
      <c r="D12" s="50"/>
      <c r="E12" s="50"/>
      <c r="F12" s="50"/>
      <c r="G12" s="50"/>
      <c r="H12" s="50"/>
      <c r="I12" s="50"/>
      <c r="J12" s="50"/>
    </row>
    <row r="13" spans="1:13" x14ac:dyDescent="0.2">
      <c r="A13" s="6" t="s">
        <v>350</v>
      </c>
      <c r="B13" s="6" t="s">
        <v>210</v>
      </c>
      <c r="C13" s="6" t="s">
        <v>211</v>
      </c>
      <c r="D13" s="6" t="str">
        <f>"0,5491"</f>
        <v>0,5491</v>
      </c>
      <c r="E13" s="6" t="s">
        <v>212</v>
      </c>
      <c r="F13" s="6" t="s">
        <v>213</v>
      </c>
      <c r="G13" s="8" t="s">
        <v>28</v>
      </c>
      <c r="H13" s="7" t="s">
        <v>28</v>
      </c>
      <c r="I13" s="8" t="s">
        <v>351</v>
      </c>
      <c r="J13" s="8"/>
      <c r="K13" s="17" t="str">
        <f>"70,0"</f>
        <v>70,0</v>
      </c>
      <c r="L13" s="18" t="str">
        <f>"38,4370"</f>
        <v>38,4370</v>
      </c>
      <c r="M13" s="6" t="s">
        <v>74</v>
      </c>
    </row>
    <row r="15" spans="1:13" ht="15" x14ac:dyDescent="0.2">
      <c r="E15" s="15" t="s">
        <v>94</v>
      </c>
      <c r="F15" s="4" t="s">
        <v>365</v>
      </c>
    </row>
    <row r="16" spans="1:13" ht="15" x14ac:dyDescent="0.2">
      <c r="E16" s="15" t="s">
        <v>95</v>
      </c>
      <c r="F16" s="4" t="s">
        <v>366</v>
      </c>
    </row>
    <row r="17" spans="1:6" ht="15" x14ac:dyDescent="0.2">
      <c r="E17" s="15" t="s">
        <v>96</v>
      </c>
      <c r="F17" s="4" t="s">
        <v>367</v>
      </c>
    </row>
    <row r="18" spans="1:6" ht="15" x14ac:dyDescent="0.2">
      <c r="E18" s="15" t="s">
        <v>97</v>
      </c>
      <c r="F18" s="4" t="s">
        <v>368</v>
      </c>
    </row>
    <row r="19" spans="1:6" ht="15" x14ac:dyDescent="0.2">
      <c r="E19" s="15" t="s">
        <v>97</v>
      </c>
      <c r="F19" s="4" t="s">
        <v>369</v>
      </c>
    </row>
    <row r="20" spans="1:6" ht="15" x14ac:dyDescent="0.2">
      <c r="E20" s="15" t="s">
        <v>98</v>
      </c>
      <c r="F20" s="34" t="s">
        <v>370</v>
      </c>
    </row>
    <row r="21" spans="1:6" ht="15" x14ac:dyDescent="0.2">
      <c r="E21" s="15"/>
    </row>
    <row r="23" spans="1:6" ht="18" x14ac:dyDescent="0.25">
      <c r="A23" s="23" t="s">
        <v>99</v>
      </c>
      <c r="B23" s="23"/>
    </row>
    <row r="24" spans="1:6" ht="15" x14ac:dyDescent="0.2">
      <c r="A24" s="24" t="s">
        <v>118</v>
      </c>
      <c r="B24" s="24"/>
    </row>
    <row r="25" spans="1:6" ht="14.25" x14ac:dyDescent="0.2">
      <c r="A25" s="26"/>
      <c r="B25" s="27" t="s">
        <v>111</v>
      </c>
    </row>
    <row r="26" spans="1:6" ht="15" x14ac:dyDescent="0.2">
      <c r="A26" s="28" t="s">
        <v>102</v>
      </c>
      <c r="B26" s="28" t="s">
        <v>103</v>
      </c>
      <c r="C26" s="28" t="s">
        <v>104</v>
      </c>
      <c r="D26" s="28" t="s">
        <v>215</v>
      </c>
      <c r="E26" s="28" t="s">
        <v>106</v>
      </c>
    </row>
    <row r="27" spans="1:6" x14ac:dyDescent="0.2">
      <c r="A27" s="25" t="s">
        <v>295</v>
      </c>
      <c r="B27" s="4" t="s">
        <v>111</v>
      </c>
      <c r="C27" s="4" t="s">
        <v>123</v>
      </c>
      <c r="D27" s="4" t="s">
        <v>35</v>
      </c>
      <c r="E27" s="16" t="s">
        <v>352</v>
      </c>
    </row>
    <row r="28" spans="1:6" x14ac:dyDescent="0.2">
      <c r="A28" s="25" t="s">
        <v>208</v>
      </c>
      <c r="B28" s="4" t="s">
        <v>111</v>
      </c>
      <c r="C28" s="4" t="s">
        <v>220</v>
      </c>
      <c r="D28" s="4" t="s">
        <v>28</v>
      </c>
      <c r="E28" s="16" t="s">
        <v>353</v>
      </c>
    </row>
    <row r="30" spans="1:6" ht="14.25" x14ac:dyDescent="0.2">
      <c r="A30" s="26"/>
      <c r="B30" s="27" t="s">
        <v>129</v>
      </c>
    </row>
    <row r="31" spans="1:6" ht="15" x14ac:dyDescent="0.2">
      <c r="A31" s="28" t="s">
        <v>102</v>
      </c>
      <c r="B31" s="28" t="s">
        <v>103</v>
      </c>
      <c r="C31" s="28" t="s">
        <v>104</v>
      </c>
      <c r="D31" s="28" t="s">
        <v>215</v>
      </c>
      <c r="E31" s="28" t="s">
        <v>106</v>
      </c>
    </row>
    <row r="32" spans="1:6" x14ac:dyDescent="0.2">
      <c r="A32" s="25" t="s">
        <v>295</v>
      </c>
      <c r="B32" s="4" t="s">
        <v>315</v>
      </c>
      <c r="C32" s="4" t="s">
        <v>123</v>
      </c>
      <c r="D32" s="4" t="s">
        <v>35</v>
      </c>
      <c r="E32" s="16" t="s">
        <v>354</v>
      </c>
    </row>
    <row r="33" spans="1:5" x14ac:dyDescent="0.2">
      <c r="A33" s="25" t="s">
        <v>156</v>
      </c>
      <c r="B33" s="4" t="s">
        <v>315</v>
      </c>
      <c r="C33" s="4" t="s">
        <v>228</v>
      </c>
      <c r="D33" s="4" t="s">
        <v>23</v>
      </c>
      <c r="E33" s="16" t="s">
        <v>355</v>
      </c>
    </row>
  </sheetData>
  <mergeCells count="14">
    <mergeCell ref="A8:J8"/>
    <mergeCell ref="A12:J12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13" sqref="F13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7109375" style="4" bestFit="1" customWidth="1"/>
    <col min="7" max="7" width="5" style="3" customWidth="1"/>
    <col min="8" max="8" width="10.42578125" style="3" customWidth="1"/>
    <col min="9" max="9" width="7.85546875" style="16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1" t="s">
        <v>339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340</v>
      </c>
      <c r="E3" s="35" t="s">
        <v>4</v>
      </c>
      <c r="F3" s="35" t="s">
        <v>7</v>
      </c>
      <c r="G3" s="35" t="s">
        <v>341</v>
      </c>
      <c r="H3" s="35"/>
      <c r="I3" s="35" t="s">
        <v>338</v>
      </c>
      <c r="J3" s="35" t="s">
        <v>3</v>
      </c>
      <c r="K3" s="37" t="s">
        <v>2</v>
      </c>
    </row>
    <row r="4" spans="1:11" s="1" customFormat="1" ht="21" customHeight="1" thickBot="1" x14ac:dyDescent="0.25">
      <c r="A4" s="48"/>
      <c r="B4" s="36"/>
      <c r="C4" s="36"/>
      <c r="D4" s="36"/>
      <c r="E4" s="36"/>
      <c r="F4" s="36"/>
      <c r="G4" s="5" t="s">
        <v>8</v>
      </c>
      <c r="H4" s="5" t="s">
        <v>9</v>
      </c>
      <c r="I4" s="36"/>
      <c r="J4" s="36"/>
      <c r="K4" s="38"/>
    </row>
    <row r="5" spans="1:11" ht="15" x14ac:dyDescent="0.2">
      <c r="A5" s="39" t="s">
        <v>160</v>
      </c>
      <c r="B5" s="40"/>
      <c r="C5" s="40"/>
      <c r="D5" s="40"/>
      <c r="E5" s="40"/>
      <c r="F5" s="40"/>
      <c r="G5" s="40"/>
      <c r="H5" s="40"/>
    </row>
    <row r="6" spans="1:11" x14ac:dyDescent="0.2">
      <c r="A6" s="6" t="s">
        <v>167</v>
      </c>
      <c r="B6" s="6" t="s">
        <v>168</v>
      </c>
      <c r="C6" s="6" t="s">
        <v>169</v>
      </c>
      <c r="D6" s="6" t="str">
        <f>"0,7666"</f>
        <v>0,7666</v>
      </c>
      <c r="E6" s="6" t="s">
        <v>153</v>
      </c>
      <c r="F6" s="6" t="s">
        <v>44</v>
      </c>
      <c r="G6" s="7" t="s">
        <v>48</v>
      </c>
      <c r="H6" s="7" t="s">
        <v>342</v>
      </c>
      <c r="I6" s="17" t="str">
        <f>"2227,5"</f>
        <v>2227,5</v>
      </c>
      <c r="J6" s="18" t="str">
        <f>"1707,6015"</f>
        <v>1707,6015</v>
      </c>
      <c r="K6" s="6" t="s">
        <v>74</v>
      </c>
    </row>
    <row r="8" spans="1:11" ht="15" x14ac:dyDescent="0.2">
      <c r="E8" s="15" t="s">
        <v>94</v>
      </c>
      <c r="F8" s="4" t="s">
        <v>365</v>
      </c>
    </row>
    <row r="9" spans="1:11" ht="15" x14ac:dyDescent="0.2">
      <c r="E9" s="15" t="s">
        <v>95</v>
      </c>
      <c r="F9" s="4" t="s">
        <v>366</v>
      </c>
    </row>
    <row r="10" spans="1:11" ht="15" x14ac:dyDescent="0.2">
      <c r="E10" s="15" t="s">
        <v>96</v>
      </c>
      <c r="F10" s="4" t="s">
        <v>367</v>
      </c>
    </row>
    <row r="11" spans="1:11" ht="15" x14ac:dyDescent="0.2">
      <c r="E11" s="15" t="s">
        <v>97</v>
      </c>
      <c r="F11" s="4" t="s">
        <v>368</v>
      </c>
    </row>
    <row r="12" spans="1:11" ht="15" x14ac:dyDescent="0.2">
      <c r="E12" s="15" t="s">
        <v>97</v>
      </c>
      <c r="F12" s="4" t="s">
        <v>369</v>
      </c>
    </row>
    <row r="13" spans="1:11" ht="15" x14ac:dyDescent="0.2">
      <c r="E13" s="15" t="s">
        <v>98</v>
      </c>
      <c r="F13" s="34" t="s">
        <v>370</v>
      </c>
    </row>
    <row r="14" spans="1:11" ht="15" x14ac:dyDescent="0.2">
      <c r="E14" s="15"/>
    </row>
    <row r="16" spans="1:11" ht="18" x14ac:dyDescent="0.25">
      <c r="A16" s="23" t="s">
        <v>99</v>
      </c>
      <c r="B16" s="23"/>
    </row>
    <row r="17" spans="1:5" ht="15" x14ac:dyDescent="0.2">
      <c r="A17" s="24" t="s">
        <v>118</v>
      </c>
      <c r="B17" s="24"/>
    </row>
    <row r="18" spans="1:5" ht="14.25" x14ac:dyDescent="0.2">
      <c r="A18" s="26"/>
      <c r="B18" s="27" t="s">
        <v>111</v>
      </c>
    </row>
    <row r="19" spans="1:5" ht="15" x14ac:dyDescent="0.2">
      <c r="A19" s="28" t="s">
        <v>102</v>
      </c>
      <c r="B19" s="28" t="s">
        <v>103</v>
      </c>
      <c r="C19" s="28" t="s">
        <v>104</v>
      </c>
      <c r="D19" s="28" t="s">
        <v>215</v>
      </c>
      <c r="E19" s="28" t="s">
        <v>343</v>
      </c>
    </row>
    <row r="20" spans="1:5" x14ac:dyDescent="0.2">
      <c r="A20" s="25" t="s">
        <v>166</v>
      </c>
      <c r="B20" s="4" t="s">
        <v>111</v>
      </c>
      <c r="C20" s="4" t="s">
        <v>217</v>
      </c>
      <c r="D20" s="4" t="s">
        <v>344</v>
      </c>
      <c r="E20" s="16" t="s">
        <v>345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F16" sqref="F16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4.7109375" style="4" bestFit="1" customWidth="1"/>
    <col min="7" max="9" width="4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16" bestFit="1" customWidth="1"/>
    <col min="16" max="16" width="8.5703125" style="2" bestFit="1" customWidth="1"/>
    <col min="17" max="17" width="30.28515625" style="4" bestFit="1" customWidth="1"/>
    <col min="18" max="16384" width="9.140625" style="3"/>
  </cols>
  <sheetData>
    <row r="1" spans="1:17" s="2" customFormat="1" ht="29.1" customHeight="1" x14ac:dyDescent="0.2">
      <c r="A1" s="41" t="s">
        <v>328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</row>
    <row r="2" spans="1:17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14</v>
      </c>
      <c r="H3" s="35"/>
      <c r="I3" s="35"/>
      <c r="J3" s="35"/>
      <c r="K3" s="35" t="s">
        <v>15</v>
      </c>
      <c r="L3" s="35"/>
      <c r="M3" s="35"/>
      <c r="N3" s="35"/>
      <c r="O3" s="35" t="s">
        <v>1</v>
      </c>
      <c r="P3" s="35" t="s">
        <v>3</v>
      </c>
      <c r="Q3" s="37" t="s">
        <v>2</v>
      </c>
    </row>
    <row r="4" spans="1:17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36"/>
      <c r="P4" s="36"/>
      <c r="Q4" s="38"/>
    </row>
    <row r="5" spans="1:17" ht="15" x14ac:dyDescent="0.2">
      <c r="A5" s="39" t="s">
        <v>263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7" x14ac:dyDescent="0.2">
      <c r="A6" s="6" t="s">
        <v>265</v>
      </c>
      <c r="B6" s="6" t="s">
        <v>329</v>
      </c>
      <c r="C6" s="6" t="s">
        <v>267</v>
      </c>
      <c r="D6" s="6" t="str">
        <f>"0,9762"</f>
        <v>0,9762</v>
      </c>
      <c r="E6" s="6" t="s">
        <v>43</v>
      </c>
      <c r="F6" s="6" t="s">
        <v>22</v>
      </c>
      <c r="G6" s="7" t="s">
        <v>23</v>
      </c>
      <c r="H6" s="7" t="s">
        <v>24</v>
      </c>
      <c r="I6" s="8" t="s">
        <v>268</v>
      </c>
      <c r="J6" s="8"/>
      <c r="K6" s="7" t="s">
        <v>80</v>
      </c>
      <c r="L6" s="7" t="s">
        <v>46</v>
      </c>
      <c r="M6" s="7" t="s">
        <v>155</v>
      </c>
      <c r="N6" s="8"/>
      <c r="O6" s="17" t="str">
        <f>"175,0"</f>
        <v>175,0</v>
      </c>
      <c r="P6" s="18" t="str">
        <f>"328,0032"</f>
        <v>328,0032</v>
      </c>
      <c r="Q6" s="6" t="s">
        <v>93</v>
      </c>
    </row>
    <row r="8" spans="1:17" ht="15" x14ac:dyDescent="0.2">
      <c r="A8" s="50" t="s">
        <v>148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7" x14ac:dyDescent="0.2">
      <c r="A9" s="6" t="s">
        <v>331</v>
      </c>
      <c r="B9" s="6" t="s">
        <v>332</v>
      </c>
      <c r="C9" s="6" t="s">
        <v>333</v>
      </c>
      <c r="D9" s="6" t="str">
        <f>"0,7192"</f>
        <v>0,7192</v>
      </c>
      <c r="E9" s="6" t="s">
        <v>43</v>
      </c>
      <c r="F9" s="6" t="s">
        <v>44</v>
      </c>
      <c r="G9" s="7" t="s">
        <v>23</v>
      </c>
      <c r="H9" s="7" t="s">
        <v>24</v>
      </c>
      <c r="I9" s="7" t="s">
        <v>25</v>
      </c>
      <c r="J9" s="8"/>
      <c r="K9" s="7" t="s">
        <v>36</v>
      </c>
      <c r="L9" s="7" t="s">
        <v>80</v>
      </c>
      <c r="M9" s="7" t="s">
        <v>46</v>
      </c>
      <c r="N9" s="8"/>
      <c r="O9" s="17" t="str">
        <f>"175,0"</f>
        <v>175,0</v>
      </c>
      <c r="P9" s="18" t="str">
        <f>"154,8078"</f>
        <v>154,8078</v>
      </c>
      <c r="Q9" s="6" t="s">
        <v>60</v>
      </c>
    </row>
    <row r="11" spans="1:17" ht="15" x14ac:dyDescent="0.2">
      <c r="E11" s="15" t="s">
        <v>94</v>
      </c>
      <c r="F11" s="4" t="s">
        <v>365</v>
      </c>
    </row>
    <row r="12" spans="1:17" ht="15" x14ac:dyDescent="0.2">
      <c r="E12" s="15" t="s">
        <v>95</v>
      </c>
      <c r="F12" s="4" t="s">
        <v>366</v>
      </c>
    </row>
    <row r="13" spans="1:17" ht="15" x14ac:dyDescent="0.2">
      <c r="E13" s="15" t="s">
        <v>96</v>
      </c>
      <c r="F13" s="4" t="s">
        <v>367</v>
      </c>
    </row>
    <row r="14" spans="1:17" ht="15" x14ac:dyDescent="0.2">
      <c r="E14" s="15" t="s">
        <v>97</v>
      </c>
      <c r="F14" s="4" t="s">
        <v>368</v>
      </c>
    </row>
    <row r="15" spans="1:17" ht="15" x14ac:dyDescent="0.2">
      <c r="E15" s="15" t="s">
        <v>97</v>
      </c>
      <c r="F15" s="4" t="s">
        <v>369</v>
      </c>
    </row>
    <row r="16" spans="1:17" ht="15" x14ac:dyDescent="0.2">
      <c r="E16" s="15" t="s">
        <v>98</v>
      </c>
      <c r="F16" s="34" t="s">
        <v>370</v>
      </c>
    </row>
    <row r="17" spans="1:5" ht="15" x14ac:dyDescent="0.2">
      <c r="E17" s="15"/>
    </row>
    <row r="19" spans="1:5" ht="18" x14ac:dyDescent="0.25">
      <c r="A19" s="23" t="s">
        <v>99</v>
      </c>
      <c r="B19" s="23"/>
    </row>
    <row r="20" spans="1:5" ht="15" x14ac:dyDescent="0.2">
      <c r="A20" s="24" t="s">
        <v>100</v>
      </c>
      <c r="B20" s="24"/>
    </row>
    <row r="21" spans="1:5" ht="14.25" x14ac:dyDescent="0.2">
      <c r="A21" s="26"/>
      <c r="B21" s="27" t="s">
        <v>129</v>
      </c>
    </row>
    <row r="22" spans="1:5" ht="15" x14ac:dyDescent="0.2">
      <c r="A22" s="28" t="s">
        <v>102</v>
      </c>
      <c r="B22" s="28" t="s">
        <v>103</v>
      </c>
      <c r="C22" s="28" t="s">
        <v>104</v>
      </c>
      <c r="D22" s="28" t="s">
        <v>105</v>
      </c>
      <c r="E22" s="28" t="s">
        <v>106</v>
      </c>
    </row>
    <row r="23" spans="1:5" x14ac:dyDescent="0.2">
      <c r="A23" s="25" t="s">
        <v>264</v>
      </c>
      <c r="B23" s="4" t="s">
        <v>334</v>
      </c>
      <c r="C23" s="4" t="s">
        <v>305</v>
      </c>
      <c r="D23" s="4" t="s">
        <v>207</v>
      </c>
      <c r="E23" s="16" t="s">
        <v>335</v>
      </c>
    </row>
    <row r="26" spans="1:5" ht="15" x14ac:dyDescent="0.2">
      <c r="A26" s="24" t="s">
        <v>118</v>
      </c>
      <c r="B26" s="24"/>
    </row>
    <row r="27" spans="1:5" ht="14.25" x14ac:dyDescent="0.2">
      <c r="A27" s="26"/>
      <c r="B27" s="27" t="s">
        <v>119</v>
      </c>
    </row>
    <row r="28" spans="1:5" ht="15" x14ac:dyDescent="0.2">
      <c r="A28" s="28" t="s">
        <v>102</v>
      </c>
      <c r="B28" s="28" t="s">
        <v>103</v>
      </c>
      <c r="C28" s="28" t="s">
        <v>104</v>
      </c>
      <c r="D28" s="28" t="s">
        <v>105</v>
      </c>
      <c r="E28" s="28" t="s">
        <v>106</v>
      </c>
    </row>
    <row r="29" spans="1:5" x14ac:dyDescent="0.2">
      <c r="A29" s="25" t="s">
        <v>330</v>
      </c>
      <c r="B29" s="4" t="s">
        <v>336</v>
      </c>
      <c r="C29" s="4" t="s">
        <v>228</v>
      </c>
      <c r="D29" s="4" t="s">
        <v>207</v>
      </c>
      <c r="E29" s="16" t="s">
        <v>337</v>
      </c>
    </row>
  </sheetData>
  <mergeCells count="14">
    <mergeCell ref="A8:N8"/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13" sqref="F13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7109375" style="4" bestFit="1" customWidth="1"/>
    <col min="7" max="9" width="5.5703125" style="3" customWidth="1"/>
    <col min="10" max="10" width="4.85546875" style="3" customWidth="1"/>
    <col min="11" max="11" width="7.85546875" style="16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1" t="s">
        <v>326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13</v>
      </c>
      <c r="H3" s="35"/>
      <c r="I3" s="35"/>
      <c r="J3" s="35"/>
      <c r="K3" s="35" t="s">
        <v>146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61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63</v>
      </c>
      <c r="B6" s="6" t="s">
        <v>64</v>
      </c>
      <c r="C6" s="6" t="s">
        <v>65</v>
      </c>
      <c r="D6" s="6" t="str">
        <f>"0,5905"</f>
        <v>0,5905</v>
      </c>
      <c r="E6" s="6" t="s">
        <v>66</v>
      </c>
      <c r="F6" s="6" t="s">
        <v>44</v>
      </c>
      <c r="G6" s="7" t="s">
        <v>67</v>
      </c>
      <c r="H6" s="7" t="s">
        <v>68</v>
      </c>
      <c r="I6" s="8" t="s">
        <v>69</v>
      </c>
      <c r="J6" s="8"/>
      <c r="K6" s="17" t="str">
        <f>"200,0"</f>
        <v>200,0</v>
      </c>
      <c r="L6" s="18" t="str">
        <f>"118,1000"</f>
        <v>118,1000</v>
      </c>
      <c r="M6" s="6" t="s">
        <v>74</v>
      </c>
    </row>
    <row r="8" spans="1:13" ht="15" x14ac:dyDescent="0.2">
      <c r="E8" s="15" t="s">
        <v>94</v>
      </c>
      <c r="F8" s="4" t="s">
        <v>365</v>
      </c>
    </row>
    <row r="9" spans="1:13" ht="15" x14ac:dyDescent="0.2">
      <c r="E9" s="15" t="s">
        <v>95</v>
      </c>
      <c r="F9" s="4" t="s">
        <v>366</v>
      </c>
    </row>
    <row r="10" spans="1:13" ht="15" x14ac:dyDescent="0.2">
      <c r="E10" s="15" t="s">
        <v>96</v>
      </c>
      <c r="F10" s="4" t="s">
        <v>367</v>
      </c>
    </row>
    <row r="11" spans="1:13" ht="15" x14ac:dyDescent="0.2">
      <c r="E11" s="15" t="s">
        <v>97</v>
      </c>
      <c r="F11" s="4" t="s">
        <v>368</v>
      </c>
    </row>
    <row r="12" spans="1:13" ht="15" x14ac:dyDescent="0.2">
      <c r="E12" s="15" t="s">
        <v>97</v>
      </c>
      <c r="F12" s="4" t="s">
        <v>369</v>
      </c>
    </row>
    <row r="13" spans="1:13" ht="15" x14ac:dyDescent="0.2">
      <c r="E13" s="15" t="s">
        <v>98</v>
      </c>
      <c r="F13" s="34" t="s">
        <v>370</v>
      </c>
    </row>
    <row r="14" spans="1:13" ht="15" x14ac:dyDescent="0.2">
      <c r="E14" s="15"/>
    </row>
    <row r="16" spans="1:13" ht="18" x14ac:dyDescent="0.25">
      <c r="A16" s="23" t="s">
        <v>99</v>
      </c>
      <c r="B16" s="23"/>
    </row>
    <row r="17" spans="1:5" ht="15" x14ac:dyDescent="0.2">
      <c r="A17" s="24" t="s">
        <v>118</v>
      </c>
      <c r="B17" s="24"/>
    </row>
    <row r="18" spans="1:5" ht="14.25" x14ac:dyDescent="0.2">
      <c r="A18" s="26"/>
      <c r="B18" s="27" t="s">
        <v>111</v>
      </c>
    </row>
    <row r="19" spans="1:5" ht="15" x14ac:dyDescent="0.2">
      <c r="A19" s="28" t="s">
        <v>102</v>
      </c>
      <c r="B19" s="28" t="s">
        <v>103</v>
      </c>
      <c r="C19" s="28" t="s">
        <v>104</v>
      </c>
      <c r="D19" s="28" t="s">
        <v>215</v>
      </c>
      <c r="E19" s="28" t="s">
        <v>106</v>
      </c>
    </row>
    <row r="20" spans="1:5" x14ac:dyDescent="0.2">
      <c r="A20" s="25" t="s">
        <v>62</v>
      </c>
      <c r="B20" s="4" t="s">
        <v>111</v>
      </c>
      <c r="C20" s="4" t="s">
        <v>126</v>
      </c>
      <c r="D20" s="4" t="s">
        <v>68</v>
      </c>
      <c r="E20" s="16" t="s">
        <v>327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13" sqref="F13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7109375" style="4" bestFit="1" customWidth="1"/>
    <col min="7" max="9" width="5.5703125" style="3" customWidth="1"/>
    <col min="10" max="10" width="4.85546875" style="3" customWidth="1"/>
    <col min="11" max="11" width="7.85546875" style="16" bestFit="1" customWidth="1"/>
    <col min="12" max="12" width="8.5703125" style="2" bestFit="1" customWidth="1"/>
    <col min="13" max="13" width="17.85546875" style="4" bestFit="1" customWidth="1"/>
    <col min="14" max="16384" width="9.140625" style="3"/>
  </cols>
  <sheetData>
    <row r="1" spans="1:13" s="2" customFormat="1" ht="29.1" customHeight="1" x14ac:dyDescent="0.2">
      <c r="A1" s="41" t="s">
        <v>317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15</v>
      </c>
      <c r="H3" s="35"/>
      <c r="I3" s="35"/>
      <c r="J3" s="35"/>
      <c r="K3" s="35" t="s">
        <v>146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83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319</v>
      </c>
      <c r="B6" s="6" t="s">
        <v>320</v>
      </c>
      <c r="C6" s="6" t="s">
        <v>321</v>
      </c>
      <c r="D6" s="6" t="str">
        <f>"0,5608"</f>
        <v>0,5608</v>
      </c>
      <c r="E6" s="6" t="s">
        <v>322</v>
      </c>
      <c r="F6" s="6" t="s">
        <v>44</v>
      </c>
      <c r="G6" s="7" t="s">
        <v>92</v>
      </c>
      <c r="H6" s="7" t="s">
        <v>323</v>
      </c>
      <c r="I6" s="7" t="s">
        <v>324</v>
      </c>
      <c r="J6" s="8"/>
      <c r="K6" s="17" t="str">
        <f>"255,0"</f>
        <v>255,0</v>
      </c>
      <c r="L6" s="18" t="str">
        <f>"143,0040"</f>
        <v>143,0040</v>
      </c>
      <c r="M6" s="6" t="s">
        <v>51</v>
      </c>
    </row>
    <row r="8" spans="1:13" ht="15" x14ac:dyDescent="0.2">
      <c r="E8" s="15" t="s">
        <v>94</v>
      </c>
      <c r="F8" s="4" t="s">
        <v>365</v>
      </c>
    </row>
    <row r="9" spans="1:13" ht="15" x14ac:dyDescent="0.2">
      <c r="E9" s="15" t="s">
        <v>95</v>
      </c>
      <c r="F9" s="4" t="s">
        <v>366</v>
      </c>
    </row>
    <row r="10" spans="1:13" ht="15" x14ac:dyDescent="0.2">
      <c r="E10" s="15" t="s">
        <v>96</v>
      </c>
      <c r="F10" s="4" t="s">
        <v>367</v>
      </c>
    </row>
    <row r="11" spans="1:13" ht="15" x14ac:dyDescent="0.2">
      <c r="E11" s="15" t="s">
        <v>97</v>
      </c>
      <c r="F11" s="4" t="s">
        <v>368</v>
      </c>
    </row>
    <row r="12" spans="1:13" ht="15" x14ac:dyDescent="0.2">
      <c r="E12" s="15" t="s">
        <v>97</v>
      </c>
      <c r="F12" s="4" t="s">
        <v>369</v>
      </c>
    </row>
    <row r="13" spans="1:13" ht="15" x14ac:dyDescent="0.2">
      <c r="E13" s="15" t="s">
        <v>98</v>
      </c>
      <c r="F13" s="34" t="s">
        <v>370</v>
      </c>
    </row>
    <row r="14" spans="1:13" ht="15" x14ac:dyDescent="0.2">
      <c r="E14" s="15"/>
    </row>
    <row r="16" spans="1:13" ht="18" x14ac:dyDescent="0.25">
      <c r="A16" s="23" t="s">
        <v>99</v>
      </c>
      <c r="B16" s="23"/>
    </row>
    <row r="17" spans="1:5" ht="15" x14ac:dyDescent="0.2">
      <c r="A17" s="24" t="s">
        <v>118</v>
      </c>
      <c r="B17" s="24"/>
    </row>
    <row r="18" spans="1:5" ht="14.25" x14ac:dyDescent="0.2">
      <c r="A18" s="26"/>
      <c r="B18" s="27" t="s">
        <v>111</v>
      </c>
    </row>
    <row r="19" spans="1:5" ht="15" x14ac:dyDescent="0.2">
      <c r="A19" s="28" t="s">
        <v>102</v>
      </c>
      <c r="B19" s="28" t="s">
        <v>103</v>
      </c>
      <c r="C19" s="28" t="s">
        <v>104</v>
      </c>
      <c r="D19" s="28" t="s">
        <v>215</v>
      </c>
      <c r="E19" s="28" t="s">
        <v>106</v>
      </c>
    </row>
    <row r="20" spans="1:5" x14ac:dyDescent="0.2">
      <c r="A20" s="25" t="s">
        <v>318</v>
      </c>
      <c r="B20" s="4" t="s">
        <v>111</v>
      </c>
      <c r="C20" s="4" t="s">
        <v>123</v>
      </c>
      <c r="D20" s="4" t="s">
        <v>324</v>
      </c>
      <c r="E20" s="16" t="s">
        <v>325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7" workbookViewId="0">
      <selection activeCell="F32" sqref="F32"/>
    </sheetView>
  </sheetViews>
  <sheetFormatPr defaultRowHeight="12.75" x14ac:dyDescent="0.2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7109375" style="4" bestFit="1" customWidth="1"/>
    <col min="7" max="9" width="5.5703125" style="3" customWidth="1"/>
    <col min="10" max="10" width="4.85546875" style="3" customWidth="1"/>
    <col min="11" max="11" width="7.85546875" style="16" bestFit="1" customWidth="1"/>
    <col min="12" max="12" width="8.5703125" style="2" bestFit="1" customWidth="1"/>
    <col min="13" max="13" width="19.85546875" style="4" bestFit="1" customWidth="1"/>
    <col min="14" max="16384" width="9.140625" style="3"/>
  </cols>
  <sheetData>
    <row r="1" spans="1:13" s="2" customFormat="1" ht="29.1" customHeight="1" x14ac:dyDescent="0.2">
      <c r="A1" s="41" t="s">
        <v>262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15</v>
      </c>
      <c r="H3" s="35"/>
      <c r="I3" s="35"/>
      <c r="J3" s="35"/>
      <c r="K3" s="35" t="s">
        <v>146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263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265</v>
      </c>
      <c r="B6" s="6" t="s">
        <v>266</v>
      </c>
      <c r="C6" s="6" t="s">
        <v>267</v>
      </c>
      <c r="D6" s="6" t="str">
        <f>"0,9762"</f>
        <v>0,9762</v>
      </c>
      <c r="E6" s="6" t="s">
        <v>43</v>
      </c>
      <c r="F6" s="6" t="s">
        <v>22</v>
      </c>
      <c r="G6" s="7" t="s">
        <v>80</v>
      </c>
      <c r="H6" s="7" t="s">
        <v>46</v>
      </c>
      <c r="I6" s="7" t="s">
        <v>155</v>
      </c>
      <c r="J6" s="8"/>
      <c r="K6" s="17" t="str">
        <f>"115,0"</f>
        <v>115,0</v>
      </c>
      <c r="L6" s="18" t="str">
        <f>"112,2630"</f>
        <v>112,2630</v>
      </c>
      <c r="M6" s="6" t="s">
        <v>93</v>
      </c>
    </row>
    <row r="8" spans="1:13" ht="15" x14ac:dyDescent="0.2">
      <c r="A8" s="50" t="s">
        <v>269</v>
      </c>
      <c r="B8" s="50"/>
      <c r="C8" s="50"/>
      <c r="D8" s="50"/>
      <c r="E8" s="50"/>
      <c r="F8" s="50"/>
      <c r="G8" s="50"/>
      <c r="H8" s="50"/>
      <c r="I8" s="50"/>
      <c r="J8" s="50"/>
    </row>
    <row r="9" spans="1:13" x14ac:dyDescent="0.2">
      <c r="A9" s="6" t="s">
        <v>271</v>
      </c>
      <c r="B9" s="6" t="s">
        <v>272</v>
      </c>
      <c r="C9" s="6" t="s">
        <v>273</v>
      </c>
      <c r="D9" s="6" t="str">
        <f>"0,9133"</f>
        <v>0,9133</v>
      </c>
      <c r="E9" s="6" t="s">
        <v>274</v>
      </c>
      <c r="F9" s="6" t="s">
        <v>22</v>
      </c>
      <c r="G9" s="7" t="s">
        <v>45</v>
      </c>
      <c r="H9" s="7" t="s">
        <v>46</v>
      </c>
      <c r="I9" s="7" t="s">
        <v>155</v>
      </c>
      <c r="J9" s="8"/>
      <c r="K9" s="17" t="str">
        <f>"115,0"</f>
        <v>115,0</v>
      </c>
      <c r="L9" s="18" t="str">
        <f>"111,3313"</f>
        <v>111,3313</v>
      </c>
      <c r="M9" s="6" t="s">
        <v>275</v>
      </c>
    </row>
    <row r="11" spans="1:13" ht="15" x14ac:dyDescent="0.2">
      <c r="A11" s="50" t="s">
        <v>160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3" x14ac:dyDescent="0.2">
      <c r="A12" s="6" t="s">
        <v>277</v>
      </c>
      <c r="B12" s="6" t="s">
        <v>278</v>
      </c>
      <c r="C12" s="6" t="s">
        <v>279</v>
      </c>
      <c r="D12" s="6" t="str">
        <f>"0,6746"</f>
        <v>0,6746</v>
      </c>
      <c r="E12" s="6" t="s">
        <v>274</v>
      </c>
      <c r="F12" s="6" t="s">
        <v>22</v>
      </c>
      <c r="G12" s="7" t="s">
        <v>50</v>
      </c>
      <c r="H12" s="7" t="s">
        <v>280</v>
      </c>
      <c r="I12" s="8" t="s">
        <v>281</v>
      </c>
      <c r="J12" s="8"/>
      <c r="K12" s="17" t="str">
        <f>"127,5"</f>
        <v>127,5</v>
      </c>
      <c r="L12" s="18" t="str">
        <f>"86,0115"</f>
        <v>86,0115</v>
      </c>
      <c r="M12" s="6" t="s">
        <v>275</v>
      </c>
    </row>
    <row r="14" spans="1:13" ht="15" x14ac:dyDescent="0.2">
      <c r="A14" s="50" t="s">
        <v>38</v>
      </c>
      <c r="B14" s="50"/>
      <c r="C14" s="50"/>
      <c r="D14" s="50"/>
      <c r="E14" s="50"/>
      <c r="F14" s="50"/>
      <c r="G14" s="50"/>
      <c r="H14" s="50"/>
      <c r="I14" s="50"/>
      <c r="J14" s="50"/>
    </row>
    <row r="15" spans="1:13" x14ac:dyDescent="0.2">
      <c r="A15" s="9" t="s">
        <v>283</v>
      </c>
      <c r="B15" s="9" t="s">
        <v>284</v>
      </c>
      <c r="C15" s="9" t="s">
        <v>285</v>
      </c>
      <c r="D15" s="9" t="str">
        <f>"0,7278"</f>
        <v>0,7278</v>
      </c>
      <c r="E15" s="9" t="s">
        <v>274</v>
      </c>
      <c r="F15" s="9" t="s">
        <v>22</v>
      </c>
      <c r="G15" s="10" t="s">
        <v>286</v>
      </c>
      <c r="H15" s="11" t="s">
        <v>109</v>
      </c>
      <c r="I15" s="11" t="s">
        <v>109</v>
      </c>
      <c r="J15" s="11"/>
      <c r="K15" s="19" t="str">
        <f>"180,0"</f>
        <v>180,0</v>
      </c>
      <c r="L15" s="20" t="str">
        <f>"138,8642"</f>
        <v>138,8642</v>
      </c>
      <c r="M15" s="9" t="s">
        <v>275</v>
      </c>
    </row>
    <row r="16" spans="1:13" x14ac:dyDescent="0.2">
      <c r="A16" s="12" t="s">
        <v>288</v>
      </c>
      <c r="B16" s="12" t="s">
        <v>289</v>
      </c>
      <c r="C16" s="12" t="s">
        <v>290</v>
      </c>
      <c r="D16" s="12" t="str">
        <f>"0,7382"</f>
        <v>0,7382</v>
      </c>
      <c r="E16" s="12" t="s">
        <v>274</v>
      </c>
      <c r="F16" s="12" t="s">
        <v>22</v>
      </c>
      <c r="G16" s="14" t="s">
        <v>72</v>
      </c>
      <c r="H16" s="14" t="s">
        <v>89</v>
      </c>
      <c r="I16" s="13" t="s">
        <v>138</v>
      </c>
      <c r="J16" s="13"/>
      <c r="K16" s="21" t="str">
        <f>"220,0"</f>
        <v>220,0</v>
      </c>
      <c r="L16" s="22" t="str">
        <f>"162,4040"</f>
        <v>162,4040</v>
      </c>
      <c r="M16" s="12" t="s">
        <v>275</v>
      </c>
    </row>
    <row r="18" spans="1:13" ht="15" x14ac:dyDescent="0.2">
      <c r="A18" s="50" t="s">
        <v>61</v>
      </c>
      <c r="B18" s="50"/>
      <c r="C18" s="50"/>
      <c r="D18" s="50"/>
      <c r="E18" s="50"/>
      <c r="F18" s="50"/>
      <c r="G18" s="50"/>
      <c r="H18" s="50"/>
      <c r="I18" s="50"/>
      <c r="J18" s="50"/>
    </row>
    <row r="19" spans="1:13" x14ac:dyDescent="0.2">
      <c r="A19" s="9" t="s">
        <v>292</v>
      </c>
      <c r="B19" s="9" t="s">
        <v>293</v>
      </c>
      <c r="C19" s="9" t="s">
        <v>294</v>
      </c>
      <c r="D19" s="9" t="str">
        <f>"0,5901"</f>
        <v>0,5901</v>
      </c>
      <c r="E19" s="9" t="s">
        <v>153</v>
      </c>
      <c r="F19" s="9" t="s">
        <v>22</v>
      </c>
      <c r="G19" s="11" t="s">
        <v>69</v>
      </c>
      <c r="H19" s="10" t="s">
        <v>69</v>
      </c>
      <c r="I19" s="11" t="s">
        <v>72</v>
      </c>
      <c r="J19" s="11"/>
      <c r="K19" s="19" t="str">
        <f>"205,0"</f>
        <v>205,0</v>
      </c>
      <c r="L19" s="20" t="str">
        <f>"130,6481"</f>
        <v>130,6481</v>
      </c>
      <c r="M19" s="9" t="s">
        <v>74</v>
      </c>
    </row>
    <row r="20" spans="1:13" x14ac:dyDescent="0.2">
      <c r="A20" s="12" t="s">
        <v>63</v>
      </c>
      <c r="B20" s="12" t="s">
        <v>64</v>
      </c>
      <c r="C20" s="12" t="s">
        <v>65</v>
      </c>
      <c r="D20" s="12" t="str">
        <f>"0,5905"</f>
        <v>0,5905</v>
      </c>
      <c r="E20" s="12" t="s">
        <v>66</v>
      </c>
      <c r="F20" s="12" t="s">
        <v>44</v>
      </c>
      <c r="G20" s="14" t="s">
        <v>68</v>
      </c>
      <c r="H20" s="14" t="s">
        <v>72</v>
      </c>
      <c r="I20" s="14" t="s">
        <v>73</v>
      </c>
      <c r="J20" s="13"/>
      <c r="K20" s="21" t="str">
        <f>"225,0"</f>
        <v>225,0</v>
      </c>
      <c r="L20" s="22" t="str">
        <f>"132,8625"</f>
        <v>132,8625</v>
      </c>
      <c r="M20" s="12" t="s">
        <v>74</v>
      </c>
    </row>
    <row r="22" spans="1:13" ht="15" x14ac:dyDescent="0.2">
      <c r="A22" s="50" t="s">
        <v>83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3" x14ac:dyDescent="0.2">
      <c r="A23" s="9" t="s">
        <v>85</v>
      </c>
      <c r="B23" s="9" t="s">
        <v>86</v>
      </c>
      <c r="C23" s="9" t="s">
        <v>87</v>
      </c>
      <c r="D23" s="9" t="str">
        <f>"0,5598"</f>
        <v>0,5598</v>
      </c>
      <c r="E23" s="9" t="s">
        <v>88</v>
      </c>
      <c r="F23" s="9" t="s">
        <v>22</v>
      </c>
      <c r="G23" s="10" t="s">
        <v>72</v>
      </c>
      <c r="H23" s="11" t="s">
        <v>92</v>
      </c>
      <c r="I23" s="11" t="s">
        <v>92</v>
      </c>
      <c r="J23" s="11"/>
      <c r="K23" s="19" t="str">
        <f>"210,0"</f>
        <v>210,0</v>
      </c>
      <c r="L23" s="20" t="str">
        <f>"117,5580"</f>
        <v>117,5580</v>
      </c>
      <c r="M23" s="9" t="s">
        <v>93</v>
      </c>
    </row>
    <row r="24" spans="1:13" x14ac:dyDescent="0.2">
      <c r="A24" s="29" t="s">
        <v>296</v>
      </c>
      <c r="B24" s="29" t="s">
        <v>297</v>
      </c>
      <c r="C24" s="29" t="s">
        <v>298</v>
      </c>
      <c r="D24" s="29" t="str">
        <f>"0,5630"</f>
        <v>0,5630</v>
      </c>
      <c r="E24" s="29" t="s">
        <v>212</v>
      </c>
      <c r="F24" s="29" t="s">
        <v>213</v>
      </c>
      <c r="G24" s="31" t="s">
        <v>68</v>
      </c>
      <c r="H24" s="30" t="s">
        <v>72</v>
      </c>
      <c r="I24" s="31" t="s">
        <v>72</v>
      </c>
      <c r="J24" s="30"/>
      <c r="K24" s="32" t="str">
        <f>"210,0"</f>
        <v>210,0</v>
      </c>
      <c r="L24" s="33" t="str">
        <f>"118,2300"</f>
        <v>118,2300</v>
      </c>
      <c r="M24" s="29" t="s">
        <v>299</v>
      </c>
    </row>
    <row r="25" spans="1:13" x14ac:dyDescent="0.2">
      <c r="A25" s="12" t="s">
        <v>296</v>
      </c>
      <c r="B25" s="12" t="s">
        <v>300</v>
      </c>
      <c r="C25" s="12" t="s">
        <v>298</v>
      </c>
      <c r="D25" s="12" t="str">
        <f>"0,5630"</f>
        <v>0,5630</v>
      </c>
      <c r="E25" s="12" t="s">
        <v>212</v>
      </c>
      <c r="F25" s="12" t="s">
        <v>213</v>
      </c>
      <c r="G25" s="14" t="s">
        <v>68</v>
      </c>
      <c r="H25" s="13" t="s">
        <v>72</v>
      </c>
      <c r="I25" s="14" t="s">
        <v>72</v>
      </c>
      <c r="J25" s="13"/>
      <c r="K25" s="21" t="str">
        <f>"210,0"</f>
        <v>210,0</v>
      </c>
      <c r="L25" s="22" t="str">
        <f>"123,9050"</f>
        <v>123,9050</v>
      </c>
      <c r="M25" s="12" t="s">
        <v>299</v>
      </c>
    </row>
    <row r="27" spans="1:13" ht="15" x14ac:dyDescent="0.2">
      <c r="E27" s="15" t="s">
        <v>94</v>
      </c>
      <c r="F27" s="4" t="s">
        <v>365</v>
      </c>
    </row>
    <row r="28" spans="1:13" ht="15" x14ac:dyDescent="0.2">
      <c r="E28" s="15" t="s">
        <v>95</v>
      </c>
      <c r="F28" s="4" t="s">
        <v>366</v>
      </c>
    </row>
    <row r="29" spans="1:13" ht="15" x14ac:dyDescent="0.2">
      <c r="E29" s="15" t="s">
        <v>96</v>
      </c>
      <c r="F29" s="4" t="s">
        <v>367</v>
      </c>
    </row>
    <row r="30" spans="1:13" ht="15" x14ac:dyDescent="0.2">
      <c r="E30" s="15" t="s">
        <v>97</v>
      </c>
      <c r="F30" s="4" t="s">
        <v>368</v>
      </c>
    </row>
    <row r="31" spans="1:13" ht="15" x14ac:dyDescent="0.2">
      <c r="E31" s="15" t="s">
        <v>97</v>
      </c>
      <c r="F31" s="4" t="s">
        <v>369</v>
      </c>
    </row>
    <row r="32" spans="1:13" ht="15" x14ac:dyDescent="0.2">
      <c r="E32" s="15" t="s">
        <v>98</v>
      </c>
      <c r="F32" s="34" t="s">
        <v>370</v>
      </c>
    </row>
    <row r="33" spans="1:5" ht="15" x14ac:dyDescent="0.2">
      <c r="E33" s="15"/>
    </row>
    <row r="35" spans="1:5" ht="18" x14ac:dyDescent="0.25">
      <c r="A35" s="23" t="s">
        <v>99</v>
      </c>
      <c r="B35" s="23"/>
    </row>
    <row r="36" spans="1:5" ht="15" x14ac:dyDescent="0.2">
      <c r="A36" s="24" t="s">
        <v>100</v>
      </c>
      <c r="B36" s="24"/>
    </row>
    <row r="37" spans="1:5" ht="14.25" x14ac:dyDescent="0.2">
      <c r="A37" s="26"/>
      <c r="B37" s="27" t="s">
        <v>301</v>
      </c>
    </row>
    <row r="38" spans="1:5" ht="15" x14ac:dyDescent="0.2">
      <c r="A38" s="28" t="s">
        <v>102</v>
      </c>
      <c r="B38" s="28" t="s">
        <v>103</v>
      </c>
      <c r="C38" s="28" t="s">
        <v>104</v>
      </c>
      <c r="D38" s="28" t="s">
        <v>215</v>
      </c>
      <c r="E38" s="28" t="s">
        <v>106</v>
      </c>
    </row>
    <row r="39" spans="1:5" x14ac:dyDescent="0.2">
      <c r="A39" s="25" t="s">
        <v>270</v>
      </c>
      <c r="B39" s="4" t="s">
        <v>302</v>
      </c>
      <c r="C39" s="4" t="s">
        <v>303</v>
      </c>
      <c r="D39" s="4" t="s">
        <v>155</v>
      </c>
      <c r="E39" s="16" t="s">
        <v>304</v>
      </c>
    </row>
    <row r="41" spans="1:5" ht="14.25" x14ac:dyDescent="0.2">
      <c r="A41" s="26"/>
      <c r="B41" s="27" t="s">
        <v>111</v>
      </c>
    </row>
    <row r="42" spans="1:5" ht="15" x14ac:dyDescent="0.2">
      <c r="A42" s="28" t="s">
        <v>102</v>
      </c>
      <c r="B42" s="28" t="s">
        <v>103</v>
      </c>
      <c r="C42" s="28" t="s">
        <v>104</v>
      </c>
      <c r="D42" s="28" t="s">
        <v>215</v>
      </c>
      <c r="E42" s="28" t="s">
        <v>106</v>
      </c>
    </row>
    <row r="43" spans="1:5" x14ac:dyDescent="0.2">
      <c r="A43" s="25" t="s">
        <v>264</v>
      </c>
      <c r="B43" s="4" t="s">
        <v>111</v>
      </c>
      <c r="C43" s="4" t="s">
        <v>305</v>
      </c>
      <c r="D43" s="4" t="s">
        <v>155</v>
      </c>
      <c r="E43" s="16" t="s">
        <v>306</v>
      </c>
    </row>
    <row r="44" spans="1:5" x14ac:dyDescent="0.2">
      <c r="A44" s="25" t="s">
        <v>276</v>
      </c>
      <c r="B44" s="4" t="s">
        <v>111</v>
      </c>
      <c r="C44" s="4" t="s">
        <v>217</v>
      </c>
      <c r="D44" s="4" t="s">
        <v>280</v>
      </c>
      <c r="E44" s="16" t="s">
        <v>307</v>
      </c>
    </row>
    <row r="47" spans="1:5" ht="15" x14ac:dyDescent="0.2">
      <c r="A47" s="24" t="s">
        <v>118</v>
      </c>
      <c r="B47" s="24"/>
    </row>
    <row r="48" spans="1:5" ht="14.25" x14ac:dyDescent="0.2">
      <c r="A48" s="26"/>
      <c r="B48" s="27" t="s">
        <v>119</v>
      </c>
    </row>
    <row r="49" spans="1:5" ht="15" x14ac:dyDescent="0.2">
      <c r="A49" s="28" t="s">
        <v>102</v>
      </c>
      <c r="B49" s="28" t="s">
        <v>103</v>
      </c>
      <c r="C49" s="28" t="s">
        <v>104</v>
      </c>
      <c r="D49" s="28" t="s">
        <v>215</v>
      </c>
      <c r="E49" s="28" t="s">
        <v>106</v>
      </c>
    </row>
    <row r="50" spans="1:5" x14ac:dyDescent="0.2">
      <c r="A50" s="25" t="s">
        <v>282</v>
      </c>
      <c r="B50" s="4" t="s">
        <v>302</v>
      </c>
      <c r="C50" s="4" t="s">
        <v>112</v>
      </c>
      <c r="D50" s="4" t="s">
        <v>286</v>
      </c>
      <c r="E50" s="16" t="s">
        <v>308</v>
      </c>
    </row>
    <row r="51" spans="1:5" x14ac:dyDescent="0.2">
      <c r="A51" s="25" t="s">
        <v>291</v>
      </c>
      <c r="B51" s="4" t="s">
        <v>309</v>
      </c>
      <c r="C51" s="4" t="s">
        <v>126</v>
      </c>
      <c r="D51" s="4" t="s">
        <v>69</v>
      </c>
      <c r="E51" s="16" t="s">
        <v>310</v>
      </c>
    </row>
    <row r="53" spans="1:5" ht="14.25" x14ac:dyDescent="0.2">
      <c r="A53" s="26"/>
      <c r="B53" s="27" t="s">
        <v>122</v>
      </c>
    </row>
    <row r="54" spans="1:5" ht="15" x14ac:dyDescent="0.2">
      <c r="A54" s="28" t="s">
        <v>102</v>
      </c>
      <c r="B54" s="28" t="s">
        <v>103</v>
      </c>
      <c r="C54" s="28" t="s">
        <v>104</v>
      </c>
      <c r="D54" s="28" t="s">
        <v>215</v>
      </c>
      <c r="E54" s="28" t="s">
        <v>106</v>
      </c>
    </row>
    <row r="55" spans="1:5" x14ac:dyDescent="0.2">
      <c r="A55" s="25" t="s">
        <v>84</v>
      </c>
      <c r="B55" s="4" t="s">
        <v>107</v>
      </c>
      <c r="C55" s="4" t="s">
        <v>123</v>
      </c>
      <c r="D55" s="4" t="s">
        <v>72</v>
      </c>
      <c r="E55" s="16" t="s">
        <v>311</v>
      </c>
    </row>
    <row r="57" spans="1:5" ht="14.25" x14ac:dyDescent="0.2">
      <c r="A57" s="26"/>
      <c r="B57" s="27" t="s">
        <v>111</v>
      </c>
    </row>
    <row r="58" spans="1:5" ht="15" x14ac:dyDescent="0.2">
      <c r="A58" s="28" t="s">
        <v>102</v>
      </c>
      <c r="B58" s="28" t="s">
        <v>103</v>
      </c>
      <c r="C58" s="28" t="s">
        <v>104</v>
      </c>
      <c r="D58" s="28" t="s">
        <v>215</v>
      </c>
      <c r="E58" s="28" t="s">
        <v>106</v>
      </c>
    </row>
    <row r="59" spans="1:5" x14ac:dyDescent="0.2">
      <c r="A59" s="25" t="s">
        <v>287</v>
      </c>
      <c r="B59" s="4" t="s">
        <v>111</v>
      </c>
      <c r="C59" s="4" t="s">
        <v>112</v>
      </c>
      <c r="D59" s="4" t="s">
        <v>89</v>
      </c>
      <c r="E59" s="16" t="s">
        <v>312</v>
      </c>
    </row>
    <row r="60" spans="1:5" x14ac:dyDescent="0.2">
      <c r="A60" s="25" t="s">
        <v>62</v>
      </c>
      <c r="B60" s="4" t="s">
        <v>111</v>
      </c>
      <c r="C60" s="4" t="s">
        <v>126</v>
      </c>
      <c r="D60" s="4" t="s">
        <v>73</v>
      </c>
      <c r="E60" s="16" t="s">
        <v>313</v>
      </c>
    </row>
    <row r="61" spans="1:5" x14ac:dyDescent="0.2">
      <c r="A61" s="25" t="s">
        <v>295</v>
      </c>
      <c r="B61" s="4" t="s">
        <v>111</v>
      </c>
      <c r="C61" s="4" t="s">
        <v>123</v>
      </c>
      <c r="D61" s="4" t="s">
        <v>72</v>
      </c>
      <c r="E61" s="16" t="s">
        <v>314</v>
      </c>
    </row>
    <row r="63" spans="1:5" ht="14.25" x14ac:dyDescent="0.2">
      <c r="A63" s="26"/>
      <c r="B63" s="27" t="s">
        <v>129</v>
      </c>
    </row>
    <row r="64" spans="1:5" ht="15" x14ac:dyDescent="0.2">
      <c r="A64" s="28" t="s">
        <v>102</v>
      </c>
      <c r="B64" s="28" t="s">
        <v>103</v>
      </c>
      <c r="C64" s="28" t="s">
        <v>104</v>
      </c>
      <c r="D64" s="28" t="s">
        <v>215</v>
      </c>
      <c r="E64" s="28" t="s">
        <v>106</v>
      </c>
    </row>
    <row r="65" spans="1:5" x14ac:dyDescent="0.2">
      <c r="A65" s="25" t="s">
        <v>295</v>
      </c>
      <c r="B65" s="4" t="s">
        <v>315</v>
      </c>
      <c r="C65" s="4" t="s">
        <v>123</v>
      </c>
      <c r="D65" s="4" t="s">
        <v>72</v>
      </c>
      <c r="E65" s="16" t="s">
        <v>316</v>
      </c>
    </row>
  </sheetData>
  <mergeCells count="17">
    <mergeCell ref="A8:J8"/>
    <mergeCell ref="A11:J11"/>
    <mergeCell ref="A14:J14"/>
    <mergeCell ref="A18:J18"/>
    <mergeCell ref="A22:J22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13" sqref="F13"/>
    </sheetView>
  </sheetViews>
  <sheetFormatPr defaultRowHeight="12.75" x14ac:dyDescent="0.2"/>
  <cols>
    <col min="1" max="1" width="26" style="4" bestFit="1" customWidth="1"/>
    <col min="2" max="2" width="28.42578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9" width="5.5703125" style="3" customWidth="1"/>
    <col min="10" max="10" width="4.85546875" style="3" customWidth="1"/>
    <col min="11" max="11" width="7.85546875" style="16" bestFit="1" customWidth="1"/>
    <col min="12" max="12" width="8.5703125" style="2" bestFit="1" customWidth="1"/>
    <col min="13" max="13" width="31.85546875" style="4" bestFit="1" customWidth="1"/>
    <col min="14" max="16384" width="9.140625" style="3"/>
  </cols>
  <sheetData>
    <row r="1" spans="1:13" s="2" customFormat="1" ht="29.1" customHeight="1" x14ac:dyDescent="0.2">
      <c r="A1" s="41" t="s">
        <v>254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15</v>
      </c>
      <c r="H3" s="35"/>
      <c r="I3" s="35"/>
      <c r="J3" s="35"/>
      <c r="K3" s="35" t="s">
        <v>146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38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256</v>
      </c>
      <c r="B6" s="6" t="s">
        <v>257</v>
      </c>
      <c r="C6" s="6" t="s">
        <v>258</v>
      </c>
      <c r="D6" s="6" t="str">
        <f>"0,7307"</f>
        <v>0,7307</v>
      </c>
      <c r="E6" s="6" t="s">
        <v>259</v>
      </c>
      <c r="F6" s="6" t="s">
        <v>22</v>
      </c>
      <c r="G6" s="7" t="s">
        <v>68</v>
      </c>
      <c r="H6" s="8" t="s">
        <v>260</v>
      </c>
      <c r="I6" s="8" t="s">
        <v>260</v>
      </c>
      <c r="J6" s="8"/>
      <c r="K6" s="17" t="str">
        <f>"200,0"</f>
        <v>200,0</v>
      </c>
      <c r="L6" s="18" t="str">
        <f>"146,1400"</f>
        <v>146,1400</v>
      </c>
      <c r="M6" s="6" t="s">
        <v>243</v>
      </c>
    </row>
    <row r="8" spans="1:13" ht="15" x14ac:dyDescent="0.2">
      <c r="E8" s="15" t="s">
        <v>94</v>
      </c>
      <c r="F8" s="4" t="s">
        <v>365</v>
      </c>
    </row>
    <row r="9" spans="1:13" ht="15" x14ac:dyDescent="0.2">
      <c r="E9" s="15" t="s">
        <v>95</v>
      </c>
      <c r="F9" s="4" t="s">
        <v>366</v>
      </c>
    </row>
    <row r="10" spans="1:13" ht="15" x14ac:dyDescent="0.2">
      <c r="E10" s="15" t="s">
        <v>96</v>
      </c>
      <c r="F10" s="4" t="s">
        <v>367</v>
      </c>
    </row>
    <row r="11" spans="1:13" ht="15" x14ac:dyDescent="0.2">
      <c r="E11" s="15" t="s">
        <v>97</v>
      </c>
      <c r="F11" s="4" t="s">
        <v>368</v>
      </c>
    </row>
    <row r="12" spans="1:13" ht="15" x14ac:dyDescent="0.2">
      <c r="E12" s="15" t="s">
        <v>97</v>
      </c>
      <c r="F12" s="4" t="s">
        <v>369</v>
      </c>
    </row>
    <row r="13" spans="1:13" ht="15" x14ac:dyDescent="0.2">
      <c r="E13" s="15" t="s">
        <v>98</v>
      </c>
      <c r="F13" s="34" t="s">
        <v>370</v>
      </c>
    </row>
    <row r="14" spans="1:13" ht="15" x14ac:dyDescent="0.2">
      <c r="E14" s="15"/>
    </row>
    <row r="16" spans="1:13" ht="18" x14ac:dyDescent="0.25">
      <c r="A16" s="23" t="s">
        <v>99</v>
      </c>
      <c r="B16" s="23"/>
    </row>
    <row r="17" spans="1:5" ht="15" x14ac:dyDescent="0.2">
      <c r="A17" s="24" t="s">
        <v>118</v>
      </c>
      <c r="B17" s="24"/>
    </row>
    <row r="18" spans="1:5" ht="14.25" x14ac:dyDescent="0.2">
      <c r="A18" s="26"/>
      <c r="B18" s="27" t="s">
        <v>122</v>
      </c>
    </row>
    <row r="19" spans="1:5" ht="15" x14ac:dyDescent="0.2">
      <c r="A19" s="28" t="s">
        <v>102</v>
      </c>
      <c r="B19" s="28" t="s">
        <v>103</v>
      </c>
      <c r="C19" s="28" t="s">
        <v>104</v>
      </c>
      <c r="D19" s="28" t="s">
        <v>215</v>
      </c>
      <c r="E19" s="28" t="s">
        <v>106</v>
      </c>
    </row>
    <row r="20" spans="1:5" x14ac:dyDescent="0.2">
      <c r="A20" s="25" t="s">
        <v>255</v>
      </c>
      <c r="B20" s="4" t="s">
        <v>107</v>
      </c>
      <c r="C20" s="4" t="s">
        <v>112</v>
      </c>
      <c r="D20" s="4" t="s">
        <v>68</v>
      </c>
      <c r="E20" s="16" t="s">
        <v>261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F16" sqref="F16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9" width="5.5703125" style="3" customWidth="1"/>
    <col min="10" max="10" width="4.85546875" style="3" customWidth="1"/>
    <col min="11" max="11" width="7.85546875" style="16" bestFit="1" customWidth="1"/>
    <col min="12" max="12" width="8.5703125" style="2" bestFit="1" customWidth="1"/>
    <col min="13" max="13" width="31.85546875" style="4" bestFit="1" customWidth="1"/>
    <col min="14" max="16384" width="9.140625" style="3"/>
  </cols>
  <sheetData>
    <row r="1" spans="1:13" s="2" customFormat="1" ht="29.1" customHeight="1" x14ac:dyDescent="0.2">
      <c r="A1" s="41" t="s">
        <v>237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12</v>
      </c>
      <c r="E3" s="35" t="s">
        <v>4</v>
      </c>
      <c r="F3" s="35" t="s">
        <v>7</v>
      </c>
      <c r="G3" s="35" t="s">
        <v>14</v>
      </c>
      <c r="H3" s="35"/>
      <c r="I3" s="35"/>
      <c r="J3" s="35"/>
      <c r="K3" s="35" t="s">
        <v>146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200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239</v>
      </c>
      <c r="B6" s="6" t="s">
        <v>240</v>
      </c>
      <c r="C6" s="6" t="s">
        <v>241</v>
      </c>
      <c r="D6" s="6" t="str">
        <f>"0,5443"</f>
        <v>0,5443</v>
      </c>
      <c r="E6" s="6" t="s">
        <v>79</v>
      </c>
      <c r="F6" s="6" t="s">
        <v>22</v>
      </c>
      <c r="G6" s="7" t="s">
        <v>142</v>
      </c>
      <c r="H6" s="7" t="s">
        <v>143</v>
      </c>
      <c r="I6" s="8" t="s">
        <v>242</v>
      </c>
      <c r="J6" s="8"/>
      <c r="K6" s="17" t="str">
        <f>"280,0"</f>
        <v>280,0</v>
      </c>
      <c r="L6" s="18" t="str">
        <f>"152,4040"</f>
        <v>152,4040</v>
      </c>
      <c r="M6" s="6" t="s">
        <v>243</v>
      </c>
    </row>
    <row r="8" spans="1:13" ht="15" x14ac:dyDescent="0.2">
      <c r="A8" s="50" t="s">
        <v>244</v>
      </c>
      <c r="B8" s="50"/>
      <c r="C8" s="50"/>
      <c r="D8" s="50"/>
      <c r="E8" s="50"/>
      <c r="F8" s="50"/>
      <c r="G8" s="50"/>
      <c r="H8" s="50"/>
      <c r="I8" s="50"/>
      <c r="J8" s="50"/>
    </row>
    <row r="9" spans="1:13" x14ac:dyDescent="0.2">
      <c r="A9" s="6" t="s">
        <v>246</v>
      </c>
      <c r="B9" s="6" t="s">
        <v>247</v>
      </c>
      <c r="C9" s="6" t="s">
        <v>248</v>
      </c>
      <c r="D9" s="6" t="str">
        <f>"0,5108"</f>
        <v>0,5108</v>
      </c>
      <c r="E9" s="6" t="s">
        <v>79</v>
      </c>
      <c r="F9" s="6" t="s">
        <v>22</v>
      </c>
      <c r="G9" s="8" t="s">
        <v>249</v>
      </c>
      <c r="H9" s="7" t="s">
        <v>249</v>
      </c>
      <c r="I9" s="8" t="s">
        <v>250</v>
      </c>
      <c r="J9" s="8"/>
      <c r="K9" s="17" t="str">
        <f>"340,0"</f>
        <v>340,0</v>
      </c>
      <c r="L9" s="18" t="str">
        <f>"173,6720"</f>
        <v>173,6720</v>
      </c>
      <c r="M9" s="6" t="s">
        <v>243</v>
      </c>
    </row>
    <row r="11" spans="1:13" ht="15" x14ac:dyDescent="0.2">
      <c r="E11" s="15" t="s">
        <v>94</v>
      </c>
      <c r="F11" s="4" t="s">
        <v>365</v>
      </c>
    </row>
    <row r="12" spans="1:13" ht="15" x14ac:dyDescent="0.2">
      <c r="E12" s="15" t="s">
        <v>95</v>
      </c>
      <c r="F12" s="4" t="s">
        <v>366</v>
      </c>
    </row>
    <row r="13" spans="1:13" ht="15" x14ac:dyDescent="0.2">
      <c r="E13" s="15" t="s">
        <v>96</v>
      </c>
      <c r="F13" s="4" t="s">
        <v>367</v>
      </c>
    </row>
    <row r="14" spans="1:13" ht="15" x14ac:dyDescent="0.2">
      <c r="E14" s="15" t="s">
        <v>97</v>
      </c>
      <c r="F14" s="4" t="s">
        <v>368</v>
      </c>
    </row>
    <row r="15" spans="1:13" ht="15" x14ac:dyDescent="0.2">
      <c r="E15" s="15" t="s">
        <v>97</v>
      </c>
      <c r="F15" s="4" t="s">
        <v>369</v>
      </c>
    </row>
    <row r="16" spans="1:13" ht="15" x14ac:dyDescent="0.2">
      <c r="E16" s="15" t="s">
        <v>98</v>
      </c>
      <c r="F16" s="34" t="s">
        <v>370</v>
      </c>
    </row>
    <row r="17" spans="1:5" ht="15" x14ac:dyDescent="0.2">
      <c r="E17" s="15"/>
    </row>
    <row r="19" spans="1:5" ht="18" x14ac:dyDescent="0.25">
      <c r="A19" s="23" t="s">
        <v>99</v>
      </c>
      <c r="B19" s="23"/>
    </row>
    <row r="20" spans="1:5" ht="15" x14ac:dyDescent="0.2">
      <c r="A20" s="24" t="s">
        <v>118</v>
      </c>
      <c r="B20" s="24"/>
    </row>
    <row r="21" spans="1:5" ht="14.25" x14ac:dyDescent="0.2">
      <c r="A21" s="26"/>
      <c r="B21" s="27" t="s">
        <v>111</v>
      </c>
    </row>
    <row r="22" spans="1:5" ht="15" x14ac:dyDescent="0.2">
      <c r="A22" s="28" t="s">
        <v>102</v>
      </c>
      <c r="B22" s="28" t="s">
        <v>103</v>
      </c>
      <c r="C22" s="28" t="s">
        <v>104</v>
      </c>
      <c r="D22" s="28" t="s">
        <v>215</v>
      </c>
      <c r="E22" s="28" t="s">
        <v>106</v>
      </c>
    </row>
    <row r="23" spans="1:5" x14ac:dyDescent="0.2">
      <c r="A23" s="25" t="s">
        <v>245</v>
      </c>
      <c r="B23" s="4" t="s">
        <v>111</v>
      </c>
      <c r="C23" s="4" t="s">
        <v>251</v>
      </c>
      <c r="D23" s="4" t="s">
        <v>249</v>
      </c>
      <c r="E23" s="16" t="s">
        <v>252</v>
      </c>
    </row>
    <row r="24" spans="1:5" x14ac:dyDescent="0.2">
      <c r="A24" s="25" t="s">
        <v>238</v>
      </c>
      <c r="B24" s="4" t="s">
        <v>111</v>
      </c>
      <c r="C24" s="4" t="s">
        <v>220</v>
      </c>
      <c r="D24" s="4" t="s">
        <v>143</v>
      </c>
      <c r="E24" s="16" t="s">
        <v>253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Бицепс Профессионалы</vt:lpstr>
      <vt:lpstr>Бицепс Любители</vt:lpstr>
      <vt:lpstr>Люб. народный жим 1 вес</vt:lpstr>
      <vt:lpstr>Силовое двоеборие. Любители</vt:lpstr>
      <vt:lpstr>Люб. присед б.э.</vt:lpstr>
      <vt:lpstr>ПРО тяга б.э.</vt:lpstr>
      <vt:lpstr>Люб. тяга б.э.</vt:lpstr>
      <vt:lpstr>СОВ тяга</vt:lpstr>
      <vt:lpstr>ПРО жим софт мн.петельная</vt:lpstr>
      <vt:lpstr>ПРО жим б.э.</vt:lpstr>
      <vt:lpstr>Люб. жим б.э.</vt:lpstr>
      <vt:lpstr>ПРО ПЛ. б.э.</vt:lpstr>
      <vt:lpstr>Люб. ПЛ. б.э.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2021-06-24T17:28:58Z</dcterms:modified>
</cp:coreProperties>
</file>