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activeTab="11"/>
  </bookViews>
  <sheets>
    <sheet name="Роллинг Тандер" sheetId="1" r:id="rId1"/>
    <sheet name="Двуручный щипковый блок" sheetId="2" r:id="rId2"/>
    <sheet name="Хаб" sheetId="3" r:id="rId3"/>
    <sheet name="Люб. ЖД" sheetId="4" r:id="rId4"/>
    <sheet name="СОВ присед" sheetId="5" r:id="rId5"/>
    <sheet name="ПРО тяга б.э." sheetId="6" r:id="rId6"/>
    <sheet name="Люб. тяга б.э." sheetId="7" r:id="rId7"/>
    <sheet name="СОВ тяга" sheetId="8" r:id="rId8"/>
    <sheet name="Люб. жим софт мн.петельная" sheetId="9" r:id="rId9"/>
    <sheet name="Люб. жим 1 петельная" sheetId="10" r:id="rId10"/>
    <sheet name="ПРО жим б.э." sheetId="11" r:id="rId11"/>
    <sheet name="Люб. жим б.э." sheetId="12" r:id="rId12"/>
    <sheet name="Люб. жим 1.слой" sheetId="13" r:id="rId13"/>
    <sheet name="СОВ жим" sheetId="14" r:id="rId14"/>
    <sheet name="Люб. Военный жим класс." sheetId="15" r:id="rId15"/>
    <sheet name="Люб. ПЛ. б.э." sheetId="16" r:id="rId16"/>
    <sheet name="Люб. ПЛ. 1.петельная софт" sheetId="17" r:id="rId17"/>
    <sheet name="СОВ ПЛ." sheetId="18" r:id="rId18"/>
    <sheet name="Русская тяга люб. 100 кг." sheetId="19" r:id="rId19"/>
    <sheet name="Русская тяга люб. 75 кг." sheetId="20" r:id="rId20"/>
    <sheet name="РБ Проф 50 кг." sheetId="21" r:id="rId21"/>
    <sheet name="РЖ любители 55 кг." sheetId="22" r:id="rId22"/>
    <sheet name="РЖ любители 35 кг." sheetId="23" r:id="rId23"/>
    <sheet name="ПРО В.Ж. м.повт. 1_2" sheetId="24" r:id="rId24"/>
    <sheet name="Проф. народный жим 1_2 вес" sheetId="25" r:id="rId25"/>
    <sheet name="Люб. народный жим 1 вес" sheetId="26" r:id="rId26"/>
    <sheet name="Пауэрспорт Профессионалы" sheetId="27" r:id="rId27"/>
    <sheet name="Пауэрспорт Любители" sheetId="28" r:id="rId28"/>
    <sheet name="Бицепс Профессионалы" sheetId="29" r:id="rId29"/>
    <sheet name="Бицепс Любители" sheetId="30" r:id="rId30"/>
    <sheet name="Командное первенство" sheetId="31" r:id="rId31"/>
  </sheets>
  <definedNames>
    <definedName name="_FilterDatabase" localSheetId="29">'Бицепс Любители'!$A$1:$K$3</definedName>
  </definedNames>
  <calcPr calcId="162913" refMode="R1C1"/>
</workbook>
</file>

<file path=xl/calcChain.xml><?xml version="1.0" encoding="utf-8"?>
<calcChain xmlns="http://schemas.openxmlformats.org/spreadsheetml/2006/main">
  <c r="L22" i="30" l="1"/>
  <c r="K22" i="30"/>
  <c r="D22" i="30"/>
  <c r="L21" i="30"/>
  <c r="K21" i="30"/>
  <c r="D21" i="30"/>
  <c r="L18" i="30"/>
  <c r="K18" i="30"/>
  <c r="D18" i="30"/>
  <c r="L17" i="30"/>
  <c r="K17" i="30"/>
  <c r="D17" i="30"/>
  <c r="L16" i="30"/>
  <c r="K16" i="30"/>
  <c r="D16" i="30"/>
  <c r="L13" i="30"/>
  <c r="K13" i="30"/>
  <c r="D13" i="30"/>
  <c r="L12" i="30"/>
  <c r="K12" i="30"/>
  <c r="D12" i="30"/>
  <c r="L11" i="30"/>
  <c r="K11" i="30"/>
  <c r="D11" i="30"/>
  <c r="L10" i="30"/>
  <c r="K10" i="30"/>
  <c r="D10" i="30"/>
  <c r="L9" i="30"/>
  <c r="K9" i="30"/>
  <c r="D9" i="30"/>
  <c r="L6" i="30"/>
  <c r="K6" i="30"/>
  <c r="D6" i="30"/>
  <c r="L9" i="29"/>
  <c r="K9" i="29"/>
  <c r="D9" i="29"/>
  <c r="L6" i="29"/>
  <c r="K6" i="29"/>
  <c r="D6" i="29"/>
  <c r="P9" i="28"/>
  <c r="O9" i="28"/>
  <c r="D9" i="28"/>
  <c r="P6" i="28"/>
  <c r="O6" i="28"/>
  <c r="D6" i="28"/>
  <c r="P6" i="27"/>
  <c r="O6" i="27"/>
  <c r="D6" i="27"/>
  <c r="J11" i="26"/>
  <c r="I11" i="26"/>
  <c r="D11" i="26"/>
  <c r="J8" i="26"/>
  <c r="I8" i="26"/>
  <c r="D8" i="26"/>
  <c r="J7" i="26"/>
  <c r="I7" i="26"/>
  <c r="D7" i="26"/>
  <c r="J6" i="26"/>
  <c r="I6" i="26"/>
  <c r="D6" i="26"/>
  <c r="J6" i="25"/>
  <c r="I6" i="25"/>
  <c r="D6" i="25"/>
  <c r="J6" i="24"/>
  <c r="I6" i="24"/>
  <c r="D6" i="24"/>
  <c r="J8" i="23"/>
  <c r="I8" i="23"/>
  <c r="D8" i="23"/>
  <c r="J7" i="23"/>
  <c r="I7" i="23"/>
  <c r="D7" i="23"/>
  <c r="J6" i="23"/>
  <c r="I6" i="23"/>
  <c r="D6" i="23"/>
  <c r="J8" i="22"/>
  <c r="I8" i="22"/>
  <c r="D8" i="22"/>
  <c r="J7" i="22"/>
  <c r="I7" i="22"/>
  <c r="D7" i="22"/>
  <c r="J6" i="22"/>
  <c r="I6" i="22"/>
  <c r="D6" i="22"/>
  <c r="J6" i="21"/>
  <c r="I6" i="21"/>
  <c r="D6" i="21"/>
  <c r="J6" i="20"/>
  <c r="I6" i="20"/>
  <c r="D6" i="20"/>
  <c r="J6" i="19"/>
  <c r="I6" i="19"/>
  <c r="D6" i="19"/>
  <c r="T7" i="18"/>
  <c r="S7" i="18"/>
  <c r="D7" i="18"/>
  <c r="T6" i="18"/>
  <c r="S6" i="18"/>
  <c r="D6" i="18"/>
  <c r="T6" i="17"/>
  <c r="S6" i="17"/>
  <c r="D6" i="17"/>
  <c r="T6" i="16"/>
  <c r="S6" i="16"/>
  <c r="D6" i="16"/>
  <c r="L6" i="15"/>
  <c r="K6" i="15"/>
  <c r="D6" i="15"/>
  <c r="L18" i="14"/>
  <c r="K18" i="14"/>
  <c r="D18" i="14"/>
  <c r="L15" i="14"/>
  <c r="K15" i="14"/>
  <c r="D15" i="14"/>
  <c r="L12" i="14"/>
  <c r="K12" i="14"/>
  <c r="D12" i="14"/>
  <c r="L9" i="14"/>
  <c r="K9" i="14"/>
  <c r="D9" i="14"/>
  <c r="L6" i="14"/>
  <c r="K6" i="14"/>
  <c r="D6" i="14"/>
  <c r="L9" i="13"/>
  <c r="K9" i="13"/>
  <c r="D9" i="13"/>
  <c r="L6" i="13"/>
  <c r="K6" i="13"/>
  <c r="D6" i="13"/>
  <c r="L58" i="12"/>
  <c r="K58" i="12"/>
  <c r="D58" i="12"/>
  <c r="L57" i="12"/>
  <c r="K57" i="12"/>
  <c r="D57" i="12"/>
  <c r="L56" i="12"/>
  <c r="K56" i="12"/>
  <c r="D56" i="12"/>
  <c r="L55" i="12"/>
  <c r="K55" i="12"/>
  <c r="D55" i="12"/>
  <c r="L52" i="12"/>
  <c r="K52" i="12"/>
  <c r="D52" i="12"/>
  <c r="L51" i="12"/>
  <c r="K51" i="12"/>
  <c r="D51" i="12"/>
  <c r="L50" i="12"/>
  <c r="K50" i="12"/>
  <c r="D50" i="12"/>
  <c r="L47" i="12"/>
  <c r="K47" i="12"/>
  <c r="D47" i="12"/>
  <c r="L46" i="12"/>
  <c r="K46" i="12"/>
  <c r="D46" i="12"/>
  <c r="L45" i="12"/>
  <c r="K45" i="12"/>
  <c r="D45" i="12"/>
  <c r="L44" i="12"/>
  <c r="K44" i="12"/>
  <c r="D44" i="12"/>
  <c r="L41" i="12"/>
  <c r="K41" i="12"/>
  <c r="D41" i="12"/>
  <c r="L40" i="12"/>
  <c r="K40" i="12"/>
  <c r="D40" i="12"/>
  <c r="L37" i="12"/>
  <c r="K37" i="12"/>
  <c r="D37" i="12"/>
  <c r="L36" i="12"/>
  <c r="K36" i="12"/>
  <c r="D36" i="12"/>
  <c r="L35" i="12"/>
  <c r="K35" i="12"/>
  <c r="D35" i="12"/>
  <c r="L34" i="12"/>
  <c r="K34" i="12"/>
  <c r="D34" i="12"/>
  <c r="L33" i="12"/>
  <c r="K33" i="12"/>
  <c r="D33" i="12"/>
  <c r="L30" i="12"/>
  <c r="K30" i="12"/>
  <c r="D30" i="12"/>
  <c r="L29" i="12"/>
  <c r="K29" i="12"/>
  <c r="D29" i="12"/>
  <c r="L28" i="12"/>
  <c r="K28" i="12"/>
  <c r="D28" i="12"/>
  <c r="L25" i="12"/>
  <c r="K25" i="12"/>
  <c r="D25" i="12"/>
  <c r="L24" i="12"/>
  <c r="K24" i="12"/>
  <c r="D24" i="12"/>
  <c r="L23" i="12"/>
  <c r="K23" i="12"/>
  <c r="D23" i="12"/>
  <c r="L22" i="12"/>
  <c r="K22" i="12"/>
  <c r="D22" i="12"/>
  <c r="L21" i="12"/>
  <c r="K21" i="12"/>
  <c r="D21" i="12"/>
  <c r="L18" i="12"/>
  <c r="K18" i="12"/>
  <c r="D18" i="12"/>
  <c r="L17" i="12"/>
  <c r="K17" i="12"/>
  <c r="D17" i="12"/>
  <c r="L14" i="12"/>
  <c r="K14" i="12"/>
  <c r="D14" i="12"/>
  <c r="L11" i="12"/>
  <c r="K11" i="12"/>
  <c r="D11" i="12"/>
  <c r="L10" i="12"/>
  <c r="K10" i="12"/>
  <c r="D10" i="12"/>
  <c r="L7" i="12"/>
  <c r="K7" i="12"/>
  <c r="D7" i="12"/>
  <c r="L6" i="12"/>
  <c r="K6" i="12"/>
  <c r="D6" i="12"/>
  <c r="L10" i="11"/>
  <c r="K10" i="11"/>
  <c r="D10" i="11"/>
  <c r="L9" i="11"/>
  <c r="K9" i="11"/>
  <c r="D9" i="11"/>
  <c r="L6" i="11"/>
  <c r="K6" i="11"/>
  <c r="D6" i="11"/>
  <c r="L15" i="10"/>
  <c r="K15" i="10"/>
  <c r="D15" i="10"/>
  <c r="L12" i="10"/>
  <c r="K12" i="10"/>
  <c r="D12" i="10"/>
  <c r="L9" i="10"/>
  <c r="K9" i="10"/>
  <c r="D9" i="10"/>
  <c r="L6" i="10"/>
  <c r="K6" i="10"/>
  <c r="D6" i="10"/>
  <c r="L6" i="9"/>
  <c r="K6" i="9"/>
  <c r="D6" i="9"/>
  <c r="L9" i="8"/>
  <c r="K9" i="8"/>
  <c r="D9" i="8"/>
  <c r="L6" i="8"/>
  <c r="K6" i="8"/>
  <c r="D6" i="8"/>
  <c r="L28" i="7"/>
  <c r="K28" i="7"/>
  <c r="D28" i="7"/>
  <c r="L25" i="7"/>
  <c r="K25" i="7"/>
  <c r="D25" i="7"/>
  <c r="L22" i="7"/>
  <c r="K22" i="7"/>
  <c r="D22" i="7"/>
  <c r="L19" i="7"/>
  <c r="K19" i="7"/>
  <c r="D19" i="7"/>
  <c r="L16" i="7"/>
  <c r="K16" i="7"/>
  <c r="D16" i="7"/>
  <c r="L13" i="7"/>
  <c r="K13" i="7"/>
  <c r="D13" i="7"/>
  <c r="L12" i="7"/>
  <c r="K12" i="7"/>
  <c r="D12" i="7"/>
  <c r="L9" i="7"/>
  <c r="K9" i="7"/>
  <c r="D9" i="7"/>
  <c r="L6" i="7"/>
  <c r="K6" i="7"/>
  <c r="D6" i="7"/>
  <c r="L6" i="5"/>
  <c r="K6" i="5"/>
  <c r="D6" i="5"/>
  <c r="N6" i="4"/>
  <c r="M6" i="4"/>
  <c r="D6" i="4"/>
  <c r="L6" i="3"/>
  <c r="K6" i="3"/>
  <c r="D6" i="3"/>
  <c r="L6" i="2"/>
  <c r="K6" i="2"/>
  <c r="D6" i="2"/>
  <c r="L6" i="1"/>
  <c r="K6" i="1"/>
  <c r="D6" i="1"/>
</calcChain>
</file>

<file path=xl/sharedStrings.xml><?xml version="1.0" encoding="utf-8"?>
<sst xmlns="http://schemas.openxmlformats.org/spreadsheetml/2006/main" count="2631" uniqueCount="699">
  <si>
    <t>Открытый Национальный Кубок по силовым видам спорта
Роллинг Тандер
Самара/Самарская область 1 мая 2021 г.</t>
  </si>
  <si>
    <t>ФИО</t>
  </si>
  <si>
    <t>Возрастная группа
Дата рождения/Возраст</t>
  </si>
  <si>
    <t>Собственный 
вес</t>
  </si>
  <si>
    <t>Shv/Mel</t>
  </si>
  <si>
    <t>Команда</t>
  </si>
  <si>
    <t>Город/Область</t>
  </si>
  <si>
    <t>Тяга</t>
  </si>
  <si>
    <t>Результат</t>
  </si>
  <si>
    <t>Очки</t>
  </si>
  <si>
    <t>Тренер</t>
  </si>
  <si>
    <t>Рек</t>
  </si>
  <si>
    <t>ВЕСОВАЯ КАТЕГОРИЯ   90</t>
  </si>
  <si>
    <t>1. Кузнецов Максим</t>
  </si>
  <si>
    <t>Открытая (21.01.1995)/26</t>
  </si>
  <si>
    <t>89,00</t>
  </si>
  <si>
    <t xml:space="preserve">POWER MONSTERS TEAM </t>
  </si>
  <si>
    <t xml:space="preserve">Новокуйбышевск/Самарская область </t>
  </si>
  <si>
    <t>79,0</t>
  </si>
  <si>
    <t>84,0</t>
  </si>
  <si>
    <t>91,0</t>
  </si>
  <si>
    <t xml:space="preserve">Самостоятельно </t>
  </si>
  <si>
    <t>Главный судья:</t>
  </si>
  <si>
    <t>Балашов В.В.</t>
  </si>
  <si>
    <t>фк</t>
  </si>
  <si>
    <t>Главный секретарь:</t>
  </si>
  <si>
    <t>Толпегин И.А.</t>
  </si>
  <si>
    <t/>
  </si>
  <si>
    <t>Старший судья:</t>
  </si>
  <si>
    <t>Балашов В.А.</t>
  </si>
  <si>
    <t>мк</t>
  </si>
  <si>
    <t>Боковой судья:</t>
  </si>
  <si>
    <t>Коробейников Д.Ю.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</si>
  <si>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</si>
  <si>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</si>
  <si>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</si>
  <si>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</si>
  <si>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</si>
  <si>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</si>
  <si>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</si>
  <si>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</si>
  <si>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Shv/Mel </t>
  </si>
  <si>
    <t>Кузнецов Максим</t>
  </si>
  <si>
    <t>90</t>
  </si>
  <si>
    <t>49,5012</t>
  </si>
  <si>
    <t>Открытый Национальный Кубок по силовым видам спорта
Двуручный щипковый блок
Самара/Самарская область 1 мая 2021 г.</t>
  </si>
  <si>
    <t>ВЕСОВАЯ КАТЕГОРИЯ   75</t>
  </si>
  <si>
    <t>1. Малахов Сергей</t>
  </si>
  <si>
    <t>Открытая (20.08.1991)/29</t>
  </si>
  <si>
    <t>74,10</t>
  </si>
  <si>
    <t xml:space="preserve">лично </t>
  </si>
  <si>
    <t xml:space="preserve">Черноречье/Самарская область </t>
  </si>
  <si>
    <t>64,0</t>
  </si>
  <si>
    <t>71,0</t>
  </si>
  <si>
    <t xml:space="preserve"> </t>
  </si>
  <si>
    <t>Малахов Сергей</t>
  </si>
  <si>
    <t>75</t>
  </si>
  <si>
    <t>47,6268</t>
  </si>
  <si>
    <t>Открытый Национальный Кубок по силовым видам спорта
Хаб
Самара/Самарская область 1 мая 2021 г.</t>
  </si>
  <si>
    <t>20,0</t>
  </si>
  <si>
    <t>27,5</t>
  </si>
  <si>
    <t>30,0</t>
  </si>
  <si>
    <t>20,1240</t>
  </si>
  <si>
    <t>Открытый Национальный Кубок по силовым видам спорта
Любители жимовое двоеборье
Самара/Самарская область 1 мая 2021 г.</t>
  </si>
  <si>
    <t>Shv/Mel/Залуцкий</t>
  </si>
  <si>
    <t>Жим лёжа</t>
  </si>
  <si>
    <t>Мн.повт. жим</t>
  </si>
  <si>
    <t>Сумма</t>
  </si>
  <si>
    <t>Вес</t>
  </si>
  <si>
    <t>Повторы</t>
  </si>
  <si>
    <t>ВЕСОВАЯ КАТЕГОРИЯ   56</t>
  </si>
  <si>
    <t>1. Петровций Юлия</t>
  </si>
  <si>
    <t>Открытая (19.05.1990)/30</t>
  </si>
  <si>
    <t>54,90</t>
  </si>
  <si>
    <t xml:space="preserve">Hardcore </t>
  </si>
  <si>
    <t xml:space="preserve">Сызрань/Самарская область </t>
  </si>
  <si>
    <t>45,0</t>
  </si>
  <si>
    <t>47,5</t>
  </si>
  <si>
    <t>28,0</t>
  </si>
  <si>
    <t>39,0</t>
  </si>
  <si>
    <t xml:space="preserve">Образцов Сергей </t>
  </si>
  <si>
    <t xml:space="preserve">Женщины </t>
  </si>
  <si>
    <t xml:space="preserve">Сумма </t>
  </si>
  <si>
    <t>Shv/Mel /Залуцкий</t>
  </si>
  <si>
    <t>Петровций Юлия</t>
  </si>
  <si>
    <t>56</t>
  </si>
  <si>
    <t>85,0</t>
  </si>
  <si>
    <t>854,1900</t>
  </si>
  <si>
    <t>Открытый Национальный Кубок по силовым видам спорта
СОВ присед
Самара/Самарская область 1 мая 2021 г.</t>
  </si>
  <si>
    <t>Приседание</t>
  </si>
  <si>
    <t>1. Дубов Алексей</t>
  </si>
  <si>
    <t>Мастера 55 - 59 (18.04.1963)/58</t>
  </si>
  <si>
    <t>88,50</t>
  </si>
  <si>
    <t xml:space="preserve">Волжские Богатыри </t>
  </si>
  <si>
    <t xml:space="preserve">Челно-Вершины/Самарская область </t>
  </si>
  <si>
    <t>175,0</t>
  </si>
  <si>
    <t>182,5</t>
  </si>
  <si>
    <t>185,0</t>
  </si>
  <si>
    <t xml:space="preserve">Балашов Владимир </t>
  </si>
  <si>
    <t xml:space="preserve">Мастера </t>
  </si>
  <si>
    <t>Дубов Алексей</t>
  </si>
  <si>
    <t xml:space="preserve">Мастера 55 - 59 </t>
  </si>
  <si>
    <t>167,9428</t>
  </si>
  <si>
    <t>Открытый Национальный Кубок по силовым видам спорта
ПРО становая тяга без экипировки
Самара/Самарская область 1 мая 2021 г.</t>
  </si>
  <si>
    <t>Открытый Национальный Кубок по силовым видам спорта
Любители становая тяга без экипировки
Самара/Самарская область 1 мая 2021 г.</t>
  </si>
  <si>
    <t>Становая тяга</t>
  </si>
  <si>
    <t>1. Захарова Елена</t>
  </si>
  <si>
    <t>Открытая (07.10.1985)/35</t>
  </si>
  <si>
    <t>54,70</t>
  </si>
  <si>
    <t xml:space="preserve">Звёзды Артемиды </t>
  </si>
  <si>
    <t xml:space="preserve">Самара/Самарская область </t>
  </si>
  <si>
    <t>90,0</t>
  </si>
  <si>
    <t>97,5</t>
  </si>
  <si>
    <t xml:space="preserve">Янковская Н.В. </t>
  </si>
  <si>
    <t>1. Банина Альфиря</t>
  </si>
  <si>
    <t>Мастера 40 - 44 (09.09.1979)/41</t>
  </si>
  <si>
    <t>74,90</t>
  </si>
  <si>
    <t xml:space="preserve">клуб Волжские богатыри </t>
  </si>
  <si>
    <t>100,0</t>
  </si>
  <si>
    <t>105,0</t>
  </si>
  <si>
    <t xml:space="preserve">Дубов Алексей </t>
  </si>
  <si>
    <t>ВЕСОВАЯ КАТЕГОРИЯ   67.5</t>
  </si>
  <si>
    <t>1. Малышев Артур</t>
  </si>
  <si>
    <t>Юноши 14-15 (13.06.2006)/14</t>
  </si>
  <si>
    <t>61,40</t>
  </si>
  <si>
    <t>115,0</t>
  </si>
  <si>
    <t>125,0</t>
  </si>
  <si>
    <t>135,0</t>
  </si>
  <si>
    <t>1. Емануйлов Николай</t>
  </si>
  <si>
    <t>Открытая (25.08.1983)/37</t>
  </si>
  <si>
    <t>66,20</t>
  </si>
  <si>
    <t xml:space="preserve">Город на волге </t>
  </si>
  <si>
    <t xml:space="preserve">Октябрьск/Самарская область </t>
  </si>
  <si>
    <t>157,5</t>
  </si>
  <si>
    <t>167,5</t>
  </si>
  <si>
    <t xml:space="preserve">Кутуков Алексей Николаевич </t>
  </si>
  <si>
    <t>ВЕСОВАЯ КАТЕГОРИЯ   82.5</t>
  </si>
  <si>
    <t>1. Лычев Андрей</t>
  </si>
  <si>
    <t>Мастера 40 - 44 (25.02.1979)/42</t>
  </si>
  <si>
    <t>80,70</t>
  </si>
  <si>
    <t>207,5</t>
  </si>
  <si>
    <t>217,5</t>
  </si>
  <si>
    <t>220,0</t>
  </si>
  <si>
    <t xml:space="preserve">Сафронов Олег Вениаминович </t>
  </si>
  <si>
    <t>1. Самсонов Андрей</t>
  </si>
  <si>
    <t>Юноши 18 - 19 (07.08.2002)/18</t>
  </si>
  <si>
    <t>86,30</t>
  </si>
  <si>
    <t>172,5</t>
  </si>
  <si>
    <t xml:space="preserve">Балашова Елизавета </t>
  </si>
  <si>
    <t>ВЕСОВАЯ КАТЕГОРИЯ   110</t>
  </si>
  <si>
    <t>1. Усачев Илья</t>
  </si>
  <si>
    <t>Открытая (26.01.1986)/35</t>
  </si>
  <si>
    <t>110,00</t>
  </si>
  <si>
    <t>240,0</t>
  </si>
  <si>
    <t>255,0</t>
  </si>
  <si>
    <t>277,5</t>
  </si>
  <si>
    <t>ВЕСОВАЯ КАТЕГОРИЯ   125</t>
  </si>
  <si>
    <t>1. Гусев Андрей</t>
  </si>
  <si>
    <t>Открытая (25.03.1973)/48</t>
  </si>
  <si>
    <t>121,10</t>
  </si>
  <si>
    <t xml:space="preserve">Самсон </t>
  </si>
  <si>
    <t>260,0</t>
  </si>
  <si>
    <t>270,0</t>
  </si>
  <si>
    <t>280,0</t>
  </si>
  <si>
    <t xml:space="preserve">Арусланов Шамиль </t>
  </si>
  <si>
    <t>ВЕСОВАЯ КАТЕГОРИЯ   140</t>
  </si>
  <si>
    <t>1. Пожаркин Сергей</t>
  </si>
  <si>
    <t>Открытая (25.11.1988)/32</t>
  </si>
  <si>
    <t>134,20</t>
  </si>
  <si>
    <t>210,0</t>
  </si>
  <si>
    <t>225,0</t>
  </si>
  <si>
    <t>235,0</t>
  </si>
  <si>
    <t xml:space="preserve">Бакунц Гагик </t>
  </si>
  <si>
    <t>Захарова Елена</t>
  </si>
  <si>
    <t>90,6555</t>
  </si>
  <si>
    <t>Банина Альфиря</t>
  </si>
  <si>
    <t xml:space="preserve">Мастера 40 - 44 </t>
  </si>
  <si>
    <t>72,4818</t>
  </si>
  <si>
    <t xml:space="preserve">Юноши </t>
  </si>
  <si>
    <t>Малышев Артур</t>
  </si>
  <si>
    <t xml:space="preserve">Юноши 14-15 </t>
  </si>
  <si>
    <t>67.5</t>
  </si>
  <si>
    <t>131,8437</t>
  </si>
  <si>
    <t>Самсонов Андрей</t>
  </si>
  <si>
    <t xml:space="preserve">Юноши 18 - 19 </t>
  </si>
  <si>
    <t>111,4669</t>
  </si>
  <si>
    <t>Усачев Илья</t>
  </si>
  <si>
    <t>110</t>
  </si>
  <si>
    <t>148,8787</t>
  </si>
  <si>
    <t>Гусев Андрей</t>
  </si>
  <si>
    <t>125</t>
  </si>
  <si>
    <t>141,9930</t>
  </si>
  <si>
    <t>Емануйлов Николай</t>
  </si>
  <si>
    <t>123,7322</t>
  </si>
  <si>
    <t>Пожаркин Сергей</t>
  </si>
  <si>
    <t>140</t>
  </si>
  <si>
    <t>119,8406</t>
  </si>
  <si>
    <t>Лычев Андрей</t>
  </si>
  <si>
    <t>82.5</t>
  </si>
  <si>
    <t>138,0388</t>
  </si>
  <si>
    <t>Открытый Национальный Кубок по силовым видам спорта
СОВ становая тяга
Самара/Самарская область 1 мая 2021 г.</t>
  </si>
  <si>
    <t>1. Давыдов Евгений</t>
  </si>
  <si>
    <t>Открытая (24.09.1996)/24</t>
  </si>
  <si>
    <t>77,20</t>
  </si>
  <si>
    <t xml:space="preserve">Гугняков А.А. </t>
  </si>
  <si>
    <t>195,0</t>
  </si>
  <si>
    <t>215,0</t>
  </si>
  <si>
    <t>Давыдов Евгений</t>
  </si>
  <si>
    <t>74,7270</t>
  </si>
  <si>
    <t>188,3683</t>
  </si>
  <si>
    <t>Открытый Национальный Кубок по силовым видам спорта
Любители жим лежа в Софт экипировка многопетельная
Самара/Самарская область 1 мая 2021 г.</t>
  </si>
  <si>
    <t>ВЕСОВАЯ КАТЕГОРИЯ   100</t>
  </si>
  <si>
    <t>1. Чадаев Александр</t>
  </si>
  <si>
    <t>Открытая (18.11.1989)/31</t>
  </si>
  <si>
    <t>99,30</t>
  </si>
  <si>
    <t xml:space="preserve">Ульяновск/Ульяновская область </t>
  </si>
  <si>
    <t>250,0</t>
  </si>
  <si>
    <t>262,5</t>
  </si>
  <si>
    <t>Чадаев Александр</t>
  </si>
  <si>
    <t>100</t>
  </si>
  <si>
    <t>122,2760</t>
  </si>
  <si>
    <t>Открытый Национальный Кубок по силовым видам спорта
Любители жим лежа в Софт экипировка однопетельная
Самара/Самарская область 1 мая 2021 г.</t>
  </si>
  <si>
    <t>-. Плотников Владимир</t>
  </si>
  <si>
    <t>Открытая (24.06.1981)/39</t>
  </si>
  <si>
    <t>82,50</t>
  </si>
  <si>
    <t>150,0</t>
  </si>
  <si>
    <t>1. Самсонов Игорь</t>
  </si>
  <si>
    <t>Мастера 50 - 54 (23.03.1969)/52</t>
  </si>
  <si>
    <t>86,90</t>
  </si>
  <si>
    <t xml:space="preserve">Димитровград/Ульяновская область </t>
  </si>
  <si>
    <t>190,0</t>
  </si>
  <si>
    <t>222,5</t>
  </si>
  <si>
    <t>245,0</t>
  </si>
  <si>
    <t>1. Федосеев Дмитрий</t>
  </si>
  <si>
    <t>Мастера 40 - 44 (06.06.1978)/42</t>
  </si>
  <si>
    <t>117,40</t>
  </si>
  <si>
    <t xml:space="preserve">Легион </t>
  </si>
  <si>
    <t>120,7125</t>
  </si>
  <si>
    <t>Самсонов Игорь</t>
  </si>
  <si>
    <t xml:space="preserve">Мастера 50 - 54 </t>
  </si>
  <si>
    <t>151,8770</t>
  </si>
  <si>
    <t>Федосеев Дмитрий</t>
  </si>
  <si>
    <t>138,8566</t>
  </si>
  <si>
    <t>Открытый Национальный Кубок по силовым видам спорта
ПРО жим лежа без экипировки
Самара/Самарская область 1 мая 2021 г.</t>
  </si>
  <si>
    <t>1. Губанов Александр</t>
  </si>
  <si>
    <t>Мастера 70 - 74 (06.02.1951)/70</t>
  </si>
  <si>
    <t xml:space="preserve">Крепкое звено </t>
  </si>
  <si>
    <t>95,0</t>
  </si>
  <si>
    <t>1. Нефедов Михаил</t>
  </si>
  <si>
    <t>Открытая (07.05.1972)/48</t>
  </si>
  <si>
    <t>102,10</t>
  </si>
  <si>
    <t>180,0</t>
  </si>
  <si>
    <t>Мастера 45 - 49 (07.05.1972)/48</t>
  </si>
  <si>
    <t>Нефедов Михаил</t>
  </si>
  <si>
    <t>101,6205</t>
  </si>
  <si>
    <t>Губанов Александр</t>
  </si>
  <si>
    <t xml:space="preserve">Мастера 70 - 74 </t>
  </si>
  <si>
    <t>134,8610</t>
  </si>
  <si>
    <t xml:space="preserve">Мастера 45 - 49 </t>
  </si>
  <si>
    <t>113,5101</t>
  </si>
  <si>
    <t>Открытый Национальный Кубок по силовым видам спорта
Любители жим лежа без экипировки
Самара/Самарская область 1 мая 2021 г.</t>
  </si>
  <si>
    <t>1. Королькова Анна</t>
  </si>
  <si>
    <t>Девушки 14-15 (02.06.2005)/15</t>
  </si>
  <si>
    <t>50,0</t>
  </si>
  <si>
    <t>55,0</t>
  </si>
  <si>
    <t>57,5</t>
  </si>
  <si>
    <t xml:space="preserve">Арусланов Шамиль Харисович </t>
  </si>
  <si>
    <t>1. Соломанина Алина</t>
  </si>
  <si>
    <t>Открытая (10.05.1995)/25</t>
  </si>
  <si>
    <t>52,60</t>
  </si>
  <si>
    <t>40,0</t>
  </si>
  <si>
    <t>42,5</t>
  </si>
  <si>
    <t xml:space="preserve">Янковский АИ </t>
  </si>
  <si>
    <t>1. Морозова Олеся</t>
  </si>
  <si>
    <t>Открытая (26.10.1982)/38</t>
  </si>
  <si>
    <t>65,20</t>
  </si>
  <si>
    <t>52,5</t>
  </si>
  <si>
    <t xml:space="preserve">Янковская НВ </t>
  </si>
  <si>
    <t>-. Новоженина Ольга</t>
  </si>
  <si>
    <t>Открытая (23.01.1989)/32</t>
  </si>
  <si>
    <t>64,00</t>
  </si>
  <si>
    <t>1. Захарова Екатерина</t>
  </si>
  <si>
    <t>Мастера 45 - 49 (01.08.1975)/45</t>
  </si>
  <si>
    <t>74,70</t>
  </si>
  <si>
    <t xml:space="preserve">Маяк </t>
  </si>
  <si>
    <t>60,0</t>
  </si>
  <si>
    <t>65,0</t>
  </si>
  <si>
    <t>70,0</t>
  </si>
  <si>
    <t xml:space="preserve">Захаров Виктор </t>
  </si>
  <si>
    <t>ВЕСОВАЯ КАТЕГОРИЯ   52</t>
  </si>
  <si>
    <t>1. Манюков Василий</t>
  </si>
  <si>
    <t>Юноши 14-15 (06.05.2006)/14</t>
  </si>
  <si>
    <t>47,70</t>
  </si>
  <si>
    <t>2. Янковский Никита</t>
  </si>
  <si>
    <t>Юноши 14-15 (10.04.2007)/14</t>
  </si>
  <si>
    <t>42,50</t>
  </si>
  <si>
    <t xml:space="preserve">Гусев Андрей Юрьевич </t>
  </si>
  <si>
    <t>1. Банин Кирилл</t>
  </si>
  <si>
    <t>Юноши 14-15 (28.07.2006)/14</t>
  </si>
  <si>
    <t>65,10</t>
  </si>
  <si>
    <t>2. Медников Глеб</t>
  </si>
  <si>
    <t>Юноши 14-15 (16.06.2006)/14</t>
  </si>
  <si>
    <t>1. Головин Иван</t>
  </si>
  <si>
    <t>Юноши 16 - 17 (28.12.2003)/17</t>
  </si>
  <si>
    <t>66,50</t>
  </si>
  <si>
    <t>107,5</t>
  </si>
  <si>
    <t>112,5</t>
  </si>
  <si>
    <t>2. Курбаков Дмитрий</t>
  </si>
  <si>
    <t>Юноши 16 - 17 (07.11.2003)/17</t>
  </si>
  <si>
    <t>62,5</t>
  </si>
  <si>
    <t>67,5</t>
  </si>
  <si>
    <t>72,5</t>
  </si>
  <si>
    <t>1. Толстошеев Артем</t>
  </si>
  <si>
    <t>Открытая (22.08.1985)/35</t>
  </si>
  <si>
    <t>66,75</t>
  </si>
  <si>
    <t>117,5</t>
  </si>
  <si>
    <t>127,5</t>
  </si>
  <si>
    <t xml:space="preserve">Шилин Александр </t>
  </si>
  <si>
    <t>1. Гугняков Александр</t>
  </si>
  <si>
    <t>Открытая (17.05.1974)/46</t>
  </si>
  <si>
    <t>72,50</t>
  </si>
  <si>
    <t>160,0</t>
  </si>
  <si>
    <t>165,0</t>
  </si>
  <si>
    <t>2. Гордиенко Михаил</t>
  </si>
  <si>
    <t>Открытая (24.03.1995)/26</t>
  </si>
  <si>
    <t>73,90</t>
  </si>
  <si>
    <t xml:space="preserve">Кошелев Жим </t>
  </si>
  <si>
    <t>120,0</t>
  </si>
  <si>
    <t>130,0</t>
  </si>
  <si>
    <t xml:space="preserve">Гусейнов Игорь </t>
  </si>
  <si>
    <t>3. Подгорнов Олег</t>
  </si>
  <si>
    <t>Открытая (02.12.1987)/33</t>
  </si>
  <si>
    <t>74,80</t>
  </si>
  <si>
    <t>122,5</t>
  </si>
  <si>
    <t>1. Плотников Владимир</t>
  </si>
  <si>
    <t>2. Гильмутдинов Руслан</t>
  </si>
  <si>
    <t>Открытая (08.01.1991)/30</t>
  </si>
  <si>
    <t>82,00</t>
  </si>
  <si>
    <t>140,0</t>
  </si>
  <si>
    <t>142,5</t>
  </si>
  <si>
    <t>3. Князев Андрей</t>
  </si>
  <si>
    <t>Открытая (10.03.1982)/39</t>
  </si>
  <si>
    <t>79,00</t>
  </si>
  <si>
    <t>132,5</t>
  </si>
  <si>
    <t>137,5</t>
  </si>
  <si>
    <t>1. Соколов Сергей</t>
  </si>
  <si>
    <t>Мастера 65 - 69 (24.02.1956)/65</t>
  </si>
  <si>
    <t>81,70</t>
  </si>
  <si>
    <t xml:space="preserve">Геракл </t>
  </si>
  <si>
    <t>110,0</t>
  </si>
  <si>
    <t xml:space="preserve">Печавин Ю.А. </t>
  </si>
  <si>
    <t>1. Ковалев Анатолий</t>
  </si>
  <si>
    <t>Мастера 80+ (11.08.1936)/84</t>
  </si>
  <si>
    <t>82,40</t>
  </si>
  <si>
    <t xml:space="preserve">САМГМУ </t>
  </si>
  <si>
    <t xml:space="preserve">Ахмедов Руслан </t>
  </si>
  <si>
    <t>1. Карпухин Павел</t>
  </si>
  <si>
    <t>Открытая (16.10.1987)/33</t>
  </si>
  <si>
    <t>89,70</t>
  </si>
  <si>
    <t>205,0</t>
  </si>
  <si>
    <t>2. Пархоменко Максим</t>
  </si>
  <si>
    <t>Открытая (21.09.1993)/27</t>
  </si>
  <si>
    <t>88,70</t>
  </si>
  <si>
    <t>147,5</t>
  </si>
  <si>
    <t>1. Цыганов Максим</t>
  </si>
  <si>
    <t>Юноши 16 - 17 (16.10.2004)/16</t>
  </si>
  <si>
    <t>93,40</t>
  </si>
  <si>
    <t>1. Попов Сергей</t>
  </si>
  <si>
    <t>Открытая (15.08.1995)/25</t>
  </si>
  <si>
    <t>97,90</t>
  </si>
  <si>
    <t>2. Сидоров Дмитрий</t>
  </si>
  <si>
    <t>Открытая (29.03.1988)/33</t>
  </si>
  <si>
    <t>97,00</t>
  </si>
  <si>
    <t>170,0</t>
  </si>
  <si>
    <t>1. Захаров Виктор</t>
  </si>
  <si>
    <t>Мастера 40 - 44 (09.10.1976)/44</t>
  </si>
  <si>
    <t>98,50</t>
  </si>
  <si>
    <t>1. Мухортов Дмитрий</t>
  </si>
  <si>
    <t>Открытая (01.02.1987)/34</t>
  </si>
  <si>
    <t>108,40</t>
  </si>
  <si>
    <t>177,5</t>
  </si>
  <si>
    <t>2. Храмов Павел</t>
  </si>
  <si>
    <t>Открытая (19.10.1986)/34</t>
  </si>
  <si>
    <t>104,30</t>
  </si>
  <si>
    <t>1. Зайцев Владимир</t>
  </si>
  <si>
    <t>Мастера 70 - 74 (02.11.1949)/71</t>
  </si>
  <si>
    <t>101,60</t>
  </si>
  <si>
    <t xml:space="preserve">Мастера НАП - Самарская область </t>
  </si>
  <si>
    <t>Открытая (06.06.1978)/42</t>
  </si>
  <si>
    <t>200,0</t>
  </si>
  <si>
    <t>2. Богданов Алексей</t>
  </si>
  <si>
    <t>Открытая (25.07.1981)/39</t>
  </si>
  <si>
    <t>121,20</t>
  </si>
  <si>
    <t>155,0</t>
  </si>
  <si>
    <t>162,5</t>
  </si>
  <si>
    <t>1. Сафронов Олег</t>
  </si>
  <si>
    <t>Мастера 50 - 54 (06.07.1966)/54</t>
  </si>
  <si>
    <t>112,50</t>
  </si>
  <si>
    <t>152,5</t>
  </si>
  <si>
    <t xml:space="preserve">Девушки </t>
  </si>
  <si>
    <t>Королькова Анна</t>
  </si>
  <si>
    <t>60,3440</t>
  </si>
  <si>
    <t>Соломанина Алина</t>
  </si>
  <si>
    <t>43,2113</t>
  </si>
  <si>
    <t>Морозова Олеся</t>
  </si>
  <si>
    <t>40,1300</t>
  </si>
  <si>
    <t>Захарова Екатерина</t>
  </si>
  <si>
    <t>53,1163</t>
  </si>
  <si>
    <t>Головин Иван</t>
  </si>
  <si>
    <t xml:space="preserve">Юноши 16 - 17 </t>
  </si>
  <si>
    <t>91,3739</t>
  </si>
  <si>
    <t>Янковский Никита</t>
  </si>
  <si>
    <t>52</t>
  </si>
  <si>
    <t>71,1208</t>
  </si>
  <si>
    <t>Манюков Василий</t>
  </si>
  <si>
    <t>68,1266</t>
  </si>
  <si>
    <t>Цыганов Максим</t>
  </si>
  <si>
    <t>63,1303</t>
  </si>
  <si>
    <t>Курбаков Дмитрий</t>
  </si>
  <si>
    <t>53,6325</t>
  </si>
  <si>
    <t>Банин Кирилл</t>
  </si>
  <si>
    <t>48,4506</t>
  </si>
  <si>
    <t>Медников Глеб</t>
  </si>
  <si>
    <t>46,3895</t>
  </si>
  <si>
    <t>Попов Сергей</t>
  </si>
  <si>
    <t>121,6695</t>
  </si>
  <si>
    <t>Гугняков Александр</t>
  </si>
  <si>
    <t>112,6620</t>
  </si>
  <si>
    <t>Карпухин Павел</t>
  </si>
  <si>
    <t>111,4350</t>
  </si>
  <si>
    <t>105,8600</t>
  </si>
  <si>
    <t>Мухортов Дмитрий</t>
  </si>
  <si>
    <t>99,6225</t>
  </si>
  <si>
    <t>Плотников Владимир</t>
  </si>
  <si>
    <t>92,8950</t>
  </si>
  <si>
    <t>Сидоров Дмитрий</t>
  </si>
  <si>
    <t>92,7135</t>
  </si>
  <si>
    <t>Гордиенко Михаил</t>
  </si>
  <si>
    <t>87,3990</t>
  </si>
  <si>
    <t>Гильмутдинов Руслан</t>
  </si>
  <si>
    <t>87,0660</t>
  </si>
  <si>
    <t>Толстошеев Артем</t>
  </si>
  <si>
    <t>86,1510</t>
  </si>
  <si>
    <t>Богданов Алексей</t>
  </si>
  <si>
    <t>85,4425</t>
  </si>
  <si>
    <t>Подгорнов Олег</t>
  </si>
  <si>
    <t>84,9022</t>
  </si>
  <si>
    <t>Князев Андрей</t>
  </si>
  <si>
    <t>84,6410</t>
  </si>
  <si>
    <t>Пархоменко Максим</t>
  </si>
  <si>
    <t>82,6700</t>
  </si>
  <si>
    <t>Храмов Павел</t>
  </si>
  <si>
    <t>65,4000</t>
  </si>
  <si>
    <t>Соколов Сергей</t>
  </si>
  <si>
    <t xml:space="preserve">Мастера 65 - 69 </t>
  </si>
  <si>
    <t>131,6832</t>
  </si>
  <si>
    <t>Сафронов Олег</t>
  </si>
  <si>
    <t>108,2477</t>
  </si>
  <si>
    <t>Зайцев Владимир</t>
  </si>
  <si>
    <t>108,2362</t>
  </si>
  <si>
    <t>106,8127</t>
  </si>
  <si>
    <t>Захаров Виктор</t>
  </si>
  <si>
    <t>86,2638</t>
  </si>
  <si>
    <t>Ковалев Анатолий</t>
  </si>
  <si>
    <t xml:space="preserve">Мастера 80+ </t>
  </si>
  <si>
    <t>55,7820</t>
  </si>
  <si>
    <t>Открытый Национальный Кубок по силовым видам спорта
Любители жим лежа в однослойной экипировке
Самара/Самарская область 1 мая 2021 г.</t>
  </si>
  <si>
    <t>1. Пархоменко Максим</t>
  </si>
  <si>
    <t>1. Бакунц Гагик</t>
  </si>
  <si>
    <t>Открытая (22.03.1990)/31</t>
  </si>
  <si>
    <t>108,50</t>
  </si>
  <si>
    <t>Бакунц Гагик</t>
  </si>
  <si>
    <t>107,6800</t>
  </si>
  <si>
    <t>101,8612</t>
  </si>
  <si>
    <t>Открытый Национальный Кубок по силовым видам спорта
СОВ жим лежа
Самара/Самарская область 1 мая 2021 г.</t>
  </si>
  <si>
    <t>1. Воровкин Максим</t>
  </si>
  <si>
    <t>Мастера 40 - 44 (31.03.1980)/41</t>
  </si>
  <si>
    <t>65,80</t>
  </si>
  <si>
    <t xml:space="preserve">Губанов Александр </t>
  </si>
  <si>
    <t>1. Попов Антон</t>
  </si>
  <si>
    <t>Открытая (11.01.1989)/32</t>
  </si>
  <si>
    <t>69,00</t>
  </si>
  <si>
    <t>102,5</t>
  </si>
  <si>
    <t>1. Калявин Максим</t>
  </si>
  <si>
    <t>Открытая (10.04.1989)/32</t>
  </si>
  <si>
    <t>83,50</t>
  </si>
  <si>
    <t xml:space="preserve">Петровяев Данила </t>
  </si>
  <si>
    <t>1. Буряшкин Николай</t>
  </si>
  <si>
    <t>Открытая (14.03.1982)/39</t>
  </si>
  <si>
    <t>145,0</t>
  </si>
  <si>
    <t>ВЕСОВАЯ КАТЕГОРИЯ   140+</t>
  </si>
  <si>
    <t>1. Сурков Алексей</t>
  </si>
  <si>
    <t>Мастера 40 - 44 (15.08.1978)/42</t>
  </si>
  <si>
    <t>145,00</t>
  </si>
  <si>
    <t>80,0</t>
  </si>
  <si>
    <t>Буряшкин Николай</t>
  </si>
  <si>
    <t>80,5910</t>
  </si>
  <si>
    <t>Попов Антон</t>
  </si>
  <si>
    <t>76,5292</t>
  </si>
  <si>
    <t>Калявин Максим</t>
  </si>
  <si>
    <t>67,5620</t>
  </si>
  <si>
    <t>Воровкин Максим</t>
  </si>
  <si>
    <t>54,0218</t>
  </si>
  <si>
    <t>Сурков Алексей</t>
  </si>
  <si>
    <t>140+</t>
  </si>
  <si>
    <t>50,2482</t>
  </si>
  <si>
    <t>Открытый Национальный Кубок по силовым видам спорта
Любители военный жим классический
Самара/Самарская область 1 мая 2021 г.</t>
  </si>
  <si>
    <t>90,7178</t>
  </si>
  <si>
    <t>Открытый Национальный Кубок по силовым видам спорта
Любители пауэрлифтинг без экипировки
Самара/Самарская область 1 мая 2021 г.</t>
  </si>
  <si>
    <t>1. Шилин Александр</t>
  </si>
  <si>
    <t>Открытая (23.08.1988)/32</t>
  </si>
  <si>
    <t>93,00</t>
  </si>
  <si>
    <t>212,5</t>
  </si>
  <si>
    <t>Шилин Александр</t>
  </si>
  <si>
    <t>525,0</t>
  </si>
  <si>
    <t>301,5600</t>
  </si>
  <si>
    <t>Открытый Национальный Кубок по силовым видам спорта
Любители пауэрлифтинг в однопетельной софт экипировке
Самара/Самарская область 1 мая 2021 г.</t>
  </si>
  <si>
    <t>-. Бочковский Максим</t>
  </si>
  <si>
    <t>Открытая (18.04.2001)/20</t>
  </si>
  <si>
    <t>90,00</t>
  </si>
  <si>
    <t>Открытый Национальный Кубок по силовым видам спорта
СОВ пауэрлифтинг
Самара/Самарская область 1 мая 2021 г.</t>
  </si>
  <si>
    <t>1. Исаев Андрей</t>
  </si>
  <si>
    <t>Мастера 50 - 54 (30.03.1970)/51</t>
  </si>
  <si>
    <t>84,90</t>
  </si>
  <si>
    <t>92,5</t>
  </si>
  <si>
    <t>492,5</t>
  </si>
  <si>
    <t>447,0910</t>
  </si>
  <si>
    <t>Исаев Андрей</t>
  </si>
  <si>
    <t>375,0</t>
  </si>
  <si>
    <t>274,2411</t>
  </si>
  <si>
    <t>Открытый Национальный Кубок по силовым видам спорта
Русская станова тяга любители 100 кг.
Самара/Самарская область 1 мая 2021 г.</t>
  </si>
  <si>
    <t>Атлетизм</t>
  </si>
  <si>
    <t>Русская становая</t>
  </si>
  <si>
    <t>Тоннаж</t>
  </si>
  <si>
    <t>ВЕСОВАЯ КАТЕГОРИЯ   All</t>
  </si>
  <si>
    <t>1. Иванов Дмитрий</t>
  </si>
  <si>
    <t>Открытая (04.06.1981)/39</t>
  </si>
  <si>
    <t>86,70</t>
  </si>
  <si>
    <t>51,0</t>
  </si>
  <si>
    <t xml:space="preserve">Зубова Тамара </t>
  </si>
  <si>
    <t xml:space="preserve">Атлетизм </t>
  </si>
  <si>
    <t>Иванов Дмитрий</t>
  </si>
  <si>
    <t>All</t>
  </si>
  <si>
    <t>5100,0</t>
  </si>
  <si>
    <t>58,8235</t>
  </si>
  <si>
    <t>Открытый Национальный Кубок по силовым видам спорта
Русская станова тяга любители 75 кг.
Самара/Самарская область 1 мая 2021 г.</t>
  </si>
  <si>
    <t>1. Балашова Елизавета</t>
  </si>
  <si>
    <t>Открытая (31.01.1989)/32</t>
  </si>
  <si>
    <t>43,10</t>
  </si>
  <si>
    <t>75,0</t>
  </si>
  <si>
    <t>18,0</t>
  </si>
  <si>
    <t>Балашова Елизавета</t>
  </si>
  <si>
    <t>1350,0</t>
  </si>
  <si>
    <t>31,3225</t>
  </si>
  <si>
    <t>Открытый Национальный Кубок по силовым видам спорта
Русский бицепс профессионалы 50 кг.
Самара/Самарская область 1 мая 2021 г.</t>
  </si>
  <si>
    <t>Подъем на бицепс мн.повт.</t>
  </si>
  <si>
    <t>34,0</t>
  </si>
  <si>
    <t>1700,0</t>
  </si>
  <si>
    <t>22,9419</t>
  </si>
  <si>
    <t>Открытый Национальный Кубок по силовым видам спорта
Русский жим любители 55 кг.
Самара/Самарская область 1 мая 2021 г.</t>
  </si>
  <si>
    <t>Русский жим</t>
  </si>
  <si>
    <t>1. Суздальцев Глеб</t>
  </si>
  <si>
    <t>Юноши 18 - 19 (29.11.2001)/19</t>
  </si>
  <si>
    <t>29,0</t>
  </si>
  <si>
    <t>-. Ширков Сергей</t>
  </si>
  <si>
    <t>Открытая (27.08.1959)/61</t>
  </si>
  <si>
    <t>75,00</t>
  </si>
  <si>
    <t xml:space="preserve">Ровесник </t>
  </si>
  <si>
    <t xml:space="preserve">Оренбург/Оренбургская область </t>
  </si>
  <si>
    <t>38,0</t>
  </si>
  <si>
    <t>Суздальцев Глеб</t>
  </si>
  <si>
    <t>1595,0</t>
  </si>
  <si>
    <t>19,5226</t>
  </si>
  <si>
    <t>2090,0</t>
  </si>
  <si>
    <t>25,5813</t>
  </si>
  <si>
    <t>Открытый Национальный Кубок по силовым видам спорта
Русский жим любители 35 кг.
Самара/Самарская область 1 мая 2021 г.</t>
  </si>
  <si>
    <t>1. Зубова Тамара</t>
  </si>
  <si>
    <t>Открытая (30.11.1981)/39</t>
  </si>
  <si>
    <t>50,60</t>
  </si>
  <si>
    <t>35,0</t>
  </si>
  <si>
    <t>2. Ефремова Елена</t>
  </si>
  <si>
    <t>Открытая (01.04.1987)/34</t>
  </si>
  <si>
    <t>41,0</t>
  </si>
  <si>
    <t>3. Кожуховская Ирина</t>
  </si>
  <si>
    <t>Открытая (05.07.1986)/34</t>
  </si>
  <si>
    <t>37,0</t>
  </si>
  <si>
    <t>Зубова Тамара</t>
  </si>
  <si>
    <t>1925,0</t>
  </si>
  <si>
    <t>38,0434</t>
  </si>
  <si>
    <t>Ефремова Елена</t>
  </si>
  <si>
    <t>1435,0</t>
  </si>
  <si>
    <t>26,2340</t>
  </si>
  <si>
    <t>Кожуховская Ирина</t>
  </si>
  <si>
    <t>1295,0</t>
  </si>
  <si>
    <t>25,5928</t>
  </si>
  <si>
    <t>Открытый Национальный Кубок по силовым видам спорта
ПРО Военный жим многоповторный 1\2
Самара/Самарская область 1 мая 2021 г.</t>
  </si>
  <si>
    <t>НАП Н.Ж.</t>
  </si>
  <si>
    <t>1. Козлов Валентин</t>
  </si>
  <si>
    <t>Мастера 75 - 79 (08.08.1943)/77</t>
  </si>
  <si>
    <t>37,5</t>
  </si>
  <si>
    <t>47,0</t>
  </si>
  <si>
    <t xml:space="preserve">НАП Н.Ж. </t>
  </si>
  <si>
    <t>Козлов Валентин</t>
  </si>
  <si>
    <t xml:space="preserve">Мастера 75 - 79 </t>
  </si>
  <si>
    <t>1762,5</t>
  </si>
  <si>
    <t>1404,0075</t>
  </si>
  <si>
    <t>Открытый Национальный Кубок по силовым видам спорта
Профессионалы народный жим (1/2 вес)
Самара/Самарская область 1 мая 2021 г.</t>
  </si>
  <si>
    <t>Народный жим</t>
  </si>
  <si>
    <t>58,0</t>
  </si>
  <si>
    <t>2175,0</t>
  </si>
  <si>
    <t>1732,6050</t>
  </si>
  <si>
    <t>Открытый Национальный Кубок по силовым видам спорта
Любители народный жим (1 вес)
Самара/Самарская область 1 мая 2021 г.</t>
  </si>
  <si>
    <t>1. Баев Александр</t>
  </si>
  <si>
    <t>Открытая (14.02.1992)/29</t>
  </si>
  <si>
    <t>81,30</t>
  </si>
  <si>
    <t>82,5</t>
  </si>
  <si>
    <t>26,0</t>
  </si>
  <si>
    <t>1. Трошинский Вячеслав</t>
  </si>
  <si>
    <t>Мастера 60 - 64 (10.05.1960)/60</t>
  </si>
  <si>
    <t>82,20</t>
  </si>
  <si>
    <t xml:space="preserve">Поздняков </t>
  </si>
  <si>
    <t>22,0</t>
  </si>
  <si>
    <t>Баев Александр</t>
  </si>
  <si>
    <t>2145,0</t>
  </si>
  <si>
    <t>1646,2875</t>
  </si>
  <si>
    <t>Трошинский Вячеслав</t>
  </si>
  <si>
    <t xml:space="preserve">Мастера 60 - 64 </t>
  </si>
  <si>
    <t>2392,5</t>
  </si>
  <si>
    <t>1816,1468</t>
  </si>
  <si>
    <t>2585,0</t>
  </si>
  <si>
    <t>1717,4740</t>
  </si>
  <si>
    <t>Открытый Национальный Кубок по силовым видам спорта
Пауэрспорт Профессионалы
Самара/Самарская область 1 мая 2021 г.</t>
  </si>
  <si>
    <t>Жим стоя</t>
  </si>
  <si>
    <t>Подъем на бицепс</t>
  </si>
  <si>
    <t>1. Загаринский Александр</t>
  </si>
  <si>
    <t>Мастера 45 - 49 (09.09.1971)/49</t>
  </si>
  <si>
    <t>90,30</t>
  </si>
  <si>
    <t>Загаринский Александр</t>
  </si>
  <si>
    <t>106,9320</t>
  </si>
  <si>
    <t>Открытый Национальный Кубок по силовым видам спорта
Пауэрспорт Любители
Самара/Самарская область 1 мая 2021 г.</t>
  </si>
  <si>
    <t>1. Агеев Андрей</t>
  </si>
  <si>
    <t>Мастера 50 - 54 (02.09.1968)/52</t>
  </si>
  <si>
    <t xml:space="preserve">Бугуруслан/Оренбургская область </t>
  </si>
  <si>
    <t xml:space="preserve">Оленников А.В. </t>
  </si>
  <si>
    <t>1. Загаринский Илья</t>
  </si>
  <si>
    <t>Юноши 18 - 19 (08.06.2002)/18</t>
  </si>
  <si>
    <t>Загаринский Илья</t>
  </si>
  <si>
    <t>92,4362</t>
  </si>
  <si>
    <t>Агеев Андрей</t>
  </si>
  <si>
    <t>107,1706</t>
  </si>
  <si>
    <t>Открытый Национальный Кубок по силовым видам спорта
Одиночный подъём штанги на бицепс Профессионалы
Самара/Самарская область 1 мая 2021 г.</t>
  </si>
  <si>
    <t>ВЕСОВАЯ КАТЕГОРИЯ   75+</t>
  </si>
  <si>
    <t>-. Чернева Марина</t>
  </si>
  <si>
    <t>Открытая (27.09.1970)/50</t>
  </si>
  <si>
    <t>50,3100</t>
  </si>
  <si>
    <t>Открытый Национальный Кубок по силовым видам спорта
Одиночный подъём штанги на бицепс Любители
Самара/Самарская область 1 мая 2021 г.</t>
  </si>
  <si>
    <t>1. Князев Андрей</t>
  </si>
  <si>
    <t>2. Поздняков Вячеслав</t>
  </si>
  <si>
    <t>Открытая (28.09.1971)/49</t>
  </si>
  <si>
    <t>81,10</t>
  </si>
  <si>
    <t>3. Плотников Владимир</t>
  </si>
  <si>
    <t xml:space="preserve">Артемида </t>
  </si>
  <si>
    <t>1. Поздняков Вячеслав</t>
  </si>
  <si>
    <t>Мастера 45 - 49 (28.09.1971)/49</t>
  </si>
  <si>
    <t>1. Летвяков Андрей</t>
  </si>
  <si>
    <t>Открытая (26.06.1986)/34</t>
  </si>
  <si>
    <t>87,10</t>
  </si>
  <si>
    <t>1. Гришин Михаил</t>
  </si>
  <si>
    <t>Мастера 50 - 54 (05.02.1969)/52</t>
  </si>
  <si>
    <t>87,90</t>
  </si>
  <si>
    <t xml:space="preserve">Патриот </t>
  </si>
  <si>
    <t xml:space="preserve">Кинель-Черкассы/Самарская область </t>
  </si>
  <si>
    <t>1. Сидоров Дмитрий</t>
  </si>
  <si>
    <t>1. Невзоров Андрей</t>
  </si>
  <si>
    <t>Мастера 40 - 44 (26.09.1979)/41</t>
  </si>
  <si>
    <t xml:space="preserve">Поздняков В.Н. </t>
  </si>
  <si>
    <t>32,4220</t>
  </si>
  <si>
    <t>44,9520</t>
  </si>
  <si>
    <t>44,7160</t>
  </si>
  <si>
    <t>Поздняков Вячеслав</t>
  </si>
  <si>
    <t>43,8760</t>
  </si>
  <si>
    <t>Летвяков Андрей</t>
  </si>
  <si>
    <t>40,3177</t>
  </si>
  <si>
    <t>40,2545</t>
  </si>
  <si>
    <t>51,3526</t>
  </si>
  <si>
    <t>Гришин Михаил</t>
  </si>
  <si>
    <t>50,2618</t>
  </si>
  <si>
    <t>50,1941</t>
  </si>
  <si>
    <t>49,9289</t>
  </si>
  <si>
    <t>Невзоров Андрей</t>
  </si>
  <si>
    <t>36,4701</t>
  </si>
  <si>
    <t>1 место</t>
  </si>
  <si>
    <t>Звезды Артемиды</t>
  </si>
  <si>
    <t>2 место</t>
  </si>
  <si>
    <t>Power Monsters Team</t>
  </si>
  <si>
    <t>3 место</t>
  </si>
  <si>
    <t>Самсон</t>
  </si>
  <si>
    <t>4 место</t>
  </si>
  <si>
    <t>Hardcore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</si>
</sst>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2"/>
      <name val="Arial Cyr"/>
      <charset val="204"/>
    </font>
    <font>
      <sz val="10"/>
      <name val="Arial Cyr"/>
      <charset val="1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left"/>
    </xf>
    <xf numFmtId="49" fontId="1" fillId="0" borderId="11" xfId="0" applyNumberFormat="1" applyFont="1" applyFill="1" applyBorder="1" applyAlignment="1" applyProtection="1">
      <alignment horizontal="center"/>
    </xf>
    <xf numFmtId="49" fontId="6" fillId="0" borderId="11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1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 indent="1"/>
    </xf>
    <xf numFmtId="49" fontId="10" fillId="0" borderId="0" xfId="0" applyNumberFormat="1" applyFont="1" applyFill="1" applyBorder="1" applyAlignment="1" applyProtection="1">
      <alignment horizontal="left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indent="1"/>
    </xf>
    <xf numFmtId="49" fontId="1" fillId="0" borderId="12" xfId="0" applyNumberFormat="1" applyFont="1" applyFill="1" applyBorder="1" applyAlignment="1" applyProtection="1">
      <alignment horizontal="left"/>
    </xf>
    <xf numFmtId="49" fontId="1" fillId="0" borderId="12" xfId="0" applyNumberFormat="1" applyFont="1" applyFill="1" applyBorder="1" applyAlignment="1" applyProtection="1">
      <alignment horizontal="center"/>
    </xf>
    <xf numFmtId="49" fontId="6" fillId="0" borderId="12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center"/>
    </xf>
    <xf numFmtId="49" fontId="1" fillId="0" borderId="8" xfId="0" applyNumberFormat="1" applyFont="1" applyFill="1" applyBorder="1" applyAlignment="1" applyProtection="1">
      <alignment horizontal="left"/>
    </xf>
    <xf numFmtId="49" fontId="1" fillId="0" borderId="8" xfId="0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center"/>
    </xf>
    <xf numFmtId="49" fontId="2" fillId="0" borderId="8" xfId="0" applyNumberFormat="1" applyFont="1" applyFill="1" applyBorder="1" applyAlignment="1" applyProtection="1">
      <alignment horizontal="left"/>
    </xf>
    <xf numFmtId="49" fontId="2" fillId="0" borderId="8" xfId="0" applyNumberFormat="1" applyFont="1" applyFill="1" applyBorder="1" applyAlignment="1" applyProtection="1">
      <alignment horizontal="center"/>
    </xf>
    <xf numFmtId="49" fontId="1" fillId="0" borderId="13" xfId="0" applyNumberFormat="1" applyFont="1" applyFill="1" applyBorder="1" applyAlignment="1" applyProtection="1">
      <alignment horizontal="left"/>
    </xf>
    <xf numFmtId="49" fontId="6" fillId="0" borderId="13" xfId="0" applyNumberFormat="1" applyFont="1" applyFill="1" applyBorder="1" applyAlignment="1" applyProtection="1">
      <alignment horizontal="center"/>
    </xf>
    <xf numFmtId="49" fontId="1" fillId="0" borderId="13" xfId="0" applyNumberFormat="1" applyFont="1" applyFill="1" applyBorder="1" applyAlignment="1" applyProtection="1">
      <alignment horizontal="center"/>
    </xf>
    <xf numFmtId="49" fontId="2" fillId="0" borderId="13" xfId="0" applyNumberFormat="1" applyFont="1" applyFill="1" applyBorder="1" applyAlignment="1" applyProtection="1">
      <alignment horizontal="left"/>
    </xf>
    <xf numFmtId="49" fontId="2" fillId="0" borderId="13" xfId="0" applyNumberFormat="1" applyFont="1" applyFill="1" applyBorder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3" sqref="F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6" style="2" customWidth="1"/>
    <col min="6" max="6" width="34.5703125" style="2" customWidth="1"/>
    <col min="7" max="9" width="4.57031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15.7109375" style="2" customWidth="1"/>
    <col min="14" max="16384" width="9.140625" style="1"/>
  </cols>
  <sheetData>
    <row r="1" spans="1:13" s="5" customFormat="1" ht="29.2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13</v>
      </c>
      <c r="B6" s="8" t="s">
        <v>14</v>
      </c>
      <c r="C6" s="8" t="s">
        <v>15</v>
      </c>
      <c r="D6" s="8" t="str">
        <f>"0,5893"</f>
        <v>0,5893</v>
      </c>
      <c r="E6" s="8" t="s">
        <v>16</v>
      </c>
      <c r="F6" s="8" t="s">
        <v>17</v>
      </c>
      <c r="G6" s="9" t="s">
        <v>18</v>
      </c>
      <c r="H6" s="9" t="s">
        <v>19</v>
      </c>
      <c r="I6" s="10" t="s">
        <v>20</v>
      </c>
      <c r="J6" s="10"/>
      <c r="K6" s="11" t="str">
        <f>"84,0"</f>
        <v>84,0</v>
      </c>
      <c r="L6" s="12" t="str">
        <f>"49,5012"</f>
        <v>49,5012</v>
      </c>
      <c r="M6" s="8" t="s">
        <v>21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  <c r="G9" s="15" t="s">
        <v>27</v>
      </c>
    </row>
    <row r="10" spans="1:13" s="3" customFormat="1" ht="15">
      <c r="E10" s="13" t="s">
        <v>28</v>
      </c>
      <c r="F10" s="14" t="s">
        <v>29</v>
      </c>
      <c r="G10" s="15" t="s">
        <v>30</v>
      </c>
    </row>
    <row r="11" spans="1:13" s="3" customFormat="1" ht="15">
      <c r="E11" s="13" t="s">
        <v>31</v>
      </c>
      <c r="F11" s="14" t="s">
        <v>23</v>
      </c>
      <c r="G11" s="15" t="s">
        <v>24</v>
      </c>
    </row>
    <row r="12" spans="1:13" s="3" customFormat="1" ht="15">
      <c r="E12" s="13" t="s">
        <v>31</v>
      </c>
      <c r="F12" s="14" t="s">
        <v>32</v>
      </c>
      <c r="G12" s="15" t="s">
        <v>30</v>
      </c>
    </row>
    <row r="13" spans="1:13" s="3" customFormat="1" ht="15">
      <c r="E13" s="13" t="s">
        <v>33</v>
      </c>
      <c r="F13" s="14" t="s">
        <v>26</v>
      </c>
      <c r="G13" s="3" t="s">
        <v>27</v>
      </c>
    </row>
    <row r="14" spans="1:13" s="3" customFormat="1" ht="15">
      <c r="E14" s="13"/>
    </row>
    <row r="16" spans="1:13" s="3" customFormat="1" ht="18">
      <c r="A16" s="16" t="s">
        <v>34</v>
      </c>
      <c r="B16" s="16"/>
      <c r="I16" s="3" t="s">
        <v>27</v>
      </c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42</v>
      </c>
      <c r="B20" s="2" t="s">
        <v>36</v>
      </c>
      <c r="C20" s="2" t="s">
        <v>43</v>
      </c>
      <c r="D20" s="2" t="s">
        <v>19</v>
      </c>
      <c r="E20" s="4" t="s">
        <v>44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7" sqref="F17:G22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3.285156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6.5703125" style="2" customWidth="1"/>
    <col min="14" max="16384" width="9.140625" style="1"/>
  </cols>
  <sheetData>
    <row r="1" spans="1:13" s="5" customFormat="1" ht="29.25" customHeight="1">
      <c r="A1" s="42" t="s">
        <v>221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136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222</v>
      </c>
      <c r="B6" s="8" t="s">
        <v>223</v>
      </c>
      <c r="C6" s="8" t="s">
        <v>224</v>
      </c>
      <c r="D6" s="8" t="str">
        <f>"0,6193"</f>
        <v>0,6193</v>
      </c>
      <c r="E6" s="8" t="s">
        <v>109</v>
      </c>
      <c r="F6" s="8" t="s">
        <v>110</v>
      </c>
      <c r="G6" s="10" t="s">
        <v>225</v>
      </c>
      <c r="H6" s="10"/>
      <c r="I6" s="10"/>
      <c r="J6" s="10"/>
      <c r="K6" s="11" t="str">
        <f>"0.00"</f>
        <v>0.00</v>
      </c>
      <c r="L6" s="12" t="str">
        <f>"0,0000"</f>
        <v>0,0000</v>
      </c>
      <c r="M6" s="8" t="s">
        <v>54</v>
      </c>
    </row>
    <row r="8" spans="1:13" s="3" customFormat="1" ht="1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226</v>
      </c>
      <c r="B9" s="8" t="s">
        <v>227</v>
      </c>
      <c r="C9" s="8" t="s">
        <v>228</v>
      </c>
      <c r="D9" s="8" t="str">
        <f>"0,5982"</f>
        <v>0,5982</v>
      </c>
      <c r="E9" s="8" t="s">
        <v>50</v>
      </c>
      <c r="F9" s="8" t="s">
        <v>229</v>
      </c>
      <c r="G9" s="9" t="s">
        <v>230</v>
      </c>
      <c r="H9" s="9" t="s">
        <v>169</v>
      </c>
      <c r="I9" s="10" t="s">
        <v>231</v>
      </c>
      <c r="J9" s="10"/>
      <c r="K9" s="11" t="str">
        <f>"210,0"</f>
        <v>210,0</v>
      </c>
      <c r="L9" s="12" t="str">
        <f>"151,8770"</f>
        <v>151,8770</v>
      </c>
      <c r="M9" s="8" t="s">
        <v>21</v>
      </c>
    </row>
    <row r="11" spans="1:13" s="3" customFormat="1" ht="15">
      <c r="A11" s="51" t="s">
        <v>149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s="3" customFormat="1">
      <c r="A12" s="8" t="s">
        <v>150</v>
      </c>
      <c r="B12" s="8" t="s">
        <v>151</v>
      </c>
      <c r="C12" s="8" t="s">
        <v>152</v>
      </c>
      <c r="D12" s="8" t="str">
        <f>"0,5365"</f>
        <v>0,5365</v>
      </c>
      <c r="E12" s="8" t="s">
        <v>74</v>
      </c>
      <c r="F12" s="8" t="s">
        <v>110</v>
      </c>
      <c r="G12" s="9" t="s">
        <v>170</v>
      </c>
      <c r="H12" s="10" t="s">
        <v>171</v>
      </c>
      <c r="I12" s="10" t="s">
        <v>232</v>
      </c>
      <c r="J12" s="10"/>
      <c r="K12" s="11" t="str">
        <f>"225,0"</f>
        <v>225,0</v>
      </c>
      <c r="L12" s="12" t="str">
        <f>"120,7125"</f>
        <v>120,7125</v>
      </c>
      <c r="M12" s="8" t="s">
        <v>80</v>
      </c>
    </row>
    <row r="14" spans="1:13" s="3" customFormat="1" ht="15">
      <c r="A14" s="51" t="s">
        <v>156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s="3" customFormat="1">
      <c r="A15" s="8" t="s">
        <v>233</v>
      </c>
      <c r="B15" s="8" t="s">
        <v>234</v>
      </c>
      <c r="C15" s="8" t="s">
        <v>235</v>
      </c>
      <c r="D15" s="8" t="str">
        <f>"0,5293"</f>
        <v>0,5293</v>
      </c>
      <c r="E15" s="8" t="s">
        <v>236</v>
      </c>
      <c r="F15" s="8" t="s">
        <v>110</v>
      </c>
      <c r="G15" s="9" t="s">
        <v>161</v>
      </c>
      <c r="H15" s="10" t="s">
        <v>162</v>
      </c>
      <c r="I15" s="10" t="s">
        <v>162</v>
      </c>
      <c r="J15" s="10"/>
      <c r="K15" s="11" t="str">
        <f>"260,0"</f>
        <v>260,0</v>
      </c>
      <c r="L15" s="12" t="str">
        <f>"138,8566"</f>
        <v>138,8566</v>
      </c>
      <c r="M15" s="8" t="s">
        <v>21</v>
      </c>
    </row>
    <row r="17" spans="1:7" s="3" customFormat="1" ht="15">
      <c r="E17" s="13" t="s">
        <v>22</v>
      </c>
      <c r="F17" s="14" t="s">
        <v>23</v>
      </c>
      <c r="G17" s="15" t="s">
        <v>24</v>
      </c>
    </row>
    <row r="18" spans="1:7" s="3" customFormat="1" ht="15">
      <c r="E18" s="13" t="s">
        <v>25</v>
      </c>
      <c r="F18" s="14" t="s">
        <v>26</v>
      </c>
    </row>
    <row r="19" spans="1:7" s="3" customFormat="1" ht="15">
      <c r="E19" s="13" t="s">
        <v>28</v>
      </c>
      <c r="F19" s="14" t="s">
        <v>23</v>
      </c>
      <c r="G19" s="15" t="s">
        <v>24</v>
      </c>
    </row>
    <row r="20" spans="1:7" s="3" customFormat="1" ht="15">
      <c r="E20" s="13" t="s">
        <v>31</v>
      </c>
      <c r="F20" s="14" t="s">
        <v>32</v>
      </c>
      <c r="G20" s="15" t="s">
        <v>30</v>
      </c>
    </row>
    <row r="21" spans="1:7" s="3" customFormat="1" ht="15">
      <c r="E21" s="13" t="s">
        <v>31</v>
      </c>
      <c r="F21" s="14" t="s">
        <v>29</v>
      </c>
      <c r="G21" s="15" t="s">
        <v>30</v>
      </c>
    </row>
    <row r="22" spans="1:7" s="3" customFormat="1" ht="15">
      <c r="E22" s="13" t="s">
        <v>33</v>
      </c>
      <c r="F22" s="14" t="s">
        <v>26</v>
      </c>
    </row>
    <row r="23" spans="1:7" s="3" customFormat="1" ht="15">
      <c r="E23" s="13"/>
    </row>
    <row r="25" spans="1:7" s="3" customFormat="1" ht="18">
      <c r="A25" s="16" t="s">
        <v>34</v>
      </c>
      <c r="B25" s="16"/>
    </row>
    <row r="26" spans="1:7" s="3" customFormat="1" ht="15">
      <c r="A26" s="17" t="s">
        <v>35</v>
      </c>
      <c r="B26" s="17"/>
    </row>
    <row r="27" spans="1:7" s="3" customFormat="1" ht="14.25">
      <c r="A27" s="18"/>
      <c r="B27" s="19" t="s">
        <v>36</v>
      </c>
    </row>
    <row r="28" spans="1:7" s="3" customFormat="1" ht="15">
      <c r="A28" s="20" t="s">
        <v>37</v>
      </c>
      <c r="B28" s="20" t="s">
        <v>38</v>
      </c>
      <c r="C28" s="20" t="s">
        <v>39</v>
      </c>
      <c r="D28" s="20" t="s">
        <v>40</v>
      </c>
      <c r="E28" s="20" t="s">
        <v>41</v>
      </c>
    </row>
    <row r="29" spans="1:7" s="3" customFormat="1">
      <c r="A29" s="21" t="s">
        <v>186</v>
      </c>
      <c r="B29" s="2" t="s">
        <v>36</v>
      </c>
      <c r="C29" s="2" t="s">
        <v>187</v>
      </c>
      <c r="D29" s="2" t="s">
        <v>170</v>
      </c>
      <c r="E29" s="4" t="s">
        <v>237</v>
      </c>
    </row>
    <row r="31" spans="1:7" s="3" customFormat="1" ht="14.25">
      <c r="A31" s="18"/>
      <c r="B31" s="19" t="s">
        <v>99</v>
      </c>
    </row>
    <row r="32" spans="1:7" s="3" customFormat="1" ht="15">
      <c r="A32" s="20" t="s">
        <v>37</v>
      </c>
      <c r="B32" s="20" t="s">
        <v>38</v>
      </c>
      <c r="C32" s="20" t="s">
        <v>39</v>
      </c>
      <c r="D32" s="20" t="s">
        <v>40</v>
      </c>
      <c r="E32" s="20" t="s">
        <v>41</v>
      </c>
    </row>
    <row r="33" spans="1:5" s="3" customFormat="1">
      <c r="A33" s="21" t="s">
        <v>238</v>
      </c>
      <c r="B33" s="2" t="s">
        <v>239</v>
      </c>
      <c r="C33" s="2" t="s">
        <v>43</v>
      </c>
      <c r="D33" s="2" t="s">
        <v>169</v>
      </c>
      <c r="E33" s="4" t="s">
        <v>240</v>
      </c>
    </row>
    <row r="34" spans="1:5" s="3" customFormat="1">
      <c r="A34" s="21" t="s">
        <v>241</v>
      </c>
      <c r="B34" s="2" t="s">
        <v>176</v>
      </c>
      <c r="C34" s="2" t="s">
        <v>190</v>
      </c>
      <c r="D34" s="2" t="s">
        <v>161</v>
      </c>
      <c r="E34" s="4" t="s">
        <v>242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K3:K4"/>
    <mergeCell ref="L3:L4"/>
  </mergeCells>
  <pageMargins left="0.69999998807907104" right="0.69999998807907104" top="0.75" bottom="0.75" header="0.30000001192092901" footer="0.30000001192092901"/>
  <pageSetup fitToWidth="0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F12" sqref="F12:G17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8.5703125" style="2" customWidth="1"/>
    <col min="14" max="16384" width="9.140625" style="1"/>
  </cols>
  <sheetData>
    <row r="1" spans="1:13" s="5" customFormat="1" ht="29.25" customHeight="1">
      <c r="A1" s="42" t="s">
        <v>243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244</v>
      </c>
      <c r="B6" s="8" t="s">
        <v>245</v>
      </c>
      <c r="C6" s="8" t="s">
        <v>49</v>
      </c>
      <c r="D6" s="8" t="str">
        <f>"0,6708"</f>
        <v>0,6708</v>
      </c>
      <c r="E6" s="8" t="s">
        <v>246</v>
      </c>
      <c r="F6" s="8" t="s">
        <v>110</v>
      </c>
      <c r="G6" s="9" t="s">
        <v>111</v>
      </c>
      <c r="H6" s="9" t="s">
        <v>247</v>
      </c>
      <c r="I6" s="9" t="s">
        <v>112</v>
      </c>
      <c r="J6" s="10"/>
      <c r="K6" s="11" t="str">
        <f>"97,5"</f>
        <v>97,5</v>
      </c>
      <c r="L6" s="12" t="str">
        <f>"134,8610"</f>
        <v>134,8610</v>
      </c>
      <c r="M6" s="8" t="s">
        <v>54</v>
      </c>
    </row>
    <row r="8" spans="1:13" s="3" customFormat="1" ht="15">
      <c r="A8" s="51" t="s">
        <v>149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22" t="s">
        <v>248</v>
      </c>
      <c r="B9" s="22" t="s">
        <v>249</v>
      </c>
      <c r="C9" s="22" t="s">
        <v>250</v>
      </c>
      <c r="D9" s="22" t="str">
        <f>"0,5493"</f>
        <v>0,5493</v>
      </c>
      <c r="E9" s="22" t="s">
        <v>160</v>
      </c>
      <c r="F9" s="22" t="s">
        <v>110</v>
      </c>
      <c r="G9" s="23" t="s">
        <v>95</v>
      </c>
      <c r="H9" s="23" t="s">
        <v>251</v>
      </c>
      <c r="I9" s="23" t="s">
        <v>97</v>
      </c>
      <c r="J9" s="24"/>
      <c r="K9" s="25" t="str">
        <f>"185,0"</f>
        <v>185,0</v>
      </c>
      <c r="L9" s="26" t="str">
        <f>"101,6205"</f>
        <v>101,6205</v>
      </c>
      <c r="M9" s="22" t="s">
        <v>164</v>
      </c>
    </row>
    <row r="10" spans="1:13" s="3" customFormat="1">
      <c r="A10" s="27" t="s">
        <v>248</v>
      </c>
      <c r="B10" s="27" t="s">
        <v>252</v>
      </c>
      <c r="C10" s="27" t="s">
        <v>250</v>
      </c>
      <c r="D10" s="27" t="str">
        <f>"0,5493"</f>
        <v>0,5493</v>
      </c>
      <c r="E10" s="27" t="s">
        <v>160</v>
      </c>
      <c r="F10" s="27" t="s">
        <v>110</v>
      </c>
      <c r="G10" s="28" t="s">
        <v>95</v>
      </c>
      <c r="H10" s="28" t="s">
        <v>251</v>
      </c>
      <c r="I10" s="28" t="s">
        <v>97</v>
      </c>
      <c r="J10" s="29"/>
      <c r="K10" s="30" t="str">
        <f>"185,0"</f>
        <v>185,0</v>
      </c>
      <c r="L10" s="31" t="str">
        <f>"113,5101"</f>
        <v>113,5101</v>
      </c>
      <c r="M10" s="27" t="s">
        <v>164</v>
      </c>
    </row>
    <row r="12" spans="1:13" s="3" customFormat="1" ht="15">
      <c r="E12" s="13" t="s">
        <v>22</v>
      </c>
      <c r="F12" s="14" t="s">
        <v>23</v>
      </c>
      <c r="G12" s="15" t="s">
        <v>24</v>
      </c>
    </row>
    <row r="13" spans="1:13" s="3" customFormat="1" ht="15">
      <c r="E13" s="13" t="s">
        <v>25</v>
      </c>
      <c r="F13" s="14" t="s">
        <v>26</v>
      </c>
    </row>
    <row r="14" spans="1:13" s="3" customFormat="1" ht="15">
      <c r="E14" s="13" t="s">
        <v>28</v>
      </c>
      <c r="F14" s="14" t="s">
        <v>23</v>
      </c>
      <c r="G14" s="15" t="s">
        <v>24</v>
      </c>
    </row>
    <row r="15" spans="1:13" s="3" customFormat="1" ht="15">
      <c r="E15" s="13" t="s">
        <v>31</v>
      </c>
      <c r="F15" s="14" t="s">
        <v>32</v>
      </c>
      <c r="G15" s="15" t="s">
        <v>30</v>
      </c>
    </row>
    <row r="16" spans="1:13" s="3" customFormat="1" ht="15">
      <c r="E16" s="13" t="s">
        <v>31</v>
      </c>
      <c r="F16" s="14" t="s">
        <v>29</v>
      </c>
      <c r="G16" s="15" t="s">
        <v>30</v>
      </c>
    </row>
    <row r="17" spans="1:6" s="3" customFormat="1" ht="15">
      <c r="E17" s="13" t="s">
        <v>33</v>
      </c>
      <c r="F17" s="14" t="s">
        <v>26</v>
      </c>
    </row>
    <row r="18" spans="1:6" s="3" customFormat="1" ht="15">
      <c r="E18" s="13"/>
    </row>
    <row r="20" spans="1:6" s="3" customFormat="1" ht="18">
      <c r="A20" s="16" t="s">
        <v>34</v>
      </c>
      <c r="B20" s="16"/>
    </row>
    <row r="21" spans="1:6" s="3" customFormat="1" ht="15">
      <c r="A21" s="17" t="s">
        <v>35</v>
      </c>
      <c r="B21" s="17"/>
    </row>
    <row r="22" spans="1:6" s="3" customFormat="1" ht="14.25">
      <c r="A22" s="18"/>
      <c r="B22" s="19" t="s">
        <v>36</v>
      </c>
    </row>
    <row r="23" spans="1:6" s="3" customFormat="1" ht="15">
      <c r="A23" s="20" t="s">
        <v>37</v>
      </c>
      <c r="B23" s="20" t="s">
        <v>38</v>
      </c>
      <c r="C23" s="20" t="s">
        <v>39</v>
      </c>
      <c r="D23" s="20" t="s">
        <v>40</v>
      </c>
      <c r="E23" s="20" t="s">
        <v>41</v>
      </c>
    </row>
    <row r="24" spans="1:6" s="3" customFormat="1">
      <c r="A24" s="21" t="s">
        <v>253</v>
      </c>
      <c r="B24" s="2" t="s">
        <v>36</v>
      </c>
      <c r="C24" s="2" t="s">
        <v>187</v>
      </c>
      <c r="D24" s="2" t="s">
        <v>97</v>
      </c>
      <c r="E24" s="4" t="s">
        <v>254</v>
      </c>
    </row>
    <row r="26" spans="1:6" s="3" customFormat="1" ht="14.25">
      <c r="A26" s="18"/>
      <c r="B26" s="19" t="s">
        <v>99</v>
      </c>
    </row>
    <row r="27" spans="1:6" s="3" customFormat="1" ht="15">
      <c r="A27" s="20" t="s">
        <v>37</v>
      </c>
      <c r="B27" s="20" t="s">
        <v>38</v>
      </c>
      <c r="C27" s="20" t="s">
        <v>39</v>
      </c>
      <c r="D27" s="20" t="s">
        <v>40</v>
      </c>
      <c r="E27" s="20" t="s">
        <v>41</v>
      </c>
    </row>
    <row r="28" spans="1:6" s="3" customFormat="1">
      <c r="A28" s="21" t="s">
        <v>255</v>
      </c>
      <c r="B28" s="2" t="s">
        <v>256</v>
      </c>
      <c r="C28" s="2" t="s">
        <v>56</v>
      </c>
      <c r="D28" s="2" t="s">
        <v>112</v>
      </c>
      <c r="E28" s="4" t="s">
        <v>257</v>
      </c>
    </row>
    <row r="29" spans="1:6" s="3" customFormat="1">
      <c r="A29" s="21" t="s">
        <v>253</v>
      </c>
      <c r="B29" s="2" t="s">
        <v>258</v>
      </c>
      <c r="C29" s="2" t="s">
        <v>187</v>
      </c>
      <c r="D29" s="2" t="s">
        <v>97</v>
      </c>
      <c r="E29" s="4" t="s">
        <v>259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69999998807907104" right="0.69999998807907104" top="0.75" bottom="0.75" header="0.30000001192092901" footer="0.30000001192092901"/>
  <pageSetup fitToWidth="0" fitToHeight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workbookViewId="0">
      <selection activeCell="F60" sqref="F60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32.42578125" style="2" customWidth="1"/>
    <col min="6" max="6" width="34.57031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28.42578125" style="2" customWidth="1"/>
    <col min="14" max="16384" width="9.140625" style="1"/>
  </cols>
  <sheetData>
    <row r="1" spans="1:13" s="5" customFormat="1" ht="29.25" customHeight="1">
      <c r="A1" s="42" t="s">
        <v>260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22" t="s">
        <v>261</v>
      </c>
      <c r="B6" s="22" t="s">
        <v>262</v>
      </c>
      <c r="C6" s="22" t="s">
        <v>108</v>
      </c>
      <c r="D6" s="22" t="str">
        <f>"0,9298"</f>
        <v>0,9298</v>
      </c>
      <c r="E6" s="22" t="s">
        <v>160</v>
      </c>
      <c r="F6" s="22" t="s">
        <v>110</v>
      </c>
      <c r="G6" s="23" t="s">
        <v>263</v>
      </c>
      <c r="H6" s="23" t="s">
        <v>264</v>
      </c>
      <c r="I6" s="24" t="s">
        <v>265</v>
      </c>
      <c r="J6" s="24"/>
      <c r="K6" s="25" t="str">
        <f>"55,0"</f>
        <v>55,0</v>
      </c>
      <c r="L6" s="26" t="str">
        <f>"60,3440"</f>
        <v>60,3440</v>
      </c>
      <c r="M6" s="22" t="s">
        <v>266</v>
      </c>
    </row>
    <row r="7" spans="1:13" s="3" customFormat="1">
      <c r="A7" s="27" t="s">
        <v>267</v>
      </c>
      <c r="B7" s="27" t="s">
        <v>268</v>
      </c>
      <c r="C7" s="27" t="s">
        <v>269</v>
      </c>
      <c r="D7" s="27" t="str">
        <f>"0,9603"</f>
        <v>0,9603</v>
      </c>
      <c r="E7" s="27" t="s">
        <v>109</v>
      </c>
      <c r="F7" s="27" t="s">
        <v>110</v>
      </c>
      <c r="G7" s="28" t="s">
        <v>270</v>
      </c>
      <c r="H7" s="28" t="s">
        <v>271</v>
      </c>
      <c r="I7" s="28" t="s">
        <v>76</v>
      </c>
      <c r="J7" s="29"/>
      <c r="K7" s="30" t="str">
        <f>"45,0"</f>
        <v>45,0</v>
      </c>
      <c r="L7" s="31" t="str">
        <f>"43,2113"</f>
        <v>43,2113</v>
      </c>
      <c r="M7" s="27" t="s">
        <v>272</v>
      </c>
    </row>
    <row r="9" spans="1:13" s="3" customFormat="1" ht="15">
      <c r="A9" s="51" t="s">
        <v>121</v>
      </c>
      <c r="B9" s="51"/>
      <c r="C9" s="51"/>
      <c r="D9" s="51"/>
      <c r="E9" s="51"/>
      <c r="F9" s="51"/>
      <c r="G9" s="51"/>
      <c r="H9" s="51"/>
      <c r="I9" s="51"/>
      <c r="J9" s="51"/>
    </row>
    <row r="10" spans="1:13" s="3" customFormat="1">
      <c r="A10" s="22" t="s">
        <v>273</v>
      </c>
      <c r="B10" s="22" t="s">
        <v>274</v>
      </c>
      <c r="C10" s="22" t="s">
        <v>275</v>
      </c>
      <c r="D10" s="22" t="str">
        <f>"0,8026"</f>
        <v>0,8026</v>
      </c>
      <c r="E10" s="22" t="s">
        <v>109</v>
      </c>
      <c r="F10" s="22" t="s">
        <v>110</v>
      </c>
      <c r="G10" s="23" t="s">
        <v>77</v>
      </c>
      <c r="H10" s="23" t="s">
        <v>263</v>
      </c>
      <c r="I10" s="24" t="s">
        <v>276</v>
      </c>
      <c r="J10" s="24"/>
      <c r="K10" s="25" t="str">
        <f>"50,0"</f>
        <v>50,0</v>
      </c>
      <c r="L10" s="26" t="str">
        <f>"40,1300"</f>
        <v>40,1300</v>
      </c>
      <c r="M10" s="22" t="s">
        <v>277</v>
      </c>
    </row>
    <row r="11" spans="1:13" s="3" customFormat="1">
      <c r="A11" s="27" t="s">
        <v>278</v>
      </c>
      <c r="B11" s="27" t="s">
        <v>279</v>
      </c>
      <c r="C11" s="27" t="s">
        <v>280</v>
      </c>
      <c r="D11" s="27" t="str">
        <f>"0,8153"</f>
        <v>0,8153</v>
      </c>
      <c r="E11" s="27" t="s">
        <v>109</v>
      </c>
      <c r="F11" s="27" t="s">
        <v>110</v>
      </c>
      <c r="G11" s="29" t="s">
        <v>263</v>
      </c>
      <c r="H11" s="29" t="s">
        <v>263</v>
      </c>
      <c r="I11" s="29" t="s">
        <v>263</v>
      </c>
      <c r="J11" s="29"/>
      <c r="K11" s="30" t="str">
        <f>"0.00"</f>
        <v>0.00</v>
      </c>
      <c r="L11" s="31" t="str">
        <f>"0,0000"</f>
        <v>0,0000</v>
      </c>
      <c r="M11" s="27" t="s">
        <v>277</v>
      </c>
    </row>
    <row r="13" spans="1:13" s="3" customFormat="1" ht="15">
      <c r="A13" s="51" t="s">
        <v>46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3" s="3" customFormat="1">
      <c r="A14" s="8" t="s">
        <v>281</v>
      </c>
      <c r="B14" s="8" t="s">
        <v>282</v>
      </c>
      <c r="C14" s="8" t="s">
        <v>283</v>
      </c>
      <c r="D14" s="8" t="str">
        <f>"0,7240"</f>
        <v>0,7240</v>
      </c>
      <c r="E14" s="8" t="s">
        <v>284</v>
      </c>
      <c r="F14" s="8" t="s">
        <v>110</v>
      </c>
      <c r="G14" s="9" t="s">
        <v>285</v>
      </c>
      <c r="H14" s="9" t="s">
        <v>286</v>
      </c>
      <c r="I14" s="9" t="s">
        <v>287</v>
      </c>
      <c r="J14" s="10"/>
      <c r="K14" s="11" t="str">
        <f>"70,0"</f>
        <v>70,0</v>
      </c>
      <c r="L14" s="12" t="str">
        <f>"53,1163"</f>
        <v>53,1163</v>
      </c>
      <c r="M14" s="8" t="s">
        <v>288</v>
      </c>
    </row>
    <row r="16" spans="1:13" s="3" customFormat="1" ht="15">
      <c r="A16" s="51" t="s">
        <v>289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3" s="3" customFormat="1">
      <c r="A17" s="22" t="s">
        <v>290</v>
      </c>
      <c r="B17" s="22" t="s">
        <v>291</v>
      </c>
      <c r="C17" s="22" t="s">
        <v>292</v>
      </c>
      <c r="D17" s="22" t="str">
        <f>"1,0550"</f>
        <v>1,0550</v>
      </c>
      <c r="E17" s="22" t="s">
        <v>109</v>
      </c>
      <c r="F17" s="22" t="s">
        <v>110</v>
      </c>
      <c r="G17" s="23" t="s">
        <v>276</v>
      </c>
      <c r="H17" s="24" t="s">
        <v>264</v>
      </c>
      <c r="I17" s="24" t="s">
        <v>264</v>
      </c>
      <c r="J17" s="24"/>
      <c r="K17" s="25" t="str">
        <f>"52,5"</f>
        <v>52,5</v>
      </c>
      <c r="L17" s="26" t="str">
        <f>"68,1266"</f>
        <v>68,1266</v>
      </c>
      <c r="M17" s="22" t="s">
        <v>272</v>
      </c>
    </row>
    <row r="18" spans="1:13" s="3" customFormat="1">
      <c r="A18" s="27" t="s">
        <v>293</v>
      </c>
      <c r="B18" s="27" t="s">
        <v>294</v>
      </c>
      <c r="C18" s="27" t="s">
        <v>295</v>
      </c>
      <c r="D18" s="27" t="str">
        <f>"1,2173"</f>
        <v>1,2173</v>
      </c>
      <c r="E18" s="27" t="s">
        <v>109</v>
      </c>
      <c r="F18" s="27" t="s">
        <v>110</v>
      </c>
      <c r="G18" s="28" t="s">
        <v>271</v>
      </c>
      <c r="H18" s="28" t="s">
        <v>76</v>
      </c>
      <c r="I18" s="28" t="s">
        <v>77</v>
      </c>
      <c r="J18" s="29"/>
      <c r="K18" s="30" t="str">
        <f>"47,5"</f>
        <v>47,5</v>
      </c>
      <c r="L18" s="31" t="str">
        <f>"71,1208"</f>
        <v>71,1208</v>
      </c>
      <c r="M18" s="27" t="s">
        <v>296</v>
      </c>
    </row>
    <row r="20" spans="1:13" s="3" customFormat="1" ht="15">
      <c r="A20" s="51" t="s">
        <v>121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 s="3" customFormat="1">
      <c r="A21" s="22" t="s">
        <v>297</v>
      </c>
      <c r="B21" s="22" t="s">
        <v>298</v>
      </c>
      <c r="C21" s="22" t="s">
        <v>299</v>
      </c>
      <c r="D21" s="22" t="str">
        <f>"0,7503"</f>
        <v>0,7503</v>
      </c>
      <c r="E21" s="22" t="s">
        <v>93</v>
      </c>
      <c r="F21" s="22" t="s">
        <v>110</v>
      </c>
      <c r="G21" s="23" t="s">
        <v>276</v>
      </c>
      <c r="H21" s="24" t="s">
        <v>285</v>
      </c>
      <c r="I21" s="24" t="s">
        <v>285</v>
      </c>
      <c r="J21" s="24"/>
      <c r="K21" s="25" t="str">
        <f>"52,5"</f>
        <v>52,5</v>
      </c>
      <c r="L21" s="26" t="str">
        <f>"48,4506"</f>
        <v>48,4506</v>
      </c>
      <c r="M21" s="22" t="s">
        <v>120</v>
      </c>
    </row>
    <row r="22" spans="1:13" s="3" customFormat="1">
      <c r="A22" s="32" t="s">
        <v>300</v>
      </c>
      <c r="B22" s="32" t="s">
        <v>301</v>
      </c>
      <c r="C22" s="32" t="s">
        <v>124</v>
      </c>
      <c r="D22" s="32" t="str">
        <f>"0,7940"</f>
        <v>0,7940</v>
      </c>
      <c r="E22" s="32" t="s">
        <v>93</v>
      </c>
      <c r="F22" s="32" t="s">
        <v>110</v>
      </c>
      <c r="G22" s="33" t="s">
        <v>271</v>
      </c>
      <c r="H22" s="34" t="s">
        <v>271</v>
      </c>
      <c r="I22" s="34" t="s">
        <v>77</v>
      </c>
      <c r="J22" s="33"/>
      <c r="K22" s="35" t="str">
        <f>"47,5"</f>
        <v>47,5</v>
      </c>
      <c r="L22" s="36" t="str">
        <f>"46,3895"</f>
        <v>46,3895</v>
      </c>
      <c r="M22" s="32" t="s">
        <v>120</v>
      </c>
    </row>
    <row r="23" spans="1:13" s="3" customFormat="1">
      <c r="A23" s="32" t="s">
        <v>302</v>
      </c>
      <c r="B23" s="32" t="s">
        <v>303</v>
      </c>
      <c r="C23" s="32" t="s">
        <v>304</v>
      </c>
      <c r="D23" s="32" t="str">
        <f>"0,7357"</f>
        <v>0,7357</v>
      </c>
      <c r="E23" s="32" t="s">
        <v>160</v>
      </c>
      <c r="F23" s="32" t="s">
        <v>110</v>
      </c>
      <c r="G23" s="34" t="s">
        <v>305</v>
      </c>
      <c r="H23" s="34" t="s">
        <v>306</v>
      </c>
      <c r="I23" s="34" t="s">
        <v>125</v>
      </c>
      <c r="J23" s="33"/>
      <c r="K23" s="35" t="str">
        <f>"115,0"</f>
        <v>115,0</v>
      </c>
      <c r="L23" s="36" t="str">
        <f>"91,3739"</f>
        <v>91,3739</v>
      </c>
      <c r="M23" s="32" t="s">
        <v>164</v>
      </c>
    </row>
    <row r="24" spans="1:13" s="3" customFormat="1">
      <c r="A24" s="32" t="s">
        <v>307</v>
      </c>
      <c r="B24" s="32" t="s">
        <v>308</v>
      </c>
      <c r="C24" s="32" t="s">
        <v>304</v>
      </c>
      <c r="D24" s="32" t="str">
        <f>"0,7357"</f>
        <v>0,7357</v>
      </c>
      <c r="E24" s="32" t="s">
        <v>160</v>
      </c>
      <c r="F24" s="32" t="s">
        <v>110</v>
      </c>
      <c r="G24" s="34" t="s">
        <v>309</v>
      </c>
      <c r="H24" s="34" t="s">
        <v>310</v>
      </c>
      <c r="I24" s="33" t="s">
        <v>311</v>
      </c>
      <c r="J24" s="33"/>
      <c r="K24" s="35" t="str">
        <f>"67,5"</f>
        <v>67,5</v>
      </c>
      <c r="L24" s="36" t="str">
        <f>"53,6325"</f>
        <v>53,6325</v>
      </c>
      <c r="M24" s="32" t="s">
        <v>266</v>
      </c>
    </row>
    <row r="25" spans="1:13" s="3" customFormat="1">
      <c r="A25" s="27" t="s">
        <v>312</v>
      </c>
      <c r="B25" s="27" t="s">
        <v>313</v>
      </c>
      <c r="C25" s="27" t="s">
        <v>314</v>
      </c>
      <c r="D25" s="27" t="str">
        <f>"0,7332"</f>
        <v>0,7332</v>
      </c>
      <c r="E25" s="27" t="s">
        <v>16</v>
      </c>
      <c r="F25" s="27" t="s">
        <v>215</v>
      </c>
      <c r="G25" s="28" t="s">
        <v>315</v>
      </c>
      <c r="H25" s="29" t="s">
        <v>316</v>
      </c>
      <c r="I25" s="29" t="s">
        <v>316</v>
      </c>
      <c r="J25" s="29"/>
      <c r="K25" s="30" t="str">
        <f>"117,5"</f>
        <v>117,5</v>
      </c>
      <c r="L25" s="31" t="str">
        <f>"86,1510"</f>
        <v>86,1510</v>
      </c>
      <c r="M25" s="27" t="s">
        <v>317</v>
      </c>
    </row>
    <row r="27" spans="1:13" s="3" customFormat="1" ht="15">
      <c r="A27" s="51" t="s">
        <v>46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3" s="3" customFormat="1">
      <c r="A28" s="22" t="s">
        <v>318</v>
      </c>
      <c r="B28" s="22" t="s">
        <v>319</v>
      </c>
      <c r="C28" s="22" t="s">
        <v>320</v>
      </c>
      <c r="D28" s="22" t="str">
        <f>"0,6828"</f>
        <v>0,6828</v>
      </c>
      <c r="E28" s="22" t="s">
        <v>160</v>
      </c>
      <c r="F28" s="22" t="s">
        <v>110</v>
      </c>
      <c r="G28" s="23" t="s">
        <v>225</v>
      </c>
      <c r="H28" s="23" t="s">
        <v>321</v>
      </c>
      <c r="I28" s="23" t="s">
        <v>322</v>
      </c>
      <c r="J28" s="24"/>
      <c r="K28" s="25" t="str">
        <f>"165,0"</f>
        <v>165,0</v>
      </c>
      <c r="L28" s="26" t="str">
        <f>"112,6620"</f>
        <v>112,6620</v>
      </c>
      <c r="M28" s="22" t="s">
        <v>21</v>
      </c>
    </row>
    <row r="29" spans="1:13" s="3" customFormat="1">
      <c r="A29" s="32" t="s">
        <v>323</v>
      </c>
      <c r="B29" s="32" t="s">
        <v>324</v>
      </c>
      <c r="C29" s="32" t="s">
        <v>325</v>
      </c>
      <c r="D29" s="32" t="str">
        <f>"0,6723"</f>
        <v>0,6723</v>
      </c>
      <c r="E29" s="32" t="s">
        <v>326</v>
      </c>
      <c r="F29" s="32" t="s">
        <v>110</v>
      </c>
      <c r="G29" s="34" t="s">
        <v>327</v>
      </c>
      <c r="H29" s="34" t="s">
        <v>328</v>
      </c>
      <c r="I29" s="33" t="s">
        <v>127</v>
      </c>
      <c r="J29" s="33"/>
      <c r="K29" s="35" t="str">
        <f>"130,0"</f>
        <v>130,0</v>
      </c>
      <c r="L29" s="36" t="str">
        <f>"87,3990"</f>
        <v>87,3990</v>
      </c>
      <c r="M29" s="32" t="s">
        <v>329</v>
      </c>
    </row>
    <row r="30" spans="1:13" s="3" customFormat="1">
      <c r="A30" s="27" t="s">
        <v>330</v>
      </c>
      <c r="B30" s="27" t="s">
        <v>331</v>
      </c>
      <c r="C30" s="27" t="s">
        <v>332</v>
      </c>
      <c r="D30" s="27" t="str">
        <f>"0,6659"</f>
        <v>0,6659</v>
      </c>
      <c r="E30" s="27" t="s">
        <v>160</v>
      </c>
      <c r="F30" s="27" t="s">
        <v>110</v>
      </c>
      <c r="G30" s="28" t="s">
        <v>333</v>
      </c>
      <c r="H30" s="28" t="s">
        <v>316</v>
      </c>
      <c r="I30" s="29" t="s">
        <v>328</v>
      </c>
      <c r="J30" s="29"/>
      <c r="K30" s="30" t="str">
        <f>"127,5"</f>
        <v>127,5</v>
      </c>
      <c r="L30" s="31" t="str">
        <f>"84,9022"</f>
        <v>84,9022</v>
      </c>
      <c r="M30" s="27" t="s">
        <v>266</v>
      </c>
    </row>
    <row r="32" spans="1:13" s="3" customFormat="1" ht="15">
      <c r="A32" s="51" t="s">
        <v>136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3" s="3" customFormat="1">
      <c r="A33" s="22" t="s">
        <v>334</v>
      </c>
      <c r="B33" s="22" t="s">
        <v>223</v>
      </c>
      <c r="C33" s="22" t="s">
        <v>224</v>
      </c>
      <c r="D33" s="22" t="str">
        <f>"0,6193"</f>
        <v>0,6193</v>
      </c>
      <c r="E33" s="22" t="s">
        <v>109</v>
      </c>
      <c r="F33" s="22" t="s">
        <v>110</v>
      </c>
      <c r="G33" s="23" t="s">
        <v>225</v>
      </c>
      <c r="H33" s="24"/>
      <c r="I33" s="24"/>
      <c r="J33" s="24"/>
      <c r="K33" s="25" t="str">
        <f>"150,0"</f>
        <v>150,0</v>
      </c>
      <c r="L33" s="26" t="str">
        <f>"92,8950"</f>
        <v>92,8950</v>
      </c>
      <c r="M33" s="22" t="s">
        <v>54</v>
      </c>
    </row>
    <row r="34" spans="1:13" s="3" customFormat="1">
      <c r="A34" s="32" t="s">
        <v>335</v>
      </c>
      <c r="B34" s="32" t="s">
        <v>336</v>
      </c>
      <c r="C34" s="32" t="s">
        <v>337</v>
      </c>
      <c r="D34" s="32" t="str">
        <f>"0,6219"</f>
        <v>0,6219</v>
      </c>
      <c r="E34" s="32" t="s">
        <v>50</v>
      </c>
      <c r="F34" s="32" t="s">
        <v>110</v>
      </c>
      <c r="G34" s="34" t="s">
        <v>328</v>
      </c>
      <c r="H34" s="34" t="s">
        <v>338</v>
      </c>
      <c r="I34" s="33" t="s">
        <v>339</v>
      </c>
      <c r="J34" s="33"/>
      <c r="K34" s="35" t="str">
        <f>"140,0"</f>
        <v>140,0</v>
      </c>
      <c r="L34" s="36" t="str">
        <f>"87,0660"</f>
        <v>87,0660</v>
      </c>
      <c r="M34" s="32" t="s">
        <v>21</v>
      </c>
    </row>
    <row r="35" spans="1:13" s="3" customFormat="1">
      <c r="A35" s="32" t="s">
        <v>340</v>
      </c>
      <c r="B35" s="32" t="s">
        <v>341</v>
      </c>
      <c r="C35" s="32" t="s">
        <v>342</v>
      </c>
      <c r="D35" s="32" t="str">
        <f>"0,6388"</f>
        <v>0,6388</v>
      </c>
      <c r="E35" s="32" t="s">
        <v>160</v>
      </c>
      <c r="F35" s="32" t="s">
        <v>110</v>
      </c>
      <c r="G35" s="34" t="s">
        <v>343</v>
      </c>
      <c r="H35" s="33" t="s">
        <v>344</v>
      </c>
      <c r="I35" s="33"/>
      <c r="J35" s="33"/>
      <c r="K35" s="35" t="str">
        <f>"132,5"</f>
        <v>132,5</v>
      </c>
      <c r="L35" s="36" t="str">
        <f>"84,6410"</f>
        <v>84,6410</v>
      </c>
      <c r="M35" s="32" t="s">
        <v>164</v>
      </c>
    </row>
    <row r="36" spans="1:13" s="3" customFormat="1">
      <c r="A36" s="32" t="s">
        <v>345</v>
      </c>
      <c r="B36" s="32" t="s">
        <v>346</v>
      </c>
      <c r="C36" s="32" t="s">
        <v>347</v>
      </c>
      <c r="D36" s="32" t="str">
        <f>"0,6235"</f>
        <v>0,6235</v>
      </c>
      <c r="E36" s="32" t="s">
        <v>348</v>
      </c>
      <c r="F36" s="32" t="s">
        <v>75</v>
      </c>
      <c r="G36" s="34" t="s">
        <v>119</v>
      </c>
      <c r="H36" s="34" t="s">
        <v>349</v>
      </c>
      <c r="I36" s="33" t="s">
        <v>306</v>
      </c>
      <c r="J36" s="33"/>
      <c r="K36" s="35" t="str">
        <f>"110,0"</f>
        <v>110,0</v>
      </c>
      <c r="L36" s="36" t="str">
        <f>"131,6832"</f>
        <v>131,6832</v>
      </c>
      <c r="M36" s="32" t="s">
        <v>350</v>
      </c>
    </row>
    <row r="37" spans="1:13" s="3" customFormat="1">
      <c r="A37" s="27" t="s">
        <v>351</v>
      </c>
      <c r="B37" s="27" t="s">
        <v>352</v>
      </c>
      <c r="C37" s="27" t="s">
        <v>353</v>
      </c>
      <c r="D37" s="27" t="str">
        <f>"0,6198"</f>
        <v>0,6198</v>
      </c>
      <c r="E37" s="27" t="s">
        <v>354</v>
      </c>
      <c r="F37" s="27" t="s">
        <v>110</v>
      </c>
      <c r="G37" s="28" t="s">
        <v>86</v>
      </c>
      <c r="H37" s="28" t="s">
        <v>111</v>
      </c>
      <c r="I37" s="29" t="s">
        <v>247</v>
      </c>
      <c r="J37" s="29"/>
      <c r="K37" s="30" t="str">
        <f>"90,0"</f>
        <v>90,0</v>
      </c>
      <c r="L37" s="31" t="str">
        <f>"55,7820"</f>
        <v>55,7820</v>
      </c>
      <c r="M37" s="27" t="s">
        <v>355</v>
      </c>
    </row>
    <row r="39" spans="1:13" s="3" customFormat="1" ht="15">
      <c r="A39" s="51" t="s">
        <v>12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3" s="3" customFormat="1">
      <c r="A40" s="22" t="s">
        <v>356</v>
      </c>
      <c r="B40" s="22" t="s">
        <v>357</v>
      </c>
      <c r="C40" s="22" t="s">
        <v>358</v>
      </c>
      <c r="D40" s="22" t="str">
        <f>"0,5865"</f>
        <v>0,5865</v>
      </c>
      <c r="E40" s="22" t="s">
        <v>74</v>
      </c>
      <c r="F40" s="22" t="s">
        <v>75</v>
      </c>
      <c r="G40" s="23" t="s">
        <v>251</v>
      </c>
      <c r="H40" s="23" t="s">
        <v>230</v>
      </c>
      <c r="I40" s="24" t="s">
        <v>359</v>
      </c>
      <c r="J40" s="24"/>
      <c r="K40" s="25" t="str">
        <f>"190,0"</f>
        <v>190,0</v>
      </c>
      <c r="L40" s="26" t="str">
        <f>"111,4350"</f>
        <v>111,4350</v>
      </c>
      <c r="M40" s="22" t="s">
        <v>80</v>
      </c>
    </row>
    <row r="41" spans="1:13" s="3" customFormat="1">
      <c r="A41" s="27" t="s">
        <v>360</v>
      </c>
      <c r="B41" s="27" t="s">
        <v>361</v>
      </c>
      <c r="C41" s="27" t="s">
        <v>362</v>
      </c>
      <c r="D41" s="27" t="str">
        <f>"0,5905"</f>
        <v>0,5905</v>
      </c>
      <c r="E41" s="27" t="s">
        <v>50</v>
      </c>
      <c r="F41" s="27" t="s">
        <v>110</v>
      </c>
      <c r="G41" s="28" t="s">
        <v>127</v>
      </c>
      <c r="H41" s="28" t="s">
        <v>338</v>
      </c>
      <c r="I41" s="29" t="s">
        <v>363</v>
      </c>
      <c r="J41" s="29"/>
      <c r="K41" s="30" t="str">
        <f>"140,0"</f>
        <v>140,0</v>
      </c>
      <c r="L41" s="31" t="str">
        <f>"82,6700"</f>
        <v>82,6700</v>
      </c>
      <c r="M41" s="27" t="s">
        <v>21</v>
      </c>
    </row>
    <row r="43" spans="1:13" s="3" customFormat="1" ht="15">
      <c r="A43" s="51" t="s">
        <v>211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3" s="3" customFormat="1">
      <c r="A44" s="22" t="s">
        <v>364</v>
      </c>
      <c r="B44" s="22" t="s">
        <v>365</v>
      </c>
      <c r="C44" s="22" t="s">
        <v>366</v>
      </c>
      <c r="D44" s="22" t="str">
        <f>"0,5730"</f>
        <v>0,5730</v>
      </c>
      <c r="E44" s="22" t="s">
        <v>109</v>
      </c>
      <c r="F44" s="22" t="s">
        <v>110</v>
      </c>
      <c r="G44" s="23" t="s">
        <v>247</v>
      </c>
      <c r="H44" s="23" t="s">
        <v>112</v>
      </c>
      <c r="I44" s="24" t="s">
        <v>118</v>
      </c>
      <c r="J44" s="24"/>
      <c r="K44" s="25" t="str">
        <f>"97,5"</f>
        <v>97,5</v>
      </c>
      <c r="L44" s="26" t="str">
        <f>"63,1303"</f>
        <v>63,1303</v>
      </c>
      <c r="M44" s="22" t="s">
        <v>272</v>
      </c>
    </row>
    <row r="45" spans="1:13" s="3" customFormat="1">
      <c r="A45" s="32" t="s">
        <v>367</v>
      </c>
      <c r="B45" s="32" t="s">
        <v>368</v>
      </c>
      <c r="C45" s="32" t="s">
        <v>369</v>
      </c>
      <c r="D45" s="32" t="str">
        <f>"0,5594"</f>
        <v>0,5594</v>
      </c>
      <c r="E45" s="32" t="s">
        <v>16</v>
      </c>
      <c r="F45" s="32" t="s">
        <v>17</v>
      </c>
      <c r="G45" s="34" t="s">
        <v>230</v>
      </c>
      <c r="H45" s="34" t="s">
        <v>359</v>
      </c>
      <c r="I45" s="34" t="s">
        <v>141</v>
      </c>
      <c r="J45" s="33"/>
      <c r="K45" s="35" t="str">
        <f>"217,5"</f>
        <v>217,5</v>
      </c>
      <c r="L45" s="36" t="str">
        <f>"121,6695"</f>
        <v>121,6695</v>
      </c>
      <c r="M45" s="32" t="s">
        <v>21</v>
      </c>
    </row>
    <row r="46" spans="1:13" s="3" customFormat="1">
      <c r="A46" s="32" t="s">
        <v>370</v>
      </c>
      <c r="B46" s="32" t="s">
        <v>371</v>
      </c>
      <c r="C46" s="32" t="s">
        <v>372</v>
      </c>
      <c r="D46" s="32" t="str">
        <f>"0,5619"</f>
        <v>0,5619</v>
      </c>
      <c r="E46" s="32" t="s">
        <v>50</v>
      </c>
      <c r="F46" s="32" t="s">
        <v>75</v>
      </c>
      <c r="G46" s="34" t="s">
        <v>322</v>
      </c>
      <c r="H46" s="33" t="s">
        <v>373</v>
      </c>
      <c r="I46" s="33" t="s">
        <v>373</v>
      </c>
      <c r="J46" s="33"/>
      <c r="K46" s="35" t="str">
        <f>"165,0"</f>
        <v>165,0</v>
      </c>
      <c r="L46" s="36" t="str">
        <f>"92,7135"</f>
        <v>92,7135</v>
      </c>
      <c r="M46" s="32" t="s">
        <v>21</v>
      </c>
    </row>
    <row r="47" spans="1:13" s="3" customFormat="1">
      <c r="A47" s="27" t="s">
        <v>374</v>
      </c>
      <c r="B47" s="27" t="s">
        <v>375</v>
      </c>
      <c r="C47" s="27" t="s">
        <v>376</v>
      </c>
      <c r="D47" s="27" t="str">
        <f>"0,5578"</f>
        <v>0,5578</v>
      </c>
      <c r="E47" s="27" t="s">
        <v>284</v>
      </c>
      <c r="F47" s="27" t="s">
        <v>110</v>
      </c>
      <c r="G47" s="28" t="s">
        <v>328</v>
      </c>
      <c r="H47" s="28" t="s">
        <v>338</v>
      </c>
      <c r="I47" s="28" t="s">
        <v>225</v>
      </c>
      <c r="J47" s="29"/>
      <c r="K47" s="30" t="str">
        <f>"150,0"</f>
        <v>150,0</v>
      </c>
      <c r="L47" s="31" t="str">
        <f>"86,2638"</f>
        <v>86,2638</v>
      </c>
      <c r="M47" s="27" t="s">
        <v>54</v>
      </c>
    </row>
    <row r="49" spans="1:13" s="3" customFormat="1" ht="15">
      <c r="A49" s="51" t="s">
        <v>149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3" s="3" customFormat="1">
      <c r="A50" s="22" t="s">
        <v>377</v>
      </c>
      <c r="B50" s="22" t="s">
        <v>378</v>
      </c>
      <c r="C50" s="22" t="s">
        <v>379</v>
      </c>
      <c r="D50" s="22" t="str">
        <f>"0,5385"</f>
        <v>0,5385</v>
      </c>
      <c r="E50" s="22" t="s">
        <v>16</v>
      </c>
      <c r="F50" s="22" t="s">
        <v>110</v>
      </c>
      <c r="G50" s="23" t="s">
        <v>134</v>
      </c>
      <c r="H50" s="23" t="s">
        <v>380</v>
      </c>
      <c r="I50" s="23" t="s">
        <v>97</v>
      </c>
      <c r="J50" s="24"/>
      <c r="K50" s="25" t="str">
        <f>"185,0"</f>
        <v>185,0</v>
      </c>
      <c r="L50" s="26" t="str">
        <f>"99,6225"</f>
        <v>99,6225</v>
      </c>
      <c r="M50" s="22" t="s">
        <v>21</v>
      </c>
    </row>
    <row r="51" spans="1:13" s="3" customFormat="1">
      <c r="A51" s="32" t="s">
        <v>381</v>
      </c>
      <c r="B51" s="32" t="s">
        <v>382</v>
      </c>
      <c r="C51" s="32" t="s">
        <v>383</v>
      </c>
      <c r="D51" s="32" t="str">
        <f>"0,5450"</f>
        <v>0,5450</v>
      </c>
      <c r="E51" s="32" t="s">
        <v>50</v>
      </c>
      <c r="F51" s="32" t="s">
        <v>75</v>
      </c>
      <c r="G51" s="34" t="s">
        <v>327</v>
      </c>
      <c r="H51" s="33" t="s">
        <v>328</v>
      </c>
      <c r="I51" s="33" t="s">
        <v>328</v>
      </c>
      <c r="J51" s="33"/>
      <c r="K51" s="35" t="str">
        <f>"120,0"</f>
        <v>120,0</v>
      </c>
      <c r="L51" s="36" t="str">
        <f>"65,4000"</f>
        <v>65,4000</v>
      </c>
      <c r="M51" s="32" t="s">
        <v>21</v>
      </c>
    </row>
    <row r="52" spans="1:13" s="3" customFormat="1">
      <c r="A52" s="27" t="s">
        <v>384</v>
      </c>
      <c r="B52" s="27" t="s">
        <v>385</v>
      </c>
      <c r="C52" s="27" t="s">
        <v>386</v>
      </c>
      <c r="D52" s="27" t="str">
        <f>"0,5504"</f>
        <v>0,5504</v>
      </c>
      <c r="E52" s="27" t="s">
        <v>387</v>
      </c>
      <c r="F52" s="27" t="s">
        <v>110</v>
      </c>
      <c r="G52" s="28" t="s">
        <v>86</v>
      </c>
      <c r="H52" s="28" t="s">
        <v>111</v>
      </c>
      <c r="I52" s="28" t="s">
        <v>247</v>
      </c>
      <c r="J52" s="29"/>
      <c r="K52" s="30" t="str">
        <f>"95,0"</f>
        <v>95,0</v>
      </c>
      <c r="L52" s="31" t="str">
        <f>"108,2362"</f>
        <v>108,2362</v>
      </c>
      <c r="M52" s="27" t="s">
        <v>21</v>
      </c>
    </row>
    <row r="54" spans="1:13" s="3" customFormat="1" ht="15">
      <c r="A54" s="51" t="s">
        <v>156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3" s="3" customFormat="1">
      <c r="A55" s="22" t="s">
        <v>233</v>
      </c>
      <c r="B55" s="22" t="s">
        <v>388</v>
      </c>
      <c r="C55" s="22" t="s">
        <v>235</v>
      </c>
      <c r="D55" s="22" t="str">
        <f>"0,5293"</f>
        <v>0,5293</v>
      </c>
      <c r="E55" s="22" t="s">
        <v>50</v>
      </c>
      <c r="F55" s="22" t="s">
        <v>110</v>
      </c>
      <c r="G55" s="23" t="s">
        <v>205</v>
      </c>
      <c r="H55" s="23" t="s">
        <v>389</v>
      </c>
      <c r="I55" s="24"/>
      <c r="J55" s="24"/>
      <c r="K55" s="25" t="str">
        <f>"200,0"</f>
        <v>200,0</v>
      </c>
      <c r="L55" s="26" t="str">
        <f>"105,8600"</f>
        <v>105,8600</v>
      </c>
      <c r="M55" s="22" t="s">
        <v>21</v>
      </c>
    </row>
    <row r="56" spans="1:13" s="3" customFormat="1">
      <c r="A56" s="32" t="s">
        <v>390</v>
      </c>
      <c r="B56" s="32" t="s">
        <v>391</v>
      </c>
      <c r="C56" s="32" t="s">
        <v>392</v>
      </c>
      <c r="D56" s="32" t="str">
        <f>"0,5258"</f>
        <v>0,5258</v>
      </c>
      <c r="E56" s="32" t="s">
        <v>160</v>
      </c>
      <c r="F56" s="32" t="s">
        <v>110</v>
      </c>
      <c r="G56" s="34" t="s">
        <v>393</v>
      </c>
      <c r="H56" s="34" t="s">
        <v>394</v>
      </c>
      <c r="I56" s="33" t="s">
        <v>134</v>
      </c>
      <c r="J56" s="33"/>
      <c r="K56" s="35" t="str">
        <f>"162,5"</f>
        <v>162,5</v>
      </c>
      <c r="L56" s="36" t="str">
        <f>"85,4425"</f>
        <v>85,4425</v>
      </c>
      <c r="M56" s="32" t="s">
        <v>164</v>
      </c>
    </row>
    <row r="57" spans="1:13" s="3" customFormat="1">
      <c r="A57" s="32" t="s">
        <v>233</v>
      </c>
      <c r="B57" s="32" t="s">
        <v>234</v>
      </c>
      <c r="C57" s="32" t="s">
        <v>235</v>
      </c>
      <c r="D57" s="32" t="str">
        <f>"0,5293"</f>
        <v>0,5293</v>
      </c>
      <c r="E57" s="32" t="s">
        <v>50</v>
      </c>
      <c r="F57" s="32" t="s">
        <v>110</v>
      </c>
      <c r="G57" s="34" t="s">
        <v>205</v>
      </c>
      <c r="H57" s="34" t="s">
        <v>389</v>
      </c>
      <c r="I57" s="33"/>
      <c r="J57" s="33"/>
      <c r="K57" s="35" t="str">
        <f>"200,0"</f>
        <v>200,0</v>
      </c>
      <c r="L57" s="36" t="str">
        <f>"106,8127"</f>
        <v>106,8127</v>
      </c>
      <c r="M57" s="32" t="s">
        <v>21</v>
      </c>
    </row>
    <row r="58" spans="1:13" s="3" customFormat="1">
      <c r="A58" s="27" t="s">
        <v>395</v>
      </c>
      <c r="B58" s="27" t="s">
        <v>396</v>
      </c>
      <c r="C58" s="27" t="s">
        <v>397</v>
      </c>
      <c r="D58" s="27" t="str">
        <f>"0,5337"</f>
        <v>0,5337</v>
      </c>
      <c r="E58" s="27" t="s">
        <v>131</v>
      </c>
      <c r="F58" s="27" t="s">
        <v>132</v>
      </c>
      <c r="G58" s="28" t="s">
        <v>343</v>
      </c>
      <c r="H58" s="28" t="s">
        <v>339</v>
      </c>
      <c r="I58" s="28" t="s">
        <v>398</v>
      </c>
      <c r="J58" s="29"/>
      <c r="K58" s="30" t="str">
        <f>"152,5"</f>
        <v>152,5</v>
      </c>
      <c r="L58" s="31" t="str">
        <f>"108,2477"</f>
        <v>108,2477</v>
      </c>
      <c r="M58" s="27" t="s">
        <v>21</v>
      </c>
    </row>
    <row r="60" spans="1:13" s="3" customFormat="1" ht="15">
      <c r="E60" s="13" t="s">
        <v>22</v>
      </c>
      <c r="F60" s="14" t="s">
        <v>23</v>
      </c>
      <c r="G60" s="15" t="s">
        <v>24</v>
      </c>
    </row>
    <row r="61" spans="1:13" s="3" customFormat="1" ht="15">
      <c r="E61" s="13" t="s">
        <v>25</v>
      </c>
      <c r="F61" s="14" t="s">
        <v>26</v>
      </c>
    </row>
    <row r="62" spans="1:13" s="3" customFormat="1" ht="15">
      <c r="E62" s="13" t="s">
        <v>28</v>
      </c>
      <c r="F62" s="14" t="s">
        <v>29</v>
      </c>
      <c r="G62" s="15" t="s">
        <v>30</v>
      </c>
    </row>
    <row r="63" spans="1:13" s="3" customFormat="1" ht="15">
      <c r="E63" s="13" t="s">
        <v>31</v>
      </c>
      <c r="F63" s="14" t="s">
        <v>32</v>
      </c>
      <c r="G63" s="15" t="s">
        <v>30</v>
      </c>
    </row>
    <row r="64" spans="1:13" s="3" customFormat="1" ht="15">
      <c r="E64" s="13" t="s">
        <v>31</v>
      </c>
      <c r="F64" s="14" t="s">
        <v>23</v>
      </c>
      <c r="G64" s="15" t="s">
        <v>24</v>
      </c>
    </row>
    <row r="65" spans="1:6" s="3" customFormat="1" ht="15">
      <c r="E65" s="13" t="s">
        <v>33</v>
      </c>
      <c r="F65" s="14" t="s">
        <v>26</v>
      </c>
    </row>
    <row r="66" spans="1:6" s="3" customFormat="1" ht="15">
      <c r="E66" s="13"/>
    </row>
    <row r="68" spans="1:6" s="3" customFormat="1" ht="18">
      <c r="A68" s="16" t="s">
        <v>34</v>
      </c>
      <c r="B68" s="16"/>
    </row>
    <row r="69" spans="1:6" s="3" customFormat="1" ht="15">
      <c r="A69" s="17" t="s">
        <v>81</v>
      </c>
      <c r="B69" s="17"/>
    </row>
    <row r="70" spans="1:6" s="3" customFormat="1" ht="14.25">
      <c r="A70" s="18"/>
      <c r="B70" s="19" t="s">
        <v>399</v>
      </c>
    </row>
    <row r="71" spans="1:6" s="3" customFormat="1" ht="15">
      <c r="A71" s="20" t="s">
        <v>37</v>
      </c>
      <c r="B71" s="20" t="s">
        <v>38</v>
      </c>
      <c r="C71" s="20" t="s">
        <v>39</v>
      </c>
      <c r="D71" s="20" t="s">
        <v>40</v>
      </c>
      <c r="E71" s="20" t="s">
        <v>41</v>
      </c>
    </row>
    <row r="72" spans="1:6" s="3" customFormat="1">
      <c r="A72" s="21" t="s">
        <v>400</v>
      </c>
      <c r="B72" s="2" t="s">
        <v>180</v>
      </c>
      <c r="C72" s="2" t="s">
        <v>85</v>
      </c>
      <c r="D72" s="2" t="s">
        <v>264</v>
      </c>
      <c r="E72" s="4" t="s">
        <v>401</v>
      </c>
    </row>
    <row r="74" spans="1:6" s="3" customFormat="1" ht="14.25">
      <c r="A74" s="18"/>
      <c r="B74" s="19" t="s">
        <v>36</v>
      </c>
    </row>
    <row r="75" spans="1:6" s="3" customFormat="1" ht="15">
      <c r="A75" s="20" t="s">
        <v>37</v>
      </c>
      <c r="B75" s="20" t="s">
        <v>38</v>
      </c>
      <c r="C75" s="20" t="s">
        <v>39</v>
      </c>
      <c r="D75" s="20" t="s">
        <v>40</v>
      </c>
      <c r="E75" s="20" t="s">
        <v>41</v>
      </c>
    </row>
    <row r="76" spans="1:6" s="3" customFormat="1">
      <c r="A76" s="21" t="s">
        <v>402</v>
      </c>
      <c r="B76" s="2" t="s">
        <v>36</v>
      </c>
      <c r="C76" s="2" t="s">
        <v>85</v>
      </c>
      <c r="D76" s="2" t="s">
        <v>76</v>
      </c>
      <c r="E76" s="4" t="s">
        <v>403</v>
      </c>
    </row>
    <row r="77" spans="1:6" s="3" customFormat="1">
      <c r="A77" s="21" t="s">
        <v>404</v>
      </c>
      <c r="B77" s="2" t="s">
        <v>36</v>
      </c>
      <c r="C77" s="2" t="s">
        <v>181</v>
      </c>
      <c r="D77" s="2" t="s">
        <v>263</v>
      </c>
      <c r="E77" s="4" t="s">
        <v>405</v>
      </c>
    </row>
    <row r="79" spans="1:6" s="3" customFormat="1" ht="14.25">
      <c r="A79" s="18"/>
      <c r="B79" s="19" t="s">
        <v>99</v>
      </c>
    </row>
    <row r="80" spans="1:6" s="3" customFormat="1" ht="15">
      <c r="A80" s="20" t="s">
        <v>37</v>
      </c>
      <c r="B80" s="20" t="s">
        <v>38</v>
      </c>
      <c r="C80" s="20" t="s">
        <v>39</v>
      </c>
      <c r="D80" s="20" t="s">
        <v>40</v>
      </c>
      <c r="E80" s="20" t="s">
        <v>41</v>
      </c>
    </row>
    <row r="81" spans="1:5" s="3" customFormat="1">
      <c r="A81" s="21" t="s">
        <v>406</v>
      </c>
      <c r="B81" s="2" t="s">
        <v>258</v>
      </c>
      <c r="C81" s="2" t="s">
        <v>56</v>
      </c>
      <c r="D81" s="2" t="s">
        <v>287</v>
      </c>
      <c r="E81" s="4" t="s">
        <v>407</v>
      </c>
    </row>
    <row r="84" spans="1:5" s="3" customFormat="1" ht="15">
      <c r="A84" s="17" t="s">
        <v>35</v>
      </c>
      <c r="B84" s="17"/>
    </row>
    <row r="85" spans="1:5" s="3" customFormat="1" ht="14.25">
      <c r="A85" s="18"/>
      <c r="B85" s="19" t="s">
        <v>178</v>
      </c>
    </row>
    <row r="86" spans="1:5" s="3" customFormat="1" ht="15">
      <c r="A86" s="20" t="s">
        <v>37</v>
      </c>
      <c r="B86" s="20" t="s">
        <v>38</v>
      </c>
      <c r="C86" s="20" t="s">
        <v>39</v>
      </c>
      <c r="D86" s="20" t="s">
        <v>40</v>
      </c>
      <c r="E86" s="20" t="s">
        <v>41</v>
      </c>
    </row>
    <row r="87" spans="1:5" s="3" customFormat="1">
      <c r="A87" s="21" t="s">
        <v>408</v>
      </c>
      <c r="B87" s="2" t="s">
        <v>409</v>
      </c>
      <c r="C87" s="2" t="s">
        <v>181</v>
      </c>
      <c r="D87" s="2" t="s">
        <v>125</v>
      </c>
      <c r="E87" s="4" t="s">
        <v>410</v>
      </c>
    </row>
    <row r="88" spans="1:5" s="3" customFormat="1">
      <c r="A88" s="21" t="s">
        <v>411</v>
      </c>
      <c r="B88" s="2" t="s">
        <v>180</v>
      </c>
      <c r="C88" s="2" t="s">
        <v>412</v>
      </c>
      <c r="D88" s="2" t="s">
        <v>77</v>
      </c>
      <c r="E88" s="4" t="s">
        <v>413</v>
      </c>
    </row>
    <row r="89" spans="1:5" s="3" customFormat="1">
      <c r="A89" s="21" t="s">
        <v>414</v>
      </c>
      <c r="B89" s="2" t="s">
        <v>180</v>
      </c>
      <c r="C89" s="2" t="s">
        <v>412</v>
      </c>
      <c r="D89" s="2" t="s">
        <v>276</v>
      </c>
      <c r="E89" s="4" t="s">
        <v>415</v>
      </c>
    </row>
    <row r="90" spans="1:5" s="3" customFormat="1">
      <c r="A90" s="21" t="s">
        <v>416</v>
      </c>
      <c r="B90" s="2" t="s">
        <v>409</v>
      </c>
      <c r="C90" s="2" t="s">
        <v>219</v>
      </c>
      <c r="D90" s="2" t="s">
        <v>112</v>
      </c>
      <c r="E90" s="4" t="s">
        <v>417</v>
      </c>
    </row>
    <row r="91" spans="1:5" s="3" customFormat="1">
      <c r="A91" s="21" t="s">
        <v>418</v>
      </c>
      <c r="B91" s="2" t="s">
        <v>409</v>
      </c>
      <c r="C91" s="2" t="s">
        <v>181</v>
      </c>
      <c r="D91" s="2" t="s">
        <v>310</v>
      </c>
      <c r="E91" s="4" t="s">
        <v>419</v>
      </c>
    </row>
    <row r="92" spans="1:5" s="3" customFormat="1">
      <c r="A92" s="21" t="s">
        <v>420</v>
      </c>
      <c r="B92" s="2" t="s">
        <v>180</v>
      </c>
      <c r="C92" s="2" t="s">
        <v>181</v>
      </c>
      <c r="D92" s="2" t="s">
        <v>276</v>
      </c>
      <c r="E92" s="4" t="s">
        <v>421</v>
      </c>
    </row>
    <row r="93" spans="1:5" s="3" customFormat="1">
      <c r="A93" s="21" t="s">
        <v>422</v>
      </c>
      <c r="B93" s="2" t="s">
        <v>180</v>
      </c>
      <c r="C93" s="2" t="s">
        <v>181</v>
      </c>
      <c r="D93" s="2" t="s">
        <v>77</v>
      </c>
      <c r="E93" s="4" t="s">
        <v>423</v>
      </c>
    </row>
    <row r="95" spans="1:5" s="3" customFormat="1" ht="14.25">
      <c r="A95" s="18"/>
      <c r="B95" s="19" t="s">
        <v>36</v>
      </c>
    </row>
    <row r="96" spans="1:5" s="3" customFormat="1" ht="15">
      <c r="A96" s="20" t="s">
        <v>37</v>
      </c>
      <c r="B96" s="20" t="s">
        <v>38</v>
      </c>
      <c r="C96" s="20" t="s">
        <v>39</v>
      </c>
      <c r="D96" s="20" t="s">
        <v>40</v>
      </c>
      <c r="E96" s="20" t="s">
        <v>41</v>
      </c>
    </row>
    <row r="97" spans="1:5" s="3" customFormat="1">
      <c r="A97" s="21" t="s">
        <v>424</v>
      </c>
      <c r="B97" s="2" t="s">
        <v>36</v>
      </c>
      <c r="C97" s="2" t="s">
        <v>219</v>
      </c>
      <c r="D97" s="2" t="s">
        <v>141</v>
      </c>
      <c r="E97" s="4" t="s">
        <v>425</v>
      </c>
    </row>
    <row r="98" spans="1:5" s="3" customFormat="1">
      <c r="A98" s="21" t="s">
        <v>426</v>
      </c>
      <c r="B98" s="2" t="s">
        <v>36</v>
      </c>
      <c r="C98" s="2" t="s">
        <v>56</v>
      </c>
      <c r="D98" s="2" t="s">
        <v>322</v>
      </c>
      <c r="E98" s="4" t="s">
        <v>427</v>
      </c>
    </row>
    <row r="99" spans="1:5" s="3" customFormat="1">
      <c r="A99" s="21" t="s">
        <v>428</v>
      </c>
      <c r="B99" s="2" t="s">
        <v>36</v>
      </c>
      <c r="C99" s="2" t="s">
        <v>43</v>
      </c>
      <c r="D99" s="2" t="s">
        <v>230</v>
      </c>
      <c r="E99" s="4" t="s">
        <v>429</v>
      </c>
    </row>
    <row r="100" spans="1:5" s="3" customFormat="1">
      <c r="A100" s="21" t="s">
        <v>241</v>
      </c>
      <c r="B100" s="2" t="s">
        <v>36</v>
      </c>
      <c r="C100" s="2" t="s">
        <v>190</v>
      </c>
      <c r="D100" s="2" t="s">
        <v>389</v>
      </c>
      <c r="E100" s="4" t="s">
        <v>430</v>
      </c>
    </row>
    <row r="101" spans="1:5" s="3" customFormat="1">
      <c r="A101" s="21" t="s">
        <v>431</v>
      </c>
      <c r="B101" s="2" t="s">
        <v>36</v>
      </c>
      <c r="C101" s="2" t="s">
        <v>187</v>
      </c>
      <c r="D101" s="2" t="s">
        <v>97</v>
      </c>
      <c r="E101" s="4" t="s">
        <v>432</v>
      </c>
    </row>
    <row r="102" spans="1:5" s="3" customFormat="1">
      <c r="A102" s="21" t="s">
        <v>433</v>
      </c>
      <c r="B102" s="2" t="s">
        <v>36</v>
      </c>
      <c r="C102" s="2" t="s">
        <v>198</v>
      </c>
      <c r="D102" s="2" t="s">
        <v>225</v>
      </c>
      <c r="E102" s="4" t="s">
        <v>434</v>
      </c>
    </row>
    <row r="103" spans="1:5" s="3" customFormat="1">
      <c r="A103" s="21" t="s">
        <v>435</v>
      </c>
      <c r="B103" s="2" t="s">
        <v>36</v>
      </c>
      <c r="C103" s="2" t="s">
        <v>219</v>
      </c>
      <c r="D103" s="2" t="s">
        <v>322</v>
      </c>
      <c r="E103" s="4" t="s">
        <v>436</v>
      </c>
    </row>
    <row r="104" spans="1:5" s="3" customFormat="1">
      <c r="A104" s="21" t="s">
        <v>437</v>
      </c>
      <c r="B104" s="2" t="s">
        <v>36</v>
      </c>
      <c r="C104" s="2" t="s">
        <v>56</v>
      </c>
      <c r="D104" s="2" t="s">
        <v>328</v>
      </c>
      <c r="E104" s="4" t="s">
        <v>438</v>
      </c>
    </row>
    <row r="105" spans="1:5" s="3" customFormat="1">
      <c r="A105" s="21" t="s">
        <v>439</v>
      </c>
      <c r="B105" s="2" t="s">
        <v>36</v>
      </c>
      <c r="C105" s="2" t="s">
        <v>198</v>
      </c>
      <c r="D105" s="2" t="s">
        <v>338</v>
      </c>
      <c r="E105" s="4" t="s">
        <v>440</v>
      </c>
    </row>
    <row r="106" spans="1:5" s="3" customFormat="1">
      <c r="A106" s="21" t="s">
        <v>441</v>
      </c>
      <c r="B106" s="2" t="s">
        <v>36</v>
      </c>
      <c r="C106" s="2" t="s">
        <v>181</v>
      </c>
      <c r="D106" s="2" t="s">
        <v>315</v>
      </c>
      <c r="E106" s="4" t="s">
        <v>442</v>
      </c>
    </row>
    <row r="107" spans="1:5" s="3" customFormat="1">
      <c r="A107" s="21" t="s">
        <v>443</v>
      </c>
      <c r="B107" s="2" t="s">
        <v>36</v>
      </c>
      <c r="C107" s="2" t="s">
        <v>190</v>
      </c>
      <c r="D107" s="2" t="s">
        <v>394</v>
      </c>
      <c r="E107" s="4" t="s">
        <v>444</v>
      </c>
    </row>
    <row r="108" spans="1:5" s="3" customFormat="1">
      <c r="A108" s="21" t="s">
        <v>445</v>
      </c>
      <c r="B108" s="2" t="s">
        <v>36</v>
      </c>
      <c r="C108" s="2" t="s">
        <v>56</v>
      </c>
      <c r="D108" s="2" t="s">
        <v>316</v>
      </c>
      <c r="E108" s="4" t="s">
        <v>446</v>
      </c>
    </row>
    <row r="109" spans="1:5" s="3" customFormat="1">
      <c r="A109" s="21" t="s">
        <v>447</v>
      </c>
      <c r="B109" s="2" t="s">
        <v>36</v>
      </c>
      <c r="C109" s="2" t="s">
        <v>198</v>
      </c>
      <c r="D109" s="2" t="s">
        <v>343</v>
      </c>
      <c r="E109" s="4" t="s">
        <v>448</v>
      </c>
    </row>
    <row r="110" spans="1:5" s="3" customFormat="1">
      <c r="A110" s="21" t="s">
        <v>449</v>
      </c>
      <c r="B110" s="2" t="s">
        <v>36</v>
      </c>
      <c r="C110" s="2" t="s">
        <v>43</v>
      </c>
      <c r="D110" s="2" t="s">
        <v>338</v>
      </c>
      <c r="E110" s="4" t="s">
        <v>450</v>
      </c>
    </row>
    <row r="111" spans="1:5" s="3" customFormat="1">
      <c r="A111" s="21" t="s">
        <v>451</v>
      </c>
      <c r="B111" s="2" t="s">
        <v>36</v>
      </c>
      <c r="C111" s="2" t="s">
        <v>187</v>
      </c>
      <c r="D111" s="2" t="s">
        <v>327</v>
      </c>
      <c r="E111" s="4" t="s">
        <v>452</v>
      </c>
    </row>
    <row r="113" spans="1:5" s="3" customFormat="1" ht="14.25">
      <c r="A113" s="18"/>
      <c r="B113" s="19" t="s">
        <v>99</v>
      </c>
    </row>
    <row r="114" spans="1:5" s="3" customFormat="1" ht="15">
      <c r="A114" s="20" t="s">
        <v>37</v>
      </c>
      <c r="B114" s="20" t="s">
        <v>38</v>
      </c>
      <c r="C114" s="20" t="s">
        <v>39</v>
      </c>
      <c r="D114" s="20" t="s">
        <v>40</v>
      </c>
      <c r="E114" s="20" t="s">
        <v>41</v>
      </c>
    </row>
    <row r="115" spans="1:5" s="3" customFormat="1">
      <c r="A115" s="21" t="s">
        <v>453</v>
      </c>
      <c r="B115" s="2" t="s">
        <v>454</v>
      </c>
      <c r="C115" s="2" t="s">
        <v>198</v>
      </c>
      <c r="D115" s="2" t="s">
        <v>349</v>
      </c>
      <c r="E115" s="4" t="s">
        <v>455</v>
      </c>
    </row>
    <row r="116" spans="1:5" s="3" customFormat="1">
      <c r="A116" s="21" t="s">
        <v>456</v>
      </c>
      <c r="B116" s="2" t="s">
        <v>239</v>
      </c>
      <c r="C116" s="2" t="s">
        <v>190</v>
      </c>
      <c r="D116" s="2" t="s">
        <v>398</v>
      </c>
      <c r="E116" s="4" t="s">
        <v>457</v>
      </c>
    </row>
    <row r="117" spans="1:5" s="3" customFormat="1">
      <c r="A117" s="21" t="s">
        <v>458</v>
      </c>
      <c r="B117" s="2" t="s">
        <v>256</v>
      </c>
      <c r="C117" s="2" t="s">
        <v>187</v>
      </c>
      <c r="D117" s="2" t="s">
        <v>247</v>
      </c>
      <c r="E117" s="4" t="s">
        <v>459</v>
      </c>
    </row>
    <row r="118" spans="1:5" s="3" customFormat="1">
      <c r="A118" s="21" t="s">
        <v>241</v>
      </c>
      <c r="B118" s="2" t="s">
        <v>176</v>
      </c>
      <c r="C118" s="2" t="s">
        <v>190</v>
      </c>
      <c r="D118" s="2" t="s">
        <v>389</v>
      </c>
      <c r="E118" s="4" t="s">
        <v>460</v>
      </c>
    </row>
    <row r="119" spans="1:5" s="3" customFormat="1">
      <c r="A119" s="21" t="s">
        <v>461</v>
      </c>
      <c r="B119" s="2" t="s">
        <v>176</v>
      </c>
      <c r="C119" s="2" t="s">
        <v>219</v>
      </c>
      <c r="D119" s="2" t="s">
        <v>225</v>
      </c>
      <c r="E119" s="4" t="s">
        <v>462</v>
      </c>
    </row>
    <row r="120" spans="1:5" s="3" customFormat="1">
      <c r="A120" s="21" t="s">
        <v>463</v>
      </c>
      <c r="B120" s="2" t="s">
        <v>464</v>
      </c>
      <c r="C120" s="2" t="s">
        <v>198</v>
      </c>
      <c r="D120" s="2" t="s">
        <v>111</v>
      </c>
      <c r="E120" s="4" t="s">
        <v>465</v>
      </c>
    </row>
  </sheetData>
  <mergeCells count="2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9:J39"/>
    <mergeCell ref="A43:J43"/>
    <mergeCell ref="A49:J49"/>
    <mergeCell ref="A54:J54"/>
    <mergeCell ref="A9:J9"/>
    <mergeCell ref="A13:J13"/>
    <mergeCell ref="A16:J16"/>
    <mergeCell ref="A20:J20"/>
    <mergeCell ref="A27:J27"/>
    <mergeCell ref="A32:J32"/>
  </mergeCells>
  <pageMargins left="0.69999998807907104" right="0.69999998807907104" top="0.75" bottom="0.75" header="0.30000001192092901" footer="0.30000001192092901"/>
  <pageSetup fitToWidth="0" fitToHeight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1" sqref="F11:G16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6" width="26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5.7109375" style="2" customWidth="1"/>
    <col min="14" max="16384" width="9.140625" style="1"/>
  </cols>
  <sheetData>
    <row r="1" spans="1:13" s="5" customFormat="1" ht="29.25" customHeight="1">
      <c r="A1" s="42" t="s">
        <v>466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467</v>
      </c>
      <c r="B6" s="8" t="s">
        <v>361</v>
      </c>
      <c r="C6" s="8" t="s">
        <v>362</v>
      </c>
      <c r="D6" s="8" t="str">
        <f>"0,5905"</f>
        <v>0,5905</v>
      </c>
      <c r="E6" s="8" t="s">
        <v>50</v>
      </c>
      <c r="F6" s="8" t="s">
        <v>110</v>
      </c>
      <c r="G6" s="10" t="s">
        <v>321</v>
      </c>
      <c r="H6" s="9" t="s">
        <v>322</v>
      </c>
      <c r="I6" s="9" t="s">
        <v>147</v>
      </c>
      <c r="J6" s="10"/>
      <c r="K6" s="11" t="str">
        <f>"172,5"</f>
        <v>172,5</v>
      </c>
      <c r="L6" s="12" t="str">
        <f>"101,8612"</f>
        <v>101,8612</v>
      </c>
      <c r="M6" s="8" t="s">
        <v>21</v>
      </c>
    </row>
    <row r="8" spans="1:13" s="3" customFormat="1" ht="15">
      <c r="A8" s="51" t="s">
        <v>149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468</v>
      </c>
      <c r="B9" s="8" t="s">
        <v>469</v>
      </c>
      <c r="C9" s="8" t="s">
        <v>470</v>
      </c>
      <c r="D9" s="8" t="str">
        <f>"0,5384"</f>
        <v>0,5384</v>
      </c>
      <c r="E9" s="8" t="s">
        <v>16</v>
      </c>
      <c r="F9" s="8" t="s">
        <v>110</v>
      </c>
      <c r="G9" s="9" t="s">
        <v>230</v>
      </c>
      <c r="H9" s="9" t="s">
        <v>389</v>
      </c>
      <c r="I9" s="10" t="s">
        <v>169</v>
      </c>
      <c r="J9" s="10"/>
      <c r="K9" s="11" t="str">
        <f>"200,0"</f>
        <v>200,0</v>
      </c>
      <c r="L9" s="12" t="str">
        <f>"107,6800"</f>
        <v>107,6800</v>
      </c>
      <c r="M9" s="8" t="s">
        <v>21</v>
      </c>
    </row>
    <row r="11" spans="1:13" s="3" customFormat="1" ht="15">
      <c r="E11" s="13" t="s">
        <v>22</v>
      </c>
      <c r="F11" s="14" t="s">
        <v>23</v>
      </c>
      <c r="G11" s="15" t="s">
        <v>24</v>
      </c>
    </row>
    <row r="12" spans="1:13" s="3" customFormat="1" ht="15">
      <c r="E12" s="13" t="s">
        <v>25</v>
      </c>
      <c r="F12" s="14" t="s">
        <v>26</v>
      </c>
    </row>
    <row r="13" spans="1:13" s="3" customFormat="1" ht="15">
      <c r="E13" s="13" t="s">
        <v>28</v>
      </c>
      <c r="F13" s="14" t="s">
        <v>23</v>
      </c>
      <c r="G13" s="15" t="s">
        <v>24</v>
      </c>
    </row>
    <row r="14" spans="1:13" s="3" customFormat="1" ht="15">
      <c r="E14" s="13" t="s">
        <v>31</v>
      </c>
      <c r="F14" s="14" t="s">
        <v>32</v>
      </c>
      <c r="G14" s="15" t="s">
        <v>30</v>
      </c>
    </row>
    <row r="15" spans="1:13" s="3" customFormat="1" ht="15">
      <c r="E15" s="13" t="s">
        <v>31</v>
      </c>
      <c r="F15" s="14" t="s">
        <v>29</v>
      </c>
      <c r="G15" s="15" t="s">
        <v>30</v>
      </c>
    </row>
    <row r="16" spans="1:13" s="3" customFormat="1" ht="15">
      <c r="E16" s="13" t="s">
        <v>33</v>
      </c>
      <c r="F16" s="14" t="s">
        <v>26</v>
      </c>
    </row>
    <row r="17" spans="1:5" s="3" customFormat="1" ht="15">
      <c r="E17" s="13"/>
    </row>
    <row r="19" spans="1:5" s="3" customFormat="1" ht="18">
      <c r="A19" s="16" t="s">
        <v>34</v>
      </c>
      <c r="B19" s="16"/>
    </row>
    <row r="20" spans="1:5" s="3" customFormat="1" ht="15">
      <c r="A20" s="17" t="s">
        <v>35</v>
      </c>
      <c r="B20" s="17"/>
    </row>
    <row r="21" spans="1:5" s="3" customFormat="1" ht="14.25">
      <c r="A21" s="18"/>
      <c r="B21" s="19" t="s">
        <v>36</v>
      </c>
    </row>
    <row r="22" spans="1:5" s="3" customFormat="1" ht="15">
      <c r="A22" s="20" t="s">
        <v>37</v>
      </c>
      <c r="B22" s="20" t="s">
        <v>38</v>
      </c>
      <c r="C22" s="20" t="s">
        <v>39</v>
      </c>
      <c r="D22" s="20" t="s">
        <v>40</v>
      </c>
      <c r="E22" s="20" t="s">
        <v>41</v>
      </c>
    </row>
    <row r="23" spans="1:5" s="3" customFormat="1">
      <c r="A23" s="21" t="s">
        <v>471</v>
      </c>
      <c r="B23" s="2" t="s">
        <v>36</v>
      </c>
      <c r="C23" s="2" t="s">
        <v>187</v>
      </c>
      <c r="D23" s="2" t="s">
        <v>389</v>
      </c>
      <c r="E23" s="4" t="s">
        <v>472</v>
      </c>
    </row>
    <row r="24" spans="1:5" s="3" customFormat="1">
      <c r="A24" s="21" t="s">
        <v>449</v>
      </c>
      <c r="B24" s="2" t="s">
        <v>36</v>
      </c>
      <c r="C24" s="2" t="s">
        <v>43</v>
      </c>
      <c r="D24" s="2" t="s">
        <v>147</v>
      </c>
      <c r="E24" s="4" t="s">
        <v>473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69999998807907104" right="0.69999998807907104" top="0.75" bottom="0.75" header="0.30000001192092901" footer="0.30000001192092901"/>
  <pageSetup fitToWidth="0" fitToHeight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F20" sqref="F20:G25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4.57031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18.7109375" style="2" customWidth="1"/>
    <col min="14" max="16384" width="9.140625" style="1"/>
  </cols>
  <sheetData>
    <row r="1" spans="1:13" s="5" customFormat="1" ht="29.25" customHeight="1">
      <c r="A1" s="42" t="s">
        <v>474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121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475</v>
      </c>
      <c r="B6" s="8" t="s">
        <v>476</v>
      </c>
      <c r="C6" s="8" t="s">
        <v>477</v>
      </c>
      <c r="D6" s="8" t="str">
        <f>"0,7429"</f>
        <v>0,7429</v>
      </c>
      <c r="E6" s="8" t="s">
        <v>246</v>
      </c>
      <c r="F6" s="8" t="s">
        <v>17</v>
      </c>
      <c r="G6" s="9" t="s">
        <v>286</v>
      </c>
      <c r="H6" s="10" t="s">
        <v>287</v>
      </c>
      <c r="I6" s="9" t="s">
        <v>311</v>
      </c>
      <c r="J6" s="10"/>
      <c r="K6" s="11" t="str">
        <f>"72,5"</f>
        <v>72,5</v>
      </c>
      <c r="L6" s="12" t="str">
        <f>"54,0218"</f>
        <v>54,0218</v>
      </c>
      <c r="M6" s="8" t="s">
        <v>478</v>
      </c>
    </row>
    <row r="8" spans="1:13" s="3" customFormat="1" ht="15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479</v>
      </c>
      <c r="B9" s="8" t="s">
        <v>480</v>
      </c>
      <c r="C9" s="8" t="s">
        <v>481</v>
      </c>
      <c r="D9" s="8" t="str">
        <f>"0,7119"</f>
        <v>0,7119</v>
      </c>
      <c r="E9" s="8" t="s">
        <v>246</v>
      </c>
      <c r="F9" s="8" t="s">
        <v>17</v>
      </c>
      <c r="G9" s="9" t="s">
        <v>118</v>
      </c>
      <c r="H9" s="9" t="s">
        <v>482</v>
      </c>
      <c r="I9" s="9" t="s">
        <v>305</v>
      </c>
      <c r="J9" s="10"/>
      <c r="K9" s="11" t="str">
        <f>"107,5"</f>
        <v>107,5</v>
      </c>
      <c r="L9" s="12" t="str">
        <f>"76,5292"</f>
        <v>76,5292</v>
      </c>
      <c r="M9" s="8" t="s">
        <v>478</v>
      </c>
    </row>
    <row r="11" spans="1:13" s="3" customFormat="1" ht="15">
      <c r="A11" s="51" t="s">
        <v>12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s="3" customFormat="1">
      <c r="A12" s="8" t="s">
        <v>483</v>
      </c>
      <c r="B12" s="8" t="s">
        <v>484</v>
      </c>
      <c r="C12" s="8" t="s">
        <v>485</v>
      </c>
      <c r="D12" s="8" t="str">
        <f>"0,6142"</f>
        <v>0,6142</v>
      </c>
      <c r="E12" s="8" t="s">
        <v>246</v>
      </c>
      <c r="F12" s="8" t="s">
        <v>17</v>
      </c>
      <c r="G12" s="9" t="s">
        <v>118</v>
      </c>
      <c r="H12" s="9" t="s">
        <v>119</v>
      </c>
      <c r="I12" s="9" t="s">
        <v>349</v>
      </c>
      <c r="J12" s="10"/>
      <c r="K12" s="11" t="str">
        <f>"110,0"</f>
        <v>110,0</v>
      </c>
      <c r="L12" s="12" t="str">
        <f>"67,5620"</f>
        <v>67,5620</v>
      </c>
      <c r="M12" s="8" t="s">
        <v>486</v>
      </c>
    </row>
    <row r="14" spans="1:13" s="3" customFormat="1" ht="15">
      <c r="A14" s="51" t="s">
        <v>211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s="3" customFormat="1">
      <c r="A15" s="8" t="s">
        <v>487</v>
      </c>
      <c r="B15" s="8" t="s">
        <v>488</v>
      </c>
      <c r="C15" s="8" t="s">
        <v>214</v>
      </c>
      <c r="D15" s="8" t="str">
        <f>"0,5558"</f>
        <v>0,5558</v>
      </c>
      <c r="E15" s="8" t="s">
        <v>50</v>
      </c>
      <c r="F15" s="8" t="s">
        <v>110</v>
      </c>
      <c r="G15" s="9" t="s">
        <v>127</v>
      </c>
      <c r="H15" s="9" t="s">
        <v>338</v>
      </c>
      <c r="I15" s="9" t="s">
        <v>489</v>
      </c>
      <c r="J15" s="10"/>
      <c r="K15" s="11" t="str">
        <f>"145,0"</f>
        <v>145,0</v>
      </c>
      <c r="L15" s="12" t="str">
        <f>"80,5910"</f>
        <v>80,5910</v>
      </c>
      <c r="M15" s="8" t="s">
        <v>21</v>
      </c>
    </row>
    <row r="17" spans="1:13" s="3" customFormat="1" ht="15">
      <c r="A17" s="51" t="s">
        <v>490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3" s="3" customFormat="1">
      <c r="A18" s="8" t="s">
        <v>491</v>
      </c>
      <c r="B18" s="8" t="s">
        <v>492</v>
      </c>
      <c r="C18" s="8" t="s">
        <v>493</v>
      </c>
      <c r="D18" s="8" t="str">
        <f>"0,4980"</f>
        <v>0,4980</v>
      </c>
      <c r="E18" s="8" t="s">
        <v>246</v>
      </c>
      <c r="F18" s="8" t="s">
        <v>17</v>
      </c>
      <c r="G18" s="9" t="s">
        <v>494</v>
      </c>
      <c r="H18" s="9" t="s">
        <v>111</v>
      </c>
      <c r="I18" s="9" t="s">
        <v>118</v>
      </c>
      <c r="J18" s="10"/>
      <c r="K18" s="11" t="str">
        <f>"100,0"</f>
        <v>100,0</v>
      </c>
      <c r="L18" s="12" t="str">
        <f>"50,2482"</f>
        <v>50,2482</v>
      </c>
      <c r="M18" s="8" t="s">
        <v>478</v>
      </c>
    </row>
    <row r="20" spans="1:13" s="3" customFormat="1" ht="15">
      <c r="E20" s="13" t="s">
        <v>22</v>
      </c>
      <c r="F20" s="14" t="s">
        <v>23</v>
      </c>
      <c r="G20" s="15" t="s">
        <v>24</v>
      </c>
    </row>
    <row r="21" spans="1:13" s="3" customFormat="1" ht="15">
      <c r="E21" s="13" t="s">
        <v>25</v>
      </c>
      <c r="F21" s="14" t="s">
        <v>26</v>
      </c>
    </row>
    <row r="22" spans="1:13" s="3" customFormat="1" ht="15">
      <c r="E22" s="13" t="s">
        <v>28</v>
      </c>
      <c r="F22" s="14" t="s">
        <v>32</v>
      </c>
      <c r="G22" s="15" t="s">
        <v>30</v>
      </c>
    </row>
    <row r="23" spans="1:13" s="3" customFormat="1" ht="15">
      <c r="E23" s="13" t="s">
        <v>31</v>
      </c>
      <c r="F23" s="14" t="s">
        <v>23</v>
      </c>
      <c r="G23" s="15" t="s">
        <v>24</v>
      </c>
    </row>
    <row r="24" spans="1:13" s="3" customFormat="1" ht="15">
      <c r="E24" s="13" t="s">
        <v>31</v>
      </c>
      <c r="F24" s="14" t="s">
        <v>29</v>
      </c>
      <c r="G24" s="15" t="s">
        <v>30</v>
      </c>
    </row>
    <row r="25" spans="1:13" s="3" customFormat="1" ht="15">
      <c r="E25" s="13" t="s">
        <v>33</v>
      </c>
      <c r="F25" s="14" t="s">
        <v>26</v>
      </c>
      <c r="L25" s="1" t="s">
        <v>27</v>
      </c>
    </row>
    <row r="26" spans="1:13" s="3" customFormat="1" ht="15">
      <c r="E26" s="13"/>
    </row>
    <row r="28" spans="1:13" s="3" customFormat="1" ht="18">
      <c r="A28" s="16" t="s">
        <v>34</v>
      </c>
      <c r="B28" s="16"/>
    </row>
    <row r="29" spans="1:13" s="3" customFormat="1" ht="15">
      <c r="A29" s="17" t="s">
        <v>35</v>
      </c>
      <c r="B29" s="17"/>
    </row>
    <row r="30" spans="1:13" s="3" customFormat="1" ht="14.25">
      <c r="A30" s="18"/>
      <c r="B30" s="19" t="s">
        <v>36</v>
      </c>
    </row>
    <row r="31" spans="1:13" s="3" customFormat="1" ht="15">
      <c r="A31" s="20" t="s">
        <v>37</v>
      </c>
      <c r="B31" s="20" t="s">
        <v>38</v>
      </c>
      <c r="C31" s="20" t="s">
        <v>39</v>
      </c>
      <c r="D31" s="20" t="s">
        <v>40</v>
      </c>
      <c r="E31" s="20" t="s">
        <v>41</v>
      </c>
    </row>
    <row r="32" spans="1:13" s="3" customFormat="1">
      <c r="A32" s="21" t="s">
        <v>495</v>
      </c>
      <c r="B32" s="2" t="s">
        <v>36</v>
      </c>
      <c r="C32" s="2" t="s">
        <v>219</v>
      </c>
      <c r="D32" s="2" t="s">
        <v>489</v>
      </c>
      <c r="E32" s="4" t="s">
        <v>496</v>
      </c>
    </row>
    <row r="33" spans="1:5" s="3" customFormat="1">
      <c r="A33" s="21" t="s">
        <v>497</v>
      </c>
      <c r="B33" s="2" t="s">
        <v>36</v>
      </c>
      <c r="C33" s="2" t="s">
        <v>56</v>
      </c>
      <c r="D33" s="2" t="s">
        <v>305</v>
      </c>
      <c r="E33" s="4" t="s">
        <v>498</v>
      </c>
    </row>
    <row r="34" spans="1:5" s="3" customFormat="1">
      <c r="A34" s="21" t="s">
        <v>499</v>
      </c>
      <c r="B34" s="2" t="s">
        <v>36</v>
      </c>
      <c r="C34" s="2" t="s">
        <v>43</v>
      </c>
      <c r="D34" s="2" t="s">
        <v>349</v>
      </c>
      <c r="E34" s="4" t="s">
        <v>500</v>
      </c>
    </row>
    <row r="36" spans="1:5" s="3" customFormat="1" ht="14.25">
      <c r="A36" s="18"/>
      <c r="B36" s="19" t="s">
        <v>99</v>
      </c>
    </row>
    <row r="37" spans="1:5" s="3" customFormat="1" ht="15">
      <c r="A37" s="20" t="s">
        <v>37</v>
      </c>
      <c r="B37" s="20" t="s">
        <v>38</v>
      </c>
      <c r="C37" s="20" t="s">
        <v>39</v>
      </c>
      <c r="D37" s="20" t="s">
        <v>40</v>
      </c>
      <c r="E37" s="20" t="s">
        <v>41</v>
      </c>
    </row>
    <row r="38" spans="1:5" s="3" customFormat="1">
      <c r="A38" s="21" t="s">
        <v>501</v>
      </c>
      <c r="B38" s="2" t="s">
        <v>176</v>
      </c>
      <c r="C38" s="2" t="s">
        <v>181</v>
      </c>
      <c r="D38" s="2" t="s">
        <v>311</v>
      </c>
      <c r="E38" s="4" t="s">
        <v>502</v>
      </c>
    </row>
    <row r="39" spans="1:5" s="3" customFormat="1">
      <c r="A39" s="21" t="s">
        <v>503</v>
      </c>
      <c r="B39" s="2" t="s">
        <v>176</v>
      </c>
      <c r="C39" s="2" t="s">
        <v>504</v>
      </c>
      <c r="D39" s="2" t="s">
        <v>118</v>
      </c>
      <c r="E39" s="4" t="s">
        <v>505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K3:K4"/>
  </mergeCells>
  <pageMargins left="0.69999998807907104" right="0.69999998807907104" top="0.75" bottom="0.75" header="0.30000001192092901" footer="0.30000001192092901"/>
  <pageSetup fitToWidth="0" fitToHeight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18.5703125" style="2" customWidth="1"/>
    <col min="14" max="16384" width="9.140625" style="1"/>
  </cols>
  <sheetData>
    <row r="1" spans="1:13" s="5" customFormat="1" ht="29.25" customHeight="1">
      <c r="A1" s="42" t="s">
        <v>506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157</v>
      </c>
      <c r="B6" s="8" t="s">
        <v>158</v>
      </c>
      <c r="C6" s="8" t="s">
        <v>159</v>
      </c>
      <c r="D6" s="8" t="str">
        <f>"0,5259"</f>
        <v>0,5259</v>
      </c>
      <c r="E6" s="8" t="s">
        <v>160</v>
      </c>
      <c r="F6" s="8" t="s">
        <v>110</v>
      </c>
      <c r="G6" s="9" t="s">
        <v>322</v>
      </c>
      <c r="H6" s="9" t="s">
        <v>147</v>
      </c>
      <c r="I6" s="10" t="s">
        <v>380</v>
      </c>
      <c r="J6" s="10"/>
      <c r="K6" s="11" t="str">
        <f>"172,5"</f>
        <v>172,5</v>
      </c>
      <c r="L6" s="12" t="str">
        <f>"90,7178"</f>
        <v>90,7178</v>
      </c>
      <c r="M6" s="8" t="s">
        <v>164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</row>
    <row r="10" spans="1:13" s="3" customFormat="1" ht="15">
      <c r="E10" s="13" t="s">
        <v>28</v>
      </c>
      <c r="F10" s="14" t="s">
        <v>32</v>
      </c>
      <c r="G10" s="15" t="s">
        <v>30</v>
      </c>
    </row>
    <row r="11" spans="1:13" s="3" customFormat="1" ht="15">
      <c r="E11" s="13" t="s">
        <v>31</v>
      </c>
      <c r="F11" s="14" t="s">
        <v>23</v>
      </c>
      <c r="G11" s="15" t="s">
        <v>24</v>
      </c>
    </row>
    <row r="12" spans="1:13" s="3" customFormat="1" ht="15">
      <c r="E12" s="13" t="s">
        <v>31</v>
      </c>
      <c r="F12" s="14" t="s">
        <v>29</v>
      </c>
      <c r="G12" s="15" t="s">
        <v>30</v>
      </c>
    </row>
    <row r="13" spans="1:13" s="3" customFormat="1" ht="15">
      <c r="E13" s="13" t="s">
        <v>33</v>
      </c>
      <c r="F13" s="14" t="s">
        <v>26</v>
      </c>
    </row>
    <row r="14" spans="1:13" s="3" customFormat="1" ht="15">
      <c r="E14" s="13"/>
    </row>
    <row r="16" spans="1:13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189</v>
      </c>
      <c r="B20" s="2" t="s">
        <v>36</v>
      </c>
      <c r="C20" s="2" t="s">
        <v>190</v>
      </c>
      <c r="D20" s="2" t="s">
        <v>147</v>
      </c>
      <c r="E20" s="4" t="s">
        <v>507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K20" sqref="K20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9.28515625" style="2" customWidth="1"/>
    <col min="5" max="6" width="26" style="2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4" customWidth="1"/>
    <col min="20" max="20" width="8.5703125" style="5" customWidth="1"/>
    <col min="21" max="21" width="15.7109375" style="2" customWidth="1"/>
    <col min="22" max="16384" width="9.140625" style="1"/>
  </cols>
  <sheetData>
    <row r="1" spans="1:21" s="5" customFormat="1" ht="29.25" customHeight="1">
      <c r="A1" s="42" t="s">
        <v>508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89</v>
      </c>
      <c r="H3" s="37"/>
      <c r="I3" s="37"/>
      <c r="J3" s="37"/>
      <c r="K3" s="37" t="s">
        <v>65</v>
      </c>
      <c r="L3" s="37"/>
      <c r="M3" s="37"/>
      <c r="N3" s="37"/>
      <c r="O3" s="37" t="s">
        <v>105</v>
      </c>
      <c r="P3" s="37"/>
      <c r="Q3" s="37"/>
      <c r="R3" s="37"/>
      <c r="S3" s="37" t="s">
        <v>67</v>
      </c>
      <c r="T3" s="37" t="s">
        <v>9</v>
      </c>
      <c r="U3" s="39" t="s">
        <v>10</v>
      </c>
    </row>
    <row r="4" spans="1:21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>
        <v>1</v>
      </c>
      <c r="L4" s="7">
        <v>2</v>
      </c>
      <c r="M4" s="7">
        <v>3</v>
      </c>
      <c r="N4" s="7" t="s">
        <v>11</v>
      </c>
      <c r="O4" s="7">
        <v>1</v>
      </c>
      <c r="P4" s="7">
        <v>2</v>
      </c>
      <c r="Q4" s="7">
        <v>3</v>
      </c>
      <c r="R4" s="7" t="s">
        <v>11</v>
      </c>
      <c r="S4" s="38"/>
      <c r="T4" s="38"/>
      <c r="U4" s="40"/>
    </row>
    <row r="5" spans="1:21" s="3" customFormat="1" ht="15">
      <c r="A5" s="41" t="s">
        <v>211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s="3" customFormat="1">
      <c r="A6" s="8" t="s">
        <v>509</v>
      </c>
      <c r="B6" s="8" t="s">
        <v>510</v>
      </c>
      <c r="C6" s="8" t="s">
        <v>511</v>
      </c>
      <c r="D6" s="8" t="str">
        <f>"0,5744"</f>
        <v>0,5744</v>
      </c>
      <c r="E6" s="8" t="s">
        <v>16</v>
      </c>
      <c r="F6" s="8" t="s">
        <v>110</v>
      </c>
      <c r="G6" s="9" t="s">
        <v>373</v>
      </c>
      <c r="H6" s="9" t="s">
        <v>251</v>
      </c>
      <c r="I6" s="9" t="s">
        <v>230</v>
      </c>
      <c r="J6" s="10"/>
      <c r="K6" s="9" t="s">
        <v>327</v>
      </c>
      <c r="L6" s="9" t="s">
        <v>328</v>
      </c>
      <c r="M6" s="10" t="s">
        <v>127</v>
      </c>
      <c r="N6" s="10"/>
      <c r="O6" s="9" t="s">
        <v>230</v>
      </c>
      <c r="P6" s="9" t="s">
        <v>359</v>
      </c>
      <c r="Q6" s="10" t="s">
        <v>512</v>
      </c>
      <c r="R6" s="10"/>
      <c r="S6" s="11" t="str">
        <f>"525,0"</f>
        <v>525,0</v>
      </c>
      <c r="T6" s="12" t="str">
        <f>"301,5600"</f>
        <v>301,5600</v>
      </c>
      <c r="U6" s="8" t="s">
        <v>21</v>
      </c>
    </row>
    <row r="8" spans="1:21" s="3" customFormat="1" ht="15">
      <c r="E8" s="13" t="s">
        <v>22</v>
      </c>
      <c r="F8" s="14" t="s">
        <v>23</v>
      </c>
      <c r="G8" s="15" t="s">
        <v>24</v>
      </c>
    </row>
    <row r="9" spans="1:21" s="3" customFormat="1" ht="15">
      <c r="E9" s="13" t="s">
        <v>25</v>
      </c>
      <c r="F9" s="14" t="s">
        <v>26</v>
      </c>
    </row>
    <row r="10" spans="1:21" s="3" customFormat="1" ht="15">
      <c r="E10" s="13" t="s">
        <v>28</v>
      </c>
      <c r="F10" s="14" t="s">
        <v>32</v>
      </c>
      <c r="G10" s="15" t="s">
        <v>30</v>
      </c>
    </row>
    <row r="11" spans="1:21" s="3" customFormat="1" ht="15">
      <c r="E11" s="13" t="s">
        <v>31</v>
      </c>
      <c r="F11" s="14" t="s">
        <v>23</v>
      </c>
      <c r="G11" s="15" t="s">
        <v>24</v>
      </c>
    </row>
    <row r="12" spans="1:21" s="3" customFormat="1" ht="15">
      <c r="E12" s="13" t="s">
        <v>31</v>
      </c>
      <c r="F12" s="14" t="s">
        <v>29</v>
      </c>
      <c r="G12" s="15" t="s">
        <v>30</v>
      </c>
    </row>
    <row r="13" spans="1:21" s="3" customFormat="1" ht="15">
      <c r="E13" s="13" t="s">
        <v>33</v>
      </c>
      <c r="F13" s="14" t="s">
        <v>26</v>
      </c>
    </row>
    <row r="14" spans="1:21" s="3" customFormat="1" ht="15">
      <c r="E14" s="13"/>
    </row>
    <row r="16" spans="1:21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82</v>
      </c>
      <c r="E19" s="20" t="s">
        <v>41</v>
      </c>
    </row>
    <row r="20" spans="1:5" s="3" customFormat="1">
      <c r="A20" s="21" t="s">
        <v>513</v>
      </c>
      <c r="B20" s="2" t="s">
        <v>36</v>
      </c>
      <c r="C20" s="2" t="s">
        <v>219</v>
      </c>
      <c r="D20" s="2" t="s">
        <v>514</v>
      </c>
      <c r="E20" s="4" t="s">
        <v>515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69999998807907104" right="0.69999998807907104" top="0.75" bottom="0.75" header="0.30000001192092901" footer="0.30000001192092901"/>
  <pageSetup fitToWidth="0" fitToHeight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M14" sqref="M14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9.28515625" style="2" customWidth="1"/>
    <col min="5" max="5" width="22.7109375" style="2" customWidth="1"/>
    <col min="6" max="6" width="26" style="2" customWidth="1"/>
    <col min="7" max="7" width="2.7109375" style="3" customWidth="1"/>
    <col min="8" max="9" width="2.140625" style="3" customWidth="1"/>
    <col min="10" max="10" width="4.85546875" style="3" customWidth="1"/>
    <col min="11" max="13" width="2.140625" style="3" customWidth="1"/>
    <col min="14" max="14" width="4.85546875" style="3" customWidth="1"/>
    <col min="15" max="17" width="2.140625" style="3" customWidth="1"/>
    <col min="18" max="18" width="4.85546875" style="3" customWidth="1"/>
    <col min="19" max="19" width="7.85546875" style="4" customWidth="1"/>
    <col min="20" max="20" width="6.5703125" style="5" customWidth="1"/>
    <col min="21" max="21" width="15.28515625" style="2" customWidth="1"/>
    <col min="22" max="16384" width="9.140625" style="1"/>
  </cols>
  <sheetData>
    <row r="1" spans="1:21" s="5" customFormat="1" ht="29.25" customHeight="1">
      <c r="A1" s="42" t="s">
        <v>516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89</v>
      </c>
      <c r="H3" s="37"/>
      <c r="I3" s="37"/>
      <c r="J3" s="37"/>
      <c r="K3" s="37" t="s">
        <v>65</v>
      </c>
      <c r="L3" s="37"/>
      <c r="M3" s="37"/>
      <c r="N3" s="37"/>
      <c r="O3" s="37" t="s">
        <v>105</v>
      </c>
      <c r="P3" s="37"/>
      <c r="Q3" s="37"/>
      <c r="R3" s="37"/>
      <c r="S3" s="37" t="s">
        <v>67</v>
      </c>
      <c r="T3" s="37" t="s">
        <v>9</v>
      </c>
      <c r="U3" s="39" t="s">
        <v>10</v>
      </c>
    </row>
    <row r="4" spans="1:21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>
        <v>1</v>
      </c>
      <c r="L4" s="7">
        <v>2</v>
      </c>
      <c r="M4" s="7">
        <v>3</v>
      </c>
      <c r="N4" s="7" t="s">
        <v>11</v>
      </c>
      <c r="O4" s="7">
        <v>1</v>
      </c>
      <c r="P4" s="7">
        <v>2</v>
      </c>
      <c r="Q4" s="7">
        <v>3</v>
      </c>
      <c r="R4" s="7" t="s">
        <v>11</v>
      </c>
      <c r="S4" s="38"/>
      <c r="T4" s="38"/>
      <c r="U4" s="40"/>
    </row>
    <row r="5" spans="1:21" s="3" customFormat="1" ht="15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s="3" customFormat="1">
      <c r="A6" s="8" t="s">
        <v>517</v>
      </c>
      <c r="B6" s="8" t="s">
        <v>518</v>
      </c>
      <c r="C6" s="8" t="s">
        <v>519</v>
      </c>
      <c r="D6" s="8" t="str">
        <f>"0,5853"</f>
        <v>0,5853</v>
      </c>
      <c r="E6" s="8" t="s">
        <v>50</v>
      </c>
      <c r="F6" s="8" t="s">
        <v>110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 t="str">
        <f>"0.00"</f>
        <v>0.00</v>
      </c>
      <c r="T6" s="12" t="str">
        <f>"0,0000"</f>
        <v>0,0000</v>
      </c>
      <c r="U6" s="8" t="s">
        <v>329</v>
      </c>
    </row>
    <row r="8" spans="1:21" s="3" customFormat="1" ht="15">
      <c r="E8" s="13" t="s">
        <v>22</v>
      </c>
      <c r="F8" s="14" t="s">
        <v>23</v>
      </c>
      <c r="G8" s="15" t="s">
        <v>24</v>
      </c>
    </row>
    <row r="9" spans="1:21" s="3" customFormat="1" ht="15">
      <c r="E9" s="13" t="s">
        <v>25</v>
      </c>
      <c r="F9" s="14" t="s">
        <v>26</v>
      </c>
    </row>
    <row r="10" spans="1:21" s="3" customFormat="1" ht="15">
      <c r="E10" s="13" t="s">
        <v>28</v>
      </c>
      <c r="F10" s="14" t="s">
        <v>23</v>
      </c>
      <c r="G10" s="15" t="s">
        <v>24</v>
      </c>
    </row>
    <row r="11" spans="1:21" s="3" customFormat="1" ht="15">
      <c r="E11" s="13" t="s">
        <v>31</v>
      </c>
      <c r="F11" s="14" t="s">
        <v>32</v>
      </c>
      <c r="G11" s="15" t="s">
        <v>30</v>
      </c>
    </row>
    <row r="12" spans="1:21" s="3" customFormat="1" ht="15">
      <c r="E12" s="13" t="s">
        <v>31</v>
      </c>
      <c r="F12" s="14" t="s">
        <v>29</v>
      </c>
      <c r="G12" s="15" t="s">
        <v>30</v>
      </c>
    </row>
    <row r="13" spans="1:21" s="3" customFormat="1" ht="15">
      <c r="E13" s="13" t="s">
        <v>33</v>
      </c>
      <c r="F13" s="14" t="s">
        <v>26</v>
      </c>
    </row>
    <row r="14" spans="1:21" s="3" customFormat="1" ht="15">
      <c r="E14" s="13"/>
    </row>
    <row r="16" spans="1:21" s="3" customFormat="1" ht="18">
      <c r="A16" s="16" t="s">
        <v>34</v>
      </c>
      <c r="B16" s="16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69999998807907104" right="0.69999998807907104" top="0.75" bottom="0.75" header="0.30000001192092901" footer="0.30000001192092901"/>
  <pageSetup fitToWidth="0" fitToHeight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M22" sqref="M22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9.28515625" style="2" customWidth="1"/>
    <col min="5" max="5" width="22.7109375" style="2" customWidth="1"/>
    <col min="6" max="6" width="34.5703125" style="2" customWidth="1"/>
    <col min="7" max="9" width="5.5703125" style="3" customWidth="1"/>
    <col min="10" max="10" width="4.85546875" style="3" customWidth="1"/>
    <col min="11" max="11" width="4.5703125" style="3" customWidth="1"/>
    <col min="12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4" customWidth="1"/>
    <col min="20" max="20" width="8.5703125" style="5" customWidth="1"/>
    <col min="21" max="21" width="19" style="2" customWidth="1"/>
    <col min="22" max="16384" width="9.140625" style="1"/>
  </cols>
  <sheetData>
    <row r="1" spans="1:21" s="5" customFormat="1" ht="29.25" customHeight="1">
      <c r="A1" s="42" t="s">
        <v>520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89</v>
      </c>
      <c r="H3" s="37"/>
      <c r="I3" s="37"/>
      <c r="J3" s="37"/>
      <c r="K3" s="37" t="s">
        <v>65</v>
      </c>
      <c r="L3" s="37"/>
      <c r="M3" s="37"/>
      <c r="N3" s="37"/>
      <c r="O3" s="37" t="s">
        <v>105</v>
      </c>
      <c r="P3" s="37"/>
      <c r="Q3" s="37"/>
      <c r="R3" s="37"/>
      <c r="S3" s="37" t="s">
        <v>67</v>
      </c>
      <c r="T3" s="37" t="s">
        <v>9</v>
      </c>
      <c r="U3" s="39" t="s">
        <v>10</v>
      </c>
    </row>
    <row r="4" spans="1:21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>
        <v>1</v>
      </c>
      <c r="L4" s="7">
        <v>2</v>
      </c>
      <c r="M4" s="7">
        <v>3</v>
      </c>
      <c r="N4" s="7" t="s">
        <v>11</v>
      </c>
      <c r="O4" s="7">
        <v>1</v>
      </c>
      <c r="P4" s="7">
        <v>2</v>
      </c>
      <c r="Q4" s="7">
        <v>3</v>
      </c>
      <c r="R4" s="7" t="s">
        <v>11</v>
      </c>
      <c r="S4" s="38"/>
      <c r="T4" s="38"/>
      <c r="U4" s="40"/>
    </row>
    <row r="5" spans="1:21" s="3" customFormat="1" ht="15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s="3" customFormat="1">
      <c r="A6" s="22" t="s">
        <v>521</v>
      </c>
      <c r="B6" s="22" t="s">
        <v>522</v>
      </c>
      <c r="C6" s="22" t="s">
        <v>523</v>
      </c>
      <c r="D6" s="22" t="str">
        <f>"0,6074"</f>
        <v>0,6074</v>
      </c>
      <c r="E6" s="22" t="s">
        <v>246</v>
      </c>
      <c r="F6" s="22" t="s">
        <v>17</v>
      </c>
      <c r="G6" s="23" t="s">
        <v>327</v>
      </c>
      <c r="H6" s="24" t="s">
        <v>126</v>
      </c>
      <c r="I6" s="23" t="s">
        <v>328</v>
      </c>
      <c r="J6" s="24"/>
      <c r="K6" s="23" t="s">
        <v>247</v>
      </c>
      <c r="L6" s="23" t="s">
        <v>118</v>
      </c>
      <c r="M6" s="23" t="s">
        <v>119</v>
      </c>
      <c r="N6" s="24"/>
      <c r="O6" s="23" t="s">
        <v>126</v>
      </c>
      <c r="P6" s="23" t="s">
        <v>127</v>
      </c>
      <c r="Q6" s="23" t="s">
        <v>338</v>
      </c>
      <c r="R6" s="24"/>
      <c r="S6" s="25" t="str">
        <f>"375,0"</f>
        <v>375,0</v>
      </c>
      <c r="T6" s="26" t="str">
        <f>"274,2411"</f>
        <v>274,2411</v>
      </c>
      <c r="U6" s="22" t="s">
        <v>478</v>
      </c>
    </row>
    <row r="7" spans="1:21" s="3" customFormat="1">
      <c r="A7" s="27" t="s">
        <v>90</v>
      </c>
      <c r="B7" s="27" t="s">
        <v>91</v>
      </c>
      <c r="C7" s="27" t="s">
        <v>92</v>
      </c>
      <c r="D7" s="27" t="str">
        <f>"0,5914"</f>
        <v>0,5914</v>
      </c>
      <c r="E7" s="27" t="s">
        <v>93</v>
      </c>
      <c r="F7" s="27" t="s">
        <v>94</v>
      </c>
      <c r="G7" s="28" t="s">
        <v>95</v>
      </c>
      <c r="H7" s="28" t="s">
        <v>96</v>
      </c>
      <c r="I7" s="28" t="s">
        <v>97</v>
      </c>
      <c r="J7" s="29"/>
      <c r="K7" s="28" t="s">
        <v>524</v>
      </c>
      <c r="L7" s="28" t="s">
        <v>112</v>
      </c>
      <c r="M7" s="28" t="s">
        <v>118</v>
      </c>
      <c r="N7" s="29"/>
      <c r="O7" s="28" t="s">
        <v>205</v>
      </c>
      <c r="P7" s="28" t="s">
        <v>140</v>
      </c>
      <c r="Q7" s="29" t="s">
        <v>206</v>
      </c>
      <c r="R7" s="29"/>
      <c r="S7" s="30" t="str">
        <f>"492,5"</f>
        <v>492,5</v>
      </c>
      <c r="T7" s="31" t="str">
        <f>"447,0910"</f>
        <v>447,0910</v>
      </c>
      <c r="U7" s="27" t="s">
        <v>98</v>
      </c>
    </row>
    <row r="9" spans="1:21" s="3" customFormat="1" ht="15">
      <c r="E9" s="13" t="s">
        <v>22</v>
      </c>
      <c r="F9" s="14" t="s">
        <v>23</v>
      </c>
      <c r="G9" s="15" t="s">
        <v>24</v>
      </c>
    </row>
    <row r="10" spans="1:21" s="3" customFormat="1" ht="15">
      <c r="E10" s="13" t="s">
        <v>25</v>
      </c>
      <c r="F10" s="14" t="s">
        <v>26</v>
      </c>
    </row>
    <row r="11" spans="1:21" s="3" customFormat="1" ht="15">
      <c r="E11" s="13" t="s">
        <v>28</v>
      </c>
      <c r="F11" s="14" t="s">
        <v>32</v>
      </c>
      <c r="G11" s="15" t="s">
        <v>30</v>
      </c>
    </row>
    <row r="12" spans="1:21" s="3" customFormat="1" ht="15">
      <c r="E12" s="13" t="s">
        <v>31</v>
      </c>
      <c r="F12" s="14" t="s">
        <v>23</v>
      </c>
      <c r="G12" s="15" t="s">
        <v>24</v>
      </c>
    </row>
    <row r="13" spans="1:21" s="3" customFormat="1" ht="15">
      <c r="E13" s="13" t="s">
        <v>31</v>
      </c>
      <c r="F13" s="14" t="s">
        <v>29</v>
      </c>
      <c r="G13" s="15" t="s">
        <v>30</v>
      </c>
    </row>
    <row r="14" spans="1:21" s="3" customFormat="1" ht="15">
      <c r="E14" s="13" t="s">
        <v>33</v>
      </c>
      <c r="F14" s="14" t="s">
        <v>26</v>
      </c>
    </row>
    <row r="15" spans="1:21" s="3" customFormat="1" ht="15">
      <c r="E15" s="13"/>
    </row>
    <row r="17" spans="1:5" s="3" customFormat="1" ht="18">
      <c r="A17" s="16" t="s">
        <v>34</v>
      </c>
      <c r="B17" s="16"/>
    </row>
    <row r="18" spans="1:5" s="3" customFormat="1" ht="15">
      <c r="A18" s="17" t="s">
        <v>35</v>
      </c>
      <c r="B18" s="17"/>
    </row>
    <row r="19" spans="1:5" s="3" customFormat="1" ht="14.25">
      <c r="A19" s="18"/>
      <c r="B19" s="19" t="s">
        <v>99</v>
      </c>
    </row>
    <row r="20" spans="1:5" s="3" customFormat="1" ht="15">
      <c r="A20" s="20" t="s">
        <v>37</v>
      </c>
      <c r="B20" s="20" t="s">
        <v>38</v>
      </c>
      <c r="C20" s="20" t="s">
        <v>39</v>
      </c>
      <c r="D20" s="20" t="s">
        <v>82</v>
      </c>
      <c r="E20" s="20" t="s">
        <v>41</v>
      </c>
    </row>
    <row r="21" spans="1:5" s="3" customFormat="1">
      <c r="A21" s="21" t="s">
        <v>100</v>
      </c>
      <c r="B21" s="2" t="s">
        <v>101</v>
      </c>
      <c r="C21" s="2" t="s">
        <v>43</v>
      </c>
      <c r="D21" s="2" t="s">
        <v>525</v>
      </c>
      <c r="E21" s="4" t="s">
        <v>526</v>
      </c>
    </row>
    <row r="22" spans="1:5" s="3" customFormat="1">
      <c r="A22" s="21" t="s">
        <v>527</v>
      </c>
      <c r="B22" s="2" t="s">
        <v>239</v>
      </c>
      <c r="C22" s="2" t="s">
        <v>43</v>
      </c>
      <c r="D22" s="2" t="s">
        <v>528</v>
      </c>
      <c r="E22" s="4" t="s">
        <v>529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69999998807907104" right="0.69999998807907104" top="0.75" bottom="0.75" header="0.30000001192092901" footer="0.30000001192092901"/>
  <pageSetup fitToWidth="0" fitToHeight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7" width="5.5703125" style="3" customWidth="1"/>
    <col min="8" max="8" width="10.42578125" style="3" customWidth="1"/>
    <col min="9" max="9" width="7.85546875" style="4" customWidth="1"/>
    <col min="10" max="10" width="7.5703125" style="5" customWidth="1"/>
    <col min="11" max="11" width="14.7109375" style="2" customWidth="1"/>
    <col min="12" max="16384" width="9.140625" style="1"/>
  </cols>
  <sheetData>
    <row r="1" spans="1:11" s="5" customFormat="1" ht="29.25" customHeight="1">
      <c r="A1" s="42" t="s">
        <v>530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531</v>
      </c>
      <c r="E3" s="37" t="s">
        <v>5</v>
      </c>
      <c r="F3" s="37" t="s">
        <v>6</v>
      </c>
      <c r="G3" s="37" t="s">
        <v>532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534</v>
      </c>
      <c r="B5" s="41"/>
      <c r="C5" s="41"/>
      <c r="D5" s="41"/>
      <c r="E5" s="41"/>
      <c r="F5" s="41"/>
      <c r="G5" s="41"/>
      <c r="H5" s="41"/>
    </row>
    <row r="6" spans="1:11" s="3" customFormat="1">
      <c r="A6" s="8" t="s">
        <v>535</v>
      </c>
      <c r="B6" s="8" t="s">
        <v>536</v>
      </c>
      <c r="C6" s="8" t="s">
        <v>537</v>
      </c>
      <c r="D6" s="8" t="str">
        <f>"1,0000"</f>
        <v>1,0000</v>
      </c>
      <c r="E6" s="8" t="s">
        <v>109</v>
      </c>
      <c r="F6" s="8" t="s">
        <v>110</v>
      </c>
      <c r="G6" s="9" t="s">
        <v>118</v>
      </c>
      <c r="H6" s="9" t="s">
        <v>538</v>
      </c>
      <c r="I6" s="11" t="str">
        <f>"5100,0"</f>
        <v>5100,0</v>
      </c>
      <c r="J6" s="12" t="str">
        <f>"58,8235"</f>
        <v>58,8235</v>
      </c>
      <c r="K6" s="8" t="s">
        <v>539</v>
      </c>
    </row>
    <row r="8" spans="1:11" s="3" customFormat="1" ht="15">
      <c r="E8" s="13" t="s">
        <v>22</v>
      </c>
      <c r="F8" s="14" t="s">
        <v>23</v>
      </c>
      <c r="G8" s="15" t="s">
        <v>24</v>
      </c>
    </row>
    <row r="9" spans="1:11" s="3" customFormat="1" ht="15">
      <c r="E9" s="13" t="s">
        <v>25</v>
      </c>
      <c r="F9" s="14" t="s">
        <v>26</v>
      </c>
    </row>
    <row r="10" spans="1:11" s="3" customFormat="1" ht="15">
      <c r="E10" s="13" t="s">
        <v>28</v>
      </c>
      <c r="F10" s="14" t="s">
        <v>32</v>
      </c>
      <c r="G10" s="15" t="s">
        <v>30</v>
      </c>
    </row>
    <row r="11" spans="1:11" s="3" customFormat="1" ht="15">
      <c r="E11" s="13" t="s">
        <v>31</v>
      </c>
      <c r="F11" s="14" t="s">
        <v>23</v>
      </c>
      <c r="G11" s="15" t="s">
        <v>24</v>
      </c>
    </row>
    <row r="12" spans="1:11" s="3" customFormat="1" ht="15">
      <c r="E12" s="13" t="s">
        <v>31</v>
      </c>
      <c r="F12" s="14" t="s">
        <v>29</v>
      </c>
      <c r="G12" s="15" t="s">
        <v>30</v>
      </c>
    </row>
    <row r="13" spans="1:11" s="3" customFormat="1" ht="15">
      <c r="E13" s="13" t="s">
        <v>33</v>
      </c>
      <c r="F13" s="14" t="s">
        <v>26</v>
      </c>
    </row>
    <row r="14" spans="1:11" s="3" customFormat="1" ht="15">
      <c r="E14" s="13"/>
    </row>
    <row r="16" spans="1:11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540</v>
      </c>
    </row>
    <row r="20" spans="1:5" s="3" customFormat="1">
      <c r="A20" s="21" t="s">
        <v>541</v>
      </c>
      <c r="B20" s="2" t="s">
        <v>36</v>
      </c>
      <c r="C20" s="2" t="s">
        <v>542</v>
      </c>
      <c r="D20" s="2" t="s">
        <v>543</v>
      </c>
      <c r="E20" s="4" t="s">
        <v>544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9.85546875" style="2" customWidth="1"/>
    <col min="7" max="8" width="4.5703125" style="3" customWidth="1"/>
    <col min="9" max="9" width="2.1406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8.85546875" style="2" customWidth="1"/>
    <col min="14" max="16384" width="9.140625" style="1"/>
  </cols>
  <sheetData>
    <row r="1" spans="1:13" s="5" customFormat="1" ht="29.25" customHeight="1">
      <c r="A1" s="42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47</v>
      </c>
      <c r="B6" s="8" t="s">
        <v>48</v>
      </c>
      <c r="C6" s="8" t="s">
        <v>49</v>
      </c>
      <c r="D6" s="8" t="str">
        <f>"0,6708"</f>
        <v>0,6708</v>
      </c>
      <c r="E6" s="8" t="s">
        <v>50</v>
      </c>
      <c r="F6" s="8" t="s">
        <v>51</v>
      </c>
      <c r="G6" s="9" t="s">
        <v>52</v>
      </c>
      <c r="H6" s="9" t="s">
        <v>53</v>
      </c>
      <c r="I6" s="10"/>
      <c r="J6" s="10"/>
      <c r="K6" s="11" t="str">
        <f>"71,0"</f>
        <v>71,0</v>
      </c>
      <c r="L6" s="12" t="str">
        <f>"47,6268"</f>
        <v>47,6268</v>
      </c>
      <c r="M6" s="8" t="s">
        <v>54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</row>
    <row r="10" spans="1:13" s="3" customFormat="1" ht="15">
      <c r="E10" s="13" t="s">
        <v>28</v>
      </c>
      <c r="F10" s="14" t="s">
        <v>29</v>
      </c>
      <c r="G10" s="15" t="s">
        <v>30</v>
      </c>
    </row>
    <row r="11" spans="1:13" s="3" customFormat="1" ht="15">
      <c r="E11" s="13" t="s">
        <v>31</v>
      </c>
      <c r="F11" s="14" t="s">
        <v>23</v>
      </c>
      <c r="G11" s="15" t="s">
        <v>24</v>
      </c>
    </row>
    <row r="12" spans="1:13" s="3" customFormat="1" ht="15">
      <c r="E12" s="13" t="s">
        <v>31</v>
      </c>
      <c r="F12" s="14" t="s">
        <v>32</v>
      </c>
      <c r="G12" s="15" t="s">
        <v>30</v>
      </c>
    </row>
    <row r="13" spans="1:13" s="3" customFormat="1" ht="15">
      <c r="E13" s="13" t="s">
        <v>33</v>
      </c>
      <c r="F13" s="14" t="s">
        <v>26</v>
      </c>
    </row>
    <row r="14" spans="1:13" s="3" customFormat="1" ht="15">
      <c r="E14" s="13"/>
    </row>
    <row r="16" spans="1:13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55</v>
      </c>
      <c r="B20" s="2" t="s">
        <v>36</v>
      </c>
      <c r="C20" s="2" t="s">
        <v>56</v>
      </c>
      <c r="D20" s="2" t="s">
        <v>53</v>
      </c>
      <c r="E20" s="4" t="s">
        <v>57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7" width="5" style="3" customWidth="1"/>
    <col min="8" max="8" width="10.42578125" style="3" customWidth="1"/>
    <col min="9" max="9" width="7.85546875" style="4" customWidth="1"/>
    <col min="10" max="10" width="7.5703125" style="5" customWidth="1"/>
    <col min="11" max="11" width="14.7109375" style="2" customWidth="1"/>
    <col min="12" max="16384" width="9.140625" style="1"/>
  </cols>
  <sheetData>
    <row r="1" spans="1:11" s="5" customFormat="1" ht="29.25" customHeight="1">
      <c r="A1" s="42" t="s">
        <v>545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531</v>
      </c>
      <c r="E3" s="37" t="s">
        <v>5</v>
      </c>
      <c r="F3" s="37" t="s">
        <v>6</v>
      </c>
      <c r="G3" s="37" t="s">
        <v>532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534</v>
      </c>
      <c r="B5" s="41"/>
      <c r="C5" s="41"/>
      <c r="D5" s="41"/>
      <c r="E5" s="41"/>
      <c r="F5" s="41"/>
      <c r="G5" s="41"/>
      <c r="H5" s="41"/>
    </row>
    <row r="6" spans="1:11" s="3" customFormat="1">
      <c r="A6" s="8" t="s">
        <v>546</v>
      </c>
      <c r="B6" s="8" t="s">
        <v>547</v>
      </c>
      <c r="C6" s="8" t="s">
        <v>548</v>
      </c>
      <c r="D6" s="8" t="str">
        <f>"1,0000"</f>
        <v>1,0000</v>
      </c>
      <c r="E6" s="8" t="s">
        <v>109</v>
      </c>
      <c r="F6" s="8" t="s">
        <v>110</v>
      </c>
      <c r="G6" s="9" t="s">
        <v>549</v>
      </c>
      <c r="H6" s="9" t="s">
        <v>550</v>
      </c>
      <c r="I6" s="11" t="str">
        <f>"1350,0"</f>
        <v>1350,0</v>
      </c>
      <c r="J6" s="12" t="str">
        <f>"31,3225"</f>
        <v>31,3225</v>
      </c>
      <c r="K6" s="8" t="s">
        <v>539</v>
      </c>
    </row>
    <row r="8" spans="1:11" s="3" customFormat="1" ht="15">
      <c r="E8" s="13" t="s">
        <v>22</v>
      </c>
      <c r="F8" s="14" t="s">
        <v>23</v>
      </c>
      <c r="G8" s="15" t="s">
        <v>24</v>
      </c>
    </row>
    <row r="9" spans="1:11" s="3" customFormat="1" ht="15">
      <c r="E9" s="13" t="s">
        <v>25</v>
      </c>
      <c r="F9" s="14" t="s">
        <v>26</v>
      </c>
    </row>
    <row r="10" spans="1:11" s="3" customFormat="1" ht="15">
      <c r="E10" s="13" t="s">
        <v>28</v>
      </c>
      <c r="F10" s="14" t="s">
        <v>32</v>
      </c>
      <c r="G10" s="15" t="s">
        <v>30</v>
      </c>
    </row>
    <row r="11" spans="1:11" s="3" customFormat="1" ht="15">
      <c r="E11" s="13" t="s">
        <v>31</v>
      </c>
      <c r="F11" s="14" t="s">
        <v>23</v>
      </c>
      <c r="G11" s="15" t="s">
        <v>24</v>
      </c>
    </row>
    <row r="12" spans="1:11" s="3" customFormat="1" ht="15">
      <c r="E12" s="13" t="s">
        <v>31</v>
      </c>
      <c r="F12" s="14" t="s">
        <v>29</v>
      </c>
      <c r="G12" s="15" t="s">
        <v>30</v>
      </c>
    </row>
    <row r="13" spans="1:11" s="3" customFormat="1" ht="15">
      <c r="E13" s="13" t="s">
        <v>33</v>
      </c>
      <c r="F13" s="14" t="s">
        <v>26</v>
      </c>
    </row>
    <row r="14" spans="1:11" s="3" customFormat="1" ht="15">
      <c r="E14" s="13"/>
    </row>
    <row r="16" spans="1:11" s="3" customFormat="1" ht="18">
      <c r="A16" s="16" t="s">
        <v>34</v>
      </c>
      <c r="B16" s="16"/>
    </row>
    <row r="17" spans="1:5" s="3" customFormat="1" ht="15">
      <c r="A17" s="17" t="s">
        <v>81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540</v>
      </c>
    </row>
    <row r="20" spans="1:5" s="3" customFormat="1">
      <c r="A20" s="21" t="s">
        <v>551</v>
      </c>
      <c r="B20" s="2" t="s">
        <v>36</v>
      </c>
      <c r="C20" s="2" t="s">
        <v>542</v>
      </c>
      <c r="D20" s="2" t="s">
        <v>552</v>
      </c>
      <c r="E20" s="4" t="s">
        <v>553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9.85546875" style="2" customWidth="1"/>
    <col min="7" max="7" width="5" style="3" customWidth="1"/>
    <col min="8" max="8" width="10.42578125" style="3" customWidth="1"/>
    <col min="9" max="9" width="7.85546875" style="4" customWidth="1"/>
    <col min="10" max="10" width="7.5703125" style="5" customWidth="1"/>
    <col min="11" max="11" width="8.85546875" style="2" customWidth="1"/>
    <col min="12" max="16384" width="9.140625" style="1"/>
  </cols>
  <sheetData>
    <row r="1" spans="1:11" s="5" customFormat="1" ht="29.25" customHeight="1">
      <c r="A1" s="42" t="s">
        <v>554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531</v>
      </c>
      <c r="E3" s="37" t="s">
        <v>5</v>
      </c>
      <c r="F3" s="37" t="s">
        <v>6</v>
      </c>
      <c r="G3" s="37" t="s">
        <v>555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534</v>
      </c>
      <c r="B5" s="41"/>
      <c r="C5" s="41"/>
      <c r="D5" s="41"/>
      <c r="E5" s="41"/>
      <c r="F5" s="41"/>
      <c r="G5" s="41"/>
      <c r="H5" s="41"/>
    </row>
    <row r="6" spans="1:11" s="3" customFormat="1">
      <c r="A6" s="8" t="s">
        <v>47</v>
      </c>
      <c r="B6" s="8" t="s">
        <v>48</v>
      </c>
      <c r="C6" s="8" t="s">
        <v>49</v>
      </c>
      <c r="D6" s="8" t="str">
        <f>"1,0000"</f>
        <v>1,0000</v>
      </c>
      <c r="E6" s="8" t="s">
        <v>50</v>
      </c>
      <c r="F6" s="8" t="s">
        <v>51</v>
      </c>
      <c r="G6" s="9" t="s">
        <v>263</v>
      </c>
      <c r="H6" s="9" t="s">
        <v>556</v>
      </c>
      <c r="I6" s="11" t="str">
        <f>"1700,0"</f>
        <v>1700,0</v>
      </c>
      <c r="J6" s="12" t="str">
        <f>"22,9419"</f>
        <v>22,9419</v>
      </c>
      <c r="K6" s="8" t="s">
        <v>54</v>
      </c>
    </row>
    <row r="8" spans="1:11" s="3" customFormat="1" ht="15">
      <c r="E8" s="13" t="s">
        <v>22</v>
      </c>
      <c r="F8" s="14" t="s">
        <v>23</v>
      </c>
      <c r="G8" s="15" t="s">
        <v>24</v>
      </c>
    </row>
    <row r="9" spans="1:11" s="3" customFormat="1" ht="15">
      <c r="E9" s="13" t="s">
        <v>25</v>
      </c>
      <c r="F9" s="14" t="s">
        <v>26</v>
      </c>
    </row>
    <row r="10" spans="1:11" s="3" customFormat="1" ht="15">
      <c r="E10" s="13" t="s">
        <v>28</v>
      </c>
      <c r="F10" s="14" t="s">
        <v>32</v>
      </c>
      <c r="G10" s="15" t="s">
        <v>30</v>
      </c>
    </row>
    <row r="11" spans="1:11" s="3" customFormat="1" ht="15">
      <c r="E11" s="13" t="s">
        <v>31</v>
      </c>
      <c r="F11" s="14" t="s">
        <v>23</v>
      </c>
      <c r="G11" s="15" t="s">
        <v>24</v>
      </c>
    </row>
    <row r="12" spans="1:11" s="3" customFormat="1" ht="15">
      <c r="E12" s="13" t="s">
        <v>31</v>
      </c>
      <c r="F12" s="14" t="s">
        <v>29</v>
      </c>
      <c r="G12" s="15" t="s">
        <v>30</v>
      </c>
    </row>
    <row r="13" spans="1:11" s="3" customFormat="1" ht="15">
      <c r="E13" s="13" t="s">
        <v>33</v>
      </c>
      <c r="F13" s="14" t="s">
        <v>26</v>
      </c>
    </row>
    <row r="14" spans="1:11" s="3" customFormat="1" ht="15">
      <c r="E14" s="13"/>
    </row>
    <row r="16" spans="1:11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540</v>
      </c>
    </row>
    <row r="20" spans="1:5" s="3" customFormat="1">
      <c r="A20" s="21" t="s">
        <v>55</v>
      </c>
      <c r="B20" s="2" t="s">
        <v>36</v>
      </c>
      <c r="C20" s="2" t="s">
        <v>542</v>
      </c>
      <c r="D20" s="2" t="s">
        <v>557</v>
      </c>
      <c r="E20" s="4" t="s">
        <v>558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10" sqref="F10:G15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0.28515625" style="2" customWidth="1"/>
    <col min="7" max="7" width="5" style="3" customWidth="1"/>
    <col min="8" max="8" width="10.42578125" style="3" customWidth="1"/>
    <col min="9" max="9" width="7.85546875" style="4" customWidth="1"/>
    <col min="10" max="10" width="7.5703125" style="5" customWidth="1"/>
    <col min="11" max="11" width="16.5703125" style="2" customWidth="1"/>
    <col min="12" max="16384" width="9.140625" style="1"/>
  </cols>
  <sheetData>
    <row r="1" spans="1:11" s="5" customFormat="1" ht="29.25" customHeight="1">
      <c r="A1" s="42" t="s">
        <v>559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531</v>
      </c>
      <c r="E3" s="37" t="s">
        <v>5</v>
      </c>
      <c r="F3" s="37" t="s">
        <v>6</v>
      </c>
      <c r="G3" s="37" t="s">
        <v>560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534</v>
      </c>
      <c r="B5" s="41"/>
      <c r="C5" s="41"/>
      <c r="D5" s="41"/>
      <c r="E5" s="41"/>
      <c r="F5" s="41"/>
      <c r="G5" s="41"/>
      <c r="H5" s="41"/>
    </row>
    <row r="6" spans="1:11" s="3" customFormat="1">
      <c r="A6" s="22" t="s">
        <v>561</v>
      </c>
      <c r="B6" s="22" t="s">
        <v>562</v>
      </c>
      <c r="C6" s="22" t="s">
        <v>347</v>
      </c>
      <c r="D6" s="22" t="str">
        <f>"1,0000"</f>
        <v>1,0000</v>
      </c>
      <c r="E6" s="22" t="s">
        <v>74</v>
      </c>
      <c r="F6" s="22" t="s">
        <v>110</v>
      </c>
      <c r="G6" s="23" t="s">
        <v>264</v>
      </c>
      <c r="H6" s="23" t="s">
        <v>563</v>
      </c>
      <c r="I6" s="25" t="str">
        <f>"1595,0"</f>
        <v>1595,0</v>
      </c>
      <c r="J6" s="26" t="str">
        <f>"19,5226"</f>
        <v>19,5226</v>
      </c>
      <c r="K6" s="22" t="s">
        <v>80</v>
      </c>
    </row>
    <row r="7" spans="1:11" s="3" customFormat="1">
      <c r="A7" s="32" t="s">
        <v>564</v>
      </c>
      <c r="B7" s="32" t="s">
        <v>565</v>
      </c>
      <c r="C7" s="32" t="s">
        <v>566</v>
      </c>
      <c r="D7" s="32" t="str">
        <f>"1,0000"</f>
        <v>1,0000</v>
      </c>
      <c r="E7" s="32" t="s">
        <v>567</v>
      </c>
      <c r="F7" s="32" t="s">
        <v>568</v>
      </c>
      <c r="G7" s="34" t="s">
        <v>264</v>
      </c>
      <c r="H7" s="34"/>
      <c r="I7" s="35" t="str">
        <f>"0.00"</f>
        <v>0.00</v>
      </c>
      <c r="J7" s="36" t="str">
        <f>"0,0000"</f>
        <v>0,0000</v>
      </c>
      <c r="K7" s="32" t="s">
        <v>21</v>
      </c>
    </row>
    <row r="8" spans="1:11" s="3" customFormat="1">
      <c r="A8" s="27" t="s">
        <v>345</v>
      </c>
      <c r="B8" s="27" t="s">
        <v>346</v>
      </c>
      <c r="C8" s="27" t="s">
        <v>347</v>
      </c>
      <c r="D8" s="27" t="str">
        <f>"1,0000"</f>
        <v>1,0000</v>
      </c>
      <c r="E8" s="27" t="s">
        <v>348</v>
      </c>
      <c r="F8" s="27" t="s">
        <v>75</v>
      </c>
      <c r="G8" s="28" t="s">
        <v>264</v>
      </c>
      <c r="H8" s="28" t="s">
        <v>569</v>
      </c>
      <c r="I8" s="30" t="str">
        <f>"2090,0"</f>
        <v>2090,0</v>
      </c>
      <c r="J8" s="31" t="str">
        <f>"25,5813"</f>
        <v>25,5813</v>
      </c>
      <c r="K8" s="27" t="s">
        <v>350</v>
      </c>
    </row>
    <row r="10" spans="1:11" s="3" customFormat="1" ht="15">
      <c r="E10" s="13" t="s">
        <v>22</v>
      </c>
      <c r="F10" s="14" t="s">
        <v>23</v>
      </c>
      <c r="G10" s="15" t="s">
        <v>24</v>
      </c>
    </row>
    <row r="11" spans="1:11" s="3" customFormat="1" ht="15">
      <c r="E11" s="13" t="s">
        <v>25</v>
      </c>
      <c r="F11" s="14" t="s">
        <v>26</v>
      </c>
    </row>
    <row r="12" spans="1:11" s="3" customFormat="1" ht="15">
      <c r="E12" s="13" t="s">
        <v>28</v>
      </c>
      <c r="F12" s="14" t="s">
        <v>32</v>
      </c>
      <c r="G12" s="15" t="s">
        <v>30</v>
      </c>
    </row>
    <row r="13" spans="1:11" s="3" customFormat="1" ht="15">
      <c r="E13" s="13" t="s">
        <v>31</v>
      </c>
      <c r="F13" s="14" t="s">
        <v>23</v>
      </c>
      <c r="G13" s="15" t="s">
        <v>24</v>
      </c>
    </row>
    <row r="14" spans="1:11" s="3" customFormat="1" ht="15">
      <c r="E14" s="13" t="s">
        <v>31</v>
      </c>
      <c r="F14" s="14" t="s">
        <v>29</v>
      </c>
      <c r="G14" s="15" t="s">
        <v>30</v>
      </c>
    </row>
    <row r="15" spans="1:11" s="3" customFormat="1" ht="15">
      <c r="E15" s="13" t="s">
        <v>33</v>
      </c>
      <c r="F15" s="14" t="s">
        <v>26</v>
      </c>
    </row>
    <row r="16" spans="1:11" s="3" customFormat="1" ht="15">
      <c r="E16" s="13"/>
    </row>
    <row r="18" spans="1:5" s="3" customFormat="1" ht="18">
      <c r="A18" s="16" t="s">
        <v>34</v>
      </c>
      <c r="B18" s="16"/>
    </row>
    <row r="19" spans="1:5" s="3" customFormat="1" ht="15">
      <c r="A19" s="17" t="s">
        <v>35</v>
      </c>
      <c r="B19" s="17"/>
    </row>
    <row r="20" spans="1:5" s="3" customFormat="1" ht="14.25">
      <c r="A20" s="18"/>
      <c r="B20" s="19" t="s">
        <v>178</v>
      </c>
    </row>
    <row r="21" spans="1:5" s="3" customFormat="1" ht="15">
      <c r="A21" s="20" t="s">
        <v>37</v>
      </c>
      <c r="B21" s="20" t="s">
        <v>38</v>
      </c>
      <c r="C21" s="20" t="s">
        <v>39</v>
      </c>
      <c r="D21" s="20" t="s">
        <v>40</v>
      </c>
      <c r="E21" s="20" t="s">
        <v>540</v>
      </c>
    </row>
    <row r="22" spans="1:5" s="3" customFormat="1">
      <c r="A22" s="21" t="s">
        <v>570</v>
      </c>
      <c r="B22" s="2" t="s">
        <v>184</v>
      </c>
      <c r="C22" s="2" t="s">
        <v>542</v>
      </c>
      <c r="D22" s="2" t="s">
        <v>571</v>
      </c>
      <c r="E22" s="4" t="s">
        <v>572</v>
      </c>
    </row>
    <row r="24" spans="1:5" s="3" customFormat="1" ht="14.25">
      <c r="A24" s="18"/>
      <c r="B24" s="19" t="s">
        <v>99</v>
      </c>
    </row>
    <row r="25" spans="1:5" s="3" customFormat="1" ht="15">
      <c r="A25" s="20" t="s">
        <v>37</v>
      </c>
      <c r="B25" s="20" t="s">
        <v>38</v>
      </c>
      <c r="C25" s="20" t="s">
        <v>39</v>
      </c>
      <c r="D25" s="20" t="s">
        <v>40</v>
      </c>
      <c r="E25" s="20" t="s">
        <v>540</v>
      </c>
    </row>
    <row r="26" spans="1:5" s="3" customFormat="1">
      <c r="A26" s="21" t="s">
        <v>453</v>
      </c>
      <c r="B26" s="2" t="s">
        <v>454</v>
      </c>
      <c r="C26" s="2" t="s">
        <v>542</v>
      </c>
      <c r="D26" s="2" t="s">
        <v>573</v>
      </c>
      <c r="E26" s="4" t="s">
        <v>574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10" sqref="F10:G15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7" width="5" style="3" customWidth="1"/>
    <col min="8" max="8" width="10.42578125" style="3" customWidth="1"/>
    <col min="9" max="9" width="7.85546875" style="4" customWidth="1"/>
    <col min="10" max="10" width="7.5703125" style="5" customWidth="1"/>
    <col min="11" max="11" width="22.42578125" style="2" customWidth="1"/>
    <col min="12" max="16384" width="9.140625" style="1"/>
  </cols>
  <sheetData>
    <row r="1" spans="1:11" s="5" customFormat="1" ht="29.25" customHeight="1">
      <c r="A1" s="42" t="s">
        <v>575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531</v>
      </c>
      <c r="E3" s="37" t="s">
        <v>5</v>
      </c>
      <c r="F3" s="37" t="s">
        <v>6</v>
      </c>
      <c r="G3" s="37" t="s">
        <v>560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534</v>
      </c>
      <c r="B5" s="41"/>
      <c r="C5" s="41"/>
      <c r="D5" s="41"/>
      <c r="E5" s="41"/>
      <c r="F5" s="41"/>
      <c r="G5" s="41"/>
      <c r="H5" s="41"/>
    </row>
    <row r="6" spans="1:11" s="3" customFormat="1">
      <c r="A6" s="22" t="s">
        <v>576</v>
      </c>
      <c r="B6" s="22" t="s">
        <v>577</v>
      </c>
      <c r="C6" s="22" t="s">
        <v>578</v>
      </c>
      <c r="D6" s="22" t="str">
        <f>"1,0000"</f>
        <v>1,0000</v>
      </c>
      <c r="E6" s="22" t="s">
        <v>109</v>
      </c>
      <c r="F6" s="22" t="s">
        <v>110</v>
      </c>
      <c r="G6" s="23" t="s">
        <v>579</v>
      </c>
      <c r="H6" s="23" t="s">
        <v>264</v>
      </c>
      <c r="I6" s="25" t="str">
        <f>"1925,0"</f>
        <v>1925,0</v>
      </c>
      <c r="J6" s="26" t="str">
        <f>"38,0434"</f>
        <v>38,0434</v>
      </c>
      <c r="K6" s="22" t="s">
        <v>21</v>
      </c>
    </row>
    <row r="7" spans="1:11" s="3" customFormat="1">
      <c r="A7" s="32" t="s">
        <v>580</v>
      </c>
      <c r="B7" s="32" t="s">
        <v>581</v>
      </c>
      <c r="C7" s="32" t="s">
        <v>108</v>
      </c>
      <c r="D7" s="32" t="str">
        <f>"1,0000"</f>
        <v>1,0000</v>
      </c>
      <c r="E7" s="32" t="s">
        <v>109</v>
      </c>
      <c r="F7" s="32" t="s">
        <v>110</v>
      </c>
      <c r="G7" s="34" t="s">
        <v>579</v>
      </c>
      <c r="H7" s="34" t="s">
        <v>582</v>
      </c>
      <c r="I7" s="35" t="str">
        <f>"1435,0"</f>
        <v>1435,0</v>
      </c>
      <c r="J7" s="36" t="str">
        <f>"26,2340"</f>
        <v>26,2340</v>
      </c>
      <c r="K7" s="32" t="s">
        <v>296</v>
      </c>
    </row>
    <row r="8" spans="1:11" s="3" customFormat="1">
      <c r="A8" s="27" t="s">
        <v>583</v>
      </c>
      <c r="B8" s="27" t="s">
        <v>584</v>
      </c>
      <c r="C8" s="27" t="s">
        <v>578</v>
      </c>
      <c r="D8" s="27" t="str">
        <f>"1,0000"</f>
        <v>1,0000</v>
      </c>
      <c r="E8" s="27" t="s">
        <v>109</v>
      </c>
      <c r="F8" s="27" t="s">
        <v>110</v>
      </c>
      <c r="G8" s="28" t="s">
        <v>579</v>
      </c>
      <c r="H8" s="28" t="s">
        <v>585</v>
      </c>
      <c r="I8" s="30" t="str">
        <f>"1295,0"</f>
        <v>1295,0</v>
      </c>
      <c r="J8" s="31" t="str">
        <f>"25,5928"</f>
        <v>25,5928</v>
      </c>
      <c r="K8" s="27" t="s">
        <v>296</v>
      </c>
    </row>
    <row r="10" spans="1:11" s="3" customFormat="1" ht="15">
      <c r="E10" s="13" t="s">
        <v>22</v>
      </c>
      <c r="F10" s="14" t="s">
        <v>23</v>
      </c>
      <c r="G10" s="15" t="s">
        <v>24</v>
      </c>
    </row>
    <row r="11" spans="1:11" s="3" customFormat="1" ht="15">
      <c r="E11" s="13" t="s">
        <v>25</v>
      </c>
      <c r="F11" s="14" t="s">
        <v>26</v>
      </c>
    </row>
    <row r="12" spans="1:11" s="3" customFormat="1" ht="15">
      <c r="E12" s="13" t="s">
        <v>28</v>
      </c>
      <c r="F12" s="14" t="s">
        <v>32</v>
      </c>
      <c r="G12" s="15" t="s">
        <v>30</v>
      </c>
    </row>
    <row r="13" spans="1:11" s="3" customFormat="1" ht="15">
      <c r="E13" s="13" t="s">
        <v>31</v>
      </c>
      <c r="F13" s="14" t="s">
        <v>23</v>
      </c>
      <c r="G13" s="15" t="s">
        <v>24</v>
      </c>
    </row>
    <row r="14" spans="1:11" s="3" customFormat="1" ht="15">
      <c r="E14" s="13" t="s">
        <v>31</v>
      </c>
      <c r="F14" s="14" t="s">
        <v>29</v>
      </c>
      <c r="G14" s="15" t="s">
        <v>30</v>
      </c>
    </row>
    <row r="15" spans="1:11" s="3" customFormat="1" ht="15">
      <c r="E15" s="13" t="s">
        <v>33</v>
      </c>
      <c r="F15" s="14" t="s">
        <v>26</v>
      </c>
    </row>
    <row r="16" spans="1:11" s="3" customFormat="1" ht="15">
      <c r="E16" s="13"/>
    </row>
    <row r="18" spans="1:5" s="3" customFormat="1" ht="18">
      <c r="A18" s="16" t="s">
        <v>34</v>
      </c>
      <c r="B18" s="16"/>
    </row>
    <row r="19" spans="1:5" s="3" customFormat="1" ht="15">
      <c r="A19" s="17" t="s">
        <v>81</v>
      </c>
      <c r="B19" s="17"/>
    </row>
    <row r="20" spans="1:5" s="3" customFormat="1" ht="14.25">
      <c r="A20" s="18"/>
      <c r="B20" s="19" t="s">
        <v>36</v>
      </c>
    </row>
    <row r="21" spans="1:5" s="3" customFormat="1" ht="15">
      <c r="A21" s="20" t="s">
        <v>37</v>
      </c>
      <c r="B21" s="20" t="s">
        <v>38</v>
      </c>
      <c r="C21" s="20" t="s">
        <v>39</v>
      </c>
      <c r="D21" s="20" t="s">
        <v>40</v>
      </c>
      <c r="E21" s="20" t="s">
        <v>540</v>
      </c>
    </row>
    <row r="22" spans="1:5" s="3" customFormat="1">
      <c r="A22" s="21" t="s">
        <v>586</v>
      </c>
      <c r="B22" s="2" t="s">
        <v>36</v>
      </c>
      <c r="C22" s="2" t="s">
        <v>542</v>
      </c>
      <c r="D22" s="2" t="s">
        <v>587</v>
      </c>
      <c r="E22" s="4" t="s">
        <v>588</v>
      </c>
    </row>
    <row r="23" spans="1:5" s="3" customFormat="1">
      <c r="A23" s="21" t="s">
        <v>589</v>
      </c>
      <c r="B23" s="2" t="s">
        <v>36</v>
      </c>
      <c r="C23" s="2" t="s">
        <v>542</v>
      </c>
      <c r="D23" s="2" t="s">
        <v>590</v>
      </c>
      <c r="E23" s="4" t="s">
        <v>591</v>
      </c>
    </row>
    <row r="24" spans="1:5" s="3" customFormat="1">
      <c r="A24" s="21" t="s">
        <v>592</v>
      </c>
      <c r="B24" s="2" t="s">
        <v>36</v>
      </c>
      <c r="C24" s="2" t="s">
        <v>542</v>
      </c>
      <c r="D24" s="2" t="s">
        <v>593</v>
      </c>
      <c r="E24" s="4" t="s">
        <v>594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7" width="5" style="3" customWidth="1"/>
    <col min="8" max="8" width="10.42578125" style="3" customWidth="1"/>
    <col min="9" max="9" width="7.85546875" style="4" customWidth="1"/>
    <col min="10" max="10" width="9.5703125" style="5" customWidth="1"/>
    <col min="11" max="11" width="8.85546875" style="2" customWidth="1"/>
    <col min="12" max="16384" width="9.140625" style="1"/>
  </cols>
  <sheetData>
    <row r="1" spans="1:11" s="5" customFormat="1" ht="29.25" customHeight="1">
      <c r="A1" s="42" t="s">
        <v>595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596</v>
      </c>
      <c r="E3" s="37" t="s">
        <v>5</v>
      </c>
      <c r="F3" s="37" t="s">
        <v>6</v>
      </c>
      <c r="G3" s="37" t="s">
        <v>66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46</v>
      </c>
      <c r="B5" s="41"/>
      <c r="C5" s="41"/>
      <c r="D5" s="41"/>
      <c r="E5" s="41"/>
      <c r="F5" s="41"/>
      <c r="G5" s="41"/>
      <c r="H5" s="41"/>
    </row>
    <row r="6" spans="1:11" s="3" customFormat="1">
      <c r="A6" s="8" t="s">
        <v>597</v>
      </c>
      <c r="B6" s="8" t="s">
        <v>598</v>
      </c>
      <c r="C6" s="8" t="s">
        <v>49</v>
      </c>
      <c r="D6" s="8" t="str">
        <f>"0,7966"</f>
        <v>0,7966</v>
      </c>
      <c r="E6" s="8" t="s">
        <v>109</v>
      </c>
      <c r="F6" s="8" t="s">
        <v>110</v>
      </c>
      <c r="G6" s="9" t="s">
        <v>599</v>
      </c>
      <c r="H6" s="9" t="s">
        <v>600</v>
      </c>
      <c r="I6" s="11" t="str">
        <f>"1762,5"</f>
        <v>1762,5</v>
      </c>
      <c r="J6" s="12" t="str">
        <f>"1404,0075"</f>
        <v>1404,0075</v>
      </c>
      <c r="K6" s="8" t="s">
        <v>54</v>
      </c>
    </row>
    <row r="8" spans="1:11" s="3" customFormat="1" ht="15">
      <c r="E8" s="13" t="s">
        <v>22</v>
      </c>
      <c r="F8" s="14" t="s">
        <v>23</v>
      </c>
      <c r="G8" s="15" t="s">
        <v>24</v>
      </c>
    </row>
    <row r="9" spans="1:11" s="3" customFormat="1" ht="15">
      <c r="E9" s="13" t="s">
        <v>25</v>
      </c>
      <c r="F9" s="14" t="s">
        <v>26</v>
      </c>
    </row>
    <row r="10" spans="1:11" s="3" customFormat="1" ht="15">
      <c r="E10" s="13" t="s">
        <v>28</v>
      </c>
      <c r="F10" s="14" t="s">
        <v>32</v>
      </c>
      <c r="G10" s="15" t="s">
        <v>30</v>
      </c>
    </row>
    <row r="11" spans="1:11" s="3" customFormat="1" ht="15">
      <c r="E11" s="13" t="s">
        <v>31</v>
      </c>
      <c r="F11" s="14" t="s">
        <v>23</v>
      </c>
      <c r="G11" s="15" t="s">
        <v>24</v>
      </c>
    </row>
    <row r="12" spans="1:11" s="3" customFormat="1" ht="15">
      <c r="E12" s="13" t="s">
        <v>31</v>
      </c>
      <c r="F12" s="14" t="s">
        <v>29</v>
      </c>
      <c r="G12" s="15" t="s">
        <v>30</v>
      </c>
    </row>
    <row r="13" spans="1:11" s="3" customFormat="1" ht="15">
      <c r="E13" s="13" t="s">
        <v>33</v>
      </c>
      <c r="F13" s="14" t="s">
        <v>26</v>
      </c>
    </row>
    <row r="14" spans="1:11" s="3" customFormat="1" ht="15">
      <c r="E14" s="13"/>
    </row>
    <row r="16" spans="1:11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99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601</v>
      </c>
    </row>
    <row r="20" spans="1:5" s="3" customFormat="1">
      <c r="A20" s="21" t="s">
        <v>602</v>
      </c>
      <c r="B20" s="2" t="s">
        <v>603</v>
      </c>
      <c r="C20" s="2" t="s">
        <v>56</v>
      </c>
      <c r="D20" s="2" t="s">
        <v>604</v>
      </c>
      <c r="E20" s="4" t="s">
        <v>605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" style="2" customWidth="1"/>
    <col min="7" max="7" width="5" style="3" customWidth="1"/>
    <col min="8" max="8" width="10.42578125" style="3" customWidth="1"/>
    <col min="9" max="9" width="7.85546875" style="4" customWidth="1"/>
    <col min="10" max="10" width="9.5703125" style="5" customWidth="1"/>
    <col min="11" max="11" width="8.85546875" style="2" customWidth="1"/>
    <col min="12" max="16384" width="9.140625" style="1"/>
  </cols>
  <sheetData>
    <row r="1" spans="1:11" s="5" customFormat="1" ht="29.25" customHeight="1">
      <c r="A1" s="42" t="s">
        <v>606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596</v>
      </c>
      <c r="E3" s="37" t="s">
        <v>5</v>
      </c>
      <c r="F3" s="37" t="s">
        <v>6</v>
      </c>
      <c r="G3" s="37" t="s">
        <v>607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46</v>
      </c>
      <c r="B5" s="41"/>
      <c r="C5" s="41"/>
      <c r="D5" s="41"/>
      <c r="E5" s="41"/>
      <c r="F5" s="41"/>
      <c r="G5" s="41"/>
      <c r="H5" s="41"/>
    </row>
    <row r="6" spans="1:11" s="3" customFormat="1">
      <c r="A6" s="8" t="s">
        <v>597</v>
      </c>
      <c r="B6" s="8" t="s">
        <v>598</v>
      </c>
      <c r="C6" s="8" t="s">
        <v>49</v>
      </c>
      <c r="D6" s="8" t="str">
        <f>"0,7966"</f>
        <v>0,7966</v>
      </c>
      <c r="E6" s="8" t="s">
        <v>109</v>
      </c>
      <c r="F6" s="8" t="s">
        <v>110</v>
      </c>
      <c r="G6" s="9" t="s">
        <v>599</v>
      </c>
      <c r="H6" s="9" t="s">
        <v>608</v>
      </c>
      <c r="I6" s="11" t="str">
        <f>"2175,0"</f>
        <v>2175,0</v>
      </c>
      <c r="J6" s="12" t="str">
        <f>"1732,6050"</f>
        <v>1732,6050</v>
      </c>
      <c r="K6" s="8" t="s">
        <v>54</v>
      </c>
    </row>
    <row r="8" spans="1:11" s="3" customFormat="1" ht="15">
      <c r="E8" s="13" t="s">
        <v>22</v>
      </c>
      <c r="F8" s="14" t="s">
        <v>23</v>
      </c>
      <c r="G8" s="15" t="s">
        <v>24</v>
      </c>
    </row>
    <row r="9" spans="1:11" s="3" customFormat="1" ht="15">
      <c r="E9" s="13" t="s">
        <v>25</v>
      </c>
      <c r="F9" s="14" t="s">
        <v>26</v>
      </c>
    </row>
    <row r="10" spans="1:11" s="3" customFormat="1" ht="15">
      <c r="E10" s="13" t="s">
        <v>28</v>
      </c>
      <c r="F10" s="14" t="s">
        <v>32</v>
      </c>
      <c r="G10" s="15" t="s">
        <v>30</v>
      </c>
    </row>
    <row r="11" spans="1:11" s="3" customFormat="1" ht="15">
      <c r="E11" s="13" t="s">
        <v>31</v>
      </c>
      <c r="F11" s="14" t="s">
        <v>23</v>
      </c>
      <c r="G11" s="15" t="s">
        <v>24</v>
      </c>
    </row>
    <row r="12" spans="1:11" s="3" customFormat="1" ht="15">
      <c r="E12" s="13" t="s">
        <v>31</v>
      </c>
      <c r="F12" s="14" t="s">
        <v>29</v>
      </c>
      <c r="G12" s="15" t="s">
        <v>30</v>
      </c>
    </row>
    <row r="13" spans="1:11" s="3" customFormat="1" ht="15">
      <c r="E13" s="13" t="s">
        <v>33</v>
      </c>
      <c r="F13" s="14" t="s">
        <v>26</v>
      </c>
    </row>
    <row r="14" spans="1:11" s="3" customFormat="1" ht="15">
      <c r="E14" s="13"/>
    </row>
    <row r="16" spans="1:11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99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601</v>
      </c>
    </row>
    <row r="20" spans="1:5" s="3" customFormat="1">
      <c r="A20" s="21" t="s">
        <v>602</v>
      </c>
      <c r="B20" s="2" t="s">
        <v>603</v>
      </c>
      <c r="C20" s="2" t="s">
        <v>56</v>
      </c>
      <c r="D20" s="2" t="s">
        <v>609</v>
      </c>
      <c r="E20" s="4" t="s">
        <v>610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13" sqref="F13:G18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6.85546875" style="2" customWidth="1"/>
    <col min="7" max="7" width="5.5703125" style="3" customWidth="1"/>
    <col min="8" max="8" width="10.42578125" style="3" customWidth="1"/>
    <col min="9" max="9" width="7.85546875" style="4" customWidth="1"/>
    <col min="10" max="10" width="9.5703125" style="5" customWidth="1"/>
    <col min="11" max="11" width="15.7109375" style="2" customWidth="1"/>
    <col min="12" max="16384" width="9.140625" style="1"/>
  </cols>
  <sheetData>
    <row r="1" spans="1:11" s="5" customFormat="1" ht="29.25" customHeight="1">
      <c r="A1" s="42" t="s">
        <v>611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6" customFormat="1" ht="12.75" customHeight="1">
      <c r="A3" s="48" t="s">
        <v>1</v>
      </c>
      <c r="B3" s="50" t="s">
        <v>2</v>
      </c>
      <c r="C3" s="50" t="s">
        <v>3</v>
      </c>
      <c r="D3" s="37" t="s">
        <v>596</v>
      </c>
      <c r="E3" s="37" t="s">
        <v>5</v>
      </c>
      <c r="F3" s="37" t="s">
        <v>6</v>
      </c>
      <c r="G3" s="37" t="s">
        <v>607</v>
      </c>
      <c r="H3" s="37"/>
      <c r="I3" s="37" t="s">
        <v>533</v>
      </c>
      <c r="J3" s="37" t="s">
        <v>9</v>
      </c>
      <c r="K3" s="39" t="s">
        <v>10</v>
      </c>
    </row>
    <row r="4" spans="1:11" s="6" customFormat="1" ht="21" customHeight="1">
      <c r="A4" s="49"/>
      <c r="B4" s="38"/>
      <c r="C4" s="38"/>
      <c r="D4" s="38"/>
      <c r="E4" s="38"/>
      <c r="F4" s="38"/>
      <c r="G4" s="7" t="s">
        <v>68</v>
      </c>
      <c r="H4" s="7" t="s">
        <v>69</v>
      </c>
      <c r="I4" s="38"/>
      <c r="J4" s="38"/>
      <c r="K4" s="40"/>
    </row>
    <row r="5" spans="1:11" s="3" customFormat="1" ht="15">
      <c r="A5" s="41" t="s">
        <v>136</v>
      </c>
      <c r="B5" s="41"/>
      <c r="C5" s="41"/>
      <c r="D5" s="41"/>
      <c r="E5" s="41"/>
      <c r="F5" s="41"/>
      <c r="G5" s="41"/>
      <c r="H5" s="41"/>
    </row>
    <row r="6" spans="1:11" s="3" customFormat="1">
      <c r="A6" s="22" t="s">
        <v>612</v>
      </c>
      <c r="B6" s="22" t="s">
        <v>613</v>
      </c>
      <c r="C6" s="22" t="s">
        <v>614</v>
      </c>
      <c r="D6" s="22" t="str">
        <f>"0,7675"</f>
        <v>0,7675</v>
      </c>
      <c r="E6" s="22" t="s">
        <v>50</v>
      </c>
      <c r="F6" s="22" t="s">
        <v>75</v>
      </c>
      <c r="G6" s="23" t="s">
        <v>615</v>
      </c>
      <c r="H6" s="23" t="s">
        <v>616</v>
      </c>
      <c r="I6" s="25" t="str">
        <f>"2145,0"</f>
        <v>2145,0</v>
      </c>
      <c r="J6" s="26" t="str">
        <f>"1646,2875"</f>
        <v>1646,2875</v>
      </c>
      <c r="K6" s="22" t="s">
        <v>21</v>
      </c>
    </row>
    <row r="7" spans="1:11" s="3" customFormat="1">
      <c r="A7" s="32" t="s">
        <v>222</v>
      </c>
      <c r="B7" s="32" t="s">
        <v>223</v>
      </c>
      <c r="C7" s="32" t="s">
        <v>224</v>
      </c>
      <c r="D7" s="32" t="str">
        <f>"0,7564"</f>
        <v>0,7564</v>
      </c>
      <c r="E7" s="32" t="s">
        <v>109</v>
      </c>
      <c r="F7" s="32" t="s">
        <v>110</v>
      </c>
      <c r="G7" s="34" t="s">
        <v>615</v>
      </c>
      <c r="H7" s="34"/>
      <c r="I7" s="35" t="str">
        <f>"0.00"</f>
        <v>0.00</v>
      </c>
      <c r="J7" s="36" t="str">
        <f>"0,0000"</f>
        <v>0,0000</v>
      </c>
      <c r="K7" s="32" t="s">
        <v>54</v>
      </c>
    </row>
    <row r="8" spans="1:11" s="3" customFormat="1">
      <c r="A8" s="27" t="s">
        <v>617</v>
      </c>
      <c r="B8" s="27" t="s">
        <v>618</v>
      </c>
      <c r="C8" s="27" t="s">
        <v>619</v>
      </c>
      <c r="D8" s="27" t="str">
        <f>"0,7591"</f>
        <v>0,7591</v>
      </c>
      <c r="E8" s="27" t="s">
        <v>109</v>
      </c>
      <c r="F8" s="27" t="s">
        <v>110</v>
      </c>
      <c r="G8" s="28" t="s">
        <v>615</v>
      </c>
      <c r="H8" s="28" t="s">
        <v>563</v>
      </c>
      <c r="I8" s="30" t="str">
        <f>"2392,5"</f>
        <v>2392,5</v>
      </c>
      <c r="J8" s="31" t="str">
        <f>"1816,1468"</f>
        <v>1816,1468</v>
      </c>
      <c r="K8" s="27" t="s">
        <v>620</v>
      </c>
    </row>
    <row r="10" spans="1:11" s="3" customFormat="1" ht="15">
      <c r="A10" s="51" t="s">
        <v>156</v>
      </c>
      <c r="B10" s="51"/>
      <c r="C10" s="51"/>
      <c r="D10" s="51"/>
      <c r="E10" s="51"/>
      <c r="F10" s="51"/>
      <c r="G10" s="51"/>
      <c r="H10" s="51"/>
    </row>
    <row r="11" spans="1:11" s="3" customFormat="1">
      <c r="A11" s="8" t="s">
        <v>233</v>
      </c>
      <c r="B11" s="8" t="s">
        <v>234</v>
      </c>
      <c r="C11" s="8" t="s">
        <v>235</v>
      </c>
      <c r="D11" s="8" t="str">
        <f>"0,6644"</f>
        <v>0,6644</v>
      </c>
      <c r="E11" s="8" t="s">
        <v>236</v>
      </c>
      <c r="F11" s="8" t="s">
        <v>110</v>
      </c>
      <c r="G11" s="9" t="s">
        <v>315</v>
      </c>
      <c r="H11" s="9" t="s">
        <v>621</v>
      </c>
      <c r="I11" s="11" t="str">
        <f>"2585,0"</f>
        <v>2585,0</v>
      </c>
      <c r="J11" s="12" t="str">
        <f>"1717,4740"</f>
        <v>1717,4740</v>
      </c>
      <c r="K11" s="8" t="s">
        <v>21</v>
      </c>
    </row>
    <row r="13" spans="1:11" s="3" customFormat="1" ht="15">
      <c r="E13" s="13" t="s">
        <v>22</v>
      </c>
      <c r="F13" s="14" t="s">
        <v>23</v>
      </c>
      <c r="G13" s="15" t="s">
        <v>24</v>
      </c>
    </row>
    <row r="14" spans="1:11" s="3" customFormat="1" ht="15">
      <c r="E14" s="13" t="s">
        <v>25</v>
      </c>
      <c r="F14" s="14" t="s">
        <v>26</v>
      </c>
    </row>
    <row r="15" spans="1:11" s="3" customFormat="1" ht="15">
      <c r="E15" s="13" t="s">
        <v>28</v>
      </c>
      <c r="F15" s="14" t="s">
        <v>32</v>
      </c>
      <c r="G15" s="15" t="s">
        <v>30</v>
      </c>
    </row>
    <row r="16" spans="1:11" s="3" customFormat="1" ht="15">
      <c r="E16" s="13" t="s">
        <v>31</v>
      </c>
      <c r="F16" s="14" t="s">
        <v>23</v>
      </c>
      <c r="G16" s="15" t="s">
        <v>24</v>
      </c>
    </row>
    <row r="17" spans="1:7" s="3" customFormat="1" ht="15">
      <c r="E17" s="13" t="s">
        <v>31</v>
      </c>
      <c r="F17" s="14" t="s">
        <v>29</v>
      </c>
      <c r="G17" s="15" t="s">
        <v>30</v>
      </c>
    </row>
    <row r="18" spans="1:7" s="3" customFormat="1" ht="15">
      <c r="E18" s="13" t="s">
        <v>33</v>
      </c>
      <c r="F18" s="14" t="s">
        <v>26</v>
      </c>
    </row>
    <row r="19" spans="1:7" s="3" customFormat="1" ht="15">
      <c r="E19" s="13"/>
    </row>
    <row r="21" spans="1:7" s="3" customFormat="1" ht="18">
      <c r="A21" s="16" t="s">
        <v>34</v>
      </c>
      <c r="B21" s="16"/>
    </row>
    <row r="22" spans="1:7" s="3" customFormat="1" ht="15">
      <c r="A22" s="17" t="s">
        <v>35</v>
      </c>
      <c r="B22" s="17"/>
    </row>
    <row r="23" spans="1:7" s="3" customFormat="1" ht="14.25">
      <c r="A23" s="18"/>
      <c r="B23" s="19" t="s">
        <v>36</v>
      </c>
    </row>
    <row r="24" spans="1:7" s="3" customFormat="1" ht="15">
      <c r="A24" s="20" t="s">
        <v>37</v>
      </c>
      <c r="B24" s="20" t="s">
        <v>38</v>
      </c>
      <c r="C24" s="20" t="s">
        <v>39</v>
      </c>
      <c r="D24" s="20" t="s">
        <v>40</v>
      </c>
      <c r="E24" s="20" t="s">
        <v>601</v>
      </c>
    </row>
    <row r="25" spans="1:7" s="3" customFormat="1">
      <c r="A25" s="21" t="s">
        <v>622</v>
      </c>
      <c r="B25" s="2" t="s">
        <v>36</v>
      </c>
      <c r="C25" s="2" t="s">
        <v>198</v>
      </c>
      <c r="D25" s="2" t="s">
        <v>623</v>
      </c>
      <c r="E25" s="4" t="s">
        <v>624</v>
      </c>
    </row>
    <row r="27" spans="1:7" s="3" customFormat="1" ht="14.25">
      <c r="A27" s="18"/>
      <c r="B27" s="19" t="s">
        <v>99</v>
      </c>
    </row>
    <row r="28" spans="1:7" s="3" customFormat="1" ht="15">
      <c r="A28" s="20" t="s">
        <v>37</v>
      </c>
      <c r="B28" s="20" t="s">
        <v>38</v>
      </c>
      <c r="C28" s="20" t="s">
        <v>39</v>
      </c>
      <c r="D28" s="20" t="s">
        <v>40</v>
      </c>
      <c r="E28" s="20" t="s">
        <v>601</v>
      </c>
    </row>
    <row r="29" spans="1:7" s="3" customFormat="1">
      <c r="A29" s="21" t="s">
        <v>625</v>
      </c>
      <c r="B29" s="2" t="s">
        <v>626</v>
      </c>
      <c r="C29" s="2" t="s">
        <v>198</v>
      </c>
      <c r="D29" s="2" t="s">
        <v>627</v>
      </c>
      <c r="E29" s="4" t="s">
        <v>628</v>
      </c>
    </row>
    <row r="30" spans="1:7" s="3" customFormat="1">
      <c r="A30" s="21" t="s">
        <v>241</v>
      </c>
      <c r="B30" s="2" t="s">
        <v>176</v>
      </c>
      <c r="C30" s="2" t="s">
        <v>190</v>
      </c>
      <c r="D30" s="2" t="s">
        <v>629</v>
      </c>
      <c r="E30" s="4" t="s">
        <v>630</v>
      </c>
    </row>
  </sheetData>
  <mergeCells count="13">
    <mergeCell ref="A1:K2"/>
    <mergeCell ref="A3:A4"/>
    <mergeCell ref="B3:B4"/>
    <mergeCell ref="C3:C4"/>
    <mergeCell ref="D3:D4"/>
    <mergeCell ref="E3:E4"/>
    <mergeCell ref="F3:F4"/>
    <mergeCell ref="A10:H10"/>
    <mergeCell ref="G3:H3"/>
    <mergeCell ref="I3:I4"/>
    <mergeCell ref="J3:J4"/>
    <mergeCell ref="K3:K4"/>
    <mergeCell ref="A5:H5"/>
  </mergeCells>
  <pageMargins left="0.69999998807907104" right="0.69999998807907104" top="0.75" bottom="0.75" header="0.30000001192092901" footer="0.30000001192092901"/>
  <pageSetup fitToWidth="0" fitToHeight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9.28515625" style="2" customWidth="1"/>
    <col min="5" max="5" width="22.7109375" style="2" customWidth="1"/>
    <col min="6" max="6" width="26" style="2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4" customWidth="1"/>
    <col min="16" max="16" width="8.5703125" style="5" customWidth="1"/>
    <col min="17" max="17" width="16.5703125" style="2" customWidth="1"/>
    <col min="18" max="16384" width="9.140625" style="1"/>
  </cols>
  <sheetData>
    <row r="1" spans="1:17" s="5" customFormat="1" ht="29.25" customHeight="1">
      <c r="A1" s="42" t="s">
        <v>631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632</v>
      </c>
      <c r="H3" s="37"/>
      <c r="I3" s="37"/>
      <c r="J3" s="37"/>
      <c r="K3" s="37" t="s">
        <v>633</v>
      </c>
      <c r="L3" s="37"/>
      <c r="M3" s="37"/>
      <c r="N3" s="37"/>
      <c r="O3" s="37" t="s">
        <v>67</v>
      </c>
      <c r="P3" s="37" t="s">
        <v>9</v>
      </c>
      <c r="Q3" s="39" t="s">
        <v>10</v>
      </c>
    </row>
    <row r="4" spans="1:17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>
        <v>1</v>
      </c>
      <c r="L4" s="7">
        <v>2</v>
      </c>
      <c r="M4" s="7">
        <v>3</v>
      </c>
      <c r="N4" s="7" t="s">
        <v>11</v>
      </c>
      <c r="O4" s="38"/>
      <c r="P4" s="38"/>
      <c r="Q4" s="40"/>
    </row>
    <row r="5" spans="1:17" s="3" customFormat="1" ht="15">
      <c r="A5" s="41" t="s">
        <v>211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s="3" customFormat="1">
      <c r="A6" s="8" t="s">
        <v>634</v>
      </c>
      <c r="B6" s="8" t="s">
        <v>635</v>
      </c>
      <c r="C6" s="8" t="s">
        <v>636</v>
      </c>
      <c r="D6" s="8" t="str">
        <f>"0,5842"</f>
        <v>0,5842</v>
      </c>
      <c r="E6" s="8" t="s">
        <v>74</v>
      </c>
      <c r="F6" s="8" t="s">
        <v>110</v>
      </c>
      <c r="G6" s="9" t="s">
        <v>86</v>
      </c>
      <c r="H6" s="9" t="s">
        <v>111</v>
      </c>
      <c r="I6" s="9" t="s">
        <v>247</v>
      </c>
      <c r="J6" s="10"/>
      <c r="K6" s="9" t="s">
        <v>264</v>
      </c>
      <c r="L6" s="9" t="s">
        <v>285</v>
      </c>
      <c r="M6" s="9" t="s">
        <v>286</v>
      </c>
      <c r="N6" s="10"/>
      <c r="O6" s="11" t="str">
        <f>"160,0"</f>
        <v>160,0</v>
      </c>
      <c r="P6" s="12" t="str">
        <f>"106,9320"</f>
        <v>106,9320</v>
      </c>
      <c r="Q6" s="8" t="s">
        <v>80</v>
      </c>
    </row>
    <row r="8" spans="1:17" s="3" customFormat="1" ht="15">
      <c r="E8" s="13" t="s">
        <v>22</v>
      </c>
      <c r="F8" s="14" t="s">
        <v>23</v>
      </c>
      <c r="G8" s="15" t="s">
        <v>24</v>
      </c>
    </row>
    <row r="9" spans="1:17" s="3" customFormat="1" ht="15">
      <c r="E9" s="13" t="s">
        <v>25</v>
      </c>
      <c r="F9" s="14" t="s">
        <v>26</v>
      </c>
    </row>
    <row r="10" spans="1:17" s="3" customFormat="1" ht="15">
      <c r="E10" s="13" t="s">
        <v>28</v>
      </c>
      <c r="F10" s="14" t="s">
        <v>32</v>
      </c>
      <c r="G10" s="15" t="s">
        <v>30</v>
      </c>
    </row>
    <row r="11" spans="1:17" s="3" customFormat="1" ht="15">
      <c r="E11" s="13" t="s">
        <v>31</v>
      </c>
      <c r="F11" s="14" t="s">
        <v>23</v>
      </c>
      <c r="G11" s="15" t="s">
        <v>24</v>
      </c>
    </row>
    <row r="12" spans="1:17" s="3" customFormat="1" ht="15">
      <c r="E12" s="13" t="s">
        <v>31</v>
      </c>
      <c r="F12" s="14" t="s">
        <v>29</v>
      </c>
      <c r="G12" s="15" t="s">
        <v>30</v>
      </c>
    </row>
    <row r="13" spans="1:17" s="3" customFormat="1" ht="15">
      <c r="E13" s="13" t="s">
        <v>33</v>
      </c>
      <c r="F13" s="14" t="s">
        <v>26</v>
      </c>
    </row>
    <row r="14" spans="1:17" s="3" customFormat="1" ht="15">
      <c r="E14" s="13"/>
    </row>
    <row r="16" spans="1:17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99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82</v>
      </c>
      <c r="E19" s="20" t="s">
        <v>41</v>
      </c>
    </row>
    <row r="20" spans="1:5" s="3" customFormat="1">
      <c r="A20" s="21" t="s">
        <v>637</v>
      </c>
      <c r="B20" s="2" t="s">
        <v>258</v>
      </c>
      <c r="C20" s="2" t="s">
        <v>219</v>
      </c>
      <c r="D20" s="2" t="s">
        <v>321</v>
      </c>
      <c r="E20" s="4" t="s">
        <v>638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69999998807907104" right="0.69999998807907104" top="0.75" bottom="0.75" header="0.30000001192092901" footer="0.30000001192092901"/>
  <pageSetup fitToWidth="0" fitToHeight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11" sqref="F11:G16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9.28515625" style="2" customWidth="1"/>
    <col min="5" max="5" width="22.7109375" style="2" customWidth="1"/>
    <col min="6" max="6" width="32.140625" style="2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4" customWidth="1"/>
    <col min="16" max="16" width="8.5703125" style="5" customWidth="1"/>
    <col min="17" max="17" width="16.5703125" style="2" customWidth="1"/>
    <col min="18" max="16384" width="9.140625" style="1"/>
  </cols>
  <sheetData>
    <row r="1" spans="1:17" s="5" customFormat="1" ht="29.25" customHeight="1">
      <c r="A1" s="42" t="s">
        <v>639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632</v>
      </c>
      <c r="H3" s="37"/>
      <c r="I3" s="37"/>
      <c r="J3" s="37"/>
      <c r="K3" s="37" t="s">
        <v>633</v>
      </c>
      <c r="L3" s="37"/>
      <c r="M3" s="37"/>
      <c r="N3" s="37"/>
      <c r="O3" s="37" t="s">
        <v>67</v>
      </c>
      <c r="P3" s="37" t="s">
        <v>9</v>
      </c>
      <c r="Q3" s="39" t="s">
        <v>10</v>
      </c>
    </row>
    <row r="4" spans="1:17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>
        <v>1</v>
      </c>
      <c r="L4" s="7">
        <v>2</v>
      </c>
      <c r="M4" s="7">
        <v>3</v>
      </c>
      <c r="N4" s="7" t="s">
        <v>11</v>
      </c>
      <c r="O4" s="38"/>
      <c r="P4" s="38"/>
      <c r="Q4" s="40"/>
    </row>
    <row r="5" spans="1:17" s="3" customFormat="1" ht="15">
      <c r="A5" s="41" t="s">
        <v>121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s="3" customFormat="1">
      <c r="A6" s="8" t="s">
        <v>640</v>
      </c>
      <c r="B6" s="8" t="s">
        <v>641</v>
      </c>
      <c r="C6" s="8" t="s">
        <v>130</v>
      </c>
      <c r="D6" s="8" t="str">
        <f>"0,7387"</f>
        <v>0,7387</v>
      </c>
      <c r="E6" s="8" t="s">
        <v>50</v>
      </c>
      <c r="F6" s="8" t="s">
        <v>642</v>
      </c>
      <c r="G6" s="9" t="s">
        <v>285</v>
      </c>
      <c r="H6" s="10" t="s">
        <v>309</v>
      </c>
      <c r="I6" s="9" t="s">
        <v>309</v>
      </c>
      <c r="J6" s="10"/>
      <c r="K6" s="9" t="s">
        <v>263</v>
      </c>
      <c r="L6" s="9" t="s">
        <v>264</v>
      </c>
      <c r="M6" s="9" t="s">
        <v>265</v>
      </c>
      <c r="N6" s="10"/>
      <c r="O6" s="11" t="str">
        <f>"120,0"</f>
        <v>120,0</v>
      </c>
      <c r="P6" s="12" t="str">
        <f>"107,1706"</f>
        <v>107,1706</v>
      </c>
      <c r="Q6" s="8" t="s">
        <v>643</v>
      </c>
    </row>
    <row r="8" spans="1:17" s="3" customFormat="1" ht="15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s="3" customFormat="1">
      <c r="A9" s="8" t="s">
        <v>644</v>
      </c>
      <c r="B9" s="8" t="s">
        <v>645</v>
      </c>
      <c r="C9" s="8" t="s">
        <v>49</v>
      </c>
      <c r="D9" s="8" t="str">
        <f>"0,6708"</f>
        <v>0,6708</v>
      </c>
      <c r="E9" s="8" t="s">
        <v>74</v>
      </c>
      <c r="F9" s="8" t="s">
        <v>110</v>
      </c>
      <c r="G9" s="9" t="s">
        <v>287</v>
      </c>
      <c r="H9" s="10" t="s">
        <v>549</v>
      </c>
      <c r="I9" s="10" t="s">
        <v>549</v>
      </c>
      <c r="J9" s="10"/>
      <c r="K9" s="9" t="s">
        <v>264</v>
      </c>
      <c r="L9" s="9" t="s">
        <v>285</v>
      </c>
      <c r="M9" s="10" t="s">
        <v>309</v>
      </c>
      <c r="N9" s="10"/>
      <c r="O9" s="11" t="str">
        <f>"130,0"</f>
        <v>130,0</v>
      </c>
      <c r="P9" s="12" t="str">
        <f>"92,4362"</f>
        <v>92,4362</v>
      </c>
      <c r="Q9" s="8" t="s">
        <v>80</v>
      </c>
    </row>
    <row r="11" spans="1:17" s="3" customFormat="1" ht="15">
      <c r="E11" s="13" t="s">
        <v>22</v>
      </c>
      <c r="F11" s="14" t="s">
        <v>23</v>
      </c>
      <c r="G11" s="15" t="s">
        <v>24</v>
      </c>
    </row>
    <row r="12" spans="1:17" s="3" customFormat="1" ht="15">
      <c r="E12" s="13" t="s">
        <v>25</v>
      </c>
      <c r="F12" s="14" t="s">
        <v>26</v>
      </c>
    </row>
    <row r="13" spans="1:17" s="3" customFormat="1" ht="15">
      <c r="E13" s="13" t="s">
        <v>28</v>
      </c>
      <c r="F13" s="14" t="s">
        <v>32</v>
      </c>
      <c r="G13" s="15" t="s">
        <v>30</v>
      </c>
    </row>
    <row r="14" spans="1:17" s="3" customFormat="1" ht="15">
      <c r="E14" s="13" t="s">
        <v>31</v>
      </c>
      <c r="F14" s="14" t="s">
        <v>23</v>
      </c>
      <c r="G14" s="15" t="s">
        <v>24</v>
      </c>
    </row>
    <row r="15" spans="1:17" s="3" customFormat="1" ht="15">
      <c r="E15" s="13" t="s">
        <v>31</v>
      </c>
      <c r="F15" s="14" t="s">
        <v>29</v>
      </c>
      <c r="G15" s="15" t="s">
        <v>30</v>
      </c>
    </row>
    <row r="16" spans="1:17" s="3" customFormat="1" ht="15">
      <c r="E16" s="13" t="s">
        <v>33</v>
      </c>
      <c r="F16" s="14" t="s">
        <v>26</v>
      </c>
    </row>
    <row r="17" spans="1:5" s="3" customFormat="1" ht="15">
      <c r="E17" s="13"/>
    </row>
    <row r="19" spans="1:5" s="3" customFormat="1" ht="18">
      <c r="A19" s="16" t="s">
        <v>34</v>
      </c>
      <c r="B19" s="16"/>
    </row>
    <row r="20" spans="1:5" s="3" customFormat="1" ht="15">
      <c r="A20" s="17" t="s">
        <v>35</v>
      </c>
      <c r="B20" s="17"/>
    </row>
    <row r="21" spans="1:5" s="3" customFormat="1" ht="14.25">
      <c r="A21" s="18"/>
      <c r="B21" s="19" t="s">
        <v>178</v>
      </c>
    </row>
    <row r="22" spans="1:5" s="3" customFormat="1" ht="15">
      <c r="A22" s="20" t="s">
        <v>37</v>
      </c>
      <c r="B22" s="20" t="s">
        <v>38</v>
      </c>
      <c r="C22" s="20" t="s">
        <v>39</v>
      </c>
      <c r="D22" s="20" t="s">
        <v>82</v>
      </c>
      <c r="E22" s="20" t="s">
        <v>41</v>
      </c>
    </row>
    <row r="23" spans="1:5" s="3" customFormat="1">
      <c r="A23" s="21" t="s">
        <v>646</v>
      </c>
      <c r="B23" s="2" t="s">
        <v>184</v>
      </c>
      <c r="C23" s="2" t="s">
        <v>56</v>
      </c>
      <c r="D23" s="2" t="s">
        <v>328</v>
      </c>
      <c r="E23" s="4" t="s">
        <v>647</v>
      </c>
    </row>
    <row r="25" spans="1:5" s="3" customFormat="1" ht="14.25">
      <c r="A25" s="18"/>
      <c r="B25" s="19" t="s">
        <v>99</v>
      </c>
    </row>
    <row r="26" spans="1:5" s="3" customFormat="1" ht="15">
      <c r="A26" s="20" t="s">
        <v>37</v>
      </c>
      <c r="B26" s="20" t="s">
        <v>38</v>
      </c>
      <c r="C26" s="20" t="s">
        <v>39</v>
      </c>
      <c r="D26" s="20" t="s">
        <v>82</v>
      </c>
      <c r="E26" s="20" t="s">
        <v>41</v>
      </c>
    </row>
    <row r="27" spans="1:5" s="3" customFormat="1">
      <c r="A27" s="21" t="s">
        <v>648</v>
      </c>
      <c r="B27" s="2" t="s">
        <v>239</v>
      </c>
      <c r="C27" s="2" t="s">
        <v>181</v>
      </c>
      <c r="D27" s="2" t="s">
        <v>327</v>
      </c>
      <c r="E27" s="4" t="s">
        <v>649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69999998807907104" right="0.69999998807907104" top="0.75" bottom="0.75" header="0.30000001192092901" footer="0.30000001192092901"/>
  <pageSetup fitToWidth="0" fitToHeight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11" sqref="F11:G16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3.28515625" style="2" customWidth="1"/>
    <col min="7" max="8" width="4.5703125" style="3" customWidth="1"/>
    <col min="9" max="9" width="2.1406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15.7109375" style="2" customWidth="1"/>
    <col min="14" max="16384" width="9.140625" style="1"/>
  </cols>
  <sheetData>
    <row r="1" spans="1:13" s="5" customFormat="1" ht="29.25" customHeight="1">
      <c r="A1" s="42" t="s">
        <v>650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633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651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652</v>
      </c>
      <c r="B6" s="8" t="s">
        <v>653</v>
      </c>
      <c r="C6" s="8" t="s">
        <v>224</v>
      </c>
      <c r="D6" s="8" t="str">
        <f>"0,6734"</f>
        <v>0,6734</v>
      </c>
      <c r="E6" s="8" t="s">
        <v>50</v>
      </c>
      <c r="F6" s="8" t="s">
        <v>229</v>
      </c>
      <c r="G6" s="10"/>
      <c r="H6" s="10"/>
      <c r="I6" s="10"/>
      <c r="J6" s="10"/>
      <c r="K6" s="11" t="str">
        <f>"0.00"</f>
        <v>0.00</v>
      </c>
      <c r="L6" s="12" t="str">
        <f>"0,0000"</f>
        <v>0,0000</v>
      </c>
      <c r="M6" s="8" t="s">
        <v>21</v>
      </c>
    </row>
    <row r="8" spans="1:13" s="3" customFormat="1" ht="15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47</v>
      </c>
      <c r="B9" s="8" t="s">
        <v>48</v>
      </c>
      <c r="C9" s="8" t="s">
        <v>49</v>
      </c>
      <c r="D9" s="8" t="str">
        <f>"0,6708"</f>
        <v>0,6708</v>
      </c>
      <c r="E9" s="8" t="s">
        <v>50</v>
      </c>
      <c r="F9" s="8" t="s">
        <v>51</v>
      </c>
      <c r="G9" s="9" t="s">
        <v>287</v>
      </c>
      <c r="H9" s="9" t="s">
        <v>549</v>
      </c>
      <c r="I9" s="10"/>
      <c r="J9" s="10"/>
      <c r="K9" s="11" t="str">
        <f>"75,0"</f>
        <v>75,0</v>
      </c>
      <c r="L9" s="12" t="str">
        <f>"50,3100"</f>
        <v>50,3100</v>
      </c>
      <c r="M9" s="8" t="s">
        <v>54</v>
      </c>
    </row>
    <row r="11" spans="1:13" s="3" customFormat="1" ht="15">
      <c r="E11" s="13" t="s">
        <v>22</v>
      </c>
      <c r="F11" s="14" t="s">
        <v>23</v>
      </c>
      <c r="G11" s="15" t="s">
        <v>24</v>
      </c>
    </row>
    <row r="12" spans="1:13" s="3" customFormat="1" ht="15">
      <c r="E12" s="13" t="s">
        <v>25</v>
      </c>
      <c r="F12" s="14" t="s">
        <v>26</v>
      </c>
    </row>
    <row r="13" spans="1:13" s="3" customFormat="1" ht="15">
      <c r="E13" s="13" t="s">
        <v>28</v>
      </c>
      <c r="F13" s="14" t="s">
        <v>32</v>
      </c>
      <c r="G13" s="15" t="s">
        <v>30</v>
      </c>
    </row>
    <row r="14" spans="1:13" s="3" customFormat="1" ht="15">
      <c r="E14" s="13" t="s">
        <v>31</v>
      </c>
      <c r="F14" s="14" t="s">
        <v>23</v>
      </c>
      <c r="G14" s="15" t="s">
        <v>24</v>
      </c>
    </row>
    <row r="15" spans="1:13" s="3" customFormat="1" ht="15">
      <c r="E15" s="13" t="s">
        <v>31</v>
      </c>
      <c r="F15" s="14" t="s">
        <v>29</v>
      </c>
      <c r="G15" s="15" t="s">
        <v>30</v>
      </c>
    </row>
    <row r="16" spans="1:13" s="3" customFormat="1" ht="15">
      <c r="E16" s="13" t="s">
        <v>33</v>
      </c>
      <c r="F16" s="14" t="s">
        <v>26</v>
      </c>
    </row>
    <row r="17" spans="1:5" s="3" customFormat="1" ht="15">
      <c r="E17" s="13"/>
    </row>
    <row r="19" spans="1:5" s="3" customFormat="1" ht="18">
      <c r="A19" s="16" t="s">
        <v>34</v>
      </c>
      <c r="B19" s="16"/>
    </row>
    <row r="20" spans="1:5" s="3" customFormat="1" ht="15">
      <c r="A20" s="17" t="s">
        <v>35</v>
      </c>
      <c r="B20" s="17"/>
    </row>
    <row r="21" spans="1:5" s="3" customFormat="1" ht="14.25">
      <c r="A21" s="18"/>
      <c r="B21" s="19" t="s">
        <v>36</v>
      </c>
    </row>
    <row r="22" spans="1:5" s="3" customFormat="1" ht="15">
      <c r="A22" s="20" t="s">
        <v>37</v>
      </c>
      <c r="B22" s="20" t="s">
        <v>38</v>
      </c>
      <c r="C22" s="20" t="s">
        <v>39</v>
      </c>
      <c r="D22" s="20" t="s">
        <v>40</v>
      </c>
      <c r="E22" s="20" t="s">
        <v>41</v>
      </c>
    </row>
    <row r="23" spans="1:5" s="3" customFormat="1">
      <c r="A23" s="21" t="s">
        <v>55</v>
      </c>
      <c r="B23" s="2" t="s">
        <v>36</v>
      </c>
      <c r="C23" s="2" t="s">
        <v>56</v>
      </c>
      <c r="D23" s="2" t="s">
        <v>549</v>
      </c>
      <c r="E23" s="4" t="s">
        <v>654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19" sqref="J19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29.85546875" style="2" customWidth="1"/>
    <col min="7" max="9" width="4.57031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8.85546875" style="2" customWidth="1"/>
    <col min="14" max="16384" width="9.140625" style="1"/>
  </cols>
  <sheetData>
    <row r="1" spans="1:13" s="5" customFormat="1" ht="29.25" customHeight="1">
      <c r="A1" s="42" t="s">
        <v>58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47</v>
      </c>
      <c r="B6" s="8" t="s">
        <v>48</v>
      </c>
      <c r="C6" s="8" t="s">
        <v>49</v>
      </c>
      <c r="D6" s="8" t="str">
        <f>"0,6708"</f>
        <v>0,6708</v>
      </c>
      <c r="E6" s="8" t="s">
        <v>50</v>
      </c>
      <c r="F6" s="8" t="s">
        <v>51</v>
      </c>
      <c r="G6" s="9" t="s">
        <v>59</v>
      </c>
      <c r="H6" s="9" t="s">
        <v>60</v>
      </c>
      <c r="I6" s="9" t="s">
        <v>61</v>
      </c>
      <c r="J6" s="10"/>
      <c r="K6" s="11" t="str">
        <f>"30,0"</f>
        <v>30,0</v>
      </c>
      <c r="L6" s="12" t="str">
        <f>"20,1240"</f>
        <v>20,1240</v>
      </c>
      <c r="M6" s="8" t="s">
        <v>54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</row>
    <row r="10" spans="1:13" s="3" customFormat="1" ht="15">
      <c r="E10" s="13" t="s">
        <v>28</v>
      </c>
      <c r="F10" s="14" t="s">
        <v>29</v>
      </c>
      <c r="G10" s="15" t="s">
        <v>30</v>
      </c>
    </row>
    <row r="11" spans="1:13" s="3" customFormat="1" ht="15">
      <c r="E11" s="13" t="s">
        <v>31</v>
      </c>
      <c r="F11" s="14" t="s">
        <v>23</v>
      </c>
      <c r="G11" s="15" t="s">
        <v>24</v>
      </c>
    </row>
    <row r="12" spans="1:13" s="3" customFormat="1" ht="15">
      <c r="E12" s="13" t="s">
        <v>31</v>
      </c>
      <c r="F12" s="14" t="s">
        <v>32</v>
      </c>
      <c r="G12" s="15" t="s">
        <v>30</v>
      </c>
    </row>
    <row r="13" spans="1:13" s="3" customFormat="1" ht="15">
      <c r="E13" s="13" t="s">
        <v>33</v>
      </c>
      <c r="F13" s="14" t="s">
        <v>26</v>
      </c>
    </row>
    <row r="14" spans="1:13" s="3" customFormat="1" ht="15">
      <c r="E14" s="13"/>
    </row>
    <row r="16" spans="1:13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55</v>
      </c>
      <c r="B20" s="2" t="s">
        <v>36</v>
      </c>
      <c r="C20" s="2" t="s">
        <v>56</v>
      </c>
      <c r="D20" s="2" t="s">
        <v>61</v>
      </c>
      <c r="E20" s="4" t="s">
        <v>62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workbookViewId="0">
      <selection activeCell="K27" sqref="K27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6" style="2" customWidth="1"/>
    <col min="6" max="6" width="34.85546875" style="2" customWidth="1"/>
    <col min="7" max="9" width="4.5703125" style="3" customWidth="1"/>
    <col min="10" max="10" width="4.85546875" style="3" customWidth="1"/>
    <col min="11" max="11" width="7.85546875" style="4" customWidth="1"/>
    <col min="12" max="12" width="7.5703125" style="5" customWidth="1"/>
    <col min="13" max="13" width="19" style="2" customWidth="1"/>
    <col min="14" max="16384" width="9.140625" style="1"/>
  </cols>
  <sheetData>
    <row r="1" spans="1:13" s="5" customFormat="1" ht="29.25" customHeight="1">
      <c r="A1" s="42" t="s">
        <v>655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633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121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640</v>
      </c>
      <c r="B6" s="8" t="s">
        <v>641</v>
      </c>
      <c r="C6" s="8" t="s">
        <v>130</v>
      </c>
      <c r="D6" s="8" t="str">
        <f>"0,7387"</f>
        <v>0,7387</v>
      </c>
      <c r="E6" s="8" t="s">
        <v>50</v>
      </c>
      <c r="F6" s="8" t="s">
        <v>642</v>
      </c>
      <c r="G6" s="9" t="s">
        <v>263</v>
      </c>
      <c r="H6" s="9" t="s">
        <v>264</v>
      </c>
      <c r="I6" s="9" t="s">
        <v>265</v>
      </c>
      <c r="J6" s="10"/>
      <c r="K6" s="11" t="str">
        <f>"57,5"</f>
        <v>57,5</v>
      </c>
      <c r="L6" s="12" t="str">
        <f>"51,3526"</f>
        <v>51,3526</v>
      </c>
      <c r="M6" s="8" t="s">
        <v>643</v>
      </c>
    </row>
    <row r="8" spans="1:13" s="3" customFormat="1" ht="15">
      <c r="A8" s="51" t="s">
        <v>136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22" t="s">
        <v>561</v>
      </c>
      <c r="B9" s="22" t="s">
        <v>562</v>
      </c>
      <c r="C9" s="22" t="s">
        <v>347</v>
      </c>
      <c r="D9" s="22" t="str">
        <f>"0,6235"</f>
        <v>0,6235</v>
      </c>
      <c r="E9" s="22" t="s">
        <v>74</v>
      </c>
      <c r="F9" s="22" t="s">
        <v>110</v>
      </c>
      <c r="G9" s="23" t="s">
        <v>77</v>
      </c>
      <c r="H9" s="23" t="s">
        <v>263</v>
      </c>
      <c r="I9" s="24" t="s">
        <v>264</v>
      </c>
      <c r="J9" s="24"/>
      <c r="K9" s="25" t="str">
        <f>"50,0"</f>
        <v>50,0</v>
      </c>
      <c r="L9" s="26" t="str">
        <f>"32,4220"</f>
        <v>32,4220</v>
      </c>
      <c r="M9" s="22" t="s">
        <v>80</v>
      </c>
    </row>
    <row r="10" spans="1:13" s="3" customFormat="1">
      <c r="A10" s="32" t="s">
        <v>656</v>
      </c>
      <c r="B10" s="32" t="s">
        <v>341</v>
      </c>
      <c r="C10" s="32" t="s">
        <v>342</v>
      </c>
      <c r="D10" s="32" t="str">
        <f>"0,6388"</f>
        <v>0,6388</v>
      </c>
      <c r="E10" s="32" t="s">
        <v>160</v>
      </c>
      <c r="F10" s="32" t="s">
        <v>110</v>
      </c>
      <c r="G10" s="34" t="s">
        <v>276</v>
      </c>
      <c r="H10" s="34" t="s">
        <v>265</v>
      </c>
      <c r="I10" s="34" t="s">
        <v>287</v>
      </c>
      <c r="J10" s="33"/>
      <c r="K10" s="35" t="str">
        <f>"70,0"</f>
        <v>70,0</v>
      </c>
      <c r="L10" s="36" t="str">
        <f>"44,7160"</f>
        <v>44,7160</v>
      </c>
      <c r="M10" s="32" t="s">
        <v>164</v>
      </c>
    </row>
    <row r="11" spans="1:13" s="3" customFormat="1">
      <c r="A11" s="32" t="s">
        <v>657</v>
      </c>
      <c r="B11" s="32" t="s">
        <v>658</v>
      </c>
      <c r="C11" s="32" t="s">
        <v>659</v>
      </c>
      <c r="D11" s="32" t="str">
        <f>"0,6268"</f>
        <v>0,6268</v>
      </c>
      <c r="E11" s="32" t="s">
        <v>109</v>
      </c>
      <c r="F11" s="32" t="s">
        <v>110</v>
      </c>
      <c r="G11" s="34" t="s">
        <v>309</v>
      </c>
      <c r="H11" s="34" t="s">
        <v>310</v>
      </c>
      <c r="I11" s="34" t="s">
        <v>287</v>
      </c>
      <c r="J11" s="33"/>
      <c r="K11" s="35" t="str">
        <f>"70,0"</f>
        <v>70,0</v>
      </c>
      <c r="L11" s="36" t="str">
        <f>"43,8760"</f>
        <v>43,8760</v>
      </c>
      <c r="M11" s="32" t="s">
        <v>21</v>
      </c>
    </row>
    <row r="12" spans="1:13" s="3" customFormat="1">
      <c r="A12" s="32" t="s">
        <v>660</v>
      </c>
      <c r="B12" s="32" t="s">
        <v>223</v>
      </c>
      <c r="C12" s="32" t="s">
        <v>224</v>
      </c>
      <c r="D12" s="32" t="str">
        <f>"0,6193"</f>
        <v>0,6193</v>
      </c>
      <c r="E12" s="32" t="s">
        <v>661</v>
      </c>
      <c r="F12" s="32" t="s">
        <v>110</v>
      </c>
      <c r="G12" s="33" t="s">
        <v>286</v>
      </c>
      <c r="H12" s="33" t="s">
        <v>286</v>
      </c>
      <c r="I12" s="34" t="s">
        <v>286</v>
      </c>
      <c r="J12" s="33"/>
      <c r="K12" s="35" t="str">
        <f>"65,0"</f>
        <v>65,0</v>
      </c>
      <c r="L12" s="36" t="str">
        <f>"40,2545"</f>
        <v>40,2545</v>
      </c>
      <c r="M12" s="32" t="s">
        <v>620</v>
      </c>
    </row>
    <row r="13" spans="1:13" s="3" customFormat="1">
      <c r="A13" s="27" t="s">
        <v>662</v>
      </c>
      <c r="B13" s="27" t="s">
        <v>663</v>
      </c>
      <c r="C13" s="27" t="s">
        <v>659</v>
      </c>
      <c r="D13" s="27" t="str">
        <f>"0,6268"</f>
        <v>0,6268</v>
      </c>
      <c r="E13" s="27" t="s">
        <v>109</v>
      </c>
      <c r="F13" s="27" t="s">
        <v>110</v>
      </c>
      <c r="G13" s="28" t="s">
        <v>309</v>
      </c>
      <c r="H13" s="28"/>
      <c r="I13" s="28" t="s">
        <v>287</v>
      </c>
      <c r="J13" s="29"/>
      <c r="K13" s="30" t="str">
        <f>"70,0"</f>
        <v>70,0</v>
      </c>
      <c r="L13" s="31" t="str">
        <f>"50,1941"</f>
        <v>50,1941</v>
      </c>
      <c r="M13" s="27" t="s">
        <v>21</v>
      </c>
    </row>
    <row r="15" spans="1:13" s="3" customFormat="1" ht="15">
      <c r="A15" s="51" t="s">
        <v>12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 s="3" customFormat="1">
      <c r="A16" s="22" t="s">
        <v>664</v>
      </c>
      <c r="B16" s="22" t="s">
        <v>665</v>
      </c>
      <c r="C16" s="22" t="s">
        <v>666</v>
      </c>
      <c r="D16" s="22" t="str">
        <f>"0,5973"</f>
        <v>0,5973</v>
      </c>
      <c r="E16" s="22" t="s">
        <v>16</v>
      </c>
      <c r="F16" s="22" t="s">
        <v>110</v>
      </c>
      <c r="G16" s="23" t="s">
        <v>286</v>
      </c>
      <c r="H16" s="23" t="s">
        <v>310</v>
      </c>
      <c r="I16" s="24" t="s">
        <v>287</v>
      </c>
      <c r="J16" s="24"/>
      <c r="K16" s="25" t="str">
        <f>"67,5"</f>
        <v>67,5</v>
      </c>
      <c r="L16" s="26" t="str">
        <f>"40,3177"</f>
        <v>40,3177</v>
      </c>
      <c r="M16" s="22" t="s">
        <v>21</v>
      </c>
    </row>
    <row r="17" spans="1:13" s="3" customFormat="1">
      <c r="A17" s="32" t="s">
        <v>667</v>
      </c>
      <c r="B17" s="32" t="s">
        <v>668</v>
      </c>
      <c r="C17" s="32" t="s">
        <v>669</v>
      </c>
      <c r="D17" s="32" t="str">
        <f>"0,5939"</f>
        <v>0,5939</v>
      </c>
      <c r="E17" s="32" t="s">
        <v>670</v>
      </c>
      <c r="F17" s="32" t="s">
        <v>671</v>
      </c>
      <c r="G17" s="34" t="s">
        <v>285</v>
      </c>
      <c r="H17" s="34" t="s">
        <v>286</v>
      </c>
      <c r="I17" s="34" t="s">
        <v>287</v>
      </c>
      <c r="J17" s="33"/>
      <c r="K17" s="35" t="str">
        <f>"70,0"</f>
        <v>70,0</v>
      </c>
      <c r="L17" s="36" t="str">
        <f>"50,2618"</f>
        <v>50,2618</v>
      </c>
      <c r="M17" s="32" t="s">
        <v>21</v>
      </c>
    </row>
    <row r="18" spans="1:13" s="3" customFormat="1">
      <c r="A18" s="27" t="s">
        <v>90</v>
      </c>
      <c r="B18" s="27" t="s">
        <v>91</v>
      </c>
      <c r="C18" s="27" t="s">
        <v>92</v>
      </c>
      <c r="D18" s="27" t="str">
        <f>"0,5914"</f>
        <v>0,5914</v>
      </c>
      <c r="E18" s="27" t="s">
        <v>93</v>
      </c>
      <c r="F18" s="27" t="s">
        <v>94</v>
      </c>
      <c r="G18" s="28" t="s">
        <v>76</v>
      </c>
      <c r="H18" s="28" t="s">
        <v>263</v>
      </c>
      <c r="I18" s="28" t="s">
        <v>264</v>
      </c>
      <c r="J18" s="29"/>
      <c r="K18" s="30" t="str">
        <f>"55,0"</f>
        <v>55,0</v>
      </c>
      <c r="L18" s="31" t="str">
        <f>"49,9289"</f>
        <v>49,9289</v>
      </c>
      <c r="M18" s="27" t="s">
        <v>98</v>
      </c>
    </row>
    <row r="20" spans="1:13" s="3" customFormat="1" ht="15">
      <c r="A20" s="51" t="s">
        <v>211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 s="3" customFormat="1">
      <c r="A21" s="22" t="s">
        <v>672</v>
      </c>
      <c r="B21" s="22" t="s">
        <v>371</v>
      </c>
      <c r="C21" s="22" t="s">
        <v>372</v>
      </c>
      <c r="D21" s="22" t="str">
        <f>"0,5619"</f>
        <v>0,5619</v>
      </c>
      <c r="E21" s="22" t="s">
        <v>50</v>
      </c>
      <c r="F21" s="22" t="s">
        <v>75</v>
      </c>
      <c r="G21" s="23" t="s">
        <v>287</v>
      </c>
      <c r="H21" s="23" t="s">
        <v>549</v>
      </c>
      <c r="I21" s="23" t="s">
        <v>494</v>
      </c>
      <c r="J21" s="24"/>
      <c r="K21" s="25" t="str">
        <f>"80,0"</f>
        <v>80,0</v>
      </c>
      <c r="L21" s="26" t="str">
        <f>"44,9520"</f>
        <v>44,9520</v>
      </c>
      <c r="M21" s="22" t="s">
        <v>21</v>
      </c>
    </row>
    <row r="22" spans="1:13" s="3" customFormat="1">
      <c r="A22" s="27" t="s">
        <v>673</v>
      </c>
      <c r="B22" s="27" t="s">
        <v>674</v>
      </c>
      <c r="C22" s="27" t="s">
        <v>369</v>
      </c>
      <c r="D22" s="27" t="str">
        <f>"0,5594"</f>
        <v>0,5594</v>
      </c>
      <c r="E22" s="27" t="s">
        <v>109</v>
      </c>
      <c r="F22" s="27" t="s">
        <v>110</v>
      </c>
      <c r="G22" s="28" t="s">
        <v>309</v>
      </c>
      <c r="H22" s="28" t="s">
        <v>286</v>
      </c>
      <c r="I22" s="29" t="s">
        <v>310</v>
      </c>
      <c r="J22" s="29"/>
      <c r="K22" s="30" t="str">
        <f>"65,0"</f>
        <v>65,0</v>
      </c>
      <c r="L22" s="31" t="str">
        <f>"36,4701"</f>
        <v>36,4701</v>
      </c>
      <c r="M22" s="27" t="s">
        <v>675</v>
      </c>
    </row>
    <row r="24" spans="1:13" s="3" customFormat="1" ht="15">
      <c r="E24" s="13" t="s">
        <v>22</v>
      </c>
      <c r="F24" s="14" t="s">
        <v>23</v>
      </c>
      <c r="G24" s="15" t="s">
        <v>24</v>
      </c>
    </row>
    <row r="25" spans="1:13" s="3" customFormat="1" ht="15">
      <c r="E25" s="13" t="s">
        <v>25</v>
      </c>
      <c r="F25" s="14" t="s">
        <v>26</v>
      </c>
    </row>
    <row r="26" spans="1:13" s="3" customFormat="1" ht="15">
      <c r="E26" s="13" t="s">
        <v>28</v>
      </c>
      <c r="F26" s="14" t="s">
        <v>32</v>
      </c>
      <c r="G26" s="15" t="s">
        <v>30</v>
      </c>
    </row>
    <row r="27" spans="1:13" s="3" customFormat="1" ht="15">
      <c r="E27" s="13" t="s">
        <v>31</v>
      </c>
      <c r="F27" s="14" t="s">
        <v>23</v>
      </c>
      <c r="G27" s="15" t="s">
        <v>24</v>
      </c>
    </row>
    <row r="28" spans="1:13" s="3" customFormat="1" ht="15">
      <c r="E28" s="13" t="s">
        <v>31</v>
      </c>
      <c r="F28" s="14" t="s">
        <v>29</v>
      </c>
      <c r="G28" s="15" t="s">
        <v>30</v>
      </c>
    </row>
    <row r="29" spans="1:13" s="3" customFormat="1" ht="15">
      <c r="E29" s="13" t="s">
        <v>33</v>
      </c>
      <c r="F29" s="14" t="s">
        <v>26</v>
      </c>
    </row>
    <row r="30" spans="1:13" s="3" customFormat="1" ht="15">
      <c r="E30" s="13"/>
    </row>
    <row r="32" spans="1:13" s="3" customFormat="1" ht="18">
      <c r="A32" s="16" t="s">
        <v>34</v>
      </c>
      <c r="B32" s="16"/>
    </row>
    <row r="33" spans="1:5" s="3" customFormat="1" ht="15">
      <c r="A33" s="17" t="s">
        <v>35</v>
      </c>
      <c r="B33" s="17"/>
    </row>
    <row r="34" spans="1:5" s="3" customFormat="1" ht="14.25">
      <c r="A34" s="18"/>
      <c r="B34" s="19" t="s">
        <v>178</v>
      </c>
    </row>
    <row r="35" spans="1:5" s="3" customFormat="1" ht="15">
      <c r="A35" s="20" t="s">
        <v>37</v>
      </c>
      <c r="B35" s="20" t="s">
        <v>38</v>
      </c>
      <c r="C35" s="20" t="s">
        <v>39</v>
      </c>
      <c r="D35" s="20" t="s">
        <v>40</v>
      </c>
      <c r="E35" s="20" t="s">
        <v>41</v>
      </c>
    </row>
    <row r="36" spans="1:5" s="3" customFormat="1">
      <c r="A36" s="21" t="s">
        <v>570</v>
      </c>
      <c r="B36" s="2" t="s">
        <v>184</v>
      </c>
      <c r="C36" s="2" t="s">
        <v>198</v>
      </c>
      <c r="D36" s="2" t="s">
        <v>263</v>
      </c>
      <c r="E36" s="4" t="s">
        <v>676</v>
      </c>
    </row>
    <row r="38" spans="1:5" s="3" customFormat="1" ht="14.25">
      <c r="A38" s="18"/>
      <c r="B38" s="19" t="s">
        <v>36</v>
      </c>
    </row>
    <row r="39" spans="1:5" s="3" customFormat="1" ht="15">
      <c r="A39" s="20" t="s">
        <v>37</v>
      </c>
      <c r="B39" s="20" t="s">
        <v>38</v>
      </c>
      <c r="C39" s="20" t="s">
        <v>39</v>
      </c>
      <c r="D39" s="20" t="s">
        <v>40</v>
      </c>
      <c r="E39" s="20" t="s">
        <v>41</v>
      </c>
    </row>
    <row r="40" spans="1:5" s="3" customFormat="1">
      <c r="A40" s="21" t="s">
        <v>435</v>
      </c>
      <c r="B40" s="2" t="s">
        <v>36</v>
      </c>
      <c r="C40" s="2" t="s">
        <v>219</v>
      </c>
      <c r="D40" s="2" t="s">
        <v>494</v>
      </c>
      <c r="E40" s="4" t="s">
        <v>677</v>
      </c>
    </row>
    <row r="41" spans="1:5" s="3" customFormat="1">
      <c r="A41" s="21" t="s">
        <v>447</v>
      </c>
      <c r="B41" s="2" t="s">
        <v>36</v>
      </c>
      <c r="C41" s="2" t="s">
        <v>198</v>
      </c>
      <c r="D41" s="2" t="s">
        <v>287</v>
      </c>
      <c r="E41" s="4" t="s">
        <v>678</v>
      </c>
    </row>
    <row r="42" spans="1:5" s="3" customFormat="1">
      <c r="A42" s="21" t="s">
        <v>679</v>
      </c>
      <c r="B42" s="2" t="s">
        <v>36</v>
      </c>
      <c r="C42" s="2" t="s">
        <v>198</v>
      </c>
      <c r="D42" s="2" t="s">
        <v>287</v>
      </c>
      <c r="E42" s="4" t="s">
        <v>680</v>
      </c>
    </row>
    <row r="43" spans="1:5" s="3" customFormat="1">
      <c r="A43" s="21" t="s">
        <v>681</v>
      </c>
      <c r="B43" s="2" t="s">
        <v>36</v>
      </c>
      <c r="C43" s="2" t="s">
        <v>43</v>
      </c>
      <c r="D43" s="2" t="s">
        <v>310</v>
      </c>
      <c r="E43" s="4" t="s">
        <v>682</v>
      </c>
    </row>
    <row r="44" spans="1:5" s="3" customFormat="1">
      <c r="A44" s="21" t="s">
        <v>433</v>
      </c>
      <c r="B44" s="2" t="s">
        <v>36</v>
      </c>
      <c r="C44" s="2" t="s">
        <v>198</v>
      </c>
      <c r="D44" s="2" t="s">
        <v>286</v>
      </c>
      <c r="E44" s="4" t="s">
        <v>683</v>
      </c>
    </row>
    <row r="46" spans="1:5" s="3" customFormat="1" ht="14.25">
      <c r="A46" s="18"/>
      <c r="B46" s="19" t="s">
        <v>99</v>
      </c>
    </row>
    <row r="47" spans="1:5" s="3" customFormat="1" ht="15">
      <c r="A47" s="20" t="s">
        <v>37</v>
      </c>
      <c r="B47" s="20" t="s">
        <v>38</v>
      </c>
      <c r="C47" s="20" t="s">
        <v>39</v>
      </c>
      <c r="D47" s="20" t="s">
        <v>40</v>
      </c>
      <c r="E47" s="20" t="s">
        <v>41</v>
      </c>
    </row>
    <row r="48" spans="1:5" s="3" customFormat="1">
      <c r="A48" s="21" t="s">
        <v>648</v>
      </c>
      <c r="B48" s="2" t="s">
        <v>239</v>
      </c>
      <c r="C48" s="2" t="s">
        <v>181</v>
      </c>
      <c r="D48" s="2" t="s">
        <v>265</v>
      </c>
      <c r="E48" s="4" t="s">
        <v>684</v>
      </c>
    </row>
    <row r="49" spans="1:5" s="3" customFormat="1">
      <c r="A49" s="21" t="s">
        <v>685</v>
      </c>
      <c r="B49" s="2" t="s">
        <v>239</v>
      </c>
      <c r="C49" s="2" t="s">
        <v>43</v>
      </c>
      <c r="D49" s="2" t="s">
        <v>287</v>
      </c>
      <c r="E49" s="4" t="s">
        <v>686</v>
      </c>
    </row>
    <row r="50" spans="1:5" s="3" customFormat="1">
      <c r="A50" s="21" t="s">
        <v>679</v>
      </c>
      <c r="B50" s="2" t="s">
        <v>258</v>
      </c>
      <c r="C50" s="2" t="s">
        <v>198</v>
      </c>
      <c r="D50" s="2" t="s">
        <v>287</v>
      </c>
      <c r="E50" s="4" t="s">
        <v>687</v>
      </c>
    </row>
    <row r="51" spans="1:5" s="3" customFormat="1">
      <c r="A51" s="21" t="s">
        <v>100</v>
      </c>
      <c r="B51" s="2" t="s">
        <v>101</v>
      </c>
      <c r="C51" s="2" t="s">
        <v>43</v>
      </c>
      <c r="D51" s="2" t="s">
        <v>264</v>
      </c>
      <c r="E51" s="4" t="s">
        <v>688</v>
      </c>
    </row>
    <row r="52" spans="1:5" s="3" customFormat="1">
      <c r="A52" s="21" t="s">
        <v>689</v>
      </c>
      <c r="B52" s="2" t="s">
        <v>176</v>
      </c>
      <c r="C52" s="2" t="s">
        <v>219</v>
      </c>
      <c r="D52" s="2" t="s">
        <v>286</v>
      </c>
      <c r="E52" s="4" t="s">
        <v>690</v>
      </c>
    </row>
  </sheetData>
  <mergeCells count="15"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8:J8"/>
    <mergeCell ref="A15:J15"/>
    <mergeCell ref="A20:J20"/>
    <mergeCell ref="D3:D4"/>
  </mergeCells>
  <pageMargins left="0.19685038924217199" right="0.47244095802307101" top="0.433070868253708" bottom="0.47244095802307101" header="0.51181101799011197" footer="0.51181101799011197"/>
  <pageSetup scale="58" fitToHeight="100" orientation="landscape"/>
  <headerFooter alignWithMargins="0">
    <oddFooter>&amp;L&amp;G&amp;R&amp;D&amp;T&amp;P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D14" sqref="D14"/>
    </sheetView>
  </sheetViews>
  <sheetFormatPr defaultColWidth="12.140625" defaultRowHeight="15" customHeight="1"/>
  <cols>
    <col min="1" max="1" width="12.140625" style="1"/>
    <col min="2" max="2" width="24.5703125" style="1" customWidth="1"/>
    <col min="3" max="16384" width="12.140625" style="1"/>
  </cols>
  <sheetData>
    <row r="2" spans="1:2" ht="15" customHeight="1">
      <c r="A2" s="15" t="s">
        <v>691</v>
      </c>
      <c r="B2" s="15" t="s">
        <v>692</v>
      </c>
    </row>
    <row r="3" spans="1:2" ht="15" customHeight="1">
      <c r="A3" s="15" t="s">
        <v>693</v>
      </c>
      <c r="B3" s="15" t="s">
        <v>694</v>
      </c>
    </row>
    <row r="4" spans="1:2" ht="15" customHeight="1">
      <c r="A4" s="15" t="s">
        <v>695</v>
      </c>
      <c r="B4" s="15" t="s">
        <v>696</v>
      </c>
    </row>
    <row r="5" spans="1:2" ht="15" customHeight="1">
      <c r="A5" s="15" t="s">
        <v>697</v>
      </c>
      <c r="B5" s="15" t="s">
        <v>698</v>
      </c>
    </row>
  </sheetData>
  <pageMargins left="0.7" right="0.7" top="0.75" bottom="0.75" header="0.3" footer="0.3"/>
  <pageSetup fitToWidth="0" fitToHeight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G16" sqref="G16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9.28515625" style="2" customWidth="1"/>
    <col min="5" max="5" width="22.7109375" style="2" customWidth="1"/>
    <col min="6" max="6" width="26.85546875" style="2" customWidth="1"/>
    <col min="7" max="9" width="4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4" customWidth="1"/>
    <col min="14" max="14" width="8.5703125" style="5" customWidth="1"/>
    <col min="15" max="15" width="16.5703125" style="2" customWidth="1"/>
    <col min="16" max="16384" width="9.140625" style="1"/>
  </cols>
  <sheetData>
    <row r="1" spans="1:15" s="5" customFormat="1" ht="29.25" customHeight="1">
      <c r="A1" s="42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s="6" customFormat="1" ht="12.75" customHeight="1">
      <c r="A3" s="48" t="s">
        <v>1</v>
      </c>
      <c r="B3" s="50" t="s">
        <v>2</v>
      </c>
      <c r="C3" s="50" t="s">
        <v>3</v>
      </c>
      <c r="D3" s="37" t="s">
        <v>64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66</v>
      </c>
      <c r="L3" s="37"/>
      <c r="M3" s="37" t="s">
        <v>67</v>
      </c>
      <c r="N3" s="37" t="s">
        <v>9</v>
      </c>
      <c r="O3" s="39" t="s">
        <v>10</v>
      </c>
    </row>
    <row r="4" spans="1:15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7" t="s">
        <v>68</v>
      </c>
      <c r="L4" s="7" t="s">
        <v>69</v>
      </c>
      <c r="M4" s="38"/>
      <c r="N4" s="38"/>
      <c r="O4" s="40"/>
    </row>
    <row r="5" spans="1:15" s="3" customFormat="1" ht="15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5" s="3" customFormat="1">
      <c r="A6" s="8" t="s">
        <v>71</v>
      </c>
      <c r="B6" s="8" t="s">
        <v>72</v>
      </c>
      <c r="C6" s="8" t="s">
        <v>73</v>
      </c>
      <c r="D6" s="8" t="str">
        <f>"0,9270"</f>
        <v>0,9270</v>
      </c>
      <c r="E6" s="8" t="s">
        <v>74</v>
      </c>
      <c r="F6" s="8" t="s">
        <v>75</v>
      </c>
      <c r="G6" s="9" t="s">
        <v>76</v>
      </c>
      <c r="H6" s="10" t="s">
        <v>77</v>
      </c>
      <c r="I6" s="10" t="s">
        <v>77</v>
      </c>
      <c r="J6" s="10"/>
      <c r="K6" s="9" t="s">
        <v>78</v>
      </c>
      <c r="L6" s="9" t="s">
        <v>79</v>
      </c>
      <c r="M6" s="11" t="str">
        <f>"85,0"</f>
        <v>85,0</v>
      </c>
      <c r="N6" s="12" t="str">
        <f>"854,1900"</f>
        <v>854,1900</v>
      </c>
      <c r="O6" s="8" t="s">
        <v>80</v>
      </c>
    </row>
    <row r="8" spans="1:15" s="3" customFormat="1" ht="15">
      <c r="E8" s="13" t="s">
        <v>22</v>
      </c>
      <c r="F8" s="14" t="s">
        <v>23</v>
      </c>
      <c r="G8" s="15" t="s">
        <v>24</v>
      </c>
    </row>
    <row r="9" spans="1:15" s="3" customFormat="1" ht="15">
      <c r="E9" s="13" t="s">
        <v>25</v>
      </c>
      <c r="F9" s="14" t="s">
        <v>26</v>
      </c>
    </row>
    <row r="10" spans="1:15" s="3" customFormat="1" ht="15">
      <c r="E10" s="13" t="s">
        <v>28</v>
      </c>
      <c r="F10" s="14" t="s">
        <v>29</v>
      </c>
      <c r="G10" s="15" t="s">
        <v>30</v>
      </c>
    </row>
    <row r="11" spans="1:15" s="3" customFormat="1" ht="15">
      <c r="E11" s="13" t="s">
        <v>31</v>
      </c>
      <c r="F11" s="14" t="s">
        <v>23</v>
      </c>
      <c r="G11" s="15" t="s">
        <v>24</v>
      </c>
    </row>
    <row r="12" spans="1:15" s="3" customFormat="1" ht="15">
      <c r="E12" s="13" t="s">
        <v>31</v>
      </c>
      <c r="F12" s="14" t="s">
        <v>32</v>
      </c>
      <c r="G12" s="15" t="s">
        <v>30</v>
      </c>
    </row>
    <row r="13" spans="1:15" s="3" customFormat="1" ht="15">
      <c r="E13" s="13" t="s">
        <v>33</v>
      </c>
      <c r="F13" s="14" t="s">
        <v>26</v>
      </c>
    </row>
    <row r="14" spans="1:15" s="3" customFormat="1" ht="15">
      <c r="E14" s="13"/>
    </row>
    <row r="16" spans="1:15" s="3" customFormat="1" ht="18">
      <c r="A16" s="16" t="s">
        <v>34</v>
      </c>
      <c r="B16" s="16"/>
    </row>
    <row r="17" spans="1:5" s="3" customFormat="1" ht="15">
      <c r="A17" s="17" t="s">
        <v>81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82</v>
      </c>
      <c r="E19" s="20" t="s">
        <v>83</v>
      </c>
    </row>
    <row r="20" spans="1:5" s="3" customFormat="1">
      <c r="A20" s="21" t="s">
        <v>84</v>
      </c>
      <c r="B20" s="2" t="s">
        <v>36</v>
      </c>
      <c r="C20" s="2" t="s">
        <v>85</v>
      </c>
      <c r="D20" s="2" t="s">
        <v>86</v>
      </c>
      <c r="E20" s="4" t="s">
        <v>87</v>
      </c>
    </row>
  </sheetData>
  <mergeCells count="13"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</mergeCells>
  <pageMargins left="0.69999998807907104" right="0.69999998807907104" top="0.75" bottom="0.75" header="0.30000001192092901" footer="0.30000001192092901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3.57031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9" style="2" customWidth="1"/>
    <col min="14" max="16384" width="9.140625" style="1"/>
  </cols>
  <sheetData>
    <row r="1" spans="1:13" s="5" customFormat="1" ht="29.25" customHeight="1">
      <c r="A1" s="42" t="s">
        <v>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89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90</v>
      </c>
      <c r="B6" s="8" t="s">
        <v>91</v>
      </c>
      <c r="C6" s="8" t="s">
        <v>92</v>
      </c>
      <c r="D6" s="8" t="str">
        <f>"0,5914"</f>
        <v>0,5914</v>
      </c>
      <c r="E6" s="8" t="s">
        <v>93</v>
      </c>
      <c r="F6" s="8" t="s">
        <v>94</v>
      </c>
      <c r="G6" s="9" t="s">
        <v>95</v>
      </c>
      <c r="H6" s="9" t="s">
        <v>96</v>
      </c>
      <c r="I6" s="9" t="s">
        <v>97</v>
      </c>
      <c r="J6" s="10"/>
      <c r="K6" s="11" t="str">
        <f>"185,0"</f>
        <v>185,0</v>
      </c>
      <c r="L6" s="12" t="str">
        <f>"167,9428"</f>
        <v>167,9428</v>
      </c>
      <c r="M6" s="8" t="s">
        <v>98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</row>
    <row r="10" spans="1:13" s="3" customFormat="1" ht="15">
      <c r="E10" s="13" t="s">
        <v>28</v>
      </c>
      <c r="F10" s="14" t="s">
        <v>29</v>
      </c>
      <c r="G10" s="15" t="s">
        <v>30</v>
      </c>
    </row>
    <row r="11" spans="1:13" s="3" customFormat="1" ht="15">
      <c r="E11" s="13" t="s">
        <v>31</v>
      </c>
      <c r="F11" s="14" t="s">
        <v>23</v>
      </c>
      <c r="G11" s="15" t="s">
        <v>24</v>
      </c>
    </row>
    <row r="12" spans="1:13" s="3" customFormat="1" ht="15">
      <c r="E12" s="13" t="s">
        <v>31</v>
      </c>
      <c r="F12" s="14" t="s">
        <v>32</v>
      </c>
      <c r="G12" s="15" t="s">
        <v>30</v>
      </c>
    </row>
    <row r="13" spans="1:13" s="3" customFormat="1" ht="15">
      <c r="E13" s="13" t="s">
        <v>33</v>
      </c>
      <c r="F13" s="14" t="s">
        <v>26</v>
      </c>
    </row>
    <row r="14" spans="1:13" s="3" customFormat="1" ht="15">
      <c r="E14" s="13"/>
    </row>
    <row r="16" spans="1:13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99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100</v>
      </c>
      <c r="B20" s="2" t="s">
        <v>101</v>
      </c>
      <c r="C20" s="2" t="s">
        <v>43</v>
      </c>
      <c r="D20" s="2" t="s">
        <v>97</v>
      </c>
      <c r="E20" s="4" t="s">
        <v>102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6.5703125" style="2" customWidth="1"/>
    <col min="5" max="5" width="22.7109375" style="2" customWidth="1"/>
    <col min="6" max="6" width="17.28515625" style="2" customWidth="1"/>
    <col min="7" max="9" width="2.140625" style="3" customWidth="1"/>
    <col min="10" max="10" width="4.85546875" style="3" customWidth="1"/>
    <col min="11" max="11" width="7.85546875" style="4" customWidth="1"/>
    <col min="12" max="12" width="6.42578125" style="5" customWidth="1"/>
    <col min="13" max="13" width="8.85546875" style="2" customWidth="1"/>
    <col min="14" max="16384" width="9.140625" style="1"/>
  </cols>
  <sheetData>
    <row r="1" spans="1:13" s="5" customFormat="1" ht="29.25" customHeight="1">
      <c r="A1" s="42" t="s">
        <v>103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/>
      <c r="E3" s="37" t="s">
        <v>5</v>
      </c>
      <c r="F3" s="37" t="s">
        <v>6</v>
      </c>
      <c r="G3" s="37"/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6" spans="1:13" s="3" customFormat="1" ht="15">
      <c r="E6" s="13" t="s">
        <v>22</v>
      </c>
    </row>
    <row r="7" spans="1:13" s="3" customFormat="1" ht="15">
      <c r="E7" s="13" t="s">
        <v>25</v>
      </c>
    </row>
    <row r="8" spans="1:13" s="3" customFormat="1" ht="15">
      <c r="E8" s="13" t="s">
        <v>28</v>
      </c>
    </row>
    <row r="9" spans="1:13" s="3" customFormat="1" ht="15">
      <c r="E9" s="13" t="s">
        <v>31</v>
      </c>
    </row>
    <row r="10" spans="1:13" s="3" customFormat="1" ht="15">
      <c r="E10" s="13" t="s">
        <v>31</v>
      </c>
    </row>
    <row r="11" spans="1:13" s="3" customFormat="1" ht="15">
      <c r="E11" s="13" t="s">
        <v>33</v>
      </c>
    </row>
    <row r="12" spans="1:13" s="3" customFormat="1" ht="15">
      <c r="E12" s="13"/>
    </row>
    <row r="14" spans="1:13" s="3" customFormat="1" ht="18">
      <c r="A14" s="16" t="s">
        <v>34</v>
      </c>
      <c r="B14" s="16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F30" sqref="F30:G35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6" style="2" customWidth="1"/>
    <col min="6" max="6" width="33.57031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28.5703125" style="2" customWidth="1"/>
    <col min="14" max="16384" width="9.140625" style="1"/>
  </cols>
  <sheetData>
    <row r="1" spans="1:13" s="5" customFormat="1" ht="29.25" customHeight="1">
      <c r="A1" s="42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105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106</v>
      </c>
      <c r="B6" s="8" t="s">
        <v>107</v>
      </c>
      <c r="C6" s="8" t="s">
        <v>108</v>
      </c>
      <c r="D6" s="8" t="str">
        <f>"0,9298"</f>
        <v>0,9298</v>
      </c>
      <c r="E6" s="8" t="s">
        <v>109</v>
      </c>
      <c r="F6" s="8" t="s">
        <v>110</v>
      </c>
      <c r="G6" s="9" t="s">
        <v>86</v>
      </c>
      <c r="H6" s="9" t="s">
        <v>111</v>
      </c>
      <c r="I6" s="9" t="s">
        <v>112</v>
      </c>
      <c r="J6" s="10"/>
      <c r="K6" s="11" t="str">
        <f>"97,5"</f>
        <v>97,5</v>
      </c>
      <c r="L6" s="12" t="str">
        <f>"90,6555"</f>
        <v>90,6555</v>
      </c>
      <c r="M6" s="8" t="s">
        <v>113</v>
      </c>
    </row>
    <row r="8" spans="1:13" s="3" customFormat="1" ht="15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114</v>
      </c>
      <c r="B9" s="8" t="s">
        <v>115</v>
      </c>
      <c r="C9" s="8" t="s">
        <v>116</v>
      </c>
      <c r="D9" s="8" t="str">
        <f>"0,7226"</f>
        <v>0,7226</v>
      </c>
      <c r="E9" s="8" t="s">
        <v>117</v>
      </c>
      <c r="F9" s="8" t="s">
        <v>110</v>
      </c>
      <c r="G9" s="9" t="s">
        <v>118</v>
      </c>
      <c r="H9" s="10" t="s">
        <v>119</v>
      </c>
      <c r="I9" s="10" t="s">
        <v>119</v>
      </c>
      <c r="J9" s="10"/>
      <c r="K9" s="11" t="str">
        <f>"100,0"</f>
        <v>100,0</v>
      </c>
      <c r="L9" s="12" t="str">
        <f>"72,4818"</f>
        <v>72,4818</v>
      </c>
      <c r="M9" s="8" t="s">
        <v>120</v>
      </c>
    </row>
    <row r="11" spans="1:13" s="3" customFormat="1" ht="15">
      <c r="A11" s="51" t="s">
        <v>121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s="3" customFormat="1">
      <c r="A12" s="22" t="s">
        <v>122</v>
      </c>
      <c r="B12" s="22" t="s">
        <v>123</v>
      </c>
      <c r="C12" s="22" t="s">
        <v>124</v>
      </c>
      <c r="D12" s="22" t="str">
        <f>"0,7940"</f>
        <v>0,7940</v>
      </c>
      <c r="E12" s="22" t="s">
        <v>93</v>
      </c>
      <c r="F12" s="22" t="s">
        <v>94</v>
      </c>
      <c r="G12" s="23" t="s">
        <v>125</v>
      </c>
      <c r="H12" s="23" t="s">
        <v>126</v>
      </c>
      <c r="I12" s="23" t="s">
        <v>127</v>
      </c>
      <c r="J12" s="24"/>
      <c r="K12" s="25" t="str">
        <f>"135,0"</f>
        <v>135,0</v>
      </c>
      <c r="L12" s="26" t="str">
        <f>"131,8437"</f>
        <v>131,8437</v>
      </c>
      <c r="M12" s="22" t="s">
        <v>120</v>
      </c>
    </row>
    <row r="13" spans="1:13" s="3" customFormat="1">
      <c r="A13" s="27" t="s">
        <v>128</v>
      </c>
      <c r="B13" s="27" t="s">
        <v>129</v>
      </c>
      <c r="C13" s="27" t="s">
        <v>130</v>
      </c>
      <c r="D13" s="27" t="str">
        <f>"0,7387"</f>
        <v>0,7387</v>
      </c>
      <c r="E13" s="27" t="s">
        <v>131</v>
      </c>
      <c r="F13" s="27" t="s">
        <v>132</v>
      </c>
      <c r="G13" s="28" t="s">
        <v>133</v>
      </c>
      <c r="H13" s="28" t="s">
        <v>134</v>
      </c>
      <c r="I13" s="29" t="s">
        <v>95</v>
      </c>
      <c r="J13" s="29"/>
      <c r="K13" s="30" t="str">
        <f>"167,5"</f>
        <v>167,5</v>
      </c>
      <c r="L13" s="31" t="str">
        <f>"123,7322"</f>
        <v>123,7322</v>
      </c>
      <c r="M13" s="27" t="s">
        <v>135</v>
      </c>
    </row>
    <row r="15" spans="1:13" s="3" customFormat="1" ht="15">
      <c r="A15" s="51" t="s">
        <v>136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 s="3" customFormat="1">
      <c r="A16" s="8" t="s">
        <v>137</v>
      </c>
      <c r="B16" s="8" t="s">
        <v>138</v>
      </c>
      <c r="C16" s="8" t="s">
        <v>139</v>
      </c>
      <c r="D16" s="8" t="str">
        <f>"0,6290"</f>
        <v>0,6290</v>
      </c>
      <c r="E16" s="8" t="s">
        <v>131</v>
      </c>
      <c r="F16" s="8" t="s">
        <v>132</v>
      </c>
      <c r="G16" s="9" t="s">
        <v>140</v>
      </c>
      <c r="H16" s="9" t="s">
        <v>141</v>
      </c>
      <c r="I16" s="10" t="s">
        <v>142</v>
      </c>
      <c r="J16" s="10"/>
      <c r="K16" s="11" t="str">
        <f>"217,5"</f>
        <v>217,5</v>
      </c>
      <c r="L16" s="12" t="str">
        <f>"138,0388"</f>
        <v>138,0388</v>
      </c>
      <c r="M16" s="8" t="s">
        <v>143</v>
      </c>
    </row>
    <row r="18" spans="1:13" s="3" customFormat="1" ht="15">
      <c r="A18" s="51" t="s">
        <v>12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s="3" customFormat="1">
      <c r="A19" s="8" t="s">
        <v>144</v>
      </c>
      <c r="B19" s="8" t="s">
        <v>145</v>
      </c>
      <c r="C19" s="8" t="s">
        <v>146</v>
      </c>
      <c r="D19" s="8" t="str">
        <f>"0,6009"</f>
        <v>0,6009</v>
      </c>
      <c r="E19" s="8" t="s">
        <v>109</v>
      </c>
      <c r="F19" s="8" t="s">
        <v>110</v>
      </c>
      <c r="G19" s="9" t="s">
        <v>133</v>
      </c>
      <c r="H19" s="9" t="s">
        <v>147</v>
      </c>
      <c r="I19" s="9" t="s">
        <v>95</v>
      </c>
      <c r="J19" s="10"/>
      <c r="K19" s="11" t="str">
        <f>"175,0"</f>
        <v>175,0</v>
      </c>
      <c r="L19" s="12" t="str">
        <f>"111,4669"</f>
        <v>111,4669</v>
      </c>
      <c r="M19" s="8" t="s">
        <v>148</v>
      </c>
    </row>
    <row r="21" spans="1:13" s="3" customFormat="1" ht="15">
      <c r="A21" s="51" t="s">
        <v>149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 s="3" customFormat="1">
      <c r="A22" s="8" t="s">
        <v>150</v>
      </c>
      <c r="B22" s="8" t="s">
        <v>151</v>
      </c>
      <c r="C22" s="8" t="s">
        <v>152</v>
      </c>
      <c r="D22" s="8" t="str">
        <f>"0,5365"</f>
        <v>0,5365</v>
      </c>
      <c r="E22" s="8" t="s">
        <v>74</v>
      </c>
      <c r="F22" s="8" t="s">
        <v>110</v>
      </c>
      <c r="G22" s="10" t="s">
        <v>153</v>
      </c>
      <c r="H22" s="9" t="s">
        <v>154</v>
      </c>
      <c r="I22" s="9" t="s">
        <v>155</v>
      </c>
      <c r="J22" s="10"/>
      <c r="K22" s="11" t="str">
        <f>"277,5"</f>
        <v>277,5</v>
      </c>
      <c r="L22" s="12" t="str">
        <f>"148,8787"</f>
        <v>148,8787</v>
      </c>
      <c r="M22" s="8" t="s">
        <v>80</v>
      </c>
    </row>
    <row r="24" spans="1:13" s="3" customFormat="1" ht="15">
      <c r="A24" s="51" t="s">
        <v>156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 s="3" customFormat="1">
      <c r="A25" s="8" t="s">
        <v>157</v>
      </c>
      <c r="B25" s="8" t="s">
        <v>158</v>
      </c>
      <c r="C25" s="8" t="s">
        <v>159</v>
      </c>
      <c r="D25" s="8" t="str">
        <f>"0,5259"</f>
        <v>0,5259</v>
      </c>
      <c r="E25" s="8" t="s">
        <v>160</v>
      </c>
      <c r="F25" s="8" t="s">
        <v>110</v>
      </c>
      <c r="G25" s="9" t="s">
        <v>161</v>
      </c>
      <c r="H25" s="9" t="s">
        <v>162</v>
      </c>
      <c r="I25" s="10" t="s">
        <v>163</v>
      </c>
      <c r="J25" s="10"/>
      <c r="K25" s="11" t="str">
        <f>"270,0"</f>
        <v>270,0</v>
      </c>
      <c r="L25" s="12" t="str">
        <f>"141,9930"</f>
        <v>141,9930</v>
      </c>
      <c r="M25" s="8" t="s">
        <v>164</v>
      </c>
    </row>
    <row r="27" spans="1:13" s="3" customFormat="1" ht="15">
      <c r="A27" s="51" t="s">
        <v>165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3" s="3" customFormat="1">
      <c r="A28" s="8" t="s">
        <v>166</v>
      </c>
      <c r="B28" s="8" t="s">
        <v>167</v>
      </c>
      <c r="C28" s="8" t="s">
        <v>168</v>
      </c>
      <c r="D28" s="8" t="str">
        <f>"0,5100"</f>
        <v>0,5100</v>
      </c>
      <c r="E28" s="8" t="s">
        <v>16</v>
      </c>
      <c r="F28" s="8" t="s">
        <v>110</v>
      </c>
      <c r="G28" s="9" t="s">
        <v>169</v>
      </c>
      <c r="H28" s="9" t="s">
        <v>170</v>
      </c>
      <c r="I28" s="9" t="s">
        <v>171</v>
      </c>
      <c r="J28" s="10"/>
      <c r="K28" s="11" t="str">
        <f>"235,0"</f>
        <v>235,0</v>
      </c>
      <c r="L28" s="12" t="str">
        <f>"119,8406"</f>
        <v>119,8406</v>
      </c>
      <c r="M28" s="8" t="s">
        <v>172</v>
      </c>
    </row>
    <row r="30" spans="1:13" s="3" customFormat="1" ht="15">
      <c r="E30" s="13" t="s">
        <v>22</v>
      </c>
      <c r="F30" s="14" t="s">
        <v>23</v>
      </c>
      <c r="G30" s="15" t="s">
        <v>24</v>
      </c>
    </row>
    <row r="31" spans="1:13" s="3" customFormat="1" ht="15">
      <c r="E31" s="13" t="s">
        <v>25</v>
      </c>
      <c r="F31" s="14" t="s">
        <v>26</v>
      </c>
    </row>
    <row r="32" spans="1:13" s="3" customFormat="1" ht="15">
      <c r="E32" s="13" t="s">
        <v>28</v>
      </c>
      <c r="F32" s="14" t="s">
        <v>32</v>
      </c>
      <c r="G32" s="15" t="s">
        <v>30</v>
      </c>
    </row>
    <row r="33" spans="1:7" s="3" customFormat="1" ht="15">
      <c r="E33" s="13" t="s">
        <v>31</v>
      </c>
      <c r="F33" s="14" t="s">
        <v>23</v>
      </c>
      <c r="G33" s="15" t="s">
        <v>24</v>
      </c>
    </row>
    <row r="34" spans="1:7" s="3" customFormat="1" ht="15">
      <c r="E34" s="13" t="s">
        <v>31</v>
      </c>
      <c r="F34" s="14" t="s">
        <v>29</v>
      </c>
      <c r="G34" s="15" t="s">
        <v>30</v>
      </c>
    </row>
    <row r="35" spans="1:7" s="3" customFormat="1" ht="15">
      <c r="E35" s="13" t="s">
        <v>33</v>
      </c>
      <c r="F35" s="14" t="s">
        <v>26</v>
      </c>
    </row>
    <row r="36" spans="1:7" s="3" customFormat="1" ht="15">
      <c r="E36" s="13"/>
    </row>
    <row r="38" spans="1:7" s="3" customFormat="1" ht="18">
      <c r="A38" s="16" t="s">
        <v>34</v>
      </c>
      <c r="B38" s="16"/>
    </row>
    <row r="39" spans="1:7" s="3" customFormat="1" ht="15">
      <c r="A39" s="17" t="s">
        <v>81</v>
      </c>
      <c r="B39" s="17"/>
    </row>
    <row r="40" spans="1:7" s="3" customFormat="1" ht="14.25">
      <c r="A40" s="18"/>
      <c r="B40" s="19" t="s">
        <v>36</v>
      </c>
    </row>
    <row r="41" spans="1:7" s="3" customFormat="1" ht="15">
      <c r="A41" s="20" t="s">
        <v>37</v>
      </c>
      <c r="B41" s="20" t="s">
        <v>38</v>
      </c>
      <c r="C41" s="20" t="s">
        <v>39</v>
      </c>
      <c r="D41" s="20" t="s">
        <v>40</v>
      </c>
      <c r="E41" s="20" t="s">
        <v>41</v>
      </c>
    </row>
    <row r="42" spans="1:7" s="3" customFormat="1">
      <c r="A42" s="21" t="s">
        <v>173</v>
      </c>
      <c r="B42" s="2" t="s">
        <v>36</v>
      </c>
      <c r="C42" s="2" t="s">
        <v>85</v>
      </c>
      <c r="D42" s="2" t="s">
        <v>112</v>
      </c>
      <c r="E42" s="4" t="s">
        <v>174</v>
      </c>
    </row>
    <row r="44" spans="1:7" s="3" customFormat="1" ht="14.25">
      <c r="A44" s="18"/>
      <c r="B44" s="19" t="s">
        <v>99</v>
      </c>
    </row>
    <row r="45" spans="1:7" s="3" customFormat="1" ht="15">
      <c r="A45" s="20" t="s">
        <v>37</v>
      </c>
      <c r="B45" s="20" t="s">
        <v>38</v>
      </c>
      <c r="C45" s="20" t="s">
        <v>39</v>
      </c>
      <c r="D45" s="20" t="s">
        <v>40</v>
      </c>
      <c r="E45" s="20" t="s">
        <v>41</v>
      </c>
    </row>
    <row r="46" spans="1:7" s="3" customFormat="1">
      <c r="A46" s="21" t="s">
        <v>175</v>
      </c>
      <c r="B46" s="2" t="s">
        <v>176</v>
      </c>
      <c r="C46" s="2" t="s">
        <v>56</v>
      </c>
      <c r="D46" s="2" t="s">
        <v>118</v>
      </c>
      <c r="E46" s="4" t="s">
        <v>177</v>
      </c>
    </row>
    <row r="49" spans="1:5" s="3" customFormat="1" ht="15">
      <c r="A49" s="17" t="s">
        <v>35</v>
      </c>
      <c r="B49" s="17"/>
    </row>
    <row r="50" spans="1:5" s="3" customFormat="1" ht="14.25">
      <c r="A50" s="18"/>
      <c r="B50" s="19" t="s">
        <v>178</v>
      </c>
    </row>
    <row r="51" spans="1:5" s="3" customFormat="1" ht="15">
      <c r="A51" s="20" t="s">
        <v>37</v>
      </c>
      <c r="B51" s="20" t="s">
        <v>38</v>
      </c>
      <c r="C51" s="20" t="s">
        <v>39</v>
      </c>
      <c r="D51" s="20" t="s">
        <v>40</v>
      </c>
      <c r="E51" s="20" t="s">
        <v>41</v>
      </c>
    </row>
    <row r="52" spans="1:5" s="3" customFormat="1">
      <c r="A52" s="21" t="s">
        <v>179</v>
      </c>
      <c r="B52" s="2" t="s">
        <v>180</v>
      </c>
      <c r="C52" s="2" t="s">
        <v>181</v>
      </c>
      <c r="D52" s="2" t="s">
        <v>127</v>
      </c>
      <c r="E52" s="4" t="s">
        <v>182</v>
      </c>
    </row>
    <row r="53" spans="1:5" s="3" customFormat="1">
      <c r="A53" s="21" t="s">
        <v>183</v>
      </c>
      <c r="B53" s="2" t="s">
        <v>184</v>
      </c>
      <c r="C53" s="2" t="s">
        <v>43</v>
      </c>
      <c r="D53" s="2" t="s">
        <v>95</v>
      </c>
      <c r="E53" s="4" t="s">
        <v>185</v>
      </c>
    </row>
    <row r="55" spans="1:5" s="3" customFormat="1" ht="14.25">
      <c r="A55" s="18"/>
      <c r="B55" s="19" t="s">
        <v>36</v>
      </c>
    </row>
    <row r="56" spans="1:5" s="3" customFormat="1" ht="15">
      <c r="A56" s="20" t="s">
        <v>37</v>
      </c>
      <c r="B56" s="20" t="s">
        <v>38</v>
      </c>
      <c r="C56" s="20" t="s">
        <v>39</v>
      </c>
      <c r="D56" s="20" t="s">
        <v>40</v>
      </c>
      <c r="E56" s="20" t="s">
        <v>41</v>
      </c>
    </row>
    <row r="57" spans="1:5" s="3" customFormat="1">
      <c r="A57" s="21" t="s">
        <v>186</v>
      </c>
      <c r="B57" s="2" t="s">
        <v>36</v>
      </c>
      <c r="C57" s="2" t="s">
        <v>187</v>
      </c>
      <c r="D57" s="2" t="s">
        <v>155</v>
      </c>
      <c r="E57" s="4" t="s">
        <v>188</v>
      </c>
    </row>
    <row r="58" spans="1:5" s="3" customFormat="1">
      <c r="A58" s="21" t="s">
        <v>189</v>
      </c>
      <c r="B58" s="2" t="s">
        <v>36</v>
      </c>
      <c r="C58" s="2" t="s">
        <v>190</v>
      </c>
      <c r="D58" s="2" t="s">
        <v>162</v>
      </c>
      <c r="E58" s="4" t="s">
        <v>191</v>
      </c>
    </row>
    <row r="59" spans="1:5" s="3" customFormat="1">
      <c r="A59" s="21" t="s">
        <v>192</v>
      </c>
      <c r="B59" s="2" t="s">
        <v>36</v>
      </c>
      <c r="C59" s="2" t="s">
        <v>181</v>
      </c>
      <c r="D59" s="2" t="s">
        <v>134</v>
      </c>
      <c r="E59" s="4" t="s">
        <v>193</v>
      </c>
    </row>
    <row r="60" spans="1:5" s="3" customFormat="1">
      <c r="A60" s="21" t="s">
        <v>194</v>
      </c>
      <c r="B60" s="2" t="s">
        <v>36</v>
      </c>
      <c r="C60" s="2" t="s">
        <v>195</v>
      </c>
      <c r="D60" s="2" t="s">
        <v>171</v>
      </c>
      <c r="E60" s="4" t="s">
        <v>196</v>
      </c>
    </row>
    <row r="62" spans="1:5" s="3" customFormat="1" ht="14.25">
      <c r="A62" s="18"/>
      <c r="B62" s="19" t="s">
        <v>99</v>
      </c>
    </row>
    <row r="63" spans="1:5" s="3" customFormat="1" ht="15">
      <c r="A63" s="20" t="s">
        <v>37</v>
      </c>
      <c r="B63" s="20" t="s">
        <v>38</v>
      </c>
      <c r="C63" s="20" t="s">
        <v>39</v>
      </c>
      <c r="D63" s="20" t="s">
        <v>40</v>
      </c>
      <c r="E63" s="20" t="s">
        <v>41</v>
      </c>
    </row>
    <row r="64" spans="1:5" s="3" customFormat="1">
      <c r="A64" s="21" t="s">
        <v>197</v>
      </c>
      <c r="B64" s="2" t="s">
        <v>176</v>
      </c>
      <c r="C64" s="2" t="s">
        <v>198</v>
      </c>
      <c r="D64" s="2" t="s">
        <v>141</v>
      </c>
      <c r="E64" s="4" t="s">
        <v>199</v>
      </c>
    </row>
  </sheetData>
  <mergeCells count="19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27:J27"/>
    <mergeCell ref="A8:J8"/>
    <mergeCell ref="A11:J11"/>
    <mergeCell ref="A15:J15"/>
    <mergeCell ref="A18:J18"/>
    <mergeCell ref="A21:J21"/>
    <mergeCell ref="A24:J24"/>
  </mergeCells>
  <pageMargins left="0.69999998807907104" right="0.69999998807907104" top="0.75" bottom="0.75" header="0.30000001192092901" footer="0.30000001192092901"/>
  <pageSetup fitToWidth="0" fitToHeight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11" sqref="F11:G16"/>
    </sheetView>
  </sheetViews>
  <sheetFormatPr defaultColWidth="9.140625" defaultRowHeight="12.75" customHeight="1"/>
  <cols>
    <col min="1" max="1" width="26" style="2" customWidth="1"/>
    <col min="2" max="2" width="28.57031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3.57031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9" style="2" customWidth="1"/>
    <col min="14" max="16384" width="9.140625" style="1"/>
  </cols>
  <sheetData>
    <row r="1" spans="1:13" s="5" customFormat="1" ht="29.25" customHeight="1">
      <c r="A1" s="42" t="s">
        <v>200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105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136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201</v>
      </c>
      <c r="B6" s="8" t="s">
        <v>202</v>
      </c>
      <c r="C6" s="8" t="s">
        <v>203</v>
      </c>
      <c r="D6" s="8" t="str">
        <f>"0,6498"</f>
        <v>0,6498</v>
      </c>
      <c r="E6" s="8" t="s">
        <v>160</v>
      </c>
      <c r="F6" s="8" t="s">
        <v>110</v>
      </c>
      <c r="G6" s="9" t="s">
        <v>86</v>
      </c>
      <c r="H6" s="9" t="s">
        <v>118</v>
      </c>
      <c r="I6" s="9" t="s">
        <v>125</v>
      </c>
      <c r="J6" s="10"/>
      <c r="K6" s="11" t="str">
        <f>"115,0"</f>
        <v>115,0</v>
      </c>
      <c r="L6" s="12" t="str">
        <f>"74,7270"</f>
        <v>74,7270</v>
      </c>
      <c r="M6" s="8" t="s">
        <v>204</v>
      </c>
    </row>
    <row r="8" spans="1:13" s="3" customFormat="1" ht="1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s="3" customFormat="1">
      <c r="A9" s="8" t="s">
        <v>90</v>
      </c>
      <c r="B9" s="8" t="s">
        <v>91</v>
      </c>
      <c r="C9" s="8" t="s">
        <v>92</v>
      </c>
      <c r="D9" s="8" t="str">
        <f>"0,5914"</f>
        <v>0,5914</v>
      </c>
      <c r="E9" s="8" t="s">
        <v>93</v>
      </c>
      <c r="F9" s="8" t="s">
        <v>94</v>
      </c>
      <c r="G9" s="9" t="s">
        <v>205</v>
      </c>
      <c r="H9" s="9" t="s">
        <v>140</v>
      </c>
      <c r="I9" s="10" t="s">
        <v>206</v>
      </c>
      <c r="J9" s="10"/>
      <c r="K9" s="11" t="str">
        <f>"207,5"</f>
        <v>207,5</v>
      </c>
      <c r="L9" s="12" t="str">
        <f>"188,3683"</f>
        <v>188,3683</v>
      </c>
      <c r="M9" s="8" t="s">
        <v>98</v>
      </c>
    </row>
    <row r="11" spans="1:13" s="3" customFormat="1" ht="15">
      <c r="E11" s="13" t="s">
        <v>22</v>
      </c>
      <c r="F11" s="14" t="s">
        <v>23</v>
      </c>
      <c r="G11" s="15" t="s">
        <v>24</v>
      </c>
    </row>
    <row r="12" spans="1:13" s="3" customFormat="1" ht="15">
      <c r="E12" s="13" t="s">
        <v>25</v>
      </c>
      <c r="F12" s="14" t="s">
        <v>26</v>
      </c>
    </row>
    <row r="13" spans="1:13" s="3" customFormat="1" ht="15">
      <c r="E13" s="13" t="s">
        <v>28</v>
      </c>
      <c r="F13" s="14" t="s">
        <v>32</v>
      </c>
      <c r="G13" s="15" t="s">
        <v>30</v>
      </c>
    </row>
    <row r="14" spans="1:13" s="3" customFormat="1" ht="15">
      <c r="E14" s="13" t="s">
        <v>31</v>
      </c>
      <c r="F14" s="14" t="s">
        <v>23</v>
      </c>
      <c r="G14" s="15" t="s">
        <v>24</v>
      </c>
    </row>
    <row r="15" spans="1:13" s="3" customFormat="1" ht="15">
      <c r="E15" s="13" t="s">
        <v>31</v>
      </c>
      <c r="F15" s="14" t="s">
        <v>29</v>
      </c>
      <c r="G15" s="15" t="s">
        <v>30</v>
      </c>
    </row>
    <row r="16" spans="1:13" s="3" customFormat="1" ht="15">
      <c r="E16" s="13" t="s">
        <v>33</v>
      </c>
      <c r="F16" s="14" t="s">
        <v>26</v>
      </c>
    </row>
    <row r="17" spans="1:5" s="3" customFormat="1" ht="15">
      <c r="E17" s="13"/>
    </row>
    <row r="19" spans="1:5" s="3" customFormat="1" ht="18">
      <c r="A19" s="16" t="s">
        <v>34</v>
      </c>
      <c r="B19" s="16"/>
    </row>
    <row r="20" spans="1:5" s="3" customFormat="1" ht="15">
      <c r="A20" s="17" t="s">
        <v>35</v>
      </c>
      <c r="B20" s="17"/>
    </row>
    <row r="21" spans="1:5" s="3" customFormat="1" ht="14.25">
      <c r="A21" s="18"/>
      <c r="B21" s="19" t="s">
        <v>36</v>
      </c>
    </row>
    <row r="22" spans="1:5" s="3" customFormat="1" ht="15">
      <c r="A22" s="20" t="s">
        <v>37</v>
      </c>
      <c r="B22" s="20" t="s">
        <v>38</v>
      </c>
      <c r="C22" s="20" t="s">
        <v>39</v>
      </c>
      <c r="D22" s="20" t="s">
        <v>40</v>
      </c>
      <c r="E22" s="20" t="s">
        <v>41</v>
      </c>
    </row>
    <row r="23" spans="1:5" s="3" customFormat="1">
      <c r="A23" s="21" t="s">
        <v>207</v>
      </c>
      <c r="B23" s="2" t="s">
        <v>36</v>
      </c>
      <c r="C23" s="2" t="s">
        <v>198</v>
      </c>
      <c r="D23" s="2" t="s">
        <v>125</v>
      </c>
      <c r="E23" s="4" t="s">
        <v>208</v>
      </c>
    </row>
    <row r="25" spans="1:5" s="3" customFormat="1" ht="14.25">
      <c r="A25" s="18"/>
      <c r="B25" s="19" t="s">
        <v>99</v>
      </c>
    </row>
    <row r="26" spans="1:5" s="3" customFormat="1" ht="15">
      <c r="A26" s="20" t="s">
        <v>37</v>
      </c>
      <c r="B26" s="20" t="s">
        <v>38</v>
      </c>
      <c r="C26" s="20" t="s">
        <v>39</v>
      </c>
      <c r="D26" s="20" t="s">
        <v>40</v>
      </c>
      <c r="E26" s="20" t="s">
        <v>41</v>
      </c>
    </row>
    <row r="27" spans="1:5" s="3" customFormat="1">
      <c r="A27" s="21" t="s">
        <v>100</v>
      </c>
      <c r="B27" s="2" t="s">
        <v>101</v>
      </c>
      <c r="C27" s="2" t="s">
        <v>43</v>
      </c>
      <c r="D27" s="2" t="s">
        <v>140</v>
      </c>
      <c r="E27" s="4" t="s">
        <v>209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69999998807907104" right="0.69999998807907104" top="0.75" bottom="0.75" header="0.30000001192092901" footer="0.30000001192092901"/>
  <pageSetup fitToWidth="0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8" sqref="F8:G13"/>
    </sheetView>
  </sheetViews>
  <sheetFormatPr defaultColWidth="9.140625" defaultRowHeight="12.75" customHeight="1"/>
  <cols>
    <col min="1" max="1" width="26" style="2" customWidth="1"/>
    <col min="2" max="2" width="26.28515625" style="2" customWidth="1"/>
    <col min="3" max="3" width="15.5703125" style="2" customWidth="1"/>
    <col min="4" max="4" width="11.85546875" style="2" customWidth="1"/>
    <col min="5" max="5" width="22.7109375" style="2" customWidth="1"/>
    <col min="6" max="6" width="30.140625" style="2" customWidth="1"/>
    <col min="7" max="9" width="5.5703125" style="3" customWidth="1"/>
    <col min="10" max="10" width="4.85546875" style="3" customWidth="1"/>
    <col min="11" max="11" width="7.85546875" style="4" customWidth="1"/>
    <col min="12" max="12" width="8.5703125" style="5" customWidth="1"/>
    <col min="13" max="13" width="15.7109375" style="2" customWidth="1"/>
    <col min="14" max="16384" width="9.140625" style="1"/>
  </cols>
  <sheetData>
    <row r="1" spans="1:13" s="5" customFormat="1" ht="29.25" customHeight="1">
      <c r="A1" s="42" t="s">
        <v>210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5" customFormat="1" ht="62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6" customFormat="1" ht="12.75" customHeight="1">
      <c r="A3" s="48" t="s">
        <v>1</v>
      </c>
      <c r="B3" s="50" t="s">
        <v>2</v>
      </c>
      <c r="C3" s="50" t="s">
        <v>3</v>
      </c>
      <c r="D3" s="37" t="s">
        <v>4</v>
      </c>
      <c r="E3" s="37" t="s">
        <v>5</v>
      </c>
      <c r="F3" s="37" t="s">
        <v>6</v>
      </c>
      <c r="G3" s="37" t="s">
        <v>65</v>
      </c>
      <c r="H3" s="37"/>
      <c r="I3" s="37"/>
      <c r="J3" s="37"/>
      <c r="K3" s="37" t="s">
        <v>8</v>
      </c>
      <c r="L3" s="37" t="s">
        <v>9</v>
      </c>
      <c r="M3" s="39" t="s">
        <v>10</v>
      </c>
    </row>
    <row r="4" spans="1:13" s="6" customFormat="1" ht="21" customHeight="1">
      <c r="A4" s="49"/>
      <c r="B4" s="38"/>
      <c r="C4" s="38"/>
      <c r="D4" s="38"/>
      <c r="E4" s="38"/>
      <c r="F4" s="38"/>
      <c r="G4" s="7">
        <v>1</v>
      </c>
      <c r="H4" s="7">
        <v>2</v>
      </c>
      <c r="I4" s="7">
        <v>3</v>
      </c>
      <c r="J4" s="7" t="s">
        <v>11</v>
      </c>
      <c r="K4" s="38"/>
      <c r="L4" s="38"/>
      <c r="M4" s="40"/>
    </row>
    <row r="5" spans="1:13" s="3" customFormat="1" ht="15">
      <c r="A5" s="41" t="s">
        <v>211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3" customFormat="1">
      <c r="A6" s="8" t="s">
        <v>212</v>
      </c>
      <c r="B6" s="8" t="s">
        <v>213</v>
      </c>
      <c r="C6" s="8" t="s">
        <v>214</v>
      </c>
      <c r="D6" s="8" t="str">
        <f>"0,5558"</f>
        <v>0,5558</v>
      </c>
      <c r="E6" s="8" t="s">
        <v>50</v>
      </c>
      <c r="F6" s="8" t="s">
        <v>215</v>
      </c>
      <c r="G6" s="9" t="s">
        <v>142</v>
      </c>
      <c r="H6" s="10" t="s">
        <v>216</v>
      </c>
      <c r="I6" s="10" t="s">
        <v>217</v>
      </c>
      <c r="J6" s="10"/>
      <c r="K6" s="11" t="str">
        <f>"220,0"</f>
        <v>220,0</v>
      </c>
      <c r="L6" s="12" t="str">
        <f>"122,2760"</f>
        <v>122,2760</v>
      </c>
      <c r="M6" s="8" t="s">
        <v>21</v>
      </c>
    </row>
    <row r="8" spans="1:13" s="3" customFormat="1" ht="15">
      <c r="E8" s="13" t="s">
        <v>22</v>
      </c>
      <c r="F8" s="14" t="s">
        <v>23</v>
      </c>
      <c r="G8" s="15" t="s">
        <v>24</v>
      </c>
    </row>
    <row r="9" spans="1:13" s="3" customFormat="1" ht="15">
      <c r="E9" s="13" t="s">
        <v>25</v>
      </c>
      <c r="F9" s="14" t="s">
        <v>26</v>
      </c>
    </row>
    <row r="10" spans="1:13" s="3" customFormat="1" ht="15">
      <c r="E10" s="13" t="s">
        <v>28</v>
      </c>
      <c r="F10" s="14" t="s">
        <v>23</v>
      </c>
      <c r="G10" s="15" t="s">
        <v>24</v>
      </c>
    </row>
    <row r="11" spans="1:13" s="3" customFormat="1" ht="15">
      <c r="E11" s="13" t="s">
        <v>31</v>
      </c>
      <c r="F11" s="14" t="s">
        <v>32</v>
      </c>
      <c r="G11" s="15" t="s">
        <v>30</v>
      </c>
    </row>
    <row r="12" spans="1:13" s="3" customFormat="1" ht="15">
      <c r="E12" s="13" t="s">
        <v>31</v>
      </c>
      <c r="F12" s="14" t="s">
        <v>29</v>
      </c>
      <c r="G12" s="15" t="s">
        <v>30</v>
      </c>
    </row>
    <row r="13" spans="1:13" s="3" customFormat="1" ht="15">
      <c r="E13" s="13" t="s">
        <v>33</v>
      </c>
      <c r="F13" s="14" t="s">
        <v>26</v>
      </c>
    </row>
    <row r="14" spans="1:13" s="3" customFormat="1" ht="15">
      <c r="E14" s="13"/>
    </row>
    <row r="16" spans="1:13" s="3" customFormat="1" ht="18">
      <c r="A16" s="16" t="s">
        <v>34</v>
      </c>
      <c r="B16" s="16"/>
    </row>
    <row r="17" spans="1:5" s="3" customFormat="1" ht="15">
      <c r="A17" s="17" t="s">
        <v>35</v>
      </c>
      <c r="B17" s="17"/>
    </row>
    <row r="18" spans="1:5" s="3" customFormat="1" ht="14.25">
      <c r="A18" s="18"/>
      <c r="B18" s="19" t="s">
        <v>36</v>
      </c>
    </row>
    <row r="19" spans="1:5" s="3" customFormat="1" ht="15">
      <c r="A19" s="20" t="s">
        <v>37</v>
      </c>
      <c r="B19" s="20" t="s">
        <v>38</v>
      </c>
      <c r="C19" s="20" t="s">
        <v>39</v>
      </c>
      <c r="D19" s="20" t="s">
        <v>40</v>
      </c>
      <c r="E19" s="20" t="s">
        <v>41</v>
      </c>
    </row>
    <row r="20" spans="1:5" s="3" customFormat="1">
      <c r="A20" s="21" t="s">
        <v>218</v>
      </c>
      <c r="B20" s="2" t="s">
        <v>36</v>
      </c>
      <c r="C20" s="2" t="s">
        <v>219</v>
      </c>
      <c r="D20" s="2" t="s">
        <v>142</v>
      </c>
      <c r="E20" s="4" t="s">
        <v>220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1</vt:i4>
      </vt:variant>
    </vt:vector>
  </HeadingPairs>
  <TitlesOfParts>
    <vt:vector size="32" baseType="lpstr">
      <vt:lpstr>Роллинг Тандер</vt:lpstr>
      <vt:lpstr>Двуручный щипковый блок</vt:lpstr>
      <vt:lpstr>Хаб</vt:lpstr>
      <vt:lpstr>Люб. ЖД</vt:lpstr>
      <vt:lpstr>СОВ присед</vt:lpstr>
      <vt:lpstr>ПРО тяга б.э.</vt:lpstr>
      <vt:lpstr>Люб. тяга б.э.</vt:lpstr>
      <vt:lpstr>СОВ тяга</vt:lpstr>
      <vt:lpstr>Люб. жим софт мн.петельная</vt:lpstr>
      <vt:lpstr>Люб. жим 1 петельная</vt:lpstr>
      <vt:lpstr>ПРО жим б.э.</vt:lpstr>
      <vt:lpstr>Люб. жим б.э.</vt:lpstr>
      <vt:lpstr>Люб. жим 1.слой</vt:lpstr>
      <vt:lpstr>СОВ жим</vt:lpstr>
      <vt:lpstr>Люб. Военный жим класс.</vt:lpstr>
      <vt:lpstr>Люб. ПЛ. б.э.</vt:lpstr>
      <vt:lpstr>Люб. ПЛ. 1.петельная софт</vt:lpstr>
      <vt:lpstr>СОВ ПЛ.</vt:lpstr>
      <vt:lpstr>Русская тяга люб. 100 кг.</vt:lpstr>
      <vt:lpstr>Русская тяга люб. 75 кг.</vt:lpstr>
      <vt:lpstr>РБ Проф 50 кг.</vt:lpstr>
      <vt:lpstr>РЖ любители 55 кг.</vt:lpstr>
      <vt:lpstr>РЖ любители 35 кг.</vt:lpstr>
      <vt:lpstr>ПРО В.Ж. м.повт. 1_2</vt:lpstr>
      <vt:lpstr>Проф. народный жим 1_2 вес</vt:lpstr>
      <vt:lpstr>Люб. народный жим 1 вес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Командное первенство</vt:lpstr>
      <vt:lpstr>'Бицепс Любители'!_FilterDatabase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NPA</dc:creator>
  <cp:lastModifiedBy>NPA</cp:lastModifiedBy>
  <dcterms:created xsi:type="dcterms:W3CDTF">2021-05-15T16:20:41Z</dcterms:created>
  <dcterms:modified xsi:type="dcterms:W3CDTF">2021-05-15T16:20:41Z</dcterms:modified>
</cp:coreProperties>
</file>