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Андрей\2021\Протоколы 2021\"/>
    </mc:Choice>
  </mc:AlternateContent>
  <bookViews>
    <workbookView xWindow="0" yWindow="0" windowWidth="28800" windowHeight="12300" firstSheet="5" activeTab="9"/>
  </bookViews>
  <sheets>
    <sheet name="Люб. ПЛ. б.э." sheetId="12" r:id="rId1"/>
    <sheet name="ПРО ПЛ. б.э." sheetId="13" r:id="rId2"/>
    <sheet name="Двоеборье люб" sheetId="47" r:id="rId3"/>
    <sheet name="ПРО тяга б.э." sheetId="35" r:id="rId4"/>
    <sheet name="Люб. тяга б.э." sheetId="34" r:id="rId5"/>
    <sheet name="Люб. жим софт мн.петельная" sheetId="27" r:id="rId6"/>
    <sheet name="ПРО жим софт 1 петельная" sheetId="26" r:id="rId7"/>
    <sheet name="Люб. жим 1 петельная" sheetId="25" r:id="rId8"/>
    <sheet name="ПРО жим б.э." sheetId="24" r:id="rId9"/>
    <sheet name="Люб. жим б.э." sheetId="23" r:id="rId10"/>
    <sheet name="ПРО Военный жим класс." sheetId="17" r:id="rId11"/>
    <sheet name="Люб. Военный жим класс." sheetId="16" r:id="rId12"/>
    <sheet name="Русский жим 55 кг." sheetId="52" r:id="rId13"/>
    <sheet name="Люб. НАРОДНЫЙ ЖИМ 1 ВЕС" sheetId="53" r:id="rId14"/>
    <sheet name="Бицепс Любители" sheetId="54" r:id="rId15"/>
    <sheet name="Жим стоя Любители" sheetId="55" r:id="rId16"/>
  </sheets>
  <definedNames>
    <definedName name="_FilterDatabase" localSheetId="15" hidden="1">'Жим стоя Любители'!$A$1:$L$3</definedName>
    <definedName name="_FilterDatabase" localSheetId="13" hidden="1">'Люб. НАРОДНЫЙ ЖИМ 1 ВЕС'!$A$1:$W$3</definedName>
    <definedName name="_FilterDatabase" localSheetId="12" hidden="1">'Русский жим 55 кг.'!$A$1:$J$3</definedName>
  </definedNames>
  <calcPr calcId="191029" refMode="R1C1"/>
</workbook>
</file>

<file path=xl/calcChain.xml><?xml version="1.0" encoding="utf-8"?>
<calcChain xmlns="http://schemas.openxmlformats.org/spreadsheetml/2006/main">
  <c r="E6" i="55" l="1"/>
  <c r="L6" i="55"/>
  <c r="M6" i="55"/>
  <c r="E6" i="54"/>
  <c r="L6" i="54"/>
  <c r="M6" i="54"/>
  <c r="D6" i="53"/>
  <c r="W6" i="53"/>
  <c r="X6" i="53"/>
  <c r="E6" i="52"/>
  <c r="J6" i="52"/>
  <c r="K6" i="52"/>
  <c r="Q6" i="47"/>
  <c r="P6" i="47"/>
  <c r="E6" i="47"/>
  <c r="M23" i="35"/>
  <c r="L23" i="35"/>
  <c r="E23" i="35"/>
  <c r="M20" i="35"/>
  <c r="L20" i="35"/>
  <c r="E20" i="35"/>
  <c r="M17" i="35"/>
  <c r="L17" i="35"/>
  <c r="E17" i="35"/>
  <c r="M14" i="35"/>
  <c r="L14" i="35"/>
  <c r="E14" i="35"/>
  <c r="M13" i="35"/>
  <c r="L13" i="35"/>
  <c r="E13" i="35"/>
  <c r="M12" i="35"/>
  <c r="L12" i="35"/>
  <c r="E12" i="35"/>
  <c r="M9" i="35"/>
  <c r="L9" i="35"/>
  <c r="E9" i="35"/>
  <c r="M6" i="35"/>
  <c r="L6" i="35"/>
  <c r="E6" i="35"/>
  <c r="M23" i="34"/>
  <c r="L23" i="34"/>
  <c r="E23" i="34"/>
  <c r="M20" i="34"/>
  <c r="L20" i="34"/>
  <c r="E20" i="34"/>
  <c r="M17" i="34"/>
  <c r="L17" i="34"/>
  <c r="E17" i="34"/>
  <c r="M16" i="34"/>
  <c r="L16" i="34"/>
  <c r="E16" i="34"/>
  <c r="M13" i="34"/>
  <c r="L13" i="34"/>
  <c r="E13" i="34"/>
  <c r="M10" i="34"/>
  <c r="L10" i="34"/>
  <c r="E10" i="34"/>
  <c r="M7" i="34"/>
  <c r="L7" i="34"/>
  <c r="E7" i="34"/>
  <c r="M6" i="34"/>
  <c r="L6" i="34"/>
  <c r="E6" i="34"/>
  <c r="M6" i="27"/>
  <c r="L6" i="27"/>
  <c r="E6" i="27"/>
  <c r="M7" i="26"/>
  <c r="L7" i="26"/>
  <c r="E7" i="26"/>
  <c r="M6" i="26"/>
  <c r="L6" i="26"/>
  <c r="E6" i="26"/>
  <c r="M9" i="25"/>
  <c r="L9" i="25"/>
  <c r="E9" i="25"/>
  <c r="M6" i="25"/>
  <c r="L6" i="25"/>
  <c r="E6" i="25"/>
  <c r="M12" i="24"/>
  <c r="L12" i="24"/>
  <c r="E12" i="24"/>
  <c r="M9" i="24"/>
  <c r="L9" i="24"/>
  <c r="E9" i="24"/>
  <c r="M6" i="24"/>
  <c r="L6" i="24"/>
  <c r="E6" i="24"/>
  <c r="M35" i="23"/>
  <c r="L35" i="23"/>
  <c r="E35" i="23"/>
  <c r="M32" i="23"/>
  <c r="L32" i="23"/>
  <c r="E32" i="23"/>
  <c r="M29" i="23"/>
  <c r="L29" i="23"/>
  <c r="E29" i="23"/>
  <c r="M28" i="23"/>
  <c r="L28" i="23"/>
  <c r="E28" i="23"/>
  <c r="M27" i="23"/>
  <c r="L27" i="23"/>
  <c r="E27" i="23"/>
  <c r="M26" i="23"/>
  <c r="L26" i="23"/>
  <c r="E26" i="23"/>
  <c r="M25" i="23"/>
  <c r="L25" i="23"/>
  <c r="E25" i="23"/>
  <c r="M24" i="23"/>
  <c r="L24" i="23"/>
  <c r="E24" i="23"/>
  <c r="M23" i="23"/>
  <c r="L23" i="23"/>
  <c r="E23" i="23"/>
  <c r="M20" i="23"/>
  <c r="L20" i="23"/>
  <c r="E20" i="23"/>
  <c r="M19" i="23"/>
  <c r="L19" i="23"/>
  <c r="E19" i="23"/>
  <c r="M18" i="23"/>
  <c r="L18" i="23"/>
  <c r="E18" i="23"/>
  <c r="M15" i="23"/>
  <c r="L15" i="23"/>
  <c r="E15" i="23"/>
  <c r="M14" i="23"/>
  <c r="L14" i="23"/>
  <c r="E14" i="23"/>
  <c r="M13" i="23"/>
  <c r="L13" i="23"/>
  <c r="E13" i="23"/>
  <c r="M12" i="23"/>
  <c r="L12" i="23"/>
  <c r="E12" i="23"/>
  <c r="M9" i="23"/>
  <c r="L9" i="23"/>
  <c r="E9" i="23"/>
  <c r="M6" i="23"/>
  <c r="L6" i="23"/>
  <c r="E6" i="23"/>
  <c r="M6" i="17"/>
  <c r="L6" i="17"/>
  <c r="E6" i="17"/>
  <c r="M9" i="16"/>
  <c r="L9" i="16"/>
  <c r="E9" i="16"/>
  <c r="M6" i="16"/>
  <c r="L6" i="16"/>
  <c r="E6" i="16"/>
  <c r="U12" i="13"/>
  <c r="T12" i="13"/>
  <c r="E12" i="13"/>
  <c r="U9" i="13"/>
  <c r="T9" i="13"/>
  <c r="E9" i="13"/>
  <c r="U6" i="13"/>
  <c r="T6" i="13"/>
  <c r="E6" i="13"/>
  <c r="U9" i="12"/>
  <c r="T9" i="12"/>
  <c r="E9" i="12"/>
  <c r="U6" i="12"/>
  <c r="T6" i="12"/>
  <c r="E6" i="12"/>
</calcChain>
</file>

<file path=xl/sharedStrings.xml><?xml version="1.0" encoding="utf-8"?>
<sst xmlns="http://schemas.openxmlformats.org/spreadsheetml/2006/main" count="1149" uniqueCount="294">
  <si>
    <t>ФИО</t>
  </si>
  <si>
    <t>Сумма</t>
  </si>
  <si>
    <t>Тренер</t>
  </si>
  <si>
    <t>Очки</t>
  </si>
  <si>
    <t>Команда</t>
  </si>
  <si>
    <t>Рек</t>
  </si>
  <si>
    <t>Возрастная группа
Дата рождения/Возраст</t>
  </si>
  <si>
    <t>Город/Область</t>
  </si>
  <si>
    <t>Вес</t>
  </si>
  <si>
    <t>Повторы</t>
  </si>
  <si>
    <t>Собственный 
вес</t>
  </si>
  <si>
    <t xml:space="preserve">Абсолютный зачёт </t>
  </si>
  <si>
    <t/>
  </si>
  <si>
    <t>Место</t>
  </si>
  <si>
    <t>Открытый чемпионат г. Сосновоборска
Любители пауэрлифтинг без экипировки
Сосновоборск/Красноярский край 20 февраля 2021 г.</t>
  </si>
  <si>
    <t>Shv/Mel</t>
  </si>
  <si>
    <t>Приседание</t>
  </si>
  <si>
    <t>Жим лёжа</t>
  </si>
  <si>
    <t>Становая тяга</t>
  </si>
  <si>
    <t>ВЕСОВАЯ КАТЕГОРИЯ   56</t>
  </si>
  <si>
    <t>Лопатина Юлия</t>
  </si>
  <si>
    <t>Открытая (19.03.1996)/24</t>
  </si>
  <si>
    <t>56,00</t>
  </si>
  <si>
    <t xml:space="preserve">лично </t>
  </si>
  <si>
    <t xml:space="preserve">Красноярск/Красноярский край </t>
  </si>
  <si>
    <t>85,0</t>
  </si>
  <si>
    <t>90,0</t>
  </si>
  <si>
    <t>95,0</t>
  </si>
  <si>
    <t>37,5</t>
  </si>
  <si>
    <t>42,5</t>
  </si>
  <si>
    <t>100,0</t>
  </si>
  <si>
    <t>107,5</t>
  </si>
  <si>
    <t xml:space="preserve"> </t>
  </si>
  <si>
    <t>ВЕСОВАЯ КАТЕГОРИЯ   100</t>
  </si>
  <si>
    <t>Марьясов Виктор</t>
  </si>
  <si>
    <t>Открытая (25.04.1986)/34</t>
  </si>
  <si>
    <t>99,70</t>
  </si>
  <si>
    <t>195,0</t>
  </si>
  <si>
    <t>205,0</t>
  </si>
  <si>
    <t>215,0</t>
  </si>
  <si>
    <t>155,0</t>
  </si>
  <si>
    <t>162,5</t>
  </si>
  <si>
    <t>167,5</t>
  </si>
  <si>
    <t>200,0</t>
  </si>
  <si>
    <t>247,5</t>
  </si>
  <si>
    <t xml:space="preserve">Открытая </t>
  </si>
  <si>
    <t xml:space="preserve">ФИО </t>
  </si>
  <si>
    <t xml:space="preserve">Возрастная группа </t>
  </si>
  <si>
    <t xml:space="preserve">Весовая </t>
  </si>
  <si>
    <t xml:space="preserve">Shv/Mel </t>
  </si>
  <si>
    <t>240,0</t>
  </si>
  <si>
    <t xml:space="preserve">Мужчины </t>
  </si>
  <si>
    <t>100</t>
  </si>
  <si>
    <t>1</t>
  </si>
  <si>
    <t>Открытый чемпионат г. Сосновоборска
ПРО пауэрлифтинг без экипировки
Сосновоборск/Красноярский край 20 февраля 2021 г.</t>
  </si>
  <si>
    <t>ВЕСОВАЯ КАТЕГОРИЯ   60</t>
  </si>
  <si>
    <t>Зайцева Наталья</t>
  </si>
  <si>
    <t>Открытая (22.08.1996)/24</t>
  </si>
  <si>
    <t>56,90</t>
  </si>
  <si>
    <t>50,0</t>
  </si>
  <si>
    <t>55,0</t>
  </si>
  <si>
    <t>60,0</t>
  </si>
  <si>
    <t>30,0</t>
  </si>
  <si>
    <t>35,0</t>
  </si>
  <si>
    <t>40,0</t>
  </si>
  <si>
    <t>65,0</t>
  </si>
  <si>
    <t>70,0</t>
  </si>
  <si>
    <t xml:space="preserve">Плешков К. </t>
  </si>
  <si>
    <t>ВЕСОВАЯ КАТЕГОРИЯ   75</t>
  </si>
  <si>
    <t>Яковлев Артём</t>
  </si>
  <si>
    <t>Юниоры 20 - 23 (01.07.2000)/20</t>
  </si>
  <si>
    <t>72,00</t>
  </si>
  <si>
    <t xml:space="preserve">Канск/Красноярский край </t>
  </si>
  <si>
    <t>207,5</t>
  </si>
  <si>
    <t>212,5</t>
  </si>
  <si>
    <t>122,5</t>
  </si>
  <si>
    <t>127,5</t>
  </si>
  <si>
    <t>132,5</t>
  </si>
  <si>
    <t>225,0</t>
  </si>
  <si>
    <t>235,0</t>
  </si>
  <si>
    <t>245,0</t>
  </si>
  <si>
    <t xml:space="preserve">Ипатов А.С. </t>
  </si>
  <si>
    <t>Иванов Максим</t>
  </si>
  <si>
    <t>Открытая (16.06.1989)/31</t>
  </si>
  <si>
    <t>95,30</t>
  </si>
  <si>
    <t>250,0</t>
  </si>
  <si>
    <t>160,0</t>
  </si>
  <si>
    <t>170,0</t>
  </si>
  <si>
    <t>175,0</t>
  </si>
  <si>
    <t>255,0</t>
  </si>
  <si>
    <t>275,0</t>
  </si>
  <si>
    <t>285,0</t>
  </si>
  <si>
    <t>Открытый чемпионат г. Сосновоборска
Любители военный жим классический
Сосновоборск/Красноярский край 20 февраля 2021 г.</t>
  </si>
  <si>
    <t>ВЕСОВАЯ КАТЕГОРИЯ   90</t>
  </si>
  <si>
    <t>Миколенко Сергей</t>
  </si>
  <si>
    <t>Открытая (28.12.1985)/35</t>
  </si>
  <si>
    <t>89,60</t>
  </si>
  <si>
    <t>110,0</t>
  </si>
  <si>
    <t>125,0</t>
  </si>
  <si>
    <t>130,0</t>
  </si>
  <si>
    <t>Рысев Дмитрий</t>
  </si>
  <si>
    <t>Открытая (26.07.1981)/39</t>
  </si>
  <si>
    <t>97,00</t>
  </si>
  <si>
    <t xml:space="preserve">Сосновоборск/Красноярский край </t>
  </si>
  <si>
    <t>105,0</t>
  </si>
  <si>
    <t>115,0</t>
  </si>
  <si>
    <t xml:space="preserve">Результат </t>
  </si>
  <si>
    <t>Результат</t>
  </si>
  <si>
    <t>Открытый чемпионат г. Сосновоборска
ПРО военный жим классический
Сосновоборск/Красноярский край 20 февраля 2021 г.</t>
  </si>
  <si>
    <t>Шакин Дмитрий</t>
  </si>
  <si>
    <t>Мастера 40 - 44 (26.02.1976)/44</t>
  </si>
  <si>
    <t>69,50</t>
  </si>
  <si>
    <t>Открытый чемпионат г. Сосновоборска
Любители жим лежа без экипировки
Сосновоборск/Красноярский край 20 февраля 2021 г.</t>
  </si>
  <si>
    <t>Проскурдина Любовь</t>
  </si>
  <si>
    <t>Открытая (03.12.1983)/37</t>
  </si>
  <si>
    <t>58,30</t>
  </si>
  <si>
    <t>57,5</t>
  </si>
  <si>
    <t>ВЕСОВАЯ КАТЕГОРИЯ   52</t>
  </si>
  <si>
    <t>Селютин Григорий</t>
  </si>
  <si>
    <t>Юноши 14-15 (12.02.2007)/14</t>
  </si>
  <si>
    <t>44,10</t>
  </si>
  <si>
    <t>32,5</t>
  </si>
  <si>
    <t xml:space="preserve">Селютина А. </t>
  </si>
  <si>
    <t>ВЕСОВАЯ КАТЕГОРИЯ   82.5</t>
  </si>
  <si>
    <t>Прутовых Николай</t>
  </si>
  <si>
    <t>Юниоры 20 - 23 (27.11.1997)/23</t>
  </si>
  <si>
    <t>81,00</t>
  </si>
  <si>
    <t>140,0</t>
  </si>
  <si>
    <t>147,5</t>
  </si>
  <si>
    <t>152,5</t>
  </si>
  <si>
    <t>Шурмин Евгений</t>
  </si>
  <si>
    <t>Открытая (21.10.1990)/30</t>
  </si>
  <si>
    <t>81,80</t>
  </si>
  <si>
    <t>135,0</t>
  </si>
  <si>
    <t>142,5</t>
  </si>
  <si>
    <t>Шеховцов Алексей</t>
  </si>
  <si>
    <t>Открытая (02.10.1984)/36</t>
  </si>
  <si>
    <t>80,40</t>
  </si>
  <si>
    <t>Малаховский Валентин</t>
  </si>
  <si>
    <t>Открытая (18.06.1993)/27</t>
  </si>
  <si>
    <t>80,60</t>
  </si>
  <si>
    <t>Мушников Кирилл</t>
  </si>
  <si>
    <t>Открытая (16.11.1982)/38</t>
  </si>
  <si>
    <t>88,00</t>
  </si>
  <si>
    <t>145,0</t>
  </si>
  <si>
    <t>Кузнецов Александр</t>
  </si>
  <si>
    <t>Открытая (04.04.1989)/31</t>
  </si>
  <si>
    <t>87,30</t>
  </si>
  <si>
    <t>Головатый Олег</t>
  </si>
  <si>
    <t>Открытая (24.07.1994)/26</t>
  </si>
  <si>
    <t>95,80</t>
  </si>
  <si>
    <t xml:space="preserve">Бородино/Красноярский край </t>
  </si>
  <si>
    <t>177,5</t>
  </si>
  <si>
    <t>180,0</t>
  </si>
  <si>
    <t>Шаповалов Алексей</t>
  </si>
  <si>
    <t>Открытая (07.12.1988)/32</t>
  </si>
  <si>
    <t>98,60</t>
  </si>
  <si>
    <t>Чапанов Рустам</t>
  </si>
  <si>
    <t>Открытая (04.04.1982)/38</t>
  </si>
  <si>
    <t xml:space="preserve">Железногорск/Красноярский край </t>
  </si>
  <si>
    <t>Тутарков Вячеслав</t>
  </si>
  <si>
    <t>Открытая (18.03.1986)/34</t>
  </si>
  <si>
    <t>98,70</t>
  </si>
  <si>
    <t>120,0</t>
  </si>
  <si>
    <t>Пленкин Алексей</t>
  </si>
  <si>
    <t>Открытая (20.04.1995)/25</t>
  </si>
  <si>
    <t>96,40</t>
  </si>
  <si>
    <t xml:space="preserve">Курагино/Красноярский край </t>
  </si>
  <si>
    <t>ВЕСОВАЯ КАТЕГОРИЯ   110</t>
  </si>
  <si>
    <t>Глумов Андрей</t>
  </si>
  <si>
    <t>Открытая (19.03.1989)/31</t>
  </si>
  <si>
    <t>107,10</t>
  </si>
  <si>
    <t>190,0</t>
  </si>
  <si>
    <t>ВЕСОВАЯ КАТЕГОРИЯ   125</t>
  </si>
  <si>
    <t>Циванюк Александр</t>
  </si>
  <si>
    <t>Открытая (23.11.1981)/39</t>
  </si>
  <si>
    <t>111,30</t>
  </si>
  <si>
    <t>125</t>
  </si>
  <si>
    <t>109,6750</t>
  </si>
  <si>
    <t>110</t>
  </si>
  <si>
    <t>105,3780</t>
  </si>
  <si>
    <t>101,7720</t>
  </si>
  <si>
    <t>2</t>
  </si>
  <si>
    <t>-</t>
  </si>
  <si>
    <t>3</t>
  </si>
  <si>
    <t>4</t>
  </si>
  <si>
    <t>5</t>
  </si>
  <si>
    <t>6</t>
  </si>
  <si>
    <t>7</t>
  </si>
  <si>
    <t>Открытый чемпионат г. Сосновоборска
ПРО жим лежа без экипировки
Сосновоборск/Красноярский край 20 февраля 2021 г.</t>
  </si>
  <si>
    <t>Арболишвили Шота</t>
  </si>
  <si>
    <t>Мастера 40 - 44 (24.07.1977)/43</t>
  </si>
  <si>
    <t>87,60</t>
  </si>
  <si>
    <t>Неня Сергей</t>
  </si>
  <si>
    <t>Открытая (04.06.1989)/31</t>
  </si>
  <si>
    <t>94,60</t>
  </si>
  <si>
    <t xml:space="preserve">Уяр/Красноярский край </t>
  </si>
  <si>
    <t>ВЕСОВАЯ КАТЕГОРИЯ   140</t>
  </si>
  <si>
    <t>Аполинарьев Евгений</t>
  </si>
  <si>
    <t>Мастера 40 - 44 (28.08.1978)/42</t>
  </si>
  <si>
    <t>135,40</t>
  </si>
  <si>
    <t>185,0</t>
  </si>
  <si>
    <t>Открытый чемпионат г. Сосновоборска
Любители жим лежа в Софт экипировка однопетельная
Сосновоборск/Красноярский край 20 февраля 2021 г.</t>
  </si>
  <si>
    <t>Сиделёва Мария</t>
  </si>
  <si>
    <t>Открытая (22.06.1989)/31</t>
  </si>
  <si>
    <t>59,20</t>
  </si>
  <si>
    <t>72,5</t>
  </si>
  <si>
    <t>265,0</t>
  </si>
  <si>
    <t>Открытый чемпионат г. Сосновоборска
ПРО жим лежа Софт экипировка однопетельная
Сосновоборск/Красноярский край 20 февраля 2021 г.</t>
  </si>
  <si>
    <t>210,0</t>
  </si>
  <si>
    <t>237,5</t>
  </si>
  <si>
    <t>Пивоваров Артём</t>
  </si>
  <si>
    <t>Открытая (06.11.1983)/37</t>
  </si>
  <si>
    <t>99,50</t>
  </si>
  <si>
    <t xml:space="preserve">Новосибирск/Новосибирская область </t>
  </si>
  <si>
    <t>230,0</t>
  </si>
  <si>
    <t xml:space="preserve">Овчаров Д. </t>
  </si>
  <si>
    <t>Открытый чемпионат г. Сосновоборска
Любители жим лежа в Софт экипировка многопетельная
Сосновоборск/Красноярский край 20 февраля 2021 г.</t>
  </si>
  <si>
    <t>Ермолин Максим</t>
  </si>
  <si>
    <t>Открытая (11.07.1992)/28</t>
  </si>
  <si>
    <t>82,50</t>
  </si>
  <si>
    <t>Открытый чемпионат г. Сосновоборска
Любители становая тяга без экипировки
Сосновоборск/Красноярский край 20 февраля 2021 г.</t>
  </si>
  <si>
    <t>112,5</t>
  </si>
  <si>
    <t>ВЕСОВАЯ КАТЕГОРИЯ   90+</t>
  </si>
  <si>
    <t>Шишкова Ольга</t>
  </si>
  <si>
    <t>Открытая (07.04.1991)/29</t>
  </si>
  <si>
    <t>99,30</t>
  </si>
  <si>
    <t>80,0</t>
  </si>
  <si>
    <t xml:space="preserve">Циванюк А. </t>
  </si>
  <si>
    <t>ВЕСОВАЯ КАТЕГОРИЯ   67.5</t>
  </si>
  <si>
    <t>Горшков Максим</t>
  </si>
  <si>
    <t>Юниоры 20 - 23 (20.10.1999)/21</t>
  </si>
  <si>
    <t>67,30</t>
  </si>
  <si>
    <t>Лиганов Даниил</t>
  </si>
  <si>
    <t>Открытая (18.04.1995)/25</t>
  </si>
  <si>
    <t>89,00</t>
  </si>
  <si>
    <t>270,0</t>
  </si>
  <si>
    <t>280,0</t>
  </si>
  <si>
    <t>Архипенко Иван</t>
  </si>
  <si>
    <t>Мастера 40 - 44 (10.07.1979)/41</t>
  </si>
  <si>
    <t>88,50</t>
  </si>
  <si>
    <t>220,0</t>
  </si>
  <si>
    <t>Тукиш Антон</t>
  </si>
  <si>
    <t>Открытая (15.10.1985)/35</t>
  </si>
  <si>
    <t>97,50</t>
  </si>
  <si>
    <t>Дмитриев Андрей</t>
  </si>
  <si>
    <t>Юниоры 20 - 23 (04.02.1999)/22</t>
  </si>
  <si>
    <t>103,50</t>
  </si>
  <si>
    <t>Открытый чемпионат г. Сосновоборска
ПРО становая тяга без экипировки
Сосновоборск/Красноярский край 20 февраля 2021 г.</t>
  </si>
  <si>
    <t>ВЕСОВАЯ КАТЕГОРИЯ   44</t>
  </si>
  <si>
    <t>Умнова Златослава</t>
  </si>
  <si>
    <t>Девушки 0-13 (04.08.2010)/10</t>
  </si>
  <si>
    <t>32,60</t>
  </si>
  <si>
    <t>47,5</t>
  </si>
  <si>
    <t>52,5</t>
  </si>
  <si>
    <t>Дроздов Алексей</t>
  </si>
  <si>
    <t>Открытая (23.02.1982)/38</t>
  </si>
  <si>
    <t>56,40</t>
  </si>
  <si>
    <t>Приходский Николай</t>
  </si>
  <si>
    <t>Юниоры 20 - 23 (22.01.2000)/21</t>
  </si>
  <si>
    <t>82,30</t>
  </si>
  <si>
    <t>Базаров Рустам</t>
  </si>
  <si>
    <t>Открытая (18.07.1994)/26</t>
  </si>
  <si>
    <t>80,00</t>
  </si>
  <si>
    <t>Морозов Сергей</t>
  </si>
  <si>
    <t>Мастера 50 - 54 (20.07.1968)/52</t>
  </si>
  <si>
    <t>Лазарев Виктор</t>
  </si>
  <si>
    <t>Открытая (26.04.2003)/17</t>
  </si>
  <si>
    <t>Умнов Дмитрий</t>
  </si>
  <si>
    <t>Открытая (21.04.1983)/37</t>
  </si>
  <si>
    <t>122,70</t>
  </si>
  <si>
    <t>290,0</t>
  </si>
  <si>
    <t>300,0</t>
  </si>
  <si>
    <t>Открытый чемпионат г. Сосновоборска
Силовое двоеборье любители
Сосновоборск/Красноярский край 20 февраля 2021 г.</t>
  </si>
  <si>
    <t>Самостоятельно</t>
  </si>
  <si>
    <t>Умнов Д.</t>
  </si>
  <si>
    <t>Плешков К.</t>
  </si>
  <si>
    <t>Самстоятельно</t>
  </si>
  <si>
    <t>ВЕСОВАЯ КАТЕГОРИЯ   All</t>
  </si>
  <si>
    <t>Тоннаж</t>
  </si>
  <si>
    <t>Русский жим</t>
  </si>
  <si>
    <t>Атлетизм</t>
  </si>
  <si>
    <t>Открытый чемпионат г.Сосновоборска
Русский жим любители 55 кг.
Сосновоборск/Красноярский край 18 февраля 2021 г.</t>
  </si>
  <si>
    <t>0,0</t>
  </si>
  <si>
    <t>1. Циванюк Александр</t>
  </si>
  <si>
    <t>Народный жим</t>
  </si>
  <si>
    <t>НАП Н.Ж.</t>
  </si>
  <si>
    <t>Открытый чемпионат г.Сосновоборска
Любители народный жим (1 вес)
Сосновоборск/Красноярский край 20 февраля 2021 г.</t>
  </si>
  <si>
    <t>Подъем на бицепс</t>
  </si>
  <si>
    <t>ОТКРЫТЫЙ ЧЕМПИОНАТ СОСНОВОБОРСК
Одиночный подъём штанги на бицепс Любители
Сосновоборск/Красноярский край 20 февраля 2021 г.</t>
  </si>
  <si>
    <t>92,5</t>
  </si>
  <si>
    <t>75,0</t>
  </si>
  <si>
    <t>Жим стоя</t>
  </si>
  <si>
    <t>ОТКРЫТЫЙ ЧЕМПИОНАТ СОСНОВОБОРСК
Одиночный жим штанги стоя Любители
Сосновоборск/Красноярский край 20 февраля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</si>
</sst>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sz val="14"/>
      <name val="Arial Cyr"/>
      <charset val="204"/>
    </font>
    <font>
      <i/>
      <sz val="12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horizontal="center" vertical="center"/>
    </xf>
    <xf numFmtId="49" fontId="1" fillId="0" borderId="15" xfId="0" applyNumberFormat="1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 vertical="center" indent="1"/>
    </xf>
    <xf numFmtId="49" fontId="7" fillId="0" borderId="0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8" fillId="0" borderId="15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left" vertical="center" indent="1"/>
    </xf>
    <xf numFmtId="49" fontId="5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6" fillId="0" borderId="14" xfId="0" applyNumberFormat="1" applyFont="1" applyFill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workbookViewId="0">
      <selection activeCell="V12" sqref="V12"/>
    </sheetView>
  </sheetViews>
  <sheetFormatPr defaultRowHeight="12.75" x14ac:dyDescent="0.2"/>
  <cols>
    <col min="1" max="1" width="7.42578125" style="5" bestFit="1" customWidth="1"/>
    <col min="2" max="2" width="16.140625" style="5" bestFit="1" customWidth="1"/>
    <col min="3" max="3" width="26.28515625" style="5" bestFit="1" customWidth="1"/>
    <col min="4" max="4" width="21.42578125" style="5" bestFit="1" customWidth="1"/>
    <col min="5" max="5" width="10.5703125" style="5" bestFit="1" customWidth="1"/>
    <col min="6" max="6" width="22.7109375" style="5" bestFit="1" customWidth="1"/>
    <col min="7" max="7" width="29.140625" style="5" bestFit="1" customWidth="1"/>
    <col min="8" max="10" width="5.5703125" style="6" customWidth="1"/>
    <col min="11" max="11" width="4.85546875" style="6" customWidth="1"/>
    <col min="12" max="14" width="5.5703125" style="6" customWidth="1"/>
    <col min="15" max="15" width="4.85546875" style="6" customWidth="1"/>
    <col min="16" max="18" width="5.5703125" style="6" customWidth="1"/>
    <col min="19" max="19" width="4.85546875" style="6" customWidth="1"/>
    <col min="20" max="20" width="7.85546875" style="6" bestFit="1" customWidth="1"/>
    <col min="21" max="21" width="8.5703125" style="6" bestFit="1" customWidth="1"/>
    <col min="22" max="22" width="15.140625" style="5" bestFit="1" customWidth="1"/>
    <col min="23" max="16384" width="9.140625" style="3"/>
  </cols>
  <sheetData>
    <row r="1" spans="1:22" s="2" customFormat="1" ht="29.1" customHeight="1" x14ac:dyDescent="0.2">
      <c r="A1" s="53" t="s">
        <v>14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6"/>
    </row>
    <row r="2" spans="1:22" s="2" customFormat="1" ht="62.1" customHeight="1" thickBot="1" x14ac:dyDescent="0.25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60"/>
    </row>
    <row r="3" spans="1:22" s="1" customFormat="1" ht="12.75" customHeight="1" x14ac:dyDescent="0.2">
      <c r="A3" s="61" t="s">
        <v>13</v>
      </c>
      <c r="B3" s="45" t="s">
        <v>0</v>
      </c>
      <c r="C3" s="63" t="s">
        <v>6</v>
      </c>
      <c r="D3" s="63" t="s">
        <v>10</v>
      </c>
      <c r="E3" s="47" t="s">
        <v>15</v>
      </c>
      <c r="F3" s="47" t="s">
        <v>4</v>
      </c>
      <c r="G3" s="47" t="s">
        <v>7</v>
      </c>
      <c r="H3" s="47" t="s">
        <v>16</v>
      </c>
      <c r="I3" s="47"/>
      <c r="J3" s="47"/>
      <c r="K3" s="47"/>
      <c r="L3" s="47" t="s">
        <v>17</v>
      </c>
      <c r="M3" s="47"/>
      <c r="N3" s="47"/>
      <c r="O3" s="47"/>
      <c r="P3" s="47" t="s">
        <v>18</v>
      </c>
      <c r="Q3" s="47"/>
      <c r="R3" s="47"/>
      <c r="S3" s="47"/>
      <c r="T3" s="47" t="s">
        <v>1</v>
      </c>
      <c r="U3" s="47" t="s">
        <v>3</v>
      </c>
      <c r="V3" s="49" t="s">
        <v>2</v>
      </c>
    </row>
    <row r="4" spans="1:22" s="1" customFormat="1" ht="21" customHeight="1" thickBot="1" x14ac:dyDescent="0.25">
      <c r="A4" s="62"/>
      <c r="B4" s="46"/>
      <c r="C4" s="48"/>
      <c r="D4" s="48"/>
      <c r="E4" s="48"/>
      <c r="F4" s="48"/>
      <c r="G4" s="48"/>
      <c r="H4" s="4">
        <v>1</v>
      </c>
      <c r="I4" s="4">
        <v>2</v>
      </c>
      <c r="J4" s="4">
        <v>3</v>
      </c>
      <c r="K4" s="4" t="s">
        <v>5</v>
      </c>
      <c r="L4" s="4">
        <v>1</v>
      </c>
      <c r="M4" s="4">
        <v>2</v>
      </c>
      <c r="N4" s="4">
        <v>3</v>
      </c>
      <c r="O4" s="4" t="s">
        <v>5</v>
      </c>
      <c r="P4" s="4">
        <v>1</v>
      </c>
      <c r="Q4" s="4">
        <v>2</v>
      </c>
      <c r="R4" s="4">
        <v>3</v>
      </c>
      <c r="S4" s="4" t="s">
        <v>5</v>
      </c>
      <c r="T4" s="48"/>
      <c r="U4" s="48"/>
      <c r="V4" s="50"/>
    </row>
    <row r="5" spans="1:22" ht="15" x14ac:dyDescent="0.2">
      <c r="A5" s="51" t="s">
        <v>19</v>
      </c>
      <c r="B5" s="51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</row>
    <row r="6" spans="1:22" x14ac:dyDescent="0.2">
      <c r="A6" s="10" t="s">
        <v>53</v>
      </c>
      <c r="B6" s="9" t="s">
        <v>20</v>
      </c>
      <c r="C6" s="9" t="s">
        <v>21</v>
      </c>
      <c r="D6" s="9" t="s">
        <v>22</v>
      </c>
      <c r="E6" s="9" t="str">
        <f>"0,9124"</f>
        <v>0,9124</v>
      </c>
      <c r="F6" s="9" t="s">
        <v>23</v>
      </c>
      <c r="G6" s="9" t="s">
        <v>24</v>
      </c>
      <c r="H6" s="16" t="s">
        <v>25</v>
      </c>
      <c r="I6" s="16" t="s">
        <v>26</v>
      </c>
      <c r="J6" s="16" t="s">
        <v>27</v>
      </c>
      <c r="K6" s="10"/>
      <c r="L6" s="16" t="s">
        <v>28</v>
      </c>
      <c r="M6" s="17" t="s">
        <v>29</v>
      </c>
      <c r="N6" s="17" t="s">
        <v>29</v>
      </c>
      <c r="O6" s="10"/>
      <c r="P6" s="16" t="s">
        <v>26</v>
      </c>
      <c r="Q6" s="16" t="s">
        <v>30</v>
      </c>
      <c r="R6" s="16" t="s">
        <v>31</v>
      </c>
      <c r="S6" s="10"/>
      <c r="T6" s="10" t="str">
        <f>"240,0"</f>
        <v>240,0</v>
      </c>
      <c r="U6" s="10" t="str">
        <f>"218,9760"</f>
        <v>218,9760</v>
      </c>
      <c r="V6" s="9" t="s">
        <v>274</v>
      </c>
    </row>
    <row r="7" spans="1:22" x14ac:dyDescent="0.2">
      <c r="B7" s="5" t="s">
        <v>12</v>
      </c>
    </row>
    <row r="8" spans="1:22" ht="15" x14ac:dyDescent="0.2">
      <c r="A8" s="43" t="s">
        <v>33</v>
      </c>
      <c r="B8" s="43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</row>
    <row r="9" spans="1:22" x14ac:dyDescent="0.2">
      <c r="A9" s="10" t="s">
        <v>53</v>
      </c>
      <c r="B9" s="9" t="s">
        <v>34</v>
      </c>
      <c r="C9" s="9" t="s">
        <v>35</v>
      </c>
      <c r="D9" s="9" t="s">
        <v>36</v>
      </c>
      <c r="E9" s="9" t="str">
        <f>"0,5548"</f>
        <v>0,5548</v>
      </c>
      <c r="F9" s="9" t="s">
        <v>23</v>
      </c>
      <c r="G9" s="9" t="s">
        <v>24</v>
      </c>
      <c r="H9" s="16" t="s">
        <v>37</v>
      </c>
      <c r="I9" s="16" t="s">
        <v>38</v>
      </c>
      <c r="J9" s="16" t="s">
        <v>39</v>
      </c>
      <c r="K9" s="10"/>
      <c r="L9" s="16" t="s">
        <v>40</v>
      </c>
      <c r="M9" s="16" t="s">
        <v>41</v>
      </c>
      <c r="N9" s="16" t="s">
        <v>42</v>
      </c>
      <c r="O9" s="10"/>
      <c r="P9" s="16" t="s">
        <v>43</v>
      </c>
      <c r="Q9" s="16" t="s">
        <v>39</v>
      </c>
      <c r="R9" s="17" t="s">
        <v>44</v>
      </c>
      <c r="S9" s="10"/>
      <c r="T9" s="10" t="str">
        <f>"597,5"</f>
        <v>597,5</v>
      </c>
      <c r="U9" s="10" t="str">
        <f>"331,4930"</f>
        <v>331,4930</v>
      </c>
      <c r="V9" s="9" t="s">
        <v>274</v>
      </c>
    </row>
    <row r="10" spans="1:22" x14ac:dyDescent="0.2">
      <c r="B10" s="5" t="s">
        <v>12</v>
      </c>
    </row>
    <row r="11" spans="1:22" ht="15" x14ac:dyDescent="0.2">
      <c r="B11" s="5" t="s">
        <v>12</v>
      </c>
      <c r="F11" s="7"/>
    </row>
    <row r="12" spans="1:22" ht="15" x14ac:dyDescent="0.2">
      <c r="B12" s="5" t="s">
        <v>12</v>
      </c>
      <c r="F12" s="7"/>
    </row>
    <row r="13" spans="1:22" ht="15" x14ac:dyDescent="0.2">
      <c r="B13" s="5" t="s">
        <v>12</v>
      </c>
      <c r="F13" s="7"/>
    </row>
    <row r="14" spans="1:22" ht="15" x14ac:dyDescent="0.2">
      <c r="B14" s="5" t="s">
        <v>12</v>
      </c>
      <c r="F14" s="7"/>
    </row>
    <row r="15" spans="1:22" ht="15" x14ac:dyDescent="0.2">
      <c r="B15" s="5" t="s">
        <v>12</v>
      </c>
      <c r="F15" s="7"/>
    </row>
    <row r="16" spans="1:22" ht="15" x14ac:dyDescent="0.2">
      <c r="B16" s="5" t="s">
        <v>12</v>
      </c>
      <c r="F16" s="7"/>
    </row>
    <row r="17" spans="2:7" ht="15" x14ac:dyDescent="0.2">
      <c r="B17" s="5" t="s">
        <v>12</v>
      </c>
      <c r="F17" s="7"/>
    </row>
    <row r="18" spans="2:7" x14ac:dyDescent="0.2">
      <c r="B18" s="5" t="s">
        <v>12</v>
      </c>
    </row>
    <row r="19" spans="2:7" ht="18" x14ac:dyDescent="0.2">
      <c r="B19" s="5" t="s">
        <v>12</v>
      </c>
      <c r="C19" s="8"/>
      <c r="D19" s="8"/>
    </row>
    <row r="20" spans="2:7" ht="15" x14ac:dyDescent="0.2">
      <c r="B20" s="5" t="s">
        <v>12</v>
      </c>
      <c r="C20" s="12"/>
      <c r="D20" s="12"/>
    </row>
    <row r="21" spans="2:7" ht="14.25" x14ac:dyDescent="0.2">
      <c r="B21" s="5" t="s">
        <v>12</v>
      </c>
      <c r="C21" s="13"/>
      <c r="D21" s="14"/>
    </row>
    <row r="22" spans="2:7" ht="15" x14ac:dyDescent="0.2">
      <c r="B22" s="5" t="s">
        <v>12</v>
      </c>
      <c r="C22" s="1"/>
      <c r="D22" s="1"/>
      <c r="E22" s="1"/>
      <c r="F22" s="1"/>
      <c r="G22" s="1"/>
    </row>
    <row r="23" spans="2:7" x14ac:dyDescent="0.2">
      <c r="B23" s="5" t="s">
        <v>12</v>
      </c>
      <c r="E23" s="6"/>
      <c r="F23" s="6"/>
      <c r="G23" s="6"/>
    </row>
    <row r="24" spans="2:7" x14ac:dyDescent="0.2">
      <c r="B24" s="5" t="s">
        <v>12</v>
      </c>
    </row>
    <row r="25" spans="2:7" x14ac:dyDescent="0.2">
      <c r="B25" s="5" t="s">
        <v>12</v>
      </c>
    </row>
    <row r="26" spans="2:7" ht="15" x14ac:dyDescent="0.2">
      <c r="B26" s="5" t="s">
        <v>12</v>
      </c>
      <c r="C26" s="12"/>
      <c r="D26" s="12"/>
    </row>
    <row r="27" spans="2:7" ht="14.25" x14ac:dyDescent="0.2">
      <c r="B27" s="5" t="s">
        <v>12</v>
      </c>
      <c r="C27" s="13"/>
      <c r="D27" s="14"/>
    </row>
    <row r="28" spans="2:7" ht="15" x14ac:dyDescent="0.2">
      <c r="B28" s="5" t="s">
        <v>12</v>
      </c>
      <c r="C28" s="1"/>
      <c r="D28" s="1"/>
      <c r="E28" s="1"/>
      <c r="F28" s="1"/>
      <c r="G28" s="1"/>
    </row>
    <row r="29" spans="2:7" x14ac:dyDescent="0.2">
      <c r="B29" s="5" t="s">
        <v>12</v>
      </c>
      <c r="E29" s="6"/>
      <c r="F29" s="6"/>
      <c r="G29" s="6"/>
    </row>
    <row r="30" spans="2:7" x14ac:dyDescent="0.2">
      <c r="B30" s="5" t="s">
        <v>12</v>
      </c>
    </row>
  </sheetData>
  <mergeCells count="16">
    <mergeCell ref="A1:V2"/>
    <mergeCell ref="A3:A4"/>
    <mergeCell ref="C3:C4"/>
    <mergeCell ref="D3:D4"/>
    <mergeCell ref="E3:E4"/>
    <mergeCell ref="F3:F4"/>
    <mergeCell ref="G3:G4"/>
    <mergeCell ref="H3:K3"/>
    <mergeCell ref="L3:O3"/>
    <mergeCell ref="P3:S3"/>
    <mergeCell ref="A8:S8"/>
    <mergeCell ref="B3:B4"/>
    <mergeCell ref="T3:T4"/>
    <mergeCell ref="U3:U4"/>
    <mergeCell ref="V3:V4"/>
    <mergeCell ref="A5:S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tabSelected="1" workbookViewId="0">
      <selection activeCell="N12" sqref="N12"/>
    </sheetView>
  </sheetViews>
  <sheetFormatPr defaultRowHeight="12.75" x14ac:dyDescent="0.2"/>
  <cols>
    <col min="1" max="1" width="7.42578125" style="5" bestFit="1" customWidth="1"/>
    <col min="2" max="2" width="21.42578125" style="5" bestFit="1" customWidth="1"/>
    <col min="3" max="3" width="28.42578125" style="5" bestFit="1" customWidth="1"/>
    <col min="4" max="4" width="21.42578125" style="5" bestFit="1" customWidth="1"/>
    <col min="5" max="5" width="10.5703125" style="5" bestFit="1" customWidth="1"/>
    <col min="6" max="6" width="22.7109375" style="5" bestFit="1" customWidth="1"/>
    <col min="7" max="7" width="31.42578125" style="5" bestFit="1" customWidth="1"/>
    <col min="8" max="10" width="5.5703125" style="6" customWidth="1"/>
    <col min="11" max="11" width="4.85546875" style="6" customWidth="1"/>
    <col min="12" max="12" width="7.85546875" style="6" bestFit="1" customWidth="1"/>
    <col min="13" max="13" width="8.5703125" style="6" bestFit="1" customWidth="1"/>
    <col min="14" max="14" width="15.140625" style="5" bestFit="1" customWidth="1"/>
    <col min="15" max="16384" width="9.140625" style="3"/>
  </cols>
  <sheetData>
    <row r="1" spans="1:14" s="2" customFormat="1" ht="29.1" customHeight="1" x14ac:dyDescent="0.2">
      <c r="A1" s="53" t="s">
        <v>112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6"/>
    </row>
    <row r="2" spans="1:14" s="2" customFormat="1" ht="62.1" customHeight="1" thickBot="1" x14ac:dyDescent="0.25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60"/>
    </row>
    <row r="3" spans="1:14" s="1" customFormat="1" ht="12.75" customHeight="1" x14ac:dyDescent="0.2">
      <c r="A3" s="61" t="s">
        <v>13</v>
      </c>
      <c r="B3" s="45" t="s">
        <v>0</v>
      </c>
      <c r="C3" s="63" t="s">
        <v>6</v>
      </c>
      <c r="D3" s="63" t="s">
        <v>10</v>
      </c>
      <c r="E3" s="47" t="s">
        <v>15</v>
      </c>
      <c r="F3" s="47" t="s">
        <v>4</v>
      </c>
      <c r="G3" s="47" t="s">
        <v>7</v>
      </c>
      <c r="H3" s="47" t="s">
        <v>17</v>
      </c>
      <c r="I3" s="47"/>
      <c r="J3" s="47"/>
      <c r="K3" s="47"/>
      <c r="L3" s="47" t="s">
        <v>107</v>
      </c>
      <c r="M3" s="47" t="s">
        <v>3</v>
      </c>
      <c r="N3" s="49" t="s">
        <v>2</v>
      </c>
    </row>
    <row r="4" spans="1:14" s="1" customFormat="1" ht="21" customHeight="1" thickBot="1" x14ac:dyDescent="0.25">
      <c r="A4" s="62"/>
      <c r="B4" s="46"/>
      <c r="C4" s="48"/>
      <c r="D4" s="48"/>
      <c r="E4" s="48"/>
      <c r="F4" s="48"/>
      <c r="G4" s="48"/>
      <c r="H4" s="4">
        <v>1</v>
      </c>
      <c r="I4" s="4">
        <v>2</v>
      </c>
      <c r="J4" s="4">
        <v>3</v>
      </c>
      <c r="K4" s="4" t="s">
        <v>5</v>
      </c>
      <c r="L4" s="48"/>
      <c r="M4" s="48"/>
      <c r="N4" s="50"/>
    </row>
    <row r="5" spans="1:14" ht="15" x14ac:dyDescent="0.2">
      <c r="A5" s="51" t="s">
        <v>55</v>
      </c>
      <c r="B5" s="51"/>
      <c r="C5" s="52"/>
      <c r="D5" s="52"/>
      <c r="E5" s="52"/>
      <c r="F5" s="52"/>
      <c r="G5" s="52"/>
      <c r="H5" s="52"/>
      <c r="I5" s="52"/>
      <c r="J5" s="52"/>
      <c r="K5" s="52"/>
    </row>
    <row r="6" spans="1:14" x14ac:dyDescent="0.2">
      <c r="A6" s="10" t="s">
        <v>53</v>
      </c>
      <c r="B6" s="9" t="s">
        <v>113</v>
      </c>
      <c r="C6" s="9" t="s">
        <v>114</v>
      </c>
      <c r="D6" s="9" t="s">
        <v>115</v>
      </c>
      <c r="E6" s="9" t="str">
        <f>"0,8820"</f>
        <v>0,8820</v>
      </c>
      <c r="F6" s="9" t="s">
        <v>23</v>
      </c>
      <c r="G6" s="9" t="s">
        <v>24</v>
      </c>
      <c r="H6" s="16" t="s">
        <v>59</v>
      </c>
      <c r="I6" s="16" t="s">
        <v>60</v>
      </c>
      <c r="J6" s="16" t="s">
        <v>116</v>
      </c>
      <c r="K6" s="10"/>
      <c r="L6" s="10" t="str">
        <f>"57,5"</f>
        <v>57,5</v>
      </c>
      <c r="M6" s="10" t="str">
        <f>"50,7121"</f>
        <v>50,7121</v>
      </c>
      <c r="N6" s="9" t="s">
        <v>274</v>
      </c>
    </row>
    <row r="7" spans="1:14" x14ac:dyDescent="0.2">
      <c r="B7" s="5" t="s">
        <v>12</v>
      </c>
    </row>
    <row r="8" spans="1:14" ht="15" x14ac:dyDescent="0.2">
      <c r="A8" s="43" t="s">
        <v>117</v>
      </c>
      <c r="B8" s="43"/>
      <c r="C8" s="44"/>
      <c r="D8" s="44"/>
      <c r="E8" s="44"/>
      <c r="F8" s="44"/>
      <c r="G8" s="44"/>
      <c r="H8" s="44"/>
      <c r="I8" s="44"/>
      <c r="J8" s="44"/>
      <c r="K8" s="44"/>
    </row>
    <row r="9" spans="1:14" x14ac:dyDescent="0.2">
      <c r="A9" s="10" t="s">
        <v>53</v>
      </c>
      <c r="B9" s="9" t="s">
        <v>118</v>
      </c>
      <c r="C9" s="9" t="s">
        <v>119</v>
      </c>
      <c r="D9" s="9" t="s">
        <v>120</v>
      </c>
      <c r="E9" s="9" t="str">
        <f>"1,1624"</f>
        <v>1,1624</v>
      </c>
      <c r="F9" s="9" t="s">
        <v>23</v>
      </c>
      <c r="G9" s="9" t="s">
        <v>24</v>
      </c>
      <c r="H9" s="16" t="s">
        <v>62</v>
      </c>
      <c r="I9" s="16" t="s">
        <v>121</v>
      </c>
      <c r="J9" s="16" t="s">
        <v>63</v>
      </c>
      <c r="K9" s="10"/>
      <c r="L9" s="10" t="str">
        <f>"35,0"</f>
        <v>35,0</v>
      </c>
      <c r="M9" s="10" t="str">
        <f>"50,0413"</f>
        <v>50,0413</v>
      </c>
      <c r="N9" s="9" t="s">
        <v>122</v>
      </c>
    </row>
    <row r="10" spans="1:14" x14ac:dyDescent="0.2">
      <c r="B10" s="5" t="s">
        <v>12</v>
      </c>
    </row>
    <row r="11" spans="1:14" ht="15" x14ac:dyDescent="0.2">
      <c r="A11" s="43" t="s">
        <v>123</v>
      </c>
      <c r="B11" s="43"/>
      <c r="C11" s="44"/>
      <c r="D11" s="44"/>
      <c r="E11" s="44"/>
      <c r="F11" s="44"/>
      <c r="G11" s="44"/>
      <c r="H11" s="44"/>
      <c r="I11" s="44"/>
      <c r="J11" s="44"/>
      <c r="K11" s="44"/>
    </row>
    <row r="12" spans="1:14" x14ac:dyDescent="0.2">
      <c r="A12" s="19" t="s">
        <v>53</v>
      </c>
      <c r="B12" s="18" t="s">
        <v>124</v>
      </c>
      <c r="C12" s="18" t="s">
        <v>125</v>
      </c>
      <c r="D12" s="18" t="s">
        <v>126</v>
      </c>
      <c r="E12" s="18" t="str">
        <f>"0,6273"</f>
        <v>0,6273</v>
      </c>
      <c r="F12" s="18" t="s">
        <v>23</v>
      </c>
      <c r="G12" s="18" t="s">
        <v>103</v>
      </c>
      <c r="H12" s="24" t="s">
        <v>127</v>
      </c>
      <c r="I12" s="24" t="s">
        <v>128</v>
      </c>
      <c r="J12" s="24" t="s">
        <v>129</v>
      </c>
      <c r="K12" s="19"/>
      <c r="L12" s="19" t="str">
        <f>"152,5"</f>
        <v>152,5</v>
      </c>
      <c r="M12" s="19" t="str">
        <f>"95,6633"</f>
        <v>95,6633</v>
      </c>
      <c r="N12" s="18" t="s">
        <v>274</v>
      </c>
    </row>
    <row r="13" spans="1:14" x14ac:dyDescent="0.2">
      <c r="A13" s="21" t="s">
        <v>53</v>
      </c>
      <c r="B13" s="20" t="s">
        <v>130</v>
      </c>
      <c r="C13" s="20" t="s">
        <v>131</v>
      </c>
      <c r="D13" s="20" t="s">
        <v>132</v>
      </c>
      <c r="E13" s="20" t="str">
        <f>"0,6230"</f>
        <v>0,6230</v>
      </c>
      <c r="F13" s="20" t="s">
        <v>23</v>
      </c>
      <c r="G13" s="20" t="s">
        <v>24</v>
      </c>
      <c r="H13" s="25" t="s">
        <v>133</v>
      </c>
      <c r="I13" s="25" t="s">
        <v>127</v>
      </c>
      <c r="J13" s="26" t="s">
        <v>134</v>
      </c>
      <c r="K13" s="21"/>
      <c r="L13" s="21" t="str">
        <f>"140,0"</f>
        <v>140,0</v>
      </c>
      <c r="M13" s="21" t="str">
        <f>"87,2200"</f>
        <v>87,2200</v>
      </c>
      <c r="N13" s="20" t="s">
        <v>274</v>
      </c>
    </row>
    <row r="14" spans="1:14" x14ac:dyDescent="0.2">
      <c r="A14" s="21" t="s">
        <v>182</v>
      </c>
      <c r="B14" s="20" t="s">
        <v>135</v>
      </c>
      <c r="C14" s="20" t="s">
        <v>136</v>
      </c>
      <c r="D14" s="20" t="s">
        <v>137</v>
      </c>
      <c r="E14" s="20" t="str">
        <f>"0,6307"</f>
        <v>0,6307</v>
      </c>
      <c r="F14" s="20" t="s">
        <v>23</v>
      </c>
      <c r="G14" s="20" t="s">
        <v>24</v>
      </c>
      <c r="H14" s="26" t="s">
        <v>98</v>
      </c>
      <c r="I14" s="25" t="s">
        <v>98</v>
      </c>
      <c r="J14" s="26" t="s">
        <v>99</v>
      </c>
      <c r="K14" s="21"/>
      <c r="L14" s="21" t="str">
        <f>"125,0"</f>
        <v>125,0</v>
      </c>
      <c r="M14" s="21" t="str">
        <f>"78,8375"</f>
        <v>78,8375</v>
      </c>
      <c r="N14" s="20" t="s">
        <v>274</v>
      </c>
    </row>
    <row r="15" spans="1:14" x14ac:dyDescent="0.2">
      <c r="A15" s="23" t="s">
        <v>183</v>
      </c>
      <c r="B15" s="22" t="s">
        <v>138</v>
      </c>
      <c r="C15" s="22" t="s">
        <v>139</v>
      </c>
      <c r="D15" s="22" t="s">
        <v>140</v>
      </c>
      <c r="E15" s="22" t="str">
        <f>"0,6295"</f>
        <v>0,6295</v>
      </c>
      <c r="F15" s="22" t="s">
        <v>23</v>
      </c>
      <c r="G15" s="22" t="s">
        <v>24</v>
      </c>
      <c r="H15" s="27" t="s">
        <v>105</v>
      </c>
      <c r="I15" s="27" t="s">
        <v>98</v>
      </c>
      <c r="J15" s="27" t="s">
        <v>98</v>
      </c>
      <c r="K15" s="23"/>
      <c r="L15" s="23" t="str">
        <f>"0.00"</f>
        <v>0.00</v>
      </c>
      <c r="M15" s="23" t="str">
        <f>"0,0000"</f>
        <v>0,0000</v>
      </c>
      <c r="N15" s="22" t="s">
        <v>274</v>
      </c>
    </row>
    <row r="16" spans="1:14" x14ac:dyDescent="0.2">
      <c r="B16" s="5" t="s">
        <v>12</v>
      </c>
    </row>
    <row r="17" spans="1:14" ht="15" x14ac:dyDescent="0.2">
      <c r="A17" s="43" t="s">
        <v>93</v>
      </c>
      <c r="B17" s="43"/>
      <c r="C17" s="44"/>
      <c r="D17" s="44"/>
      <c r="E17" s="44"/>
      <c r="F17" s="44"/>
      <c r="G17" s="44"/>
      <c r="H17" s="44"/>
      <c r="I17" s="44"/>
      <c r="J17" s="44"/>
      <c r="K17" s="44"/>
    </row>
    <row r="18" spans="1:14" x14ac:dyDescent="0.2">
      <c r="A18" s="19" t="s">
        <v>53</v>
      </c>
      <c r="B18" s="18" t="s">
        <v>141</v>
      </c>
      <c r="C18" s="18" t="s">
        <v>142</v>
      </c>
      <c r="D18" s="18" t="s">
        <v>143</v>
      </c>
      <c r="E18" s="18" t="str">
        <f>"0,5935"</f>
        <v>0,5935</v>
      </c>
      <c r="F18" s="18" t="s">
        <v>23</v>
      </c>
      <c r="G18" s="18" t="s">
        <v>24</v>
      </c>
      <c r="H18" s="28" t="s">
        <v>144</v>
      </c>
      <c r="I18" s="24" t="s">
        <v>144</v>
      </c>
      <c r="J18" s="24" t="s">
        <v>128</v>
      </c>
      <c r="K18" s="19"/>
      <c r="L18" s="19" t="str">
        <f>"147,5"</f>
        <v>147,5</v>
      </c>
      <c r="M18" s="19" t="str">
        <f>"87,5413"</f>
        <v>87,5413</v>
      </c>
      <c r="N18" s="18" t="s">
        <v>274</v>
      </c>
    </row>
    <row r="19" spans="1:14" x14ac:dyDescent="0.2">
      <c r="A19" s="21" t="s">
        <v>182</v>
      </c>
      <c r="B19" s="20" t="s">
        <v>94</v>
      </c>
      <c r="C19" s="20" t="s">
        <v>95</v>
      </c>
      <c r="D19" s="20" t="s">
        <v>96</v>
      </c>
      <c r="E19" s="20" t="str">
        <f>"0,5869"</f>
        <v>0,5869</v>
      </c>
      <c r="F19" s="20" t="s">
        <v>23</v>
      </c>
      <c r="G19" s="20" t="s">
        <v>24</v>
      </c>
      <c r="H19" s="25" t="s">
        <v>97</v>
      </c>
      <c r="I19" s="25" t="s">
        <v>98</v>
      </c>
      <c r="J19" s="25" t="s">
        <v>133</v>
      </c>
      <c r="K19" s="21"/>
      <c r="L19" s="21" t="str">
        <f>"135,0"</f>
        <v>135,0</v>
      </c>
      <c r="M19" s="21" t="str">
        <f>"79,2315"</f>
        <v>79,2315</v>
      </c>
      <c r="N19" s="20" t="s">
        <v>274</v>
      </c>
    </row>
    <row r="20" spans="1:14" x14ac:dyDescent="0.2">
      <c r="A20" s="23" t="s">
        <v>184</v>
      </c>
      <c r="B20" s="22" t="s">
        <v>145</v>
      </c>
      <c r="C20" s="22" t="s">
        <v>146</v>
      </c>
      <c r="D20" s="22" t="s">
        <v>147</v>
      </c>
      <c r="E20" s="22" t="str">
        <f>"0,5965"</f>
        <v>0,5965</v>
      </c>
      <c r="F20" s="22" t="s">
        <v>23</v>
      </c>
      <c r="G20" s="22" t="s">
        <v>24</v>
      </c>
      <c r="H20" s="29" t="s">
        <v>104</v>
      </c>
      <c r="I20" s="29" t="s">
        <v>97</v>
      </c>
      <c r="J20" s="29" t="s">
        <v>105</v>
      </c>
      <c r="K20" s="23"/>
      <c r="L20" s="23" t="str">
        <f>"115,0"</f>
        <v>115,0</v>
      </c>
      <c r="M20" s="23" t="str">
        <f>"68,5975"</f>
        <v>68,5975</v>
      </c>
      <c r="N20" s="22" t="s">
        <v>274</v>
      </c>
    </row>
    <row r="21" spans="1:14" x14ac:dyDescent="0.2">
      <c r="B21" s="5" t="s">
        <v>12</v>
      </c>
    </row>
    <row r="22" spans="1:14" ht="15" x14ac:dyDescent="0.2">
      <c r="A22" s="43" t="s">
        <v>33</v>
      </c>
      <c r="B22" s="43"/>
      <c r="C22" s="44"/>
      <c r="D22" s="44"/>
      <c r="E22" s="44"/>
      <c r="F22" s="44"/>
      <c r="G22" s="44"/>
      <c r="H22" s="44"/>
      <c r="I22" s="44"/>
      <c r="J22" s="44"/>
      <c r="K22" s="44"/>
    </row>
    <row r="23" spans="1:14" x14ac:dyDescent="0.2">
      <c r="A23" s="19" t="s">
        <v>53</v>
      </c>
      <c r="B23" s="18" t="s">
        <v>148</v>
      </c>
      <c r="C23" s="18" t="s">
        <v>149</v>
      </c>
      <c r="D23" s="18" t="s">
        <v>150</v>
      </c>
      <c r="E23" s="18" t="str">
        <f>"0,5654"</f>
        <v>0,5654</v>
      </c>
      <c r="F23" s="18" t="s">
        <v>23</v>
      </c>
      <c r="G23" s="18" t="s">
        <v>151</v>
      </c>
      <c r="H23" s="24" t="s">
        <v>87</v>
      </c>
      <c r="I23" s="24" t="s">
        <v>152</v>
      </c>
      <c r="J23" s="24" t="s">
        <v>153</v>
      </c>
      <c r="K23" s="19"/>
      <c r="L23" s="19" t="str">
        <f>"180,0"</f>
        <v>180,0</v>
      </c>
      <c r="M23" s="19" t="str">
        <f>"101,7720"</f>
        <v>101,7720</v>
      </c>
      <c r="N23" s="18" t="s">
        <v>274</v>
      </c>
    </row>
    <row r="24" spans="1:14" x14ac:dyDescent="0.2">
      <c r="A24" s="21" t="s">
        <v>182</v>
      </c>
      <c r="B24" s="20" t="s">
        <v>154</v>
      </c>
      <c r="C24" s="20" t="s">
        <v>155</v>
      </c>
      <c r="D24" s="20" t="s">
        <v>156</v>
      </c>
      <c r="E24" s="20" t="str">
        <f>"0,5575"</f>
        <v>0,5575</v>
      </c>
      <c r="F24" s="20" t="s">
        <v>23</v>
      </c>
      <c r="G24" s="20" t="s">
        <v>24</v>
      </c>
      <c r="H24" s="25" t="s">
        <v>42</v>
      </c>
      <c r="I24" s="25" t="s">
        <v>88</v>
      </c>
      <c r="J24" s="26" t="s">
        <v>153</v>
      </c>
      <c r="K24" s="21"/>
      <c r="L24" s="21" t="str">
        <f>"175,0"</f>
        <v>175,0</v>
      </c>
      <c r="M24" s="21" t="str">
        <f>"97,5625"</f>
        <v>97,5625</v>
      </c>
      <c r="N24" s="20" t="s">
        <v>274</v>
      </c>
    </row>
    <row r="25" spans="1:14" x14ac:dyDescent="0.2">
      <c r="A25" s="21" t="s">
        <v>184</v>
      </c>
      <c r="B25" s="20" t="s">
        <v>34</v>
      </c>
      <c r="C25" s="20" t="s">
        <v>35</v>
      </c>
      <c r="D25" s="20" t="s">
        <v>36</v>
      </c>
      <c r="E25" s="20" t="str">
        <f>"0,5548"</f>
        <v>0,5548</v>
      </c>
      <c r="F25" s="20" t="s">
        <v>23</v>
      </c>
      <c r="G25" s="20" t="s">
        <v>24</v>
      </c>
      <c r="H25" s="25" t="s">
        <v>40</v>
      </c>
      <c r="I25" s="25" t="s">
        <v>41</v>
      </c>
      <c r="J25" s="25" t="s">
        <v>42</v>
      </c>
      <c r="K25" s="21"/>
      <c r="L25" s="21" t="str">
        <f>"167,5"</f>
        <v>167,5</v>
      </c>
      <c r="M25" s="21" t="str">
        <f>"92,9290"</f>
        <v>92,9290</v>
      </c>
      <c r="N25" s="20" t="s">
        <v>274</v>
      </c>
    </row>
    <row r="26" spans="1:14" x14ac:dyDescent="0.2">
      <c r="A26" s="21" t="s">
        <v>185</v>
      </c>
      <c r="B26" s="20" t="s">
        <v>157</v>
      </c>
      <c r="C26" s="20" t="s">
        <v>158</v>
      </c>
      <c r="D26" s="20" t="s">
        <v>156</v>
      </c>
      <c r="E26" s="20" t="str">
        <f>"0,5575"</f>
        <v>0,5575</v>
      </c>
      <c r="F26" s="20" t="s">
        <v>23</v>
      </c>
      <c r="G26" s="20" t="s">
        <v>159</v>
      </c>
      <c r="H26" s="26" t="s">
        <v>134</v>
      </c>
      <c r="I26" s="25" t="s">
        <v>144</v>
      </c>
      <c r="J26" s="25" t="s">
        <v>41</v>
      </c>
      <c r="K26" s="21"/>
      <c r="L26" s="21" t="str">
        <f>"162,5"</f>
        <v>162,5</v>
      </c>
      <c r="M26" s="21" t="str">
        <f>"90,5938"</f>
        <v>90,5938</v>
      </c>
      <c r="N26" s="20" t="s">
        <v>274</v>
      </c>
    </row>
    <row r="27" spans="1:14" x14ac:dyDescent="0.2">
      <c r="A27" s="21" t="s">
        <v>186</v>
      </c>
      <c r="B27" s="20" t="s">
        <v>160</v>
      </c>
      <c r="C27" s="20" t="s">
        <v>161</v>
      </c>
      <c r="D27" s="20" t="s">
        <v>162</v>
      </c>
      <c r="E27" s="20" t="str">
        <f>"0,5573"</f>
        <v>0,5573</v>
      </c>
      <c r="F27" s="20" t="s">
        <v>23</v>
      </c>
      <c r="G27" s="20" t="s">
        <v>24</v>
      </c>
      <c r="H27" s="25" t="s">
        <v>163</v>
      </c>
      <c r="I27" s="25" t="s">
        <v>99</v>
      </c>
      <c r="J27" s="25" t="s">
        <v>134</v>
      </c>
      <c r="K27" s="21"/>
      <c r="L27" s="21" t="str">
        <f>"142,5"</f>
        <v>142,5</v>
      </c>
      <c r="M27" s="21" t="str">
        <f>"79,4152"</f>
        <v>79,4152</v>
      </c>
      <c r="N27" s="20" t="s">
        <v>274</v>
      </c>
    </row>
    <row r="28" spans="1:14" x14ac:dyDescent="0.2">
      <c r="A28" s="21" t="s">
        <v>187</v>
      </c>
      <c r="B28" s="20" t="s">
        <v>164</v>
      </c>
      <c r="C28" s="20" t="s">
        <v>165</v>
      </c>
      <c r="D28" s="20" t="s">
        <v>166</v>
      </c>
      <c r="E28" s="20" t="str">
        <f>"0,5636"</f>
        <v>0,5636</v>
      </c>
      <c r="F28" s="20" t="s">
        <v>23</v>
      </c>
      <c r="G28" s="20" t="s">
        <v>167</v>
      </c>
      <c r="H28" s="25" t="s">
        <v>163</v>
      </c>
      <c r="I28" s="26" t="s">
        <v>99</v>
      </c>
      <c r="J28" s="25" t="s">
        <v>133</v>
      </c>
      <c r="K28" s="21"/>
      <c r="L28" s="21" t="str">
        <f>"135,0"</f>
        <v>135,0</v>
      </c>
      <c r="M28" s="21" t="str">
        <f>"76,0860"</f>
        <v>76,0860</v>
      </c>
      <c r="N28" s="20" t="s">
        <v>274</v>
      </c>
    </row>
    <row r="29" spans="1:14" x14ac:dyDescent="0.2">
      <c r="A29" s="23" t="s">
        <v>188</v>
      </c>
      <c r="B29" s="22" t="s">
        <v>100</v>
      </c>
      <c r="C29" s="22" t="s">
        <v>101</v>
      </c>
      <c r="D29" s="22" t="s">
        <v>102</v>
      </c>
      <c r="E29" s="22" t="str">
        <f>"0,5619"</f>
        <v>0,5619</v>
      </c>
      <c r="F29" s="22" t="s">
        <v>23</v>
      </c>
      <c r="G29" s="22" t="s">
        <v>103</v>
      </c>
      <c r="H29" s="29" t="s">
        <v>104</v>
      </c>
      <c r="I29" s="29" t="s">
        <v>97</v>
      </c>
      <c r="J29" s="29" t="s">
        <v>105</v>
      </c>
      <c r="K29" s="23"/>
      <c r="L29" s="23" t="str">
        <f>"115,0"</f>
        <v>115,0</v>
      </c>
      <c r="M29" s="23" t="str">
        <f>"64,6185"</f>
        <v>64,6185</v>
      </c>
      <c r="N29" s="22" t="s">
        <v>274</v>
      </c>
    </row>
    <row r="30" spans="1:14" x14ac:dyDescent="0.2">
      <c r="B30" s="5" t="s">
        <v>12</v>
      </c>
    </row>
    <row r="31" spans="1:14" ht="15" x14ac:dyDescent="0.2">
      <c r="A31" s="43" t="s">
        <v>168</v>
      </c>
      <c r="B31" s="43"/>
      <c r="C31" s="44"/>
      <c r="D31" s="44"/>
      <c r="E31" s="44"/>
      <c r="F31" s="44"/>
      <c r="G31" s="44"/>
      <c r="H31" s="44"/>
      <c r="I31" s="44"/>
      <c r="J31" s="44"/>
      <c r="K31" s="44"/>
    </row>
    <row r="32" spans="1:14" x14ac:dyDescent="0.2">
      <c r="A32" s="10" t="s">
        <v>53</v>
      </c>
      <c r="B32" s="9" t="s">
        <v>169</v>
      </c>
      <c r="C32" s="9" t="s">
        <v>170</v>
      </c>
      <c r="D32" s="9" t="s">
        <v>171</v>
      </c>
      <c r="E32" s="9" t="str">
        <f>"0,5404"</f>
        <v>0,5404</v>
      </c>
      <c r="F32" s="9" t="s">
        <v>23</v>
      </c>
      <c r="G32" s="9" t="s">
        <v>24</v>
      </c>
      <c r="H32" s="16" t="s">
        <v>153</v>
      </c>
      <c r="I32" s="16" t="s">
        <v>172</v>
      </c>
      <c r="J32" s="16" t="s">
        <v>37</v>
      </c>
      <c r="K32" s="10"/>
      <c r="L32" s="10" t="str">
        <f>"195,0"</f>
        <v>195,0</v>
      </c>
      <c r="M32" s="10" t="str">
        <f>"105,3780"</f>
        <v>105,3780</v>
      </c>
      <c r="N32" s="9" t="s">
        <v>274</v>
      </c>
    </row>
    <row r="33" spans="1:14" x14ac:dyDescent="0.2">
      <c r="B33" s="5" t="s">
        <v>12</v>
      </c>
    </row>
    <row r="34" spans="1:14" ht="15" x14ac:dyDescent="0.2">
      <c r="A34" s="43" t="s">
        <v>173</v>
      </c>
      <c r="B34" s="43"/>
      <c r="C34" s="44"/>
      <c r="D34" s="44"/>
      <c r="E34" s="44"/>
      <c r="F34" s="44"/>
      <c r="G34" s="44"/>
      <c r="H34" s="44"/>
      <c r="I34" s="44"/>
      <c r="J34" s="44"/>
      <c r="K34" s="44"/>
    </row>
    <row r="35" spans="1:14" x14ac:dyDescent="0.2">
      <c r="A35" s="10" t="s">
        <v>53</v>
      </c>
      <c r="B35" s="9" t="s">
        <v>174</v>
      </c>
      <c r="C35" s="9" t="s">
        <v>175</v>
      </c>
      <c r="D35" s="9" t="s">
        <v>176</v>
      </c>
      <c r="E35" s="9" t="str">
        <f>"0,5350"</f>
        <v>0,5350</v>
      </c>
      <c r="F35" s="9" t="s">
        <v>23</v>
      </c>
      <c r="G35" s="9" t="s">
        <v>24</v>
      </c>
      <c r="H35" s="16" t="s">
        <v>172</v>
      </c>
      <c r="I35" s="16" t="s">
        <v>43</v>
      </c>
      <c r="J35" s="16" t="s">
        <v>38</v>
      </c>
      <c r="K35" s="10"/>
      <c r="L35" s="10" t="str">
        <f>"205,0"</f>
        <v>205,0</v>
      </c>
      <c r="M35" s="10" t="str">
        <f>"109,6750"</f>
        <v>109,6750</v>
      </c>
      <c r="N35" s="9" t="s">
        <v>274</v>
      </c>
    </row>
    <row r="36" spans="1:14" x14ac:dyDescent="0.2">
      <c r="B36" s="5" t="s">
        <v>12</v>
      </c>
    </row>
    <row r="37" spans="1:14" ht="15" x14ac:dyDescent="0.2">
      <c r="B37" s="5" t="s">
        <v>12</v>
      </c>
      <c r="F37" s="7"/>
    </row>
    <row r="38" spans="1:14" ht="18" x14ac:dyDescent="0.2">
      <c r="B38" s="5" t="s">
        <v>12</v>
      </c>
      <c r="C38" s="8" t="s">
        <v>11</v>
      </c>
      <c r="F38" s="7"/>
    </row>
    <row r="39" spans="1:14" ht="15" x14ac:dyDescent="0.2">
      <c r="B39" s="5" t="s">
        <v>12</v>
      </c>
      <c r="F39" s="7"/>
    </row>
    <row r="40" spans="1:14" ht="15" x14ac:dyDescent="0.2">
      <c r="B40" s="5" t="s">
        <v>12</v>
      </c>
      <c r="C40" s="12" t="s">
        <v>51</v>
      </c>
      <c r="F40" s="7"/>
    </row>
    <row r="41" spans="1:14" ht="14.25" x14ac:dyDescent="0.2">
      <c r="B41" s="5" t="s">
        <v>12</v>
      </c>
      <c r="C41" s="13"/>
      <c r="D41" s="14" t="s">
        <v>45</v>
      </c>
    </row>
    <row r="42" spans="1:14" ht="15" x14ac:dyDescent="0.2">
      <c r="B42" s="5" t="s">
        <v>12</v>
      </c>
      <c r="C42" s="15" t="s">
        <v>46</v>
      </c>
      <c r="D42" s="15" t="s">
        <v>47</v>
      </c>
      <c r="E42" s="15" t="s">
        <v>48</v>
      </c>
      <c r="F42" s="15" t="s">
        <v>106</v>
      </c>
      <c r="G42" s="15" t="s">
        <v>49</v>
      </c>
    </row>
    <row r="43" spans="1:14" x14ac:dyDescent="0.2">
      <c r="B43" s="5" t="s">
        <v>12</v>
      </c>
      <c r="C43" s="5" t="s">
        <v>174</v>
      </c>
      <c r="D43" s="5" t="s">
        <v>45</v>
      </c>
      <c r="E43" s="6" t="s">
        <v>177</v>
      </c>
      <c r="F43" s="6" t="s">
        <v>38</v>
      </c>
      <c r="G43" s="6" t="s">
        <v>178</v>
      </c>
    </row>
    <row r="44" spans="1:14" x14ac:dyDescent="0.2">
      <c r="B44" s="5" t="s">
        <v>12</v>
      </c>
      <c r="C44" s="5" t="s">
        <v>169</v>
      </c>
      <c r="D44" s="5" t="s">
        <v>45</v>
      </c>
      <c r="E44" s="6" t="s">
        <v>179</v>
      </c>
      <c r="F44" s="6" t="s">
        <v>37</v>
      </c>
      <c r="G44" s="6" t="s">
        <v>180</v>
      </c>
    </row>
    <row r="45" spans="1:14" x14ac:dyDescent="0.2">
      <c r="B45" s="5" t="s">
        <v>12</v>
      </c>
      <c r="C45" s="5" t="s">
        <v>148</v>
      </c>
      <c r="D45" s="5" t="s">
        <v>45</v>
      </c>
      <c r="E45" s="6" t="s">
        <v>52</v>
      </c>
      <c r="F45" s="6" t="s">
        <v>153</v>
      </c>
      <c r="G45" s="6" t="s">
        <v>181</v>
      </c>
    </row>
    <row r="46" spans="1:14" x14ac:dyDescent="0.2">
      <c r="B46" s="5" t="s">
        <v>12</v>
      </c>
    </row>
    <row r="47" spans="1:14" x14ac:dyDescent="0.2">
      <c r="B47" s="5" t="s">
        <v>12</v>
      </c>
    </row>
    <row r="48" spans="1:14" x14ac:dyDescent="0.2">
      <c r="B48" s="5" t="s">
        <v>12</v>
      </c>
    </row>
    <row r="49" spans="2:7" x14ac:dyDescent="0.2">
      <c r="B49" s="5" t="s">
        <v>12</v>
      </c>
      <c r="E49" s="6"/>
      <c r="F49" s="6"/>
      <c r="G49" s="6"/>
    </row>
    <row r="50" spans="2:7" x14ac:dyDescent="0.2">
      <c r="B50" s="5" t="s">
        <v>12</v>
      </c>
    </row>
    <row r="51" spans="2:7" x14ac:dyDescent="0.2">
      <c r="B51" s="5" t="s">
        <v>12</v>
      </c>
    </row>
    <row r="52" spans="2:7" ht="15" x14ac:dyDescent="0.2">
      <c r="B52" s="5" t="s">
        <v>12</v>
      </c>
      <c r="C52" s="12"/>
      <c r="D52" s="12"/>
    </row>
    <row r="53" spans="2:7" ht="14.25" x14ac:dyDescent="0.2">
      <c r="B53" s="5" t="s">
        <v>12</v>
      </c>
      <c r="C53" s="13"/>
      <c r="D53" s="14"/>
    </row>
    <row r="54" spans="2:7" ht="15" x14ac:dyDescent="0.2">
      <c r="B54" s="5" t="s">
        <v>12</v>
      </c>
      <c r="C54" s="1"/>
      <c r="D54" s="1"/>
      <c r="E54" s="1"/>
      <c r="F54" s="1"/>
      <c r="G54" s="1"/>
    </row>
    <row r="55" spans="2:7" x14ac:dyDescent="0.2">
      <c r="B55" s="5" t="s">
        <v>12</v>
      </c>
      <c r="E55" s="6"/>
      <c r="F55" s="6"/>
      <c r="G55" s="6"/>
    </row>
    <row r="56" spans="2:7" x14ac:dyDescent="0.2">
      <c r="B56" s="5" t="s">
        <v>12</v>
      </c>
    </row>
    <row r="57" spans="2:7" ht="14.25" x14ac:dyDescent="0.2">
      <c r="B57" s="5" t="s">
        <v>12</v>
      </c>
      <c r="C57" s="13"/>
      <c r="D57" s="14"/>
    </row>
    <row r="58" spans="2:7" ht="15" x14ac:dyDescent="0.2">
      <c r="B58" s="5" t="s">
        <v>12</v>
      </c>
      <c r="C58" s="1"/>
      <c r="D58" s="1"/>
      <c r="E58" s="1"/>
      <c r="F58" s="1"/>
      <c r="G58" s="1"/>
    </row>
    <row r="59" spans="2:7" x14ac:dyDescent="0.2">
      <c r="B59" s="5" t="s">
        <v>12</v>
      </c>
      <c r="E59" s="6"/>
      <c r="F59" s="6"/>
      <c r="G59" s="6"/>
    </row>
    <row r="60" spans="2:7" x14ac:dyDescent="0.2">
      <c r="B60" s="5" t="s">
        <v>12</v>
      </c>
    </row>
    <row r="61" spans="2:7" ht="14.25" x14ac:dyDescent="0.2">
      <c r="B61" s="5" t="s">
        <v>12</v>
      </c>
      <c r="C61" s="13"/>
      <c r="D61" s="14"/>
    </row>
    <row r="62" spans="2:7" ht="15" x14ac:dyDescent="0.2">
      <c r="B62" s="5" t="s">
        <v>12</v>
      </c>
      <c r="C62" s="1"/>
      <c r="D62" s="1"/>
      <c r="E62" s="1"/>
      <c r="F62" s="1"/>
      <c r="G62" s="1"/>
    </row>
    <row r="63" spans="2:7" x14ac:dyDescent="0.2">
      <c r="B63" s="5" t="s">
        <v>12</v>
      </c>
      <c r="E63" s="6"/>
      <c r="F63" s="6"/>
      <c r="G63" s="6"/>
    </row>
    <row r="64" spans="2:7" x14ac:dyDescent="0.2">
      <c r="B64" s="5" t="s">
        <v>12</v>
      </c>
      <c r="E64" s="6"/>
      <c r="F64" s="6"/>
      <c r="G64" s="6"/>
    </row>
    <row r="65" spans="2:7" x14ac:dyDescent="0.2">
      <c r="B65" s="5" t="s">
        <v>12</v>
      </c>
      <c r="E65" s="6"/>
      <c r="F65" s="6"/>
      <c r="G65" s="6"/>
    </row>
    <row r="66" spans="2:7" x14ac:dyDescent="0.2">
      <c r="B66" s="5" t="s">
        <v>12</v>
      </c>
    </row>
  </sheetData>
  <mergeCells count="19">
    <mergeCell ref="A1:N2"/>
    <mergeCell ref="A3:A4"/>
    <mergeCell ref="C3:C4"/>
    <mergeCell ref="D3:D4"/>
    <mergeCell ref="E3:E4"/>
    <mergeCell ref="F3:F4"/>
    <mergeCell ref="G3:G4"/>
    <mergeCell ref="H3:K3"/>
    <mergeCell ref="A34:K34"/>
    <mergeCell ref="L3:L4"/>
    <mergeCell ref="M3:M4"/>
    <mergeCell ref="N3:N4"/>
    <mergeCell ref="A5:K5"/>
    <mergeCell ref="B3:B4"/>
    <mergeCell ref="A8:K8"/>
    <mergeCell ref="A11:K11"/>
    <mergeCell ref="A17:K17"/>
    <mergeCell ref="A22:K22"/>
    <mergeCell ref="A31:K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workbookViewId="0">
      <selection activeCell="N3" sqref="N1:N1048576"/>
    </sheetView>
  </sheetViews>
  <sheetFormatPr defaultRowHeight="12.75" x14ac:dyDescent="0.2"/>
  <cols>
    <col min="1" max="1" width="7.42578125" style="5" bestFit="1" customWidth="1"/>
    <col min="2" max="2" width="14.42578125" style="5" bestFit="1" customWidth="1"/>
    <col min="3" max="3" width="28.5703125" style="5" bestFit="1" customWidth="1"/>
    <col min="4" max="4" width="21.42578125" style="5" bestFit="1" customWidth="1"/>
    <col min="5" max="5" width="10.5703125" style="5" bestFit="1" customWidth="1"/>
    <col min="6" max="6" width="22.7109375" style="5" bestFit="1" customWidth="1"/>
    <col min="7" max="7" width="29.140625" style="5" bestFit="1" customWidth="1"/>
    <col min="8" max="10" width="4.5703125" style="6" customWidth="1"/>
    <col min="11" max="11" width="4.85546875" style="6" customWidth="1"/>
    <col min="12" max="12" width="7.85546875" style="6" bestFit="1" customWidth="1"/>
    <col min="13" max="13" width="7.5703125" style="6" bestFit="1" customWidth="1"/>
    <col min="14" max="14" width="15.140625" style="5" bestFit="1" customWidth="1"/>
    <col min="15" max="16384" width="9.140625" style="3"/>
  </cols>
  <sheetData>
    <row r="1" spans="1:14" s="2" customFormat="1" ht="29.1" customHeight="1" x14ac:dyDescent="0.2">
      <c r="A1" s="53" t="s">
        <v>108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6"/>
    </row>
    <row r="2" spans="1:14" s="2" customFormat="1" ht="62.1" customHeight="1" thickBot="1" x14ac:dyDescent="0.25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60"/>
    </row>
    <row r="3" spans="1:14" s="1" customFormat="1" ht="12.75" customHeight="1" x14ac:dyDescent="0.2">
      <c r="A3" s="61" t="s">
        <v>13</v>
      </c>
      <c r="B3" s="45" t="s">
        <v>0</v>
      </c>
      <c r="C3" s="63" t="s">
        <v>6</v>
      </c>
      <c r="D3" s="63" t="s">
        <v>10</v>
      </c>
      <c r="E3" s="47" t="s">
        <v>15</v>
      </c>
      <c r="F3" s="47" t="s">
        <v>4</v>
      </c>
      <c r="G3" s="47" t="s">
        <v>7</v>
      </c>
      <c r="H3" s="47" t="s">
        <v>17</v>
      </c>
      <c r="I3" s="47"/>
      <c r="J3" s="47"/>
      <c r="K3" s="47"/>
      <c r="L3" s="47" t="s">
        <v>107</v>
      </c>
      <c r="M3" s="47" t="s">
        <v>3</v>
      </c>
      <c r="N3" s="49" t="s">
        <v>2</v>
      </c>
    </row>
    <row r="4" spans="1:14" s="1" customFormat="1" ht="21" customHeight="1" thickBot="1" x14ac:dyDescent="0.25">
      <c r="A4" s="62"/>
      <c r="B4" s="46"/>
      <c r="C4" s="48"/>
      <c r="D4" s="48"/>
      <c r="E4" s="48"/>
      <c r="F4" s="48"/>
      <c r="G4" s="48"/>
      <c r="H4" s="4">
        <v>1</v>
      </c>
      <c r="I4" s="4">
        <v>2</v>
      </c>
      <c r="J4" s="4">
        <v>3</v>
      </c>
      <c r="K4" s="4" t="s">
        <v>5</v>
      </c>
      <c r="L4" s="48"/>
      <c r="M4" s="48"/>
      <c r="N4" s="50"/>
    </row>
    <row r="5" spans="1:14" ht="15" x14ac:dyDescent="0.2">
      <c r="A5" s="51" t="s">
        <v>68</v>
      </c>
      <c r="B5" s="51"/>
      <c r="C5" s="52"/>
      <c r="D5" s="52"/>
      <c r="E5" s="52"/>
      <c r="F5" s="52"/>
      <c r="G5" s="52"/>
      <c r="H5" s="52"/>
      <c r="I5" s="52"/>
      <c r="J5" s="52"/>
      <c r="K5" s="52"/>
    </row>
    <row r="6" spans="1:14" x14ac:dyDescent="0.2">
      <c r="A6" s="10" t="s">
        <v>53</v>
      </c>
      <c r="B6" s="9" t="s">
        <v>109</v>
      </c>
      <c r="C6" s="9" t="s">
        <v>110</v>
      </c>
      <c r="D6" s="9" t="s">
        <v>111</v>
      </c>
      <c r="E6" s="9" t="str">
        <f>"0,7074"</f>
        <v>0,7074</v>
      </c>
      <c r="F6" s="9" t="s">
        <v>23</v>
      </c>
      <c r="G6" s="9" t="s">
        <v>24</v>
      </c>
      <c r="H6" s="16" t="s">
        <v>59</v>
      </c>
      <c r="I6" s="16" t="s">
        <v>61</v>
      </c>
      <c r="J6" s="16" t="s">
        <v>66</v>
      </c>
      <c r="K6" s="10"/>
      <c r="L6" s="10" t="str">
        <f>"70,0"</f>
        <v>70,0</v>
      </c>
      <c r="M6" s="10" t="str">
        <f>"51,0531"</f>
        <v>51,0531</v>
      </c>
      <c r="N6" s="9" t="s">
        <v>274</v>
      </c>
    </row>
    <row r="7" spans="1:14" x14ac:dyDescent="0.2">
      <c r="B7" s="5" t="s">
        <v>12</v>
      </c>
    </row>
    <row r="8" spans="1:14" ht="15" x14ac:dyDescent="0.2">
      <c r="B8" s="5" t="s">
        <v>12</v>
      </c>
      <c r="F8" s="7"/>
    </row>
    <row r="9" spans="1:14" ht="15" x14ac:dyDescent="0.2">
      <c r="B9" s="5" t="s">
        <v>12</v>
      </c>
      <c r="F9" s="7"/>
    </row>
    <row r="10" spans="1:14" ht="15" x14ac:dyDescent="0.2">
      <c r="B10" s="5" t="s">
        <v>12</v>
      </c>
      <c r="F10" s="7"/>
    </row>
    <row r="11" spans="1:14" ht="15" x14ac:dyDescent="0.2">
      <c r="B11" s="5" t="s">
        <v>12</v>
      </c>
      <c r="F11" s="7"/>
    </row>
    <row r="12" spans="1:14" ht="15" x14ac:dyDescent="0.2">
      <c r="B12" s="5" t="s">
        <v>12</v>
      </c>
      <c r="F12" s="7"/>
    </row>
    <row r="13" spans="1:14" ht="15" x14ac:dyDescent="0.2">
      <c r="B13" s="5" t="s">
        <v>12</v>
      </c>
      <c r="F13" s="7"/>
    </row>
    <row r="14" spans="1:14" ht="15" x14ac:dyDescent="0.2">
      <c r="B14" s="5" t="s">
        <v>12</v>
      </c>
      <c r="F14" s="7"/>
    </row>
    <row r="15" spans="1:14" x14ac:dyDescent="0.2">
      <c r="B15" s="5" t="s">
        <v>12</v>
      </c>
    </row>
    <row r="16" spans="1:14" ht="18" x14ac:dyDescent="0.2">
      <c r="B16" s="5" t="s">
        <v>12</v>
      </c>
      <c r="C16" s="8"/>
      <c r="D16" s="8"/>
    </row>
    <row r="17" spans="2:7" ht="15" x14ac:dyDescent="0.2">
      <c r="B17" s="5" t="s">
        <v>12</v>
      </c>
      <c r="C17" s="12"/>
      <c r="D17" s="12"/>
    </row>
    <row r="18" spans="2:7" ht="14.25" x14ac:dyDescent="0.2">
      <c r="B18" s="5" t="s">
        <v>12</v>
      </c>
      <c r="C18" s="13"/>
      <c r="D18" s="14"/>
    </row>
    <row r="19" spans="2:7" ht="15" x14ac:dyDescent="0.2">
      <c r="B19" s="5" t="s">
        <v>12</v>
      </c>
      <c r="C19" s="1"/>
      <c r="D19" s="1"/>
      <c r="E19" s="1"/>
      <c r="F19" s="1"/>
      <c r="G19" s="1"/>
    </row>
    <row r="20" spans="2:7" x14ac:dyDescent="0.2">
      <c r="B20" s="5" t="s">
        <v>12</v>
      </c>
      <c r="E20" s="6"/>
      <c r="F20" s="6"/>
      <c r="G20" s="6"/>
    </row>
    <row r="21" spans="2:7" x14ac:dyDescent="0.2">
      <c r="B21" s="5" t="s">
        <v>12</v>
      </c>
    </row>
  </sheetData>
  <mergeCells count="13">
    <mergeCell ref="A5:K5"/>
    <mergeCell ref="B3:B4"/>
    <mergeCell ref="A1:N2"/>
    <mergeCell ref="A3:A4"/>
    <mergeCell ref="C3:C4"/>
    <mergeCell ref="D3:D4"/>
    <mergeCell ref="E3:E4"/>
    <mergeCell ref="F3:F4"/>
    <mergeCell ref="G3:G4"/>
    <mergeCell ref="H3:K3"/>
    <mergeCell ref="L3:L4"/>
    <mergeCell ref="M3:M4"/>
    <mergeCell ref="N3:N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opLeftCell="B1" workbookViewId="0">
      <selection activeCell="M12" sqref="M12"/>
    </sheetView>
  </sheetViews>
  <sheetFormatPr defaultRowHeight="12.75" x14ac:dyDescent="0.2"/>
  <cols>
    <col min="1" max="1" width="7.42578125" style="5" bestFit="1" customWidth="1"/>
    <col min="2" max="2" width="17" style="5" bestFit="1" customWidth="1"/>
    <col min="3" max="3" width="26.28515625" style="5" bestFit="1" customWidth="1"/>
    <col min="4" max="4" width="21.42578125" style="5" bestFit="1" customWidth="1"/>
    <col min="5" max="5" width="10.5703125" style="5" bestFit="1" customWidth="1"/>
    <col min="6" max="6" width="22.7109375" style="5" bestFit="1" customWidth="1"/>
    <col min="7" max="7" width="31.42578125" style="5" bestFit="1" customWidth="1"/>
    <col min="8" max="10" width="5.5703125" style="6" customWidth="1"/>
    <col min="11" max="11" width="4.85546875" style="6" customWidth="1"/>
    <col min="12" max="12" width="7.85546875" style="6" bestFit="1" customWidth="1"/>
    <col min="13" max="13" width="7.5703125" style="6" bestFit="1" customWidth="1"/>
    <col min="14" max="14" width="15.140625" style="5" bestFit="1" customWidth="1"/>
    <col min="15" max="16384" width="9.140625" style="3"/>
  </cols>
  <sheetData>
    <row r="1" spans="1:14" s="2" customFormat="1" ht="29.1" customHeight="1" x14ac:dyDescent="0.2">
      <c r="A1" s="53" t="s">
        <v>92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6"/>
    </row>
    <row r="2" spans="1:14" s="2" customFormat="1" ht="62.1" customHeight="1" thickBot="1" x14ac:dyDescent="0.25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60"/>
    </row>
    <row r="3" spans="1:14" s="1" customFormat="1" ht="12.75" customHeight="1" x14ac:dyDescent="0.2">
      <c r="A3" s="61" t="s">
        <v>13</v>
      </c>
      <c r="B3" s="45" t="s">
        <v>0</v>
      </c>
      <c r="C3" s="63" t="s">
        <v>6</v>
      </c>
      <c r="D3" s="63" t="s">
        <v>10</v>
      </c>
      <c r="E3" s="47" t="s">
        <v>15</v>
      </c>
      <c r="F3" s="47" t="s">
        <v>4</v>
      </c>
      <c r="G3" s="47" t="s">
        <v>7</v>
      </c>
      <c r="H3" s="47" t="s">
        <v>17</v>
      </c>
      <c r="I3" s="47"/>
      <c r="J3" s="47"/>
      <c r="K3" s="47"/>
      <c r="L3" s="47" t="s">
        <v>107</v>
      </c>
      <c r="M3" s="47" t="s">
        <v>3</v>
      </c>
      <c r="N3" s="49" t="s">
        <v>2</v>
      </c>
    </row>
    <row r="4" spans="1:14" s="1" customFormat="1" ht="21" customHeight="1" thickBot="1" x14ac:dyDescent="0.25">
      <c r="A4" s="62"/>
      <c r="B4" s="46"/>
      <c r="C4" s="48"/>
      <c r="D4" s="48"/>
      <c r="E4" s="48"/>
      <c r="F4" s="48"/>
      <c r="G4" s="48"/>
      <c r="H4" s="4">
        <v>1</v>
      </c>
      <c r="I4" s="4">
        <v>2</v>
      </c>
      <c r="J4" s="4">
        <v>3</v>
      </c>
      <c r="K4" s="4" t="s">
        <v>5</v>
      </c>
      <c r="L4" s="48"/>
      <c r="M4" s="48"/>
      <c r="N4" s="50"/>
    </row>
    <row r="5" spans="1:14" ht="15" x14ac:dyDescent="0.2">
      <c r="A5" s="51" t="s">
        <v>93</v>
      </c>
      <c r="B5" s="51"/>
      <c r="C5" s="52"/>
      <c r="D5" s="52"/>
      <c r="E5" s="52"/>
      <c r="F5" s="52"/>
      <c r="G5" s="52"/>
      <c r="H5" s="52"/>
      <c r="I5" s="52"/>
      <c r="J5" s="52"/>
      <c r="K5" s="52"/>
    </row>
    <row r="6" spans="1:14" x14ac:dyDescent="0.2">
      <c r="A6" s="10" t="s">
        <v>53</v>
      </c>
      <c r="B6" s="9" t="s">
        <v>94</v>
      </c>
      <c r="C6" s="9" t="s">
        <v>95</v>
      </c>
      <c r="D6" s="9" t="s">
        <v>96</v>
      </c>
      <c r="E6" s="9" t="str">
        <f>"0,5869"</f>
        <v>0,5869</v>
      </c>
      <c r="F6" s="9" t="s">
        <v>23</v>
      </c>
      <c r="G6" s="9" t="s">
        <v>24</v>
      </c>
      <c r="H6" s="16" t="s">
        <v>97</v>
      </c>
      <c r="I6" s="16" t="s">
        <v>98</v>
      </c>
      <c r="J6" s="16" t="s">
        <v>99</v>
      </c>
      <c r="K6" s="10"/>
      <c r="L6" s="10" t="str">
        <f>"130,0"</f>
        <v>130,0</v>
      </c>
      <c r="M6" s="10" t="str">
        <f>"76,2970"</f>
        <v>76,2970</v>
      </c>
      <c r="N6" s="9" t="s">
        <v>274</v>
      </c>
    </row>
    <row r="7" spans="1:14" x14ac:dyDescent="0.2">
      <c r="B7" s="5" t="s">
        <v>12</v>
      </c>
    </row>
    <row r="8" spans="1:14" ht="15" x14ac:dyDescent="0.2">
      <c r="A8" s="43" t="s">
        <v>33</v>
      </c>
      <c r="B8" s="43"/>
      <c r="C8" s="44"/>
      <c r="D8" s="44"/>
      <c r="E8" s="44"/>
      <c r="F8" s="44"/>
      <c r="G8" s="44"/>
      <c r="H8" s="44"/>
      <c r="I8" s="44"/>
      <c r="J8" s="44"/>
      <c r="K8" s="44"/>
    </row>
    <row r="9" spans="1:14" x14ac:dyDescent="0.2">
      <c r="A9" s="10" t="s">
        <v>53</v>
      </c>
      <c r="B9" s="9" t="s">
        <v>100</v>
      </c>
      <c r="C9" s="9" t="s">
        <v>101</v>
      </c>
      <c r="D9" s="9" t="s">
        <v>102</v>
      </c>
      <c r="E9" s="9" t="str">
        <f>"0,5619"</f>
        <v>0,5619</v>
      </c>
      <c r="F9" s="9" t="s">
        <v>23</v>
      </c>
      <c r="G9" s="9" t="s">
        <v>103</v>
      </c>
      <c r="H9" s="16" t="s">
        <v>104</v>
      </c>
      <c r="I9" s="16" t="s">
        <v>97</v>
      </c>
      <c r="J9" s="16" t="s">
        <v>105</v>
      </c>
      <c r="K9" s="10"/>
      <c r="L9" s="10" t="str">
        <f>"115,0"</f>
        <v>115,0</v>
      </c>
      <c r="M9" s="10" t="str">
        <f>"64,6185"</f>
        <v>64,6185</v>
      </c>
      <c r="N9" s="9" t="s">
        <v>274</v>
      </c>
    </row>
    <row r="10" spans="1:14" x14ac:dyDescent="0.2">
      <c r="B10" s="5" t="s">
        <v>12</v>
      </c>
    </row>
    <row r="11" spans="1:14" ht="15" x14ac:dyDescent="0.2">
      <c r="B11" s="5" t="s">
        <v>12</v>
      </c>
      <c r="F11" s="7"/>
    </row>
    <row r="12" spans="1:14" ht="15" x14ac:dyDescent="0.2">
      <c r="B12" s="5" t="s">
        <v>12</v>
      </c>
      <c r="F12" s="7"/>
    </row>
    <row r="13" spans="1:14" ht="15" x14ac:dyDescent="0.2">
      <c r="B13" s="5" t="s">
        <v>12</v>
      </c>
      <c r="F13" s="7"/>
    </row>
    <row r="14" spans="1:14" ht="15" x14ac:dyDescent="0.2">
      <c r="B14" s="5" t="s">
        <v>12</v>
      </c>
      <c r="F14" s="7"/>
    </row>
    <row r="15" spans="1:14" ht="15" x14ac:dyDescent="0.2">
      <c r="B15" s="5" t="s">
        <v>12</v>
      </c>
      <c r="F15" s="7"/>
    </row>
    <row r="16" spans="1:14" ht="15" x14ac:dyDescent="0.2">
      <c r="B16" s="5" t="s">
        <v>12</v>
      </c>
      <c r="F16" s="7"/>
    </row>
    <row r="17" spans="2:7" ht="15" x14ac:dyDescent="0.2">
      <c r="B17" s="5" t="s">
        <v>12</v>
      </c>
      <c r="F17" s="7"/>
    </row>
    <row r="18" spans="2:7" x14ac:dyDescent="0.2">
      <c r="B18" s="5" t="s">
        <v>12</v>
      </c>
    </row>
    <row r="19" spans="2:7" ht="18" x14ac:dyDescent="0.2">
      <c r="B19" s="5" t="s">
        <v>12</v>
      </c>
      <c r="C19" s="8"/>
      <c r="D19" s="8"/>
    </row>
    <row r="20" spans="2:7" ht="15" x14ac:dyDescent="0.2">
      <c r="B20" s="5" t="s">
        <v>12</v>
      </c>
      <c r="C20" s="12"/>
      <c r="D20" s="12"/>
    </row>
    <row r="21" spans="2:7" ht="14.25" x14ac:dyDescent="0.2">
      <c r="B21" s="5" t="s">
        <v>12</v>
      </c>
      <c r="C21" s="13"/>
      <c r="D21" s="14"/>
    </row>
    <row r="22" spans="2:7" ht="15" x14ac:dyDescent="0.2">
      <c r="B22" s="5" t="s">
        <v>12</v>
      </c>
      <c r="C22" s="1"/>
      <c r="D22" s="1"/>
      <c r="E22" s="1"/>
      <c r="F22" s="1"/>
      <c r="G22" s="1"/>
    </row>
    <row r="23" spans="2:7" x14ac:dyDescent="0.2">
      <c r="B23" s="5" t="s">
        <v>12</v>
      </c>
      <c r="E23" s="6"/>
      <c r="F23" s="6"/>
      <c r="G23" s="6"/>
    </row>
    <row r="24" spans="2:7" x14ac:dyDescent="0.2">
      <c r="B24" s="5" t="s">
        <v>12</v>
      </c>
      <c r="E24" s="6"/>
      <c r="F24" s="6"/>
      <c r="G24" s="6"/>
    </row>
    <row r="25" spans="2:7" x14ac:dyDescent="0.2">
      <c r="B25" s="5" t="s">
        <v>12</v>
      </c>
    </row>
  </sheetData>
  <mergeCells count="14">
    <mergeCell ref="A1:N2"/>
    <mergeCell ref="A3:A4"/>
    <mergeCell ref="C3:C4"/>
    <mergeCell ref="D3:D4"/>
    <mergeCell ref="E3:E4"/>
    <mergeCell ref="F3:F4"/>
    <mergeCell ref="G3:G4"/>
    <mergeCell ref="H3:K3"/>
    <mergeCell ref="A8:K8"/>
    <mergeCell ref="B3:B4"/>
    <mergeCell ref="L3:L4"/>
    <mergeCell ref="M3:M4"/>
    <mergeCell ref="N3:N4"/>
    <mergeCell ref="A5:K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workbookViewId="0">
      <selection activeCell="C35" sqref="C35"/>
    </sheetView>
  </sheetViews>
  <sheetFormatPr defaultRowHeight="12.75" x14ac:dyDescent="0.2"/>
  <cols>
    <col min="1" max="1" width="7.42578125" style="32" bestFit="1" customWidth="1"/>
    <col min="2" max="2" width="15.28515625" style="32" bestFit="1" customWidth="1"/>
    <col min="3" max="3" width="26.28515625" style="32" bestFit="1" customWidth="1"/>
    <col min="4" max="4" width="21.42578125" style="32" bestFit="1" customWidth="1"/>
    <col min="5" max="5" width="10.5703125" style="32" bestFit="1" customWidth="1"/>
    <col min="6" max="6" width="22.7109375" style="32" bestFit="1" customWidth="1"/>
    <col min="7" max="7" width="31.28515625" style="32" bestFit="1" customWidth="1"/>
    <col min="8" max="8" width="5" style="33" customWidth="1"/>
    <col min="9" max="9" width="10.42578125" style="33" customWidth="1"/>
    <col min="10" max="10" width="7.85546875" style="33" bestFit="1" customWidth="1"/>
    <col min="11" max="11" width="7.5703125" style="33" bestFit="1" customWidth="1"/>
    <col min="12" max="12" width="15.140625" style="32" bestFit="1" customWidth="1"/>
    <col min="13" max="16384" width="9.140625" style="31"/>
  </cols>
  <sheetData>
    <row r="1" spans="1:12" s="42" customFormat="1" ht="29.1" customHeight="1" x14ac:dyDescent="0.2">
      <c r="A1" s="64" t="s">
        <v>282</v>
      </c>
      <c r="B1" s="65"/>
      <c r="C1" s="66"/>
      <c r="D1" s="66"/>
      <c r="E1" s="66"/>
      <c r="F1" s="66"/>
      <c r="G1" s="66"/>
      <c r="H1" s="66"/>
      <c r="I1" s="66"/>
      <c r="J1" s="66"/>
      <c r="K1" s="66"/>
      <c r="L1" s="67"/>
    </row>
    <row r="2" spans="1:12" s="42" customFormat="1" ht="62.1" customHeight="1" thickBot="1" x14ac:dyDescent="0.25">
      <c r="A2" s="68"/>
      <c r="B2" s="69"/>
      <c r="C2" s="70"/>
      <c r="D2" s="70"/>
      <c r="E2" s="70"/>
      <c r="F2" s="70"/>
      <c r="G2" s="70"/>
      <c r="H2" s="70"/>
      <c r="I2" s="70"/>
      <c r="J2" s="70"/>
      <c r="K2" s="70"/>
      <c r="L2" s="71"/>
    </row>
    <row r="3" spans="1:12" s="34" customFormat="1" ht="12.75" customHeight="1" x14ac:dyDescent="0.2">
      <c r="A3" s="72" t="s">
        <v>13</v>
      </c>
      <c r="B3" s="79" t="s">
        <v>0</v>
      </c>
      <c r="C3" s="74" t="s">
        <v>6</v>
      </c>
      <c r="D3" s="74" t="s">
        <v>10</v>
      </c>
      <c r="E3" s="78" t="s">
        <v>281</v>
      </c>
      <c r="F3" s="78" t="s">
        <v>4</v>
      </c>
      <c r="G3" s="78" t="s">
        <v>7</v>
      </c>
      <c r="H3" s="78" t="s">
        <v>280</v>
      </c>
      <c r="I3" s="78"/>
      <c r="J3" s="78" t="s">
        <v>279</v>
      </c>
      <c r="K3" s="78" t="s">
        <v>3</v>
      </c>
      <c r="L3" s="76" t="s">
        <v>2</v>
      </c>
    </row>
    <row r="4" spans="1:12" s="34" customFormat="1" ht="21" customHeight="1" thickBot="1" x14ac:dyDescent="0.25">
      <c r="A4" s="73"/>
      <c r="B4" s="46"/>
      <c r="C4" s="75"/>
      <c r="D4" s="75"/>
      <c r="E4" s="75"/>
      <c r="F4" s="75"/>
      <c r="G4" s="75"/>
      <c r="H4" s="41" t="s">
        <v>8</v>
      </c>
      <c r="I4" s="41" t="s">
        <v>9</v>
      </c>
      <c r="J4" s="75"/>
      <c r="K4" s="75"/>
      <c r="L4" s="77"/>
    </row>
    <row r="5" spans="1:12" ht="15" x14ac:dyDescent="0.2">
      <c r="A5" s="52" t="s">
        <v>278</v>
      </c>
      <c r="B5" s="52"/>
      <c r="C5" s="52"/>
      <c r="D5" s="52"/>
      <c r="E5" s="52"/>
      <c r="F5" s="52"/>
      <c r="G5" s="52"/>
      <c r="H5" s="52"/>
      <c r="I5" s="52"/>
    </row>
    <row r="6" spans="1:12" x14ac:dyDescent="0.2">
      <c r="A6" s="40" t="s">
        <v>53</v>
      </c>
      <c r="B6" s="39" t="s">
        <v>157</v>
      </c>
      <c r="C6" s="39" t="s">
        <v>158</v>
      </c>
      <c r="D6" s="39" t="s">
        <v>156</v>
      </c>
      <c r="E6" s="39" t="str">
        <f>"1,0000"</f>
        <v>1,0000</v>
      </c>
      <c r="F6" s="39" t="s">
        <v>23</v>
      </c>
      <c r="G6" s="39" t="s">
        <v>159</v>
      </c>
      <c r="H6" s="40" t="s">
        <v>60</v>
      </c>
      <c r="I6" s="40" t="s">
        <v>66</v>
      </c>
      <c r="J6" s="40" t="str">
        <f>"3850,0"</f>
        <v>3850,0</v>
      </c>
      <c r="K6" s="40" t="str">
        <f>"39,0466"</f>
        <v>39,0466</v>
      </c>
      <c r="L6" s="39" t="s">
        <v>274</v>
      </c>
    </row>
    <row r="7" spans="1:12" x14ac:dyDescent="0.2">
      <c r="B7" s="32" t="s">
        <v>12</v>
      </c>
    </row>
    <row r="8" spans="1:12" ht="15" x14ac:dyDescent="0.2">
      <c r="B8" s="32" t="s">
        <v>12</v>
      </c>
      <c r="F8" s="38"/>
    </row>
    <row r="9" spans="1:12" ht="15" x14ac:dyDescent="0.2">
      <c r="B9" s="32" t="s">
        <v>12</v>
      </c>
      <c r="F9" s="38"/>
    </row>
    <row r="10" spans="1:12" ht="15" x14ac:dyDescent="0.2">
      <c r="B10" s="32" t="s">
        <v>12</v>
      </c>
      <c r="F10" s="38"/>
    </row>
    <row r="11" spans="1:12" ht="15" x14ac:dyDescent="0.2">
      <c r="B11" s="32" t="s">
        <v>12</v>
      </c>
      <c r="F11" s="38"/>
    </row>
    <row r="12" spans="1:12" ht="15" x14ac:dyDescent="0.2">
      <c r="B12" s="32" t="s">
        <v>12</v>
      </c>
      <c r="F12" s="38"/>
    </row>
    <row r="13" spans="1:12" ht="15" x14ac:dyDescent="0.2">
      <c r="B13" s="32" t="s">
        <v>12</v>
      </c>
      <c r="F13" s="38"/>
    </row>
    <row r="14" spans="1:12" ht="15" x14ac:dyDescent="0.2">
      <c r="B14" s="32" t="s">
        <v>12</v>
      </c>
      <c r="F14" s="38"/>
    </row>
    <row r="15" spans="1:12" x14ac:dyDescent="0.2">
      <c r="B15" s="32" t="s">
        <v>12</v>
      </c>
    </row>
    <row r="16" spans="1:12" ht="18" x14ac:dyDescent="0.2">
      <c r="B16" s="32" t="s">
        <v>12</v>
      </c>
      <c r="C16" s="37"/>
      <c r="D16" s="37"/>
    </row>
    <row r="17" spans="2:7" ht="15" x14ac:dyDescent="0.2">
      <c r="B17" s="32" t="s">
        <v>12</v>
      </c>
      <c r="C17" s="11"/>
      <c r="D17" s="11"/>
    </row>
    <row r="18" spans="2:7" ht="14.25" x14ac:dyDescent="0.2">
      <c r="B18" s="32" t="s">
        <v>12</v>
      </c>
      <c r="C18" s="36"/>
      <c r="D18" s="35"/>
    </row>
    <row r="19" spans="2:7" ht="15" x14ac:dyDescent="0.2">
      <c r="B19" s="32" t="s">
        <v>12</v>
      </c>
      <c r="C19" s="34"/>
      <c r="D19" s="34"/>
      <c r="E19" s="34"/>
      <c r="F19" s="34"/>
      <c r="G19" s="34"/>
    </row>
    <row r="20" spans="2:7" x14ac:dyDescent="0.2">
      <c r="B20" s="32" t="s">
        <v>12</v>
      </c>
      <c r="E20" s="33"/>
      <c r="F20" s="33"/>
      <c r="G20" s="33"/>
    </row>
    <row r="21" spans="2:7" x14ac:dyDescent="0.2">
      <c r="B21" s="32" t="s">
        <v>12</v>
      </c>
    </row>
  </sheetData>
  <mergeCells count="13">
    <mergeCell ref="A5:I5"/>
    <mergeCell ref="B3:B4"/>
    <mergeCell ref="E3:E4"/>
    <mergeCell ref="J3:J4"/>
    <mergeCell ref="K3:K4"/>
    <mergeCell ref="A1:L2"/>
    <mergeCell ref="A3:A4"/>
    <mergeCell ref="C3:C4"/>
    <mergeCell ref="D3:D4"/>
    <mergeCell ref="L3:L4"/>
    <mergeCell ref="G3:G4"/>
    <mergeCell ref="F3:F4"/>
    <mergeCell ref="H3:I3"/>
  </mergeCells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6"/>
  <sheetViews>
    <sheetView topLeftCell="C1" workbookViewId="0">
      <selection activeCell="E15" sqref="E15"/>
    </sheetView>
  </sheetViews>
  <sheetFormatPr defaultRowHeight="12.75" x14ac:dyDescent="0.2"/>
  <cols>
    <col min="1" max="1" width="25.85546875" style="32" bestFit="1" customWidth="1"/>
    <col min="2" max="2" width="27.85546875" style="32" customWidth="1"/>
    <col min="3" max="3" width="16.42578125" style="32" customWidth="1"/>
    <col min="4" max="4" width="6.5703125" style="32" bestFit="1" customWidth="1"/>
    <col min="5" max="5" width="23.7109375" style="32" bestFit="1" customWidth="1"/>
    <col min="6" max="6" width="21.140625" style="32" bestFit="1" customWidth="1"/>
    <col min="7" max="7" width="6.5703125" style="32" bestFit="1" customWidth="1"/>
    <col min="8" max="9" width="2.140625" style="32" bestFit="1" customWidth="1"/>
    <col min="10" max="10" width="4.85546875" style="32" bestFit="1" customWidth="1"/>
    <col min="11" max="13" width="2.140625" style="32" bestFit="1" customWidth="1"/>
    <col min="14" max="14" width="4.85546875" style="32" bestFit="1" customWidth="1"/>
    <col min="15" max="17" width="2.140625" style="32" bestFit="1" customWidth="1"/>
    <col min="18" max="18" width="4.85546875" style="32" bestFit="1" customWidth="1"/>
    <col min="19" max="19" width="5" style="32" bestFit="1" customWidth="1"/>
    <col min="20" max="20" width="10.42578125" style="32" bestFit="1" customWidth="1"/>
    <col min="21" max="21" width="5" style="32" bestFit="1" customWidth="1"/>
    <col min="22" max="22" width="10.42578125" style="32" bestFit="1" customWidth="1"/>
    <col min="23" max="23" width="7.85546875" style="33" bestFit="1" customWidth="1"/>
    <col min="24" max="24" width="8.5703125" style="33" bestFit="1" customWidth="1"/>
    <col min="25" max="25" width="23" style="32" bestFit="1" customWidth="1"/>
    <col min="26" max="16384" width="9.140625" style="31"/>
  </cols>
  <sheetData>
    <row r="1" spans="1:25" s="42" customFormat="1" ht="15" customHeight="1" x14ac:dyDescent="0.2">
      <c r="A1" s="64" t="s">
        <v>287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7"/>
    </row>
    <row r="2" spans="1:25" s="42" customFormat="1" ht="66" customHeight="1" thickBot="1" x14ac:dyDescent="0.25">
      <c r="A2" s="68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1"/>
    </row>
    <row r="3" spans="1:25" s="34" customFormat="1" ht="12.75" customHeight="1" x14ac:dyDescent="0.2">
      <c r="A3" s="72" t="s">
        <v>0</v>
      </c>
      <c r="B3" s="74" t="s">
        <v>6</v>
      </c>
      <c r="C3" s="74" t="s">
        <v>10</v>
      </c>
      <c r="D3" s="78" t="s">
        <v>286</v>
      </c>
      <c r="E3" s="78" t="s">
        <v>4</v>
      </c>
      <c r="F3" s="78" t="s">
        <v>7</v>
      </c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 t="s">
        <v>285</v>
      </c>
      <c r="T3" s="78"/>
      <c r="U3" s="78"/>
      <c r="V3" s="78"/>
      <c r="W3" s="78" t="s">
        <v>1</v>
      </c>
      <c r="X3" s="78" t="s">
        <v>3</v>
      </c>
      <c r="Y3" s="76" t="s">
        <v>2</v>
      </c>
    </row>
    <row r="4" spans="1:25" s="34" customFormat="1" ht="21" customHeight="1" thickBot="1" x14ac:dyDescent="0.25">
      <c r="A4" s="73"/>
      <c r="B4" s="75"/>
      <c r="C4" s="75"/>
      <c r="D4" s="75"/>
      <c r="E4" s="75"/>
      <c r="F4" s="75"/>
      <c r="G4" s="41">
        <v>1</v>
      </c>
      <c r="H4" s="41">
        <v>2</v>
      </c>
      <c r="I4" s="41">
        <v>3</v>
      </c>
      <c r="J4" s="41" t="s">
        <v>5</v>
      </c>
      <c r="K4" s="41">
        <v>1</v>
      </c>
      <c r="L4" s="41">
        <v>2</v>
      </c>
      <c r="M4" s="41">
        <v>3</v>
      </c>
      <c r="N4" s="41" t="s">
        <v>5</v>
      </c>
      <c r="O4" s="41">
        <v>1</v>
      </c>
      <c r="P4" s="41">
        <v>2</v>
      </c>
      <c r="Q4" s="41">
        <v>3</v>
      </c>
      <c r="R4" s="41" t="s">
        <v>5</v>
      </c>
      <c r="S4" s="41" t="s">
        <v>8</v>
      </c>
      <c r="T4" s="41" t="s">
        <v>9</v>
      </c>
      <c r="U4" s="41" t="s">
        <v>8</v>
      </c>
      <c r="V4" s="41" t="s">
        <v>9</v>
      </c>
      <c r="W4" s="75"/>
      <c r="X4" s="75"/>
      <c r="Y4" s="77"/>
    </row>
    <row r="5" spans="1:25" ht="15" x14ac:dyDescent="0.2">
      <c r="A5" s="52" t="s">
        <v>173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</row>
    <row r="6" spans="1:25" x14ac:dyDescent="0.2">
      <c r="A6" s="39" t="s">
        <v>284</v>
      </c>
      <c r="B6" s="39" t="s">
        <v>175</v>
      </c>
      <c r="C6" s="39" t="s">
        <v>176</v>
      </c>
      <c r="D6" s="39" t="str">
        <f>"0,7008"</f>
        <v>0,7008</v>
      </c>
      <c r="E6" s="39" t="s">
        <v>23</v>
      </c>
      <c r="F6" s="39" t="s">
        <v>24</v>
      </c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 t="s">
        <v>222</v>
      </c>
      <c r="T6" s="39" t="s">
        <v>62</v>
      </c>
      <c r="U6" s="39" t="s">
        <v>283</v>
      </c>
      <c r="V6" s="39"/>
      <c r="W6" s="40" t="str">
        <f>"3375,0"</f>
        <v>3375,0</v>
      </c>
      <c r="X6" s="40" t="str">
        <f>"2365,2000"</f>
        <v>2365,2000</v>
      </c>
      <c r="Y6" s="39" t="s">
        <v>274</v>
      </c>
    </row>
    <row r="8" spans="1:25" ht="15" x14ac:dyDescent="0.2">
      <c r="E8" s="38"/>
    </row>
    <row r="9" spans="1:25" ht="15" x14ac:dyDescent="0.2">
      <c r="E9" s="38"/>
    </row>
    <row r="10" spans="1:25" ht="15" x14ac:dyDescent="0.2">
      <c r="E10" s="38"/>
    </row>
    <row r="11" spans="1:25" ht="15" x14ac:dyDescent="0.2">
      <c r="E11" s="38"/>
    </row>
    <row r="12" spans="1:25" ht="15" x14ac:dyDescent="0.2">
      <c r="E12" s="38"/>
    </row>
    <row r="13" spans="1:25" ht="15" x14ac:dyDescent="0.2">
      <c r="E13" s="38"/>
    </row>
    <row r="14" spans="1:25" ht="15" x14ac:dyDescent="0.2">
      <c r="E14" s="38"/>
    </row>
    <row r="16" spans="1:25" ht="18" x14ac:dyDescent="0.2">
      <c r="A16" s="37"/>
      <c r="B16" s="37"/>
    </row>
  </sheetData>
  <mergeCells count="16">
    <mergeCell ref="A5:T5"/>
    <mergeCell ref="D3:D4"/>
    <mergeCell ref="W3:W4"/>
    <mergeCell ref="X3:X4"/>
    <mergeCell ref="A1:Y2"/>
    <mergeCell ref="G3:J3"/>
    <mergeCell ref="K3:N3"/>
    <mergeCell ref="O3:R3"/>
    <mergeCell ref="A3:A4"/>
    <mergeCell ref="B3:B4"/>
    <mergeCell ref="C3:C4"/>
    <mergeCell ref="Y3:Y4"/>
    <mergeCell ref="F3:F4"/>
    <mergeCell ref="E3:E4"/>
    <mergeCell ref="S3:T3"/>
    <mergeCell ref="U3:V3"/>
  </mergeCells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workbookViewId="0">
      <selection activeCell="C8" sqref="C8:I22"/>
    </sheetView>
  </sheetViews>
  <sheetFormatPr defaultRowHeight="12.75" x14ac:dyDescent="0.2"/>
  <cols>
    <col min="1" max="1" width="7.42578125" style="32" bestFit="1" customWidth="1"/>
    <col min="2" max="2" width="14.85546875" style="32" bestFit="1" customWidth="1"/>
    <col min="3" max="3" width="26.28515625" style="32" bestFit="1" customWidth="1"/>
    <col min="4" max="4" width="21.42578125" style="32" bestFit="1" customWidth="1"/>
    <col min="5" max="5" width="10.5703125" style="32" bestFit="1" customWidth="1"/>
    <col min="6" max="6" width="22.7109375" style="32" bestFit="1" customWidth="1"/>
    <col min="7" max="7" width="27.5703125" style="32" bestFit="1" customWidth="1"/>
    <col min="8" max="10" width="4.5703125" style="33" customWidth="1"/>
    <col min="11" max="11" width="4.85546875" style="33" customWidth="1"/>
    <col min="12" max="12" width="7.85546875" style="33" bestFit="1" customWidth="1"/>
    <col min="13" max="13" width="7.5703125" style="33" bestFit="1" customWidth="1"/>
    <col min="14" max="14" width="15.140625" style="32" bestFit="1" customWidth="1"/>
    <col min="15" max="16384" width="9.140625" style="31"/>
  </cols>
  <sheetData>
    <row r="1" spans="1:14" s="42" customFormat="1" ht="29.1" customHeight="1" x14ac:dyDescent="0.2">
      <c r="A1" s="64" t="s">
        <v>289</v>
      </c>
      <c r="B1" s="65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7"/>
    </row>
    <row r="2" spans="1:14" s="42" customFormat="1" ht="62.1" customHeight="1" thickBot="1" x14ac:dyDescent="0.25">
      <c r="A2" s="68"/>
      <c r="B2" s="69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1"/>
    </row>
    <row r="3" spans="1:14" s="34" customFormat="1" ht="12.75" customHeight="1" x14ac:dyDescent="0.2">
      <c r="A3" s="72" t="s">
        <v>13</v>
      </c>
      <c r="B3" s="79" t="s">
        <v>0</v>
      </c>
      <c r="C3" s="74" t="s">
        <v>6</v>
      </c>
      <c r="D3" s="74" t="s">
        <v>10</v>
      </c>
      <c r="E3" s="78" t="s">
        <v>15</v>
      </c>
      <c r="F3" s="78" t="s">
        <v>4</v>
      </c>
      <c r="G3" s="78" t="s">
        <v>7</v>
      </c>
      <c r="H3" s="78" t="s">
        <v>288</v>
      </c>
      <c r="I3" s="78"/>
      <c r="J3" s="78"/>
      <c r="K3" s="78"/>
      <c r="L3" s="78" t="s">
        <v>107</v>
      </c>
      <c r="M3" s="78" t="s">
        <v>3</v>
      </c>
      <c r="N3" s="76" t="s">
        <v>2</v>
      </c>
    </row>
    <row r="4" spans="1:14" s="34" customFormat="1" ht="21" customHeight="1" thickBot="1" x14ac:dyDescent="0.25">
      <c r="A4" s="73"/>
      <c r="B4" s="46"/>
      <c r="C4" s="75"/>
      <c r="D4" s="75"/>
      <c r="E4" s="75"/>
      <c r="F4" s="75"/>
      <c r="G4" s="75"/>
      <c r="H4" s="41">
        <v>1</v>
      </c>
      <c r="I4" s="41">
        <v>2</v>
      </c>
      <c r="J4" s="41">
        <v>3</v>
      </c>
      <c r="K4" s="41" t="s">
        <v>5</v>
      </c>
      <c r="L4" s="75"/>
      <c r="M4" s="75"/>
      <c r="N4" s="77"/>
    </row>
    <row r="5" spans="1:14" ht="15" x14ac:dyDescent="0.2">
      <c r="A5" s="52" t="s">
        <v>33</v>
      </c>
      <c r="B5" s="52"/>
      <c r="C5" s="52"/>
      <c r="D5" s="52"/>
      <c r="E5" s="52"/>
      <c r="F5" s="52"/>
      <c r="G5" s="52"/>
      <c r="H5" s="52"/>
      <c r="I5" s="52"/>
      <c r="J5" s="52"/>
      <c r="K5" s="52"/>
    </row>
    <row r="6" spans="1:14" x14ac:dyDescent="0.2">
      <c r="A6" s="40" t="s">
        <v>53</v>
      </c>
      <c r="B6" s="39" t="s">
        <v>148</v>
      </c>
      <c r="C6" s="39" t="s">
        <v>149</v>
      </c>
      <c r="D6" s="39" t="s">
        <v>150</v>
      </c>
      <c r="E6" s="39" t="str">
        <f>"0,5654"</f>
        <v>0,5654</v>
      </c>
      <c r="F6" s="39" t="s">
        <v>23</v>
      </c>
      <c r="G6" s="39" t="s">
        <v>151</v>
      </c>
      <c r="H6" s="16" t="s">
        <v>59</v>
      </c>
      <c r="I6" s="16" t="s">
        <v>61</v>
      </c>
      <c r="J6" s="16" t="s">
        <v>66</v>
      </c>
      <c r="K6" s="40"/>
      <c r="L6" s="40" t="str">
        <f>"70,0"</f>
        <v>70,0</v>
      </c>
      <c r="M6" s="40" t="str">
        <f>"39,5780"</f>
        <v>39,5780</v>
      </c>
      <c r="N6" s="39" t="s">
        <v>274</v>
      </c>
    </row>
    <row r="7" spans="1:14" x14ac:dyDescent="0.2">
      <c r="B7" s="32" t="s">
        <v>12</v>
      </c>
    </row>
    <row r="8" spans="1:14" ht="15" x14ac:dyDescent="0.2">
      <c r="B8" s="32" t="s">
        <v>12</v>
      </c>
      <c r="F8" s="38"/>
    </row>
    <row r="9" spans="1:14" ht="15" x14ac:dyDescent="0.2">
      <c r="B9" s="32" t="s">
        <v>12</v>
      </c>
      <c r="F9" s="38"/>
    </row>
    <row r="10" spans="1:14" ht="15" x14ac:dyDescent="0.2">
      <c r="B10" s="32" t="s">
        <v>12</v>
      </c>
      <c r="F10" s="38"/>
    </row>
    <row r="11" spans="1:14" ht="15" x14ac:dyDescent="0.2">
      <c r="B11" s="32" t="s">
        <v>12</v>
      </c>
      <c r="F11" s="38"/>
    </row>
    <row r="12" spans="1:14" ht="15" x14ac:dyDescent="0.2">
      <c r="B12" s="32" t="s">
        <v>12</v>
      </c>
      <c r="F12" s="38"/>
    </row>
    <row r="13" spans="1:14" ht="15" x14ac:dyDescent="0.2">
      <c r="B13" s="32" t="s">
        <v>12</v>
      </c>
      <c r="F13" s="38"/>
    </row>
    <row r="14" spans="1:14" ht="15" x14ac:dyDescent="0.2">
      <c r="B14" s="32" t="s">
        <v>12</v>
      </c>
      <c r="F14" s="38"/>
    </row>
    <row r="15" spans="1:14" x14ac:dyDescent="0.2">
      <c r="B15" s="32" t="s">
        <v>12</v>
      </c>
    </row>
    <row r="16" spans="1:14" ht="18" x14ac:dyDescent="0.2">
      <c r="B16" s="32" t="s">
        <v>12</v>
      </c>
      <c r="C16" s="37"/>
      <c r="D16" s="37"/>
    </row>
    <row r="17" spans="2:7" ht="15" x14ac:dyDescent="0.2">
      <c r="B17" s="32" t="s">
        <v>12</v>
      </c>
      <c r="C17" s="30"/>
      <c r="D17" s="30"/>
    </row>
    <row r="18" spans="2:7" ht="14.25" x14ac:dyDescent="0.2">
      <c r="B18" s="32" t="s">
        <v>12</v>
      </c>
      <c r="C18" s="36"/>
      <c r="D18" s="35"/>
    </row>
    <row r="19" spans="2:7" ht="15" x14ac:dyDescent="0.2">
      <c r="B19" s="32" t="s">
        <v>12</v>
      </c>
      <c r="C19" s="34"/>
      <c r="D19" s="34"/>
      <c r="E19" s="34"/>
      <c r="F19" s="34"/>
      <c r="G19" s="34"/>
    </row>
    <row r="20" spans="2:7" x14ac:dyDescent="0.2">
      <c r="B20" s="32" t="s">
        <v>12</v>
      </c>
      <c r="E20" s="33"/>
      <c r="F20" s="33"/>
      <c r="G20" s="33"/>
    </row>
    <row r="21" spans="2:7" x14ac:dyDescent="0.2">
      <c r="B21" s="32" t="s">
        <v>12</v>
      </c>
    </row>
  </sheetData>
  <mergeCells count="13">
    <mergeCell ref="N3:N4"/>
    <mergeCell ref="A5:K5"/>
    <mergeCell ref="B3:B4"/>
    <mergeCell ref="A1:N2"/>
    <mergeCell ref="A3:A4"/>
    <mergeCell ref="C3:C4"/>
    <mergeCell ref="D3:D4"/>
    <mergeCell ref="E3:E4"/>
    <mergeCell ref="F3:F4"/>
    <mergeCell ref="G3:G4"/>
    <mergeCell ref="H3:K3"/>
    <mergeCell ref="L3:L4"/>
    <mergeCell ref="M3:M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workbookViewId="0">
      <selection activeCell="N3" sqref="N3:N4"/>
    </sheetView>
  </sheetViews>
  <sheetFormatPr defaultRowHeight="12.75" x14ac:dyDescent="0.2"/>
  <cols>
    <col min="1" max="1" width="7.42578125" style="32" bestFit="1" customWidth="1"/>
    <col min="2" max="2" width="12" style="32" bestFit="1" customWidth="1"/>
    <col min="3" max="3" width="26.28515625" style="32" bestFit="1" customWidth="1"/>
    <col min="4" max="4" width="21.42578125" style="32" bestFit="1" customWidth="1"/>
    <col min="5" max="5" width="10.5703125" style="32" bestFit="1" customWidth="1"/>
    <col min="6" max="6" width="22.7109375" style="32" bestFit="1" customWidth="1"/>
    <col min="7" max="7" width="29.140625" style="32" bestFit="1" customWidth="1"/>
    <col min="8" max="10" width="4.5703125" style="33" customWidth="1"/>
    <col min="11" max="11" width="4.85546875" style="33" customWidth="1"/>
    <col min="12" max="12" width="7.85546875" style="33" bestFit="1" customWidth="1"/>
    <col min="13" max="13" width="7.5703125" style="33" bestFit="1" customWidth="1"/>
    <col min="14" max="14" width="15.140625" style="32" bestFit="1" customWidth="1"/>
    <col min="15" max="16384" width="9.140625" style="31"/>
  </cols>
  <sheetData>
    <row r="1" spans="1:14" s="42" customFormat="1" ht="29.1" customHeight="1" x14ac:dyDescent="0.2">
      <c r="A1" s="64" t="s">
        <v>293</v>
      </c>
      <c r="B1" s="65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7"/>
    </row>
    <row r="2" spans="1:14" s="42" customFormat="1" ht="62.1" customHeight="1" thickBot="1" x14ac:dyDescent="0.25">
      <c r="A2" s="68"/>
      <c r="B2" s="69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1"/>
    </row>
    <row r="3" spans="1:14" s="34" customFormat="1" ht="12.75" customHeight="1" x14ac:dyDescent="0.2">
      <c r="A3" s="72" t="s">
        <v>13</v>
      </c>
      <c r="B3" s="79" t="s">
        <v>0</v>
      </c>
      <c r="C3" s="74" t="s">
        <v>6</v>
      </c>
      <c r="D3" s="74" t="s">
        <v>10</v>
      </c>
      <c r="E3" s="78" t="s">
        <v>15</v>
      </c>
      <c r="F3" s="78" t="s">
        <v>4</v>
      </c>
      <c r="G3" s="78" t="s">
        <v>7</v>
      </c>
      <c r="H3" s="78" t="s">
        <v>292</v>
      </c>
      <c r="I3" s="78"/>
      <c r="J3" s="78"/>
      <c r="K3" s="78"/>
      <c r="L3" s="78" t="s">
        <v>107</v>
      </c>
      <c r="M3" s="78" t="s">
        <v>3</v>
      </c>
      <c r="N3" s="76" t="s">
        <v>2</v>
      </c>
    </row>
    <row r="4" spans="1:14" s="34" customFormat="1" ht="21" customHeight="1" thickBot="1" x14ac:dyDescent="0.25">
      <c r="A4" s="73"/>
      <c r="B4" s="46"/>
      <c r="C4" s="75"/>
      <c r="D4" s="75"/>
      <c r="E4" s="75"/>
      <c r="F4" s="75"/>
      <c r="G4" s="75"/>
      <c r="H4" s="41">
        <v>1</v>
      </c>
      <c r="I4" s="41">
        <v>2</v>
      </c>
      <c r="J4" s="41">
        <v>3</v>
      </c>
      <c r="K4" s="41" t="s">
        <v>5</v>
      </c>
      <c r="L4" s="75"/>
      <c r="M4" s="75"/>
      <c r="N4" s="77"/>
    </row>
    <row r="5" spans="1:14" ht="15" x14ac:dyDescent="0.2">
      <c r="A5" s="52" t="s">
        <v>33</v>
      </c>
      <c r="B5" s="52"/>
      <c r="C5" s="52"/>
      <c r="D5" s="52"/>
      <c r="E5" s="52"/>
      <c r="F5" s="52"/>
      <c r="G5" s="52"/>
      <c r="H5" s="52"/>
      <c r="I5" s="52"/>
      <c r="J5" s="52"/>
      <c r="K5" s="52"/>
    </row>
    <row r="6" spans="1:14" x14ac:dyDescent="0.2">
      <c r="A6" s="40" t="s">
        <v>53</v>
      </c>
      <c r="B6" s="39" t="s">
        <v>242</v>
      </c>
      <c r="C6" s="39" t="s">
        <v>243</v>
      </c>
      <c r="D6" s="39" t="s">
        <v>244</v>
      </c>
      <c r="E6" s="39" t="str">
        <f>"0,5605"</f>
        <v>0,5605</v>
      </c>
      <c r="F6" s="39" t="s">
        <v>23</v>
      </c>
      <c r="G6" s="39" t="s">
        <v>24</v>
      </c>
      <c r="H6" s="16" t="s">
        <v>291</v>
      </c>
      <c r="I6" s="16" t="s">
        <v>25</v>
      </c>
      <c r="J6" s="16" t="s">
        <v>290</v>
      </c>
      <c r="K6" s="40"/>
      <c r="L6" s="40" t="str">
        <f>"92,5"</f>
        <v>92,5</v>
      </c>
      <c r="M6" s="40" t="str">
        <f>"51,8463"</f>
        <v>51,8463</v>
      </c>
      <c r="N6" s="39" t="s">
        <v>274</v>
      </c>
    </row>
    <row r="7" spans="1:14" x14ac:dyDescent="0.2">
      <c r="B7" s="32" t="s">
        <v>12</v>
      </c>
    </row>
    <row r="8" spans="1:14" ht="15" x14ac:dyDescent="0.2">
      <c r="F8" s="38"/>
    </row>
    <row r="9" spans="1:14" ht="15" x14ac:dyDescent="0.2">
      <c r="F9" s="38"/>
    </row>
    <row r="10" spans="1:14" ht="15" x14ac:dyDescent="0.2">
      <c r="F10" s="38"/>
    </row>
    <row r="11" spans="1:14" ht="15" x14ac:dyDescent="0.2">
      <c r="F11" s="38"/>
    </row>
    <row r="12" spans="1:14" ht="15" x14ac:dyDescent="0.2">
      <c r="F12" s="38"/>
    </row>
    <row r="13" spans="1:14" ht="15" x14ac:dyDescent="0.2">
      <c r="F13" s="38"/>
    </row>
    <row r="14" spans="1:14" ht="15" x14ac:dyDescent="0.2">
      <c r="F14" s="38"/>
    </row>
    <row r="16" spans="1:14" ht="18" x14ac:dyDescent="0.2">
      <c r="C16" s="37"/>
      <c r="D16" s="37"/>
    </row>
    <row r="17" spans="3:7" ht="15" x14ac:dyDescent="0.2">
      <c r="C17" s="30"/>
      <c r="D17" s="30"/>
    </row>
    <row r="18" spans="3:7" ht="14.25" x14ac:dyDescent="0.2">
      <c r="C18" s="36"/>
      <c r="D18" s="35"/>
    </row>
    <row r="19" spans="3:7" ht="15" x14ac:dyDescent="0.2">
      <c r="C19" s="34"/>
      <c r="D19" s="34"/>
      <c r="E19" s="34"/>
      <c r="F19" s="34"/>
      <c r="G19" s="34"/>
    </row>
    <row r="20" spans="3:7" x14ac:dyDescent="0.2">
      <c r="E20" s="33"/>
      <c r="F20" s="33"/>
      <c r="G20" s="33"/>
    </row>
  </sheetData>
  <mergeCells count="13">
    <mergeCell ref="A1:N2"/>
    <mergeCell ref="H3:K3"/>
    <mergeCell ref="A3:A4"/>
    <mergeCell ref="C3:C4"/>
    <mergeCell ref="D3:D4"/>
    <mergeCell ref="N3:N4"/>
    <mergeCell ref="G3:G4"/>
    <mergeCell ref="F3:F4"/>
    <mergeCell ref="A5:K5"/>
    <mergeCell ref="B3:B4"/>
    <mergeCell ref="E3:E4"/>
    <mergeCell ref="L3:L4"/>
    <mergeCell ref="M3:M4"/>
  </mergeCells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topLeftCell="D1" workbookViewId="0">
      <selection activeCell="O19" sqref="O19"/>
    </sheetView>
  </sheetViews>
  <sheetFormatPr defaultRowHeight="12.75" x14ac:dyDescent="0.2"/>
  <cols>
    <col min="1" max="1" width="7.42578125" style="5" bestFit="1" customWidth="1"/>
    <col min="2" max="2" width="15.85546875" style="5" bestFit="1" customWidth="1"/>
    <col min="3" max="3" width="28.42578125" style="5" bestFit="1" customWidth="1"/>
    <col min="4" max="4" width="21.42578125" style="5" bestFit="1" customWidth="1"/>
    <col min="5" max="5" width="10.5703125" style="5" bestFit="1" customWidth="1"/>
    <col min="6" max="6" width="22.7109375" style="5" bestFit="1" customWidth="1"/>
    <col min="7" max="7" width="29.140625" style="5" bestFit="1" customWidth="1"/>
    <col min="8" max="10" width="5.5703125" style="6" customWidth="1"/>
    <col min="11" max="11" width="4.85546875" style="6" customWidth="1"/>
    <col min="12" max="14" width="5.5703125" style="6" customWidth="1"/>
    <col min="15" max="15" width="4.85546875" style="6" customWidth="1"/>
    <col min="16" max="18" width="5.5703125" style="6" customWidth="1"/>
    <col min="19" max="19" width="4.85546875" style="6" customWidth="1"/>
    <col min="20" max="20" width="7.85546875" style="6" bestFit="1" customWidth="1"/>
    <col min="21" max="21" width="8.5703125" style="6" bestFit="1" customWidth="1"/>
    <col min="22" max="22" width="15.140625" style="5" bestFit="1" customWidth="1"/>
    <col min="23" max="16384" width="9.140625" style="3"/>
  </cols>
  <sheetData>
    <row r="1" spans="1:22" s="2" customFormat="1" ht="29.1" customHeight="1" x14ac:dyDescent="0.2">
      <c r="A1" s="53" t="s">
        <v>54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6"/>
    </row>
    <row r="2" spans="1:22" s="2" customFormat="1" ht="62.1" customHeight="1" thickBot="1" x14ac:dyDescent="0.25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60"/>
    </row>
    <row r="3" spans="1:22" s="1" customFormat="1" ht="12.75" customHeight="1" x14ac:dyDescent="0.2">
      <c r="A3" s="61" t="s">
        <v>13</v>
      </c>
      <c r="B3" s="45" t="s">
        <v>0</v>
      </c>
      <c r="C3" s="63" t="s">
        <v>6</v>
      </c>
      <c r="D3" s="63" t="s">
        <v>10</v>
      </c>
      <c r="E3" s="47" t="s">
        <v>15</v>
      </c>
      <c r="F3" s="47" t="s">
        <v>4</v>
      </c>
      <c r="G3" s="47" t="s">
        <v>7</v>
      </c>
      <c r="H3" s="47" t="s">
        <v>16</v>
      </c>
      <c r="I3" s="47"/>
      <c r="J3" s="47"/>
      <c r="K3" s="47"/>
      <c r="L3" s="47" t="s">
        <v>17</v>
      </c>
      <c r="M3" s="47"/>
      <c r="N3" s="47"/>
      <c r="O3" s="47"/>
      <c r="P3" s="47" t="s">
        <v>18</v>
      </c>
      <c r="Q3" s="47"/>
      <c r="R3" s="47"/>
      <c r="S3" s="47"/>
      <c r="T3" s="47" t="s">
        <v>1</v>
      </c>
      <c r="U3" s="47" t="s">
        <v>3</v>
      </c>
      <c r="V3" s="49" t="s">
        <v>2</v>
      </c>
    </row>
    <row r="4" spans="1:22" s="1" customFormat="1" ht="21" customHeight="1" thickBot="1" x14ac:dyDescent="0.25">
      <c r="A4" s="62"/>
      <c r="B4" s="46"/>
      <c r="C4" s="48"/>
      <c r="D4" s="48"/>
      <c r="E4" s="48"/>
      <c r="F4" s="48"/>
      <c r="G4" s="48"/>
      <c r="H4" s="4">
        <v>1</v>
      </c>
      <c r="I4" s="4">
        <v>2</v>
      </c>
      <c r="J4" s="4">
        <v>3</v>
      </c>
      <c r="K4" s="4" t="s">
        <v>5</v>
      </c>
      <c r="L4" s="4">
        <v>1</v>
      </c>
      <c r="M4" s="4">
        <v>2</v>
      </c>
      <c r="N4" s="4">
        <v>3</v>
      </c>
      <c r="O4" s="4" t="s">
        <v>5</v>
      </c>
      <c r="P4" s="4">
        <v>1</v>
      </c>
      <c r="Q4" s="4">
        <v>2</v>
      </c>
      <c r="R4" s="4">
        <v>3</v>
      </c>
      <c r="S4" s="4" t="s">
        <v>5</v>
      </c>
      <c r="T4" s="48"/>
      <c r="U4" s="48"/>
      <c r="V4" s="50"/>
    </row>
    <row r="5" spans="1:22" ht="15" x14ac:dyDescent="0.2">
      <c r="A5" s="51" t="s">
        <v>55</v>
      </c>
      <c r="B5" s="51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</row>
    <row r="6" spans="1:22" x14ac:dyDescent="0.2">
      <c r="A6" s="10" t="s">
        <v>53</v>
      </c>
      <c r="B6" s="9" t="s">
        <v>56</v>
      </c>
      <c r="C6" s="9" t="s">
        <v>57</v>
      </c>
      <c r="D6" s="9" t="s">
        <v>58</v>
      </c>
      <c r="E6" s="9" t="str">
        <f>"0,9000"</f>
        <v>0,9000</v>
      </c>
      <c r="F6" s="9" t="s">
        <v>23</v>
      </c>
      <c r="G6" s="9" t="s">
        <v>24</v>
      </c>
      <c r="H6" s="16" t="s">
        <v>59</v>
      </c>
      <c r="I6" s="16" t="s">
        <v>60</v>
      </c>
      <c r="J6" s="16" t="s">
        <v>61</v>
      </c>
      <c r="K6" s="10"/>
      <c r="L6" s="16" t="s">
        <v>62</v>
      </c>
      <c r="M6" s="16" t="s">
        <v>63</v>
      </c>
      <c r="N6" s="16" t="s">
        <v>64</v>
      </c>
      <c r="O6" s="10"/>
      <c r="P6" s="16" t="s">
        <v>61</v>
      </c>
      <c r="Q6" s="16" t="s">
        <v>65</v>
      </c>
      <c r="R6" s="16" t="s">
        <v>66</v>
      </c>
      <c r="S6" s="10"/>
      <c r="T6" s="10" t="str">
        <f>"170,0"</f>
        <v>170,0</v>
      </c>
      <c r="U6" s="10" t="str">
        <f>"152,9915"</f>
        <v>152,9915</v>
      </c>
      <c r="V6" s="9" t="s">
        <v>67</v>
      </c>
    </row>
    <row r="7" spans="1:22" x14ac:dyDescent="0.2">
      <c r="B7" s="5" t="s">
        <v>12</v>
      </c>
    </row>
    <row r="8" spans="1:22" ht="15" x14ac:dyDescent="0.2">
      <c r="A8" s="43" t="s">
        <v>68</v>
      </c>
      <c r="B8" s="43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</row>
    <row r="9" spans="1:22" x14ac:dyDescent="0.2">
      <c r="A9" s="10" t="s">
        <v>53</v>
      </c>
      <c r="B9" s="9" t="s">
        <v>69</v>
      </c>
      <c r="C9" s="9" t="s">
        <v>70</v>
      </c>
      <c r="D9" s="9" t="s">
        <v>71</v>
      </c>
      <c r="E9" s="9" t="str">
        <f>"0,6867"</f>
        <v>0,6867</v>
      </c>
      <c r="F9" s="9" t="s">
        <v>23</v>
      </c>
      <c r="G9" s="9" t="s">
        <v>72</v>
      </c>
      <c r="H9" s="16" t="s">
        <v>43</v>
      </c>
      <c r="I9" s="16" t="s">
        <v>73</v>
      </c>
      <c r="J9" s="16" t="s">
        <v>74</v>
      </c>
      <c r="K9" s="10"/>
      <c r="L9" s="16" t="s">
        <v>75</v>
      </c>
      <c r="M9" s="16" t="s">
        <v>76</v>
      </c>
      <c r="N9" s="16" t="s">
        <v>77</v>
      </c>
      <c r="O9" s="10"/>
      <c r="P9" s="16" t="s">
        <v>78</v>
      </c>
      <c r="Q9" s="16" t="s">
        <v>79</v>
      </c>
      <c r="R9" s="16" t="s">
        <v>80</v>
      </c>
      <c r="S9" s="10"/>
      <c r="T9" s="10" t="str">
        <f>"590,0"</f>
        <v>590,0</v>
      </c>
      <c r="U9" s="10" t="str">
        <f>"417,3076"</f>
        <v>417,3076</v>
      </c>
      <c r="V9" s="9" t="s">
        <v>81</v>
      </c>
    </row>
    <row r="10" spans="1:22" x14ac:dyDescent="0.2">
      <c r="B10" s="5" t="s">
        <v>12</v>
      </c>
    </row>
    <row r="11" spans="1:22" ht="15" x14ac:dyDescent="0.2">
      <c r="A11" s="43" t="s">
        <v>33</v>
      </c>
      <c r="B11" s="43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</row>
    <row r="12" spans="1:22" x14ac:dyDescent="0.2">
      <c r="A12" s="10" t="s">
        <v>53</v>
      </c>
      <c r="B12" s="9" t="s">
        <v>82</v>
      </c>
      <c r="C12" s="9" t="s">
        <v>83</v>
      </c>
      <c r="D12" s="9" t="s">
        <v>84</v>
      </c>
      <c r="E12" s="9" t="str">
        <f>"0,5669"</f>
        <v>0,5669</v>
      </c>
      <c r="F12" s="9" t="s">
        <v>23</v>
      </c>
      <c r="G12" s="9" t="s">
        <v>24</v>
      </c>
      <c r="H12" s="16" t="s">
        <v>78</v>
      </c>
      <c r="I12" s="16" t="s">
        <v>79</v>
      </c>
      <c r="J12" s="16" t="s">
        <v>85</v>
      </c>
      <c r="K12" s="10"/>
      <c r="L12" s="16" t="s">
        <v>86</v>
      </c>
      <c r="M12" s="16" t="s">
        <v>87</v>
      </c>
      <c r="N12" s="16" t="s">
        <v>88</v>
      </c>
      <c r="O12" s="10"/>
      <c r="P12" s="16" t="s">
        <v>89</v>
      </c>
      <c r="Q12" s="16" t="s">
        <v>90</v>
      </c>
      <c r="R12" s="16" t="s">
        <v>91</v>
      </c>
      <c r="S12" s="10"/>
      <c r="T12" s="10" t="str">
        <f>"710,0"</f>
        <v>710,0</v>
      </c>
      <c r="U12" s="10" t="str">
        <f>"402,4990"</f>
        <v>402,4990</v>
      </c>
      <c r="V12" s="9" t="s">
        <v>274</v>
      </c>
    </row>
    <row r="13" spans="1:22" x14ac:dyDescent="0.2">
      <c r="B13" s="5" t="s">
        <v>12</v>
      </c>
    </row>
    <row r="14" spans="1:22" ht="15" x14ac:dyDescent="0.2">
      <c r="B14" s="5" t="s">
        <v>12</v>
      </c>
      <c r="F14" s="7"/>
    </row>
    <row r="15" spans="1:22" ht="15" x14ac:dyDescent="0.2">
      <c r="B15" s="5" t="s">
        <v>12</v>
      </c>
      <c r="F15" s="7"/>
    </row>
    <row r="16" spans="1:22" ht="15" x14ac:dyDescent="0.2">
      <c r="B16" s="5" t="s">
        <v>12</v>
      </c>
      <c r="F16" s="7"/>
    </row>
    <row r="17" spans="2:7" ht="15" x14ac:dyDescent="0.2">
      <c r="B17" s="5" t="s">
        <v>12</v>
      </c>
      <c r="F17" s="7"/>
    </row>
    <row r="18" spans="2:7" ht="15" x14ac:dyDescent="0.2">
      <c r="B18" s="5" t="s">
        <v>12</v>
      </c>
      <c r="F18" s="7"/>
    </row>
    <row r="19" spans="2:7" ht="15" x14ac:dyDescent="0.2">
      <c r="B19" s="5" t="s">
        <v>12</v>
      </c>
      <c r="F19" s="7"/>
    </row>
    <row r="20" spans="2:7" ht="15" x14ac:dyDescent="0.2">
      <c r="B20" s="5" t="s">
        <v>12</v>
      </c>
      <c r="F20" s="7"/>
    </row>
    <row r="21" spans="2:7" x14ac:dyDescent="0.2">
      <c r="B21" s="5" t="s">
        <v>12</v>
      </c>
    </row>
    <row r="22" spans="2:7" ht="18" x14ac:dyDescent="0.2">
      <c r="B22" s="5" t="s">
        <v>12</v>
      </c>
      <c r="C22" s="8"/>
      <c r="D22" s="8"/>
    </row>
    <row r="23" spans="2:7" ht="15" x14ac:dyDescent="0.2">
      <c r="B23" s="5" t="s">
        <v>12</v>
      </c>
      <c r="C23" s="12"/>
      <c r="D23" s="12"/>
    </row>
    <row r="24" spans="2:7" ht="14.25" x14ac:dyDescent="0.2">
      <c r="B24" s="5" t="s">
        <v>12</v>
      </c>
      <c r="C24" s="13"/>
      <c r="D24" s="14"/>
    </row>
    <row r="25" spans="2:7" ht="15" x14ac:dyDescent="0.2">
      <c r="B25" s="5" t="s">
        <v>12</v>
      </c>
      <c r="C25" s="1"/>
      <c r="D25" s="1"/>
      <c r="E25" s="1"/>
      <c r="F25" s="1"/>
      <c r="G25" s="1"/>
    </row>
    <row r="26" spans="2:7" x14ac:dyDescent="0.2">
      <c r="B26" s="5" t="s">
        <v>12</v>
      </c>
      <c r="E26" s="6"/>
      <c r="F26" s="6"/>
      <c r="G26" s="6"/>
    </row>
    <row r="27" spans="2:7" x14ac:dyDescent="0.2">
      <c r="B27" s="5" t="s">
        <v>12</v>
      </c>
    </row>
    <row r="28" spans="2:7" x14ac:dyDescent="0.2">
      <c r="B28" s="5" t="s">
        <v>12</v>
      </c>
    </row>
    <row r="29" spans="2:7" ht="15" x14ac:dyDescent="0.2">
      <c r="B29" s="5" t="s">
        <v>12</v>
      </c>
      <c r="C29" s="12"/>
      <c r="D29" s="12"/>
    </row>
    <row r="30" spans="2:7" ht="14.25" x14ac:dyDescent="0.2">
      <c r="B30" s="5" t="s">
        <v>12</v>
      </c>
      <c r="C30" s="13"/>
      <c r="D30" s="14"/>
    </row>
    <row r="31" spans="2:7" ht="15" x14ac:dyDescent="0.2">
      <c r="B31" s="5" t="s">
        <v>12</v>
      </c>
      <c r="C31" s="1"/>
      <c r="D31" s="1"/>
      <c r="E31" s="1"/>
      <c r="F31" s="1"/>
      <c r="G31" s="1"/>
    </row>
    <row r="32" spans="2:7" x14ac:dyDescent="0.2">
      <c r="B32" s="5" t="s">
        <v>12</v>
      </c>
      <c r="E32" s="6"/>
      <c r="F32" s="6"/>
      <c r="G32" s="6"/>
    </row>
    <row r="33" spans="2:7" x14ac:dyDescent="0.2">
      <c r="B33" s="5" t="s">
        <v>12</v>
      </c>
    </row>
    <row r="34" spans="2:7" ht="14.25" x14ac:dyDescent="0.2">
      <c r="B34" s="5" t="s">
        <v>12</v>
      </c>
      <c r="C34" s="13"/>
      <c r="D34" s="14"/>
    </row>
    <row r="35" spans="2:7" ht="15" x14ac:dyDescent="0.2">
      <c r="B35" s="5" t="s">
        <v>12</v>
      </c>
      <c r="C35" s="1"/>
      <c r="D35" s="1"/>
      <c r="E35" s="1"/>
      <c r="F35" s="1"/>
      <c r="G35" s="1"/>
    </row>
    <row r="36" spans="2:7" x14ac:dyDescent="0.2">
      <c r="B36" s="5" t="s">
        <v>12</v>
      </c>
      <c r="E36" s="6"/>
      <c r="F36" s="6"/>
      <c r="G36" s="6"/>
    </row>
    <row r="37" spans="2:7" x14ac:dyDescent="0.2">
      <c r="B37" s="5" t="s">
        <v>12</v>
      </c>
    </row>
  </sheetData>
  <mergeCells count="17">
    <mergeCell ref="V3:V4"/>
    <mergeCell ref="A5:S5"/>
    <mergeCell ref="A1:V2"/>
    <mergeCell ref="A3:A4"/>
    <mergeCell ref="C3:C4"/>
    <mergeCell ref="D3:D4"/>
    <mergeCell ref="E3:E4"/>
    <mergeCell ref="F3:F4"/>
    <mergeCell ref="G3:G4"/>
    <mergeCell ref="H3:K3"/>
    <mergeCell ref="L3:O3"/>
    <mergeCell ref="P3:S3"/>
    <mergeCell ref="A8:S8"/>
    <mergeCell ref="A11:S11"/>
    <mergeCell ref="B3:B4"/>
    <mergeCell ref="T3:T4"/>
    <mergeCell ref="U3:U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workbookViewId="0">
      <selection activeCell="C8" sqref="C8:H26"/>
    </sheetView>
  </sheetViews>
  <sheetFormatPr defaultRowHeight="12.75" x14ac:dyDescent="0.2"/>
  <cols>
    <col min="1" max="1" width="7.42578125" style="5" bestFit="1" customWidth="1"/>
    <col min="2" max="2" width="15.140625" style="5" bestFit="1" customWidth="1"/>
    <col min="3" max="3" width="28.5703125" style="5" bestFit="1" customWidth="1"/>
    <col min="4" max="4" width="21.42578125" style="5" bestFit="1" customWidth="1"/>
    <col min="5" max="5" width="10.5703125" style="5" bestFit="1" customWidth="1"/>
    <col min="6" max="6" width="22.7109375" style="5" bestFit="1" customWidth="1"/>
    <col min="7" max="7" width="29.140625" style="5" bestFit="1" customWidth="1"/>
    <col min="8" max="10" width="5.5703125" style="6" customWidth="1"/>
    <col min="11" max="11" width="4.85546875" style="6" customWidth="1"/>
    <col min="12" max="14" width="5.5703125" style="6" customWidth="1"/>
    <col min="15" max="15" width="4.85546875" style="6" customWidth="1"/>
    <col min="16" max="16" width="7.85546875" style="6" bestFit="1" customWidth="1"/>
    <col min="17" max="17" width="8.5703125" style="6" bestFit="1" customWidth="1"/>
    <col min="18" max="18" width="8.85546875" style="5" bestFit="1" customWidth="1"/>
    <col min="19" max="16384" width="9.140625" style="3"/>
  </cols>
  <sheetData>
    <row r="1" spans="1:18" s="2" customFormat="1" ht="29.1" customHeight="1" x14ac:dyDescent="0.2">
      <c r="A1" s="53" t="s">
        <v>273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6"/>
    </row>
    <row r="2" spans="1:18" s="2" customFormat="1" ht="62.1" customHeight="1" thickBot="1" x14ac:dyDescent="0.25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60"/>
    </row>
    <row r="3" spans="1:18" s="1" customFormat="1" ht="12.75" customHeight="1" x14ac:dyDescent="0.2">
      <c r="A3" s="61" t="s">
        <v>13</v>
      </c>
      <c r="B3" s="45" t="s">
        <v>0</v>
      </c>
      <c r="C3" s="63" t="s">
        <v>6</v>
      </c>
      <c r="D3" s="63" t="s">
        <v>10</v>
      </c>
      <c r="E3" s="47" t="s">
        <v>15</v>
      </c>
      <c r="F3" s="47" t="s">
        <v>4</v>
      </c>
      <c r="G3" s="47" t="s">
        <v>7</v>
      </c>
      <c r="H3" s="47" t="s">
        <v>17</v>
      </c>
      <c r="I3" s="47"/>
      <c r="J3" s="47"/>
      <c r="K3" s="47"/>
      <c r="L3" s="47" t="s">
        <v>18</v>
      </c>
      <c r="M3" s="47"/>
      <c r="N3" s="47"/>
      <c r="O3" s="47"/>
      <c r="P3" s="47" t="s">
        <v>1</v>
      </c>
      <c r="Q3" s="47" t="s">
        <v>3</v>
      </c>
      <c r="R3" s="49" t="s">
        <v>2</v>
      </c>
    </row>
    <row r="4" spans="1:18" s="1" customFormat="1" ht="21" customHeight="1" thickBot="1" x14ac:dyDescent="0.25">
      <c r="A4" s="62"/>
      <c r="B4" s="46"/>
      <c r="C4" s="48"/>
      <c r="D4" s="48"/>
      <c r="E4" s="48"/>
      <c r="F4" s="48"/>
      <c r="G4" s="48"/>
      <c r="H4" s="4">
        <v>1</v>
      </c>
      <c r="I4" s="4">
        <v>2</v>
      </c>
      <c r="J4" s="4">
        <v>3</v>
      </c>
      <c r="K4" s="4" t="s">
        <v>5</v>
      </c>
      <c r="L4" s="4">
        <v>1</v>
      </c>
      <c r="M4" s="4">
        <v>2</v>
      </c>
      <c r="N4" s="4">
        <v>3</v>
      </c>
      <c r="O4" s="4" t="s">
        <v>5</v>
      </c>
      <c r="P4" s="48"/>
      <c r="Q4" s="48"/>
      <c r="R4" s="50"/>
    </row>
    <row r="5" spans="1:18" ht="15" x14ac:dyDescent="0.2">
      <c r="A5" s="51" t="s">
        <v>93</v>
      </c>
      <c r="B5" s="51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1:18" x14ac:dyDescent="0.2">
      <c r="A6" s="10" t="s">
        <v>53</v>
      </c>
      <c r="B6" s="9" t="s">
        <v>238</v>
      </c>
      <c r="C6" s="9" t="s">
        <v>239</v>
      </c>
      <c r="D6" s="9" t="s">
        <v>240</v>
      </c>
      <c r="E6" s="9" t="str">
        <f>"0,5914"</f>
        <v>0,5914</v>
      </c>
      <c r="F6" s="9" t="s">
        <v>23</v>
      </c>
      <c r="G6" s="9" t="s">
        <v>24</v>
      </c>
      <c r="H6" s="16" t="s">
        <v>97</v>
      </c>
      <c r="I6" s="16" t="s">
        <v>163</v>
      </c>
      <c r="J6" s="16" t="s">
        <v>99</v>
      </c>
      <c r="K6" s="10"/>
      <c r="L6" s="16" t="s">
        <v>153</v>
      </c>
      <c r="M6" s="16" t="s">
        <v>43</v>
      </c>
      <c r="N6" s="16" t="s">
        <v>241</v>
      </c>
      <c r="O6" s="10"/>
      <c r="P6" s="10" t="str">
        <f>"350,0"</f>
        <v>350,0</v>
      </c>
      <c r="Q6" s="10" t="str">
        <f>"207,6110"</f>
        <v>207,6110</v>
      </c>
      <c r="R6" s="9" t="s">
        <v>32</v>
      </c>
    </row>
    <row r="7" spans="1:18" x14ac:dyDescent="0.2">
      <c r="B7" s="5" t="s">
        <v>12</v>
      </c>
    </row>
    <row r="8" spans="1:18" ht="15" x14ac:dyDescent="0.2">
      <c r="B8" s="5" t="s">
        <v>12</v>
      </c>
      <c r="F8" s="7"/>
    </row>
    <row r="9" spans="1:18" ht="15" x14ac:dyDescent="0.2">
      <c r="B9" s="5" t="s">
        <v>12</v>
      </c>
      <c r="F9" s="7"/>
    </row>
    <row r="10" spans="1:18" ht="15" x14ac:dyDescent="0.2">
      <c r="B10" s="5" t="s">
        <v>12</v>
      </c>
      <c r="F10" s="7"/>
    </row>
    <row r="11" spans="1:18" ht="15" x14ac:dyDescent="0.2">
      <c r="B11" s="5" t="s">
        <v>12</v>
      </c>
      <c r="F11" s="7"/>
    </row>
    <row r="12" spans="1:18" ht="15" x14ac:dyDescent="0.2">
      <c r="B12" s="5" t="s">
        <v>12</v>
      </c>
      <c r="F12" s="7"/>
    </row>
    <row r="13" spans="1:18" ht="15" x14ac:dyDescent="0.2">
      <c r="B13" s="5" t="s">
        <v>12</v>
      </c>
      <c r="F13" s="7"/>
    </row>
    <row r="14" spans="1:18" ht="15" x14ac:dyDescent="0.2">
      <c r="B14" s="5" t="s">
        <v>12</v>
      </c>
      <c r="F14" s="7"/>
    </row>
    <row r="15" spans="1:18" x14ac:dyDescent="0.2">
      <c r="B15" s="5" t="s">
        <v>12</v>
      </c>
    </row>
    <row r="16" spans="1:18" ht="18" x14ac:dyDescent="0.2">
      <c r="B16" s="5" t="s">
        <v>12</v>
      </c>
      <c r="C16" s="8"/>
      <c r="D16" s="8"/>
    </row>
    <row r="17" spans="2:7" ht="15" x14ac:dyDescent="0.2">
      <c r="B17" s="5" t="s">
        <v>12</v>
      </c>
      <c r="C17" s="12"/>
      <c r="D17" s="12"/>
    </row>
    <row r="18" spans="2:7" ht="14.25" x14ac:dyDescent="0.2">
      <c r="B18" s="5" t="s">
        <v>12</v>
      </c>
      <c r="C18" s="13"/>
      <c r="D18" s="14"/>
    </row>
    <row r="19" spans="2:7" ht="15" x14ac:dyDescent="0.2">
      <c r="B19" s="5" t="s">
        <v>12</v>
      </c>
      <c r="C19" s="1"/>
      <c r="D19" s="1"/>
      <c r="E19" s="1"/>
      <c r="F19" s="1"/>
      <c r="G19" s="1"/>
    </row>
    <row r="20" spans="2:7" x14ac:dyDescent="0.2">
      <c r="B20" s="5" t="s">
        <v>12</v>
      </c>
      <c r="E20" s="6"/>
      <c r="F20" s="6"/>
      <c r="G20" s="6"/>
    </row>
    <row r="21" spans="2:7" x14ac:dyDescent="0.2">
      <c r="B21" s="5" t="s">
        <v>12</v>
      </c>
    </row>
  </sheetData>
  <mergeCells count="14">
    <mergeCell ref="A5:O5"/>
    <mergeCell ref="B3:B4"/>
    <mergeCell ref="A1:R2"/>
    <mergeCell ref="A3:A4"/>
    <mergeCell ref="C3:C4"/>
    <mergeCell ref="D3:D4"/>
    <mergeCell ref="E3:E4"/>
    <mergeCell ref="F3:F4"/>
    <mergeCell ref="G3:G4"/>
    <mergeCell ref="H3:K3"/>
    <mergeCell ref="L3:O3"/>
    <mergeCell ref="P3:P4"/>
    <mergeCell ref="Q3:Q4"/>
    <mergeCell ref="R3:R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topLeftCell="B1" workbookViewId="0">
      <selection activeCell="N33" sqref="N33"/>
    </sheetView>
  </sheetViews>
  <sheetFormatPr defaultRowHeight="12.75" x14ac:dyDescent="0.2"/>
  <cols>
    <col min="1" max="1" width="7.42578125" style="5" bestFit="1" customWidth="1"/>
    <col min="2" max="2" width="19.28515625" style="5" bestFit="1" customWidth="1"/>
    <col min="3" max="3" width="28.5703125" style="5" bestFit="1" customWidth="1"/>
    <col min="4" max="4" width="21.42578125" style="5" bestFit="1" customWidth="1"/>
    <col min="5" max="5" width="10.5703125" style="5" bestFit="1" customWidth="1"/>
    <col min="6" max="6" width="22.7109375" style="5" bestFit="1" customWidth="1"/>
    <col min="7" max="7" width="29.140625" style="5" bestFit="1" customWidth="1"/>
    <col min="8" max="10" width="5.5703125" style="6" customWidth="1"/>
    <col min="11" max="11" width="4.85546875" style="6" customWidth="1"/>
    <col min="12" max="12" width="7.85546875" style="6" bestFit="1" customWidth="1"/>
    <col min="13" max="13" width="8.5703125" style="6" bestFit="1" customWidth="1"/>
    <col min="14" max="14" width="15.140625" style="5" bestFit="1" customWidth="1"/>
    <col min="15" max="16384" width="9.140625" style="3"/>
  </cols>
  <sheetData>
    <row r="1" spans="1:14" s="2" customFormat="1" ht="29.1" customHeight="1" x14ac:dyDescent="0.2">
      <c r="A1" s="53" t="s">
        <v>248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6"/>
    </row>
    <row r="2" spans="1:14" s="2" customFormat="1" ht="62.1" customHeight="1" thickBot="1" x14ac:dyDescent="0.25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60"/>
    </row>
    <row r="3" spans="1:14" s="1" customFormat="1" ht="12.75" customHeight="1" x14ac:dyDescent="0.2">
      <c r="A3" s="61" t="s">
        <v>13</v>
      </c>
      <c r="B3" s="45" t="s">
        <v>0</v>
      </c>
      <c r="C3" s="63" t="s">
        <v>6</v>
      </c>
      <c r="D3" s="63" t="s">
        <v>10</v>
      </c>
      <c r="E3" s="47" t="s">
        <v>15</v>
      </c>
      <c r="F3" s="47" t="s">
        <v>4</v>
      </c>
      <c r="G3" s="47" t="s">
        <v>7</v>
      </c>
      <c r="H3" s="47" t="s">
        <v>18</v>
      </c>
      <c r="I3" s="47"/>
      <c r="J3" s="47"/>
      <c r="K3" s="47"/>
      <c r="L3" s="47" t="s">
        <v>107</v>
      </c>
      <c r="M3" s="47" t="s">
        <v>3</v>
      </c>
      <c r="N3" s="49" t="s">
        <v>2</v>
      </c>
    </row>
    <row r="4" spans="1:14" s="1" customFormat="1" ht="21" customHeight="1" thickBot="1" x14ac:dyDescent="0.25">
      <c r="A4" s="62"/>
      <c r="B4" s="46"/>
      <c r="C4" s="48"/>
      <c r="D4" s="48"/>
      <c r="E4" s="48"/>
      <c r="F4" s="48"/>
      <c r="G4" s="48"/>
      <c r="H4" s="4">
        <v>1</v>
      </c>
      <c r="I4" s="4">
        <v>2</v>
      </c>
      <c r="J4" s="4">
        <v>3</v>
      </c>
      <c r="K4" s="4" t="s">
        <v>5</v>
      </c>
      <c r="L4" s="48"/>
      <c r="M4" s="48"/>
      <c r="N4" s="50"/>
    </row>
    <row r="5" spans="1:14" ht="15" x14ac:dyDescent="0.2">
      <c r="A5" s="51" t="s">
        <v>249</v>
      </c>
      <c r="B5" s="51"/>
      <c r="C5" s="52"/>
      <c r="D5" s="52"/>
      <c r="E5" s="52"/>
      <c r="F5" s="52"/>
      <c r="G5" s="52"/>
      <c r="H5" s="52"/>
      <c r="I5" s="52"/>
      <c r="J5" s="52"/>
      <c r="K5" s="52"/>
    </row>
    <row r="6" spans="1:14" x14ac:dyDescent="0.2">
      <c r="A6" s="10" t="s">
        <v>53</v>
      </c>
      <c r="B6" s="9" t="s">
        <v>250</v>
      </c>
      <c r="C6" s="9" t="s">
        <v>251</v>
      </c>
      <c r="D6" s="9" t="s">
        <v>252</v>
      </c>
      <c r="E6" s="9" t="str">
        <f>"1,1938"</f>
        <v>1,1938</v>
      </c>
      <c r="F6" s="9" t="s">
        <v>23</v>
      </c>
      <c r="G6" s="9" t="s">
        <v>24</v>
      </c>
      <c r="H6" s="16" t="s">
        <v>64</v>
      </c>
      <c r="I6" s="16" t="s">
        <v>253</v>
      </c>
      <c r="J6" s="16" t="s">
        <v>254</v>
      </c>
      <c r="K6" s="10"/>
      <c r="L6" s="10" t="str">
        <f>"52,5"</f>
        <v>52,5</v>
      </c>
      <c r="M6" s="10" t="str">
        <f>"77,0896"</f>
        <v>77,0896</v>
      </c>
      <c r="N6" s="9" t="s">
        <v>275</v>
      </c>
    </row>
    <row r="7" spans="1:14" x14ac:dyDescent="0.2">
      <c r="B7" s="5" t="s">
        <v>12</v>
      </c>
    </row>
    <row r="8" spans="1:14" ht="15" x14ac:dyDescent="0.2">
      <c r="A8" s="43" t="s">
        <v>55</v>
      </c>
      <c r="B8" s="43"/>
      <c r="C8" s="44"/>
      <c r="D8" s="44"/>
      <c r="E8" s="44"/>
      <c r="F8" s="44"/>
      <c r="G8" s="44"/>
      <c r="H8" s="44"/>
      <c r="I8" s="44"/>
      <c r="J8" s="44"/>
      <c r="K8" s="44"/>
    </row>
    <row r="9" spans="1:14" x14ac:dyDescent="0.2">
      <c r="A9" s="10" t="s">
        <v>53</v>
      </c>
      <c r="B9" s="9" t="s">
        <v>255</v>
      </c>
      <c r="C9" s="9" t="s">
        <v>256</v>
      </c>
      <c r="D9" s="9" t="s">
        <v>257</v>
      </c>
      <c r="E9" s="9" t="str">
        <f>"0,8680"</f>
        <v>0,8680</v>
      </c>
      <c r="F9" s="9" t="s">
        <v>23</v>
      </c>
      <c r="G9" s="9" t="s">
        <v>24</v>
      </c>
      <c r="H9" s="16" t="s">
        <v>60</v>
      </c>
      <c r="I9" s="16" t="s">
        <v>61</v>
      </c>
      <c r="J9" s="17" t="s">
        <v>66</v>
      </c>
      <c r="K9" s="10"/>
      <c r="L9" s="10" t="str">
        <f>"60,0"</f>
        <v>60,0</v>
      </c>
      <c r="M9" s="10" t="str">
        <f>"52,0800"</f>
        <v>52,0800</v>
      </c>
      <c r="N9" s="9" t="s">
        <v>276</v>
      </c>
    </row>
    <row r="10" spans="1:14" x14ac:dyDescent="0.2">
      <c r="B10" s="5" t="s">
        <v>12</v>
      </c>
    </row>
    <row r="11" spans="1:14" ht="15" x14ac:dyDescent="0.2">
      <c r="A11" s="43" t="s">
        <v>123</v>
      </c>
      <c r="B11" s="43"/>
      <c r="C11" s="44"/>
      <c r="D11" s="44"/>
      <c r="E11" s="44"/>
      <c r="F11" s="44"/>
      <c r="G11" s="44"/>
      <c r="H11" s="44"/>
      <c r="I11" s="44"/>
      <c r="J11" s="44"/>
      <c r="K11" s="44"/>
    </row>
    <row r="12" spans="1:14" x14ac:dyDescent="0.2">
      <c r="A12" s="19" t="s">
        <v>53</v>
      </c>
      <c r="B12" s="18" t="s">
        <v>258</v>
      </c>
      <c r="C12" s="18" t="s">
        <v>259</v>
      </c>
      <c r="D12" s="18" t="s">
        <v>260</v>
      </c>
      <c r="E12" s="18" t="str">
        <f>"0,6203"</f>
        <v>0,6203</v>
      </c>
      <c r="F12" s="18" t="s">
        <v>23</v>
      </c>
      <c r="G12" s="18" t="s">
        <v>24</v>
      </c>
      <c r="H12" s="24" t="s">
        <v>43</v>
      </c>
      <c r="I12" s="24" t="s">
        <v>241</v>
      </c>
      <c r="J12" s="24" t="s">
        <v>50</v>
      </c>
      <c r="K12" s="19"/>
      <c r="L12" s="19" t="str">
        <f>"240,0"</f>
        <v>240,0</v>
      </c>
      <c r="M12" s="19" t="str">
        <f>"151,8494"</f>
        <v>151,8494</v>
      </c>
      <c r="N12" s="18" t="s">
        <v>274</v>
      </c>
    </row>
    <row r="13" spans="1:14" x14ac:dyDescent="0.2">
      <c r="A13" s="21" t="s">
        <v>53</v>
      </c>
      <c r="B13" s="20" t="s">
        <v>261</v>
      </c>
      <c r="C13" s="20" t="s">
        <v>262</v>
      </c>
      <c r="D13" s="20" t="s">
        <v>263</v>
      </c>
      <c r="E13" s="20" t="str">
        <f>"0,6329"</f>
        <v>0,6329</v>
      </c>
      <c r="F13" s="20" t="s">
        <v>23</v>
      </c>
      <c r="G13" s="20" t="s">
        <v>24</v>
      </c>
      <c r="H13" s="25" t="s">
        <v>153</v>
      </c>
      <c r="I13" s="25" t="s">
        <v>172</v>
      </c>
      <c r="J13" s="25" t="s">
        <v>43</v>
      </c>
      <c r="K13" s="21"/>
      <c r="L13" s="21" t="str">
        <f>"200,0"</f>
        <v>200,0</v>
      </c>
      <c r="M13" s="21" t="str">
        <f>"126,5800"</f>
        <v>126,5800</v>
      </c>
      <c r="N13" s="20" t="s">
        <v>274</v>
      </c>
    </row>
    <row r="14" spans="1:14" x14ac:dyDescent="0.2">
      <c r="A14" s="23" t="s">
        <v>53</v>
      </c>
      <c r="B14" s="22" t="s">
        <v>264</v>
      </c>
      <c r="C14" s="22" t="s">
        <v>265</v>
      </c>
      <c r="D14" s="22" t="s">
        <v>126</v>
      </c>
      <c r="E14" s="22" t="str">
        <f>"0,6273"</f>
        <v>0,6273</v>
      </c>
      <c r="F14" s="22" t="s">
        <v>23</v>
      </c>
      <c r="G14" s="22" t="s">
        <v>24</v>
      </c>
      <c r="H14" s="29" t="s">
        <v>153</v>
      </c>
      <c r="I14" s="29" t="s">
        <v>172</v>
      </c>
      <c r="J14" s="29" t="s">
        <v>43</v>
      </c>
      <c r="K14" s="23"/>
      <c r="L14" s="23" t="str">
        <f>"200,0"</f>
        <v>200,0</v>
      </c>
      <c r="M14" s="23" t="str">
        <f>"151,6811"</f>
        <v>151,6811</v>
      </c>
      <c r="N14" s="22" t="s">
        <v>274</v>
      </c>
    </row>
    <row r="15" spans="1:14" x14ac:dyDescent="0.2">
      <c r="B15" s="5" t="s">
        <v>12</v>
      </c>
    </row>
    <row r="16" spans="1:14" ht="15" x14ac:dyDescent="0.2">
      <c r="A16" s="43" t="s">
        <v>93</v>
      </c>
      <c r="B16" s="43"/>
      <c r="C16" s="44"/>
      <c r="D16" s="44"/>
      <c r="E16" s="44"/>
      <c r="F16" s="44"/>
      <c r="G16" s="44"/>
      <c r="H16" s="44"/>
      <c r="I16" s="44"/>
      <c r="J16" s="44"/>
      <c r="K16" s="44"/>
    </row>
    <row r="17" spans="1:14" x14ac:dyDescent="0.2">
      <c r="A17" s="10" t="s">
        <v>53</v>
      </c>
      <c r="B17" s="9" t="s">
        <v>266</v>
      </c>
      <c r="C17" s="9" t="s">
        <v>267</v>
      </c>
      <c r="D17" s="9" t="s">
        <v>96</v>
      </c>
      <c r="E17" s="9" t="str">
        <f>"0,5869"</f>
        <v>0,5869</v>
      </c>
      <c r="F17" s="9" t="s">
        <v>23</v>
      </c>
      <c r="G17" s="9" t="s">
        <v>24</v>
      </c>
      <c r="H17" s="16" t="s">
        <v>153</v>
      </c>
      <c r="I17" s="16" t="s">
        <v>37</v>
      </c>
      <c r="J17" s="16" t="s">
        <v>209</v>
      </c>
      <c r="K17" s="10"/>
      <c r="L17" s="10" t="str">
        <f>"210,0"</f>
        <v>210,0</v>
      </c>
      <c r="M17" s="10" t="str">
        <f>"123,2490"</f>
        <v>123,2490</v>
      </c>
      <c r="N17" s="9" t="s">
        <v>274</v>
      </c>
    </row>
    <row r="18" spans="1:14" x14ac:dyDescent="0.2">
      <c r="B18" s="5" t="s">
        <v>12</v>
      </c>
    </row>
    <row r="19" spans="1:14" ht="15" x14ac:dyDescent="0.2">
      <c r="A19" s="43" t="s">
        <v>33</v>
      </c>
      <c r="B19" s="43"/>
      <c r="C19" s="44"/>
      <c r="D19" s="44"/>
      <c r="E19" s="44"/>
      <c r="F19" s="44"/>
      <c r="G19" s="44"/>
      <c r="H19" s="44"/>
      <c r="I19" s="44"/>
      <c r="J19" s="44"/>
      <c r="K19" s="44"/>
    </row>
    <row r="20" spans="1:14" x14ac:dyDescent="0.2">
      <c r="A20" s="10" t="s">
        <v>53</v>
      </c>
      <c r="B20" s="9" t="s">
        <v>82</v>
      </c>
      <c r="C20" s="9" t="s">
        <v>83</v>
      </c>
      <c r="D20" s="9" t="s">
        <v>84</v>
      </c>
      <c r="E20" s="9" t="str">
        <f>"0,5669"</f>
        <v>0,5669</v>
      </c>
      <c r="F20" s="9" t="s">
        <v>23</v>
      </c>
      <c r="G20" s="9" t="s">
        <v>24</v>
      </c>
      <c r="H20" s="16" t="s">
        <v>89</v>
      </c>
      <c r="I20" s="16" t="s">
        <v>90</v>
      </c>
      <c r="J20" s="16" t="s">
        <v>91</v>
      </c>
      <c r="K20" s="10"/>
      <c r="L20" s="10" t="str">
        <f>"285,0"</f>
        <v>285,0</v>
      </c>
      <c r="M20" s="10" t="str">
        <f>"161,5665"</f>
        <v>161,5665</v>
      </c>
      <c r="N20" s="9" t="s">
        <v>274</v>
      </c>
    </row>
    <row r="21" spans="1:14" x14ac:dyDescent="0.2">
      <c r="B21" s="5" t="s">
        <v>12</v>
      </c>
    </row>
    <row r="22" spans="1:14" ht="15" x14ac:dyDescent="0.2">
      <c r="A22" s="43" t="s">
        <v>173</v>
      </c>
      <c r="B22" s="43"/>
      <c r="C22" s="44"/>
      <c r="D22" s="44"/>
      <c r="E22" s="44"/>
      <c r="F22" s="44"/>
      <c r="G22" s="44"/>
      <c r="H22" s="44"/>
      <c r="I22" s="44"/>
      <c r="J22" s="44"/>
      <c r="K22" s="44"/>
    </row>
    <row r="23" spans="1:14" x14ac:dyDescent="0.2">
      <c r="A23" s="10" t="s">
        <v>53</v>
      </c>
      <c r="B23" s="9" t="s">
        <v>268</v>
      </c>
      <c r="C23" s="9" t="s">
        <v>269</v>
      </c>
      <c r="D23" s="9" t="s">
        <v>270</v>
      </c>
      <c r="E23" s="9" t="str">
        <f>"0,5241"</f>
        <v>0,5241</v>
      </c>
      <c r="F23" s="9" t="s">
        <v>23</v>
      </c>
      <c r="G23" s="9" t="s">
        <v>24</v>
      </c>
      <c r="H23" s="16" t="s">
        <v>236</v>
      </c>
      <c r="I23" s="16" t="s">
        <v>271</v>
      </c>
      <c r="J23" s="17" t="s">
        <v>272</v>
      </c>
      <c r="K23" s="10"/>
      <c r="L23" s="10" t="str">
        <f>"290,0"</f>
        <v>290,0</v>
      </c>
      <c r="M23" s="10" t="str">
        <f>"151,9890"</f>
        <v>151,9890</v>
      </c>
      <c r="N23" s="9" t="s">
        <v>274</v>
      </c>
    </row>
    <row r="24" spans="1:14" x14ac:dyDescent="0.2">
      <c r="B24" s="5" t="s">
        <v>12</v>
      </c>
    </row>
    <row r="25" spans="1:14" ht="15" x14ac:dyDescent="0.2">
      <c r="F25" s="7"/>
    </row>
    <row r="26" spans="1:14" ht="15" x14ac:dyDescent="0.2">
      <c r="F26" s="7"/>
    </row>
    <row r="27" spans="1:14" ht="15" x14ac:dyDescent="0.2">
      <c r="F27" s="7"/>
    </row>
    <row r="28" spans="1:14" ht="15" x14ac:dyDescent="0.2">
      <c r="F28" s="7"/>
    </row>
    <row r="29" spans="1:14" ht="15" x14ac:dyDescent="0.2">
      <c r="F29" s="7"/>
    </row>
    <row r="30" spans="1:14" ht="15" x14ac:dyDescent="0.2">
      <c r="F30" s="7"/>
    </row>
    <row r="31" spans="1:14" ht="15" x14ac:dyDescent="0.2">
      <c r="F31" s="7"/>
    </row>
    <row r="33" spans="3:7" ht="18" x14ac:dyDescent="0.2">
      <c r="C33" s="8"/>
      <c r="D33" s="8"/>
    </row>
    <row r="34" spans="3:7" ht="15" x14ac:dyDescent="0.2">
      <c r="C34" s="12"/>
      <c r="D34" s="12"/>
    </row>
    <row r="35" spans="3:7" ht="14.25" x14ac:dyDescent="0.2">
      <c r="C35" s="13"/>
      <c r="D35" s="14"/>
    </row>
    <row r="36" spans="3:7" ht="15" x14ac:dyDescent="0.2">
      <c r="C36" s="1"/>
      <c r="D36" s="1"/>
      <c r="E36" s="1"/>
      <c r="F36" s="1"/>
      <c r="G36" s="1"/>
    </row>
    <row r="37" spans="3:7" x14ac:dyDescent="0.2">
      <c r="E37" s="6"/>
      <c r="F37" s="6"/>
      <c r="G37" s="6"/>
    </row>
    <row r="40" spans="3:7" ht="15" x14ac:dyDescent="0.2">
      <c r="C40" s="12"/>
      <c r="D40" s="12"/>
    </row>
    <row r="41" spans="3:7" ht="14.25" x14ac:dyDescent="0.2">
      <c r="C41" s="13"/>
      <c r="D41" s="14"/>
    </row>
    <row r="42" spans="3:7" ht="15" x14ac:dyDescent="0.2">
      <c r="C42" s="1"/>
      <c r="D42" s="1"/>
      <c r="E42" s="1"/>
      <c r="F42" s="1"/>
      <c r="G42" s="1"/>
    </row>
    <row r="43" spans="3:7" x14ac:dyDescent="0.2">
      <c r="E43" s="6"/>
      <c r="F43" s="6"/>
      <c r="G43" s="6"/>
    </row>
    <row r="45" spans="3:7" ht="14.25" x14ac:dyDescent="0.2">
      <c r="C45" s="13"/>
      <c r="D45" s="14"/>
    </row>
    <row r="46" spans="3:7" ht="15" x14ac:dyDescent="0.2">
      <c r="C46" s="1"/>
      <c r="D46" s="1"/>
      <c r="E46" s="1"/>
      <c r="F46" s="1"/>
      <c r="G46" s="1"/>
    </row>
    <row r="47" spans="3:7" x14ac:dyDescent="0.2">
      <c r="E47" s="6"/>
      <c r="F47" s="6"/>
      <c r="G47" s="6"/>
    </row>
    <row r="48" spans="3:7" x14ac:dyDescent="0.2">
      <c r="E48" s="6"/>
      <c r="F48" s="6"/>
      <c r="G48" s="6"/>
    </row>
    <row r="49" spans="3:7" x14ac:dyDescent="0.2">
      <c r="E49" s="6"/>
      <c r="F49" s="6"/>
      <c r="G49" s="6"/>
    </row>
    <row r="51" spans="3:7" ht="14.25" x14ac:dyDescent="0.2">
      <c r="C51" s="13"/>
      <c r="D51" s="14"/>
    </row>
    <row r="52" spans="3:7" ht="15" x14ac:dyDescent="0.2">
      <c r="C52" s="1"/>
      <c r="D52" s="1"/>
      <c r="E52" s="1"/>
      <c r="F52" s="1"/>
      <c r="G52" s="1"/>
    </row>
    <row r="53" spans="3:7" x14ac:dyDescent="0.2">
      <c r="E53" s="6"/>
      <c r="F53" s="6"/>
      <c r="G53" s="6"/>
    </row>
  </sheetData>
  <mergeCells count="18">
    <mergeCell ref="A1:N2"/>
    <mergeCell ref="A3:A4"/>
    <mergeCell ref="C3:C4"/>
    <mergeCell ref="D3:D4"/>
    <mergeCell ref="E3:E4"/>
    <mergeCell ref="F3:F4"/>
    <mergeCell ref="G3:G4"/>
    <mergeCell ref="H3:K3"/>
    <mergeCell ref="B3:B4"/>
    <mergeCell ref="L3:L4"/>
    <mergeCell ref="M3:M4"/>
    <mergeCell ref="N3:N4"/>
    <mergeCell ref="A22:K22"/>
    <mergeCell ref="A5:K5"/>
    <mergeCell ref="A8:K8"/>
    <mergeCell ref="A11:K11"/>
    <mergeCell ref="A16:K16"/>
    <mergeCell ref="A19:K1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topLeftCell="B1" workbookViewId="0">
      <selection activeCell="L25" sqref="L25"/>
    </sheetView>
  </sheetViews>
  <sheetFormatPr defaultRowHeight="12.75" x14ac:dyDescent="0.2"/>
  <cols>
    <col min="1" max="1" width="7.42578125" style="5" bestFit="1" customWidth="1"/>
    <col min="2" max="2" width="19.85546875" style="5" bestFit="1" customWidth="1"/>
    <col min="3" max="3" width="28.5703125" style="5" bestFit="1" customWidth="1"/>
    <col min="4" max="4" width="21.42578125" style="5" bestFit="1" customWidth="1"/>
    <col min="5" max="5" width="10.5703125" style="5" bestFit="1" customWidth="1"/>
    <col min="6" max="6" width="22.7109375" style="5" bestFit="1" customWidth="1"/>
    <col min="7" max="7" width="29.140625" style="5" bestFit="1" customWidth="1"/>
    <col min="8" max="10" width="5.5703125" style="6" customWidth="1"/>
    <col min="11" max="11" width="4.85546875" style="6" customWidth="1"/>
    <col min="12" max="12" width="7.85546875" style="6" bestFit="1" customWidth="1"/>
    <col min="13" max="13" width="8.5703125" style="6" bestFit="1" customWidth="1"/>
    <col min="14" max="14" width="15.140625" style="5" bestFit="1" customWidth="1"/>
    <col min="15" max="16384" width="9.140625" style="3"/>
  </cols>
  <sheetData>
    <row r="1" spans="1:14" s="2" customFormat="1" ht="29.1" customHeight="1" x14ac:dyDescent="0.2">
      <c r="A1" s="53" t="s">
        <v>221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6"/>
    </row>
    <row r="2" spans="1:14" s="2" customFormat="1" ht="62.1" customHeight="1" thickBot="1" x14ac:dyDescent="0.25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60"/>
    </row>
    <row r="3" spans="1:14" s="1" customFormat="1" ht="12.75" customHeight="1" x14ac:dyDescent="0.2">
      <c r="A3" s="61" t="s">
        <v>13</v>
      </c>
      <c r="B3" s="45" t="s">
        <v>0</v>
      </c>
      <c r="C3" s="63" t="s">
        <v>6</v>
      </c>
      <c r="D3" s="63" t="s">
        <v>10</v>
      </c>
      <c r="E3" s="47" t="s">
        <v>15</v>
      </c>
      <c r="F3" s="47" t="s">
        <v>4</v>
      </c>
      <c r="G3" s="47" t="s">
        <v>7</v>
      </c>
      <c r="H3" s="47" t="s">
        <v>18</v>
      </c>
      <c r="I3" s="47"/>
      <c r="J3" s="47"/>
      <c r="K3" s="47"/>
      <c r="L3" s="47" t="s">
        <v>107</v>
      </c>
      <c r="M3" s="47" t="s">
        <v>3</v>
      </c>
      <c r="N3" s="49" t="s">
        <v>2</v>
      </c>
    </row>
    <row r="4" spans="1:14" s="1" customFormat="1" ht="21" customHeight="1" thickBot="1" x14ac:dyDescent="0.25">
      <c r="A4" s="62"/>
      <c r="B4" s="46"/>
      <c r="C4" s="48"/>
      <c r="D4" s="48"/>
      <c r="E4" s="48"/>
      <c r="F4" s="48"/>
      <c r="G4" s="48"/>
      <c r="H4" s="4">
        <v>1</v>
      </c>
      <c r="I4" s="4">
        <v>2</v>
      </c>
      <c r="J4" s="4">
        <v>3</v>
      </c>
      <c r="K4" s="4" t="s">
        <v>5</v>
      </c>
      <c r="L4" s="48"/>
      <c r="M4" s="48"/>
      <c r="N4" s="50"/>
    </row>
    <row r="5" spans="1:14" ht="15" x14ac:dyDescent="0.2">
      <c r="A5" s="51" t="s">
        <v>55</v>
      </c>
      <c r="B5" s="51"/>
      <c r="C5" s="52"/>
      <c r="D5" s="52"/>
      <c r="E5" s="52"/>
      <c r="F5" s="52"/>
      <c r="G5" s="52"/>
      <c r="H5" s="52"/>
      <c r="I5" s="52"/>
      <c r="J5" s="52"/>
      <c r="K5" s="52"/>
    </row>
    <row r="6" spans="1:14" x14ac:dyDescent="0.2">
      <c r="A6" s="19" t="s">
        <v>53</v>
      </c>
      <c r="B6" s="18" t="s">
        <v>203</v>
      </c>
      <c r="C6" s="18" t="s">
        <v>204</v>
      </c>
      <c r="D6" s="18" t="s">
        <v>205</v>
      </c>
      <c r="E6" s="18" t="str">
        <f>"0,8707"</f>
        <v>0,8707</v>
      </c>
      <c r="F6" s="18" t="s">
        <v>23</v>
      </c>
      <c r="G6" s="18" t="s">
        <v>24</v>
      </c>
      <c r="H6" s="24" t="s">
        <v>30</v>
      </c>
      <c r="I6" s="24" t="s">
        <v>222</v>
      </c>
      <c r="J6" s="28" t="s">
        <v>99</v>
      </c>
      <c r="K6" s="19"/>
      <c r="L6" s="19" t="str">
        <f>"112,5"</f>
        <v>112,5</v>
      </c>
      <c r="M6" s="19" t="str">
        <f>"97,9538"</f>
        <v>97,9538</v>
      </c>
      <c r="N6" s="18" t="s">
        <v>274</v>
      </c>
    </row>
    <row r="7" spans="1:14" x14ac:dyDescent="0.2">
      <c r="A7" s="23" t="s">
        <v>182</v>
      </c>
      <c r="B7" s="22" t="s">
        <v>113</v>
      </c>
      <c r="C7" s="22" t="s">
        <v>114</v>
      </c>
      <c r="D7" s="22" t="s">
        <v>115</v>
      </c>
      <c r="E7" s="22" t="str">
        <f>"0,8820"</f>
        <v>0,8820</v>
      </c>
      <c r="F7" s="22" t="s">
        <v>23</v>
      </c>
      <c r="G7" s="22" t="s">
        <v>24</v>
      </c>
      <c r="H7" s="29" t="s">
        <v>26</v>
      </c>
      <c r="I7" s="29" t="s">
        <v>27</v>
      </c>
      <c r="J7" s="29" t="s">
        <v>104</v>
      </c>
      <c r="K7" s="23"/>
      <c r="L7" s="23" t="str">
        <f>"105,0"</f>
        <v>105,0</v>
      </c>
      <c r="M7" s="23" t="str">
        <f>"92,6048"</f>
        <v>92,6048</v>
      </c>
      <c r="N7" s="22" t="s">
        <v>274</v>
      </c>
    </row>
    <row r="8" spans="1:14" x14ac:dyDescent="0.2">
      <c r="B8" s="5" t="s">
        <v>12</v>
      </c>
    </row>
    <row r="9" spans="1:14" ht="15" x14ac:dyDescent="0.2">
      <c r="A9" s="43" t="s">
        <v>223</v>
      </c>
      <c r="B9" s="43"/>
      <c r="C9" s="44"/>
      <c r="D9" s="44"/>
      <c r="E9" s="44"/>
      <c r="F9" s="44"/>
      <c r="G9" s="44"/>
      <c r="H9" s="44"/>
      <c r="I9" s="44"/>
      <c r="J9" s="44"/>
      <c r="K9" s="44"/>
    </row>
    <row r="10" spans="1:14" x14ac:dyDescent="0.2">
      <c r="A10" s="10" t="s">
        <v>53</v>
      </c>
      <c r="B10" s="9" t="s">
        <v>224</v>
      </c>
      <c r="C10" s="9" t="s">
        <v>225</v>
      </c>
      <c r="D10" s="9" t="s">
        <v>226</v>
      </c>
      <c r="E10" s="9" t="str">
        <f>"0,6010"</f>
        <v>0,6010</v>
      </c>
      <c r="F10" s="9" t="s">
        <v>23</v>
      </c>
      <c r="G10" s="9" t="s">
        <v>24</v>
      </c>
      <c r="H10" s="16" t="s">
        <v>227</v>
      </c>
      <c r="I10" s="16" t="s">
        <v>26</v>
      </c>
      <c r="J10" s="17" t="s">
        <v>30</v>
      </c>
      <c r="K10" s="10"/>
      <c r="L10" s="10" t="str">
        <f>"90,0"</f>
        <v>90,0</v>
      </c>
      <c r="M10" s="10" t="str">
        <f>"54,0855"</f>
        <v>54,0855</v>
      </c>
      <c r="N10" s="9" t="s">
        <v>228</v>
      </c>
    </row>
    <row r="11" spans="1:14" x14ac:dyDescent="0.2">
      <c r="B11" s="5" t="s">
        <v>12</v>
      </c>
    </row>
    <row r="12" spans="1:14" ht="15" x14ac:dyDescent="0.2">
      <c r="A12" s="43" t="s">
        <v>229</v>
      </c>
      <c r="B12" s="43"/>
      <c r="C12" s="44"/>
      <c r="D12" s="44"/>
      <c r="E12" s="44"/>
      <c r="F12" s="44"/>
      <c r="G12" s="44"/>
      <c r="H12" s="44"/>
      <c r="I12" s="44"/>
      <c r="J12" s="44"/>
      <c r="K12" s="44"/>
    </row>
    <row r="13" spans="1:14" x14ac:dyDescent="0.2">
      <c r="A13" s="10" t="s">
        <v>53</v>
      </c>
      <c r="B13" s="9" t="s">
        <v>230</v>
      </c>
      <c r="C13" s="9" t="s">
        <v>231</v>
      </c>
      <c r="D13" s="9" t="s">
        <v>232</v>
      </c>
      <c r="E13" s="9" t="str">
        <f>"0,7278"</f>
        <v>0,7278</v>
      </c>
      <c r="F13" s="9" t="s">
        <v>23</v>
      </c>
      <c r="G13" s="9" t="s">
        <v>24</v>
      </c>
      <c r="H13" s="16" t="s">
        <v>86</v>
      </c>
      <c r="I13" s="16" t="s">
        <v>87</v>
      </c>
      <c r="J13" s="16" t="s">
        <v>153</v>
      </c>
      <c r="K13" s="10"/>
      <c r="L13" s="10" t="str">
        <f>"180,0"</f>
        <v>180,0</v>
      </c>
      <c r="M13" s="10" t="str">
        <f>"133,6241"</f>
        <v>133,6241</v>
      </c>
      <c r="N13" s="9" t="s">
        <v>274</v>
      </c>
    </row>
    <row r="14" spans="1:14" x14ac:dyDescent="0.2">
      <c r="B14" s="5" t="s">
        <v>12</v>
      </c>
    </row>
    <row r="15" spans="1:14" ht="15" x14ac:dyDescent="0.2">
      <c r="A15" s="43" t="s">
        <v>93</v>
      </c>
      <c r="B15" s="43"/>
      <c r="C15" s="44"/>
      <c r="D15" s="44"/>
      <c r="E15" s="44"/>
      <c r="F15" s="44"/>
      <c r="G15" s="44"/>
      <c r="H15" s="44"/>
      <c r="I15" s="44"/>
      <c r="J15" s="44"/>
      <c r="K15" s="44"/>
    </row>
    <row r="16" spans="1:14" x14ac:dyDescent="0.2">
      <c r="A16" s="19" t="s">
        <v>53</v>
      </c>
      <c r="B16" s="18" t="s">
        <v>233</v>
      </c>
      <c r="C16" s="18" t="s">
        <v>234</v>
      </c>
      <c r="D16" s="18" t="s">
        <v>235</v>
      </c>
      <c r="E16" s="18" t="str">
        <f>"0,5893"</f>
        <v>0,5893</v>
      </c>
      <c r="F16" s="18" t="s">
        <v>23</v>
      </c>
      <c r="G16" s="18" t="s">
        <v>24</v>
      </c>
      <c r="H16" s="24" t="s">
        <v>85</v>
      </c>
      <c r="I16" s="24" t="s">
        <v>236</v>
      </c>
      <c r="J16" s="28" t="s">
        <v>237</v>
      </c>
      <c r="K16" s="19"/>
      <c r="L16" s="19" t="str">
        <f>"270,0"</f>
        <v>270,0</v>
      </c>
      <c r="M16" s="19" t="str">
        <f>"159,1110"</f>
        <v>159,1110</v>
      </c>
      <c r="N16" s="18" t="s">
        <v>274</v>
      </c>
    </row>
    <row r="17" spans="1:14" x14ac:dyDescent="0.2">
      <c r="A17" s="23" t="s">
        <v>53</v>
      </c>
      <c r="B17" s="22" t="s">
        <v>238</v>
      </c>
      <c r="C17" s="22" t="s">
        <v>239</v>
      </c>
      <c r="D17" s="22" t="s">
        <v>240</v>
      </c>
      <c r="E17" s="22" t="str">
        <f>"0,5914"</f>
        <v>0,5914</v>
      </c>
      <c r="F17" s="22" t="s">
        <v>23</v>
      </c>
      <c r="G17" s="22" t="s">
        <v>24</v>
      </c>
      <c r="H17" s="29" t="s">
        <v>153</v>
      </c>
      <c r="I17" s="29" t="s">
        <v>43</v>
      </c>
      <c r="J17" s="29" t="s">
        <v>241</v>
      </c>
      <c r="K17" s="23"/>
      <c r="L17" s="23" t="str">
        <f>"220,0"</f>
        <v>220,0</v>
      </c>
      <c r="M17" s="23" t="str">
        <f>"130,4983"</f>
        <v>130,4983</v>
      </c>
      <c r="N17" s="22" t="s">
        <v>274</v>
      </c>
    </row>
    <row r="18" spans="1:14" x14ac:dyDescent="0.2">
      <c r="B18" s="5" t="s">
        <v>12</v>
      </c>
    </row>
    <row r="19" spans="1:14" ht="15" x14ac:dyDescent="0.2">
      <c r="A19" s="43" t="s">
        <v>33</v>
      </c>
      <c r="B19" s="43"/>
      <c r="C19" s="44"/>
      <c r="D19" s="44"/>
      <c r="E19" s="44"/>
      <c r="F19" s="44"/>
      <c r="G19" s="44"/>
      <c r="H19" s="44"/>
      <c r="I19" s="44"/>
      <c r="J19" s="44"/>
      <c r="K19" s="44"/>
    </row>
    <row r="20" spans="1:14" x14ac:dyDescent="0.2">
      <c r="A20" s="10" t="s">
        <v>53</v>
      </c>
      <c r="B20" s="9" t="s">
        <v>242</v>
      </c>
      <c r="C20" s="9" t="s">
        <v>243</v>
      </c>
      <c r="D20" s="9" t="s">
        <v>244</v>
      </c>
      <c r="E20" s="9" t="str">
        <f>"0,5605"</f>
        <v>0,5605</v>
      </c>
      <c r="F20" s="9" t="s">
        <v>23</v>
      </c>
      <c r="G20" s="9" t="s">
        <v>24</v>
      </c>
      <c r="H20" s="16" t="s">
        <v>43</v>
      </c>
      <c r="I20" s="16" t="s">
        <v>209</v>
      </c>
      <c r="J20" s="17" t="s">
        <v>78</v>
      </c>
      <c r="K20" s="10"/>
      <c r="L20" s="10" t="str">
        <f>"210,0"</f>
        <v>210,0</v>
      </c>
      <c r="M20" s="10" t="str">
        <f>"117,7050"</f>
        <v>117,7050</v>
      </c>
      <c r="N20" s="9" t="s">
        <v>274</v>
      </c>
    </row>
    <row r="21" spans="1:14" x14ac:dyDescent="0.2">
      <c r="B21" s="5" t="s">
        <v>12</v>
      </c>
    </row>
    <row r="22" spans="1:14" ht="15" x14ac:dyDescent="0.2">
      <c r="A22" s="43" t="s">
        <v>168</v>
      </c>
      <c r="B22" s="43"/>
      <c r="C22" s="44"/>
      <c r="D22" s="44"/>
      <c r="E22" s="44"/>
      <c r="F22" s="44"/>
      <c r="G22" s="44"/>
      <c r="H22" s="44"/>
      <c r="I22" s="44"/>
      <c r="J22" s="44"/>
      <c r="K22" s="44"/>
    </row>
    <row r="23" spans="1:14" x14ac:dyDescent="0.2">
      <c r="A23" s="10" t="s">
        <v>53</v>
      </c>
      <c r="B23" s="9" t="s">
        <v>245</v>
      </c>
      <c r="C23" s="9" t="s">
        <v>246</v>
      </c>
      <c r="D23" s="9" t="s">
        <v>247</v>
      </c>
      <c r="E23" s="9" t="str">
        <f>"0,5465"</f>
        <v>0,5465</v>
      </c>
      <c r="F23" s="9" t="s">
        <v>23</v>
      </c>
      <c r="G23" s="9" t="s">
        <v>24</v>
      </c>
      <c r="H23" s="16" t="s">
        <v>43</v>
      </c>
      <c r="I23" s="16" t="s">
        <v>39</v>
      </c>
      <c r="J23" s="16" t="s">
        <v>78</v>
      </c>
      <c r="K23" s="10"/>
      <c r="L23" s="10" t="str">
        <f>"225,0"</f>
        <v>225,0</v>
      </c>
      <c r="M23" s="10" t="str">
        <f>"124,1921"</f>
        <v>124,1921</v>
      </c>
      <c r="N23" s="9" t="s">
        <v>274</v>
      </c>
    </row>
    <row r="24" spans="1:14" x14ac:dyDescent="0.2">
      <c r="B24" s="5" t="s">
        <v>12</v>
      </c>
    </row>
    <row r="25" spans="1:14" ht="15" x14ac:dyDescent="0.2">
      <c r="B25" s="5" t="s">
        <v>12</v>
      </c>
      <c r="F25" s="7"/>
    </row>
    <row r="26" spans="1:14" ht="15" x14ac:dyDescent="0.2">
      <c r="B26" s="5" t="s">
        <v>12</v>
      </c>
      <c r="F26" s="7"/>
    </row>
    <row r="27" spans="1:14" ht="15" x14ac:dyDescent="0.2">
      <c r="B27" s="5" t="s">
        <v>12</v>
      </c>
      <c r="F27" s="7"/>
    </row>
    <row r="28" spans="1:14" ht="15" x14ac:dyDescent="0.2">
      <c r="B28" s="5" t="s">
        <v>12</v>
      </c>
      <c r="F28" s="7"/>
    </row>
    <row r="29" spans="1:14" ht="15" x14ac:dyDescent="0.2">
      <c r="B29" s="5" t="s">
        <v>12</v>
      </c>
      <c r="F29" s="7"/>
    </row>
    <row r="30" spans="1:14" ht="15" x14ac:dyDescent="0.2">
      <c r="B30" s="5" t="s">
        <v>12</v>
      </c>
      <c r="F30" s="7"/>
    </row>
    <row r="31" spans="1:14" ht="15" x14ac:dyDescent="0.2">
      <c r="B31" s="5" t="s">
        <v>12</v>
      </c>
      <c r="F31" s="7"/>
    </row>
    <row r="32" spans="1:14" x14ac:dyDescent="0.2">
      <c r="B32" s="5" t="s">
        <v>12</v>
      </c>
    </row>
    <row r="33" spans="2:7" ht="18" x14ac:dyDescent="0.2">
      <c r="B33" s="5" t="s">
        <v>12</v>
      </c>
      <c r="C33" s="8"/>
      <c r="D33" s="8"/>
    </row>
    <row r="34" spans="2:7" ht="15" x14ac:dyDescent="0.2">
      <c r="B34" s="5" t="s">
        <v>12</v>
      </c>
      <c r="C34" s="12"/>
      <c r="D34" s="12"/>
    </row>
    <row r="35" spans="2:7" ht="14.25" x14ac:dyDescent="0.2">
      <c r="B35" s="5" t="s">
        <v>12</v>
      </c>
      <c r="C35" s="13"/>
      <c r="D35" s="14"/>
    </row>
    <row r="36" spans="2:7" ht="15" x14ac:dyDescent="0.2">
      <c r="B36" s="5" t="s">
        <v>12</v>
      </c>
      <c r="C36" s="1"/>
      <c r="D36" s="1"/>
      <c r="E36" s="1"/>
      <c r="F36" s="1"/>
      <c r="G36" s="1"/>
    </row>
    <row r="37" spans="2:7" x14ac:dyDescent="0.2">
      <c r="B37" s="5" t="s">
        <v>12</v>
      </c>
      <c r="E37" s="6"/>
      <c r="F37" s="6"/>
      <c r="G37" s="6"/>
    </row>
    <row r="38" spans="2:7" x14ac:dyDescent="0.2">
      <c r="B38" s="5" t="s">
        <v>12</v>
      </c>
      <c r="E38" s="6"/>
      <c r="F38" s="6"/>
      <c r="G38" s="6"/>
    </row>
    <row r="39" spans="2:7" x14ac:dyDescent="0.2">
      <c r="B39" s="5" t="s">
        <v>12</v>
      </c>
      <c r="E39" s="6"/>
      <c r="F39" s="6"/>
      <c r="G39" s="6"/>
    </row>
    <row r="40" spans="2:7" x14ac:dyDescent="0.2">
      <c r="B40" s="5" t="s">
        <v>12</v>
      </c>
    </row>
    <row r="41" spans="2:7" x14ac:dyDescent="0.2">
      <c r="B41" s="5" t="s">
        <v>12</v>
      </c>
    </row>
    <row r="42" spans="2:7" ht="15" x14ac:dyDescent="0.2">
      <c r="B42" s="5" t="s">
        <v>12</v>
      </c>
      <c r="C42" s="12"/>
      <c r="D42" s="12"/>
    </row>
    <row r="43" spans="2:7" ht="14.25" x14ac:dyDescent="0.2">
      <c r="B43" s="5" t="s">
        <v>12</v>
      </c>
      <c r="C43" s="13"/>
      <c r="D43" s="14"/>
    </row>
    <row r="44" spans="2:7" ht="15" x14ac:dyDescent="0.2">
      <c r="B44" s="5" t="s">
        <v>12</v>
      </c>
      <c r="C44" s="1"/>
      <c r="D44" s="1"/>
      <c r="E44" s="1"/>
      <c r="F44" s="1"/>
      <c r="G44" s="1"/>
    </row>
    <row r="45" spans="2:7" x14ac:dyDescent="0.2">
      <c r="B45" s="5" t="s">
        <v>12</v>
      </c>
      <c r="E45" s="6"/>
      <c r="F45" s="6"/>
      <c r="G45" s="6"/>
    </row>
    <row r="46" spans="2:7" x14ac:dyDescent="0.2">
      <c r="B46" s="5" t="s">
        <v>12</v>
      </c>
      <c r="E46" s="6"/>
      <c r="F46" s="6"/>
      <c r="G46" s="6"/>
    </row>
    <row r="47" spans="2:7" x14ac:dyDescent="0.2">
      <c r="B47" s="5" t="s">
        <v>12</v>
      </c>
    </row>
    <row r="48" spans="2:7" ht="14.25" x14ac:dyDescent="0.2">
      <c r="B48" s="5" t="s">
        <v>12</v>
      </c>
      <c r="C48" s="13"/>
      <c r="D48" s="14"/>
    </row>
    <row r="49" spans="2:7" ht="15" x14ac:dyDescent="0.2">
      <c r="B49" s="5" t="s">
        <v>12</v>
      </c>
      <c r="C49" s="1"/>
      <c r="D49" s="1"/>
      <c r="E49" s="1"/>
      <c r="F49" s="1"/>
      <c r="G49" s="1"/>
    </row>
    <row r="50" spans="2:7" x14ac:dyDescent="0.2">
      <c r="B50" s="5" t="s">
        <v>12</v>
      </c>
      <c r="E50" s="6"/>
      <c r="F50" s="6"/>
      <c r="G50" s="6"/>
    </row>
    <row r="51" spans="2:7" x14ac:dyDescent="0.2">
      <c r="B51" s="5" t="s">
        <v>12</v>
      </c>
      <c r="E51" s="6"/>
      <c r="F51" s="6"/>
      <c r="G51" s="6"/>
    </row>
    <row r="52" spans="2:7" x14ac:dyDescent="0.2">
      <c r="B52" s="5" t="s">
        <v>12</v>
      </c>
    </row>
    <row r="53" spans="2:7" ht="14.25" x14ac:dyDescent="0.2">
      <c r="B53" s="5" t="s">
        <v>12</v>
      </c>
      <c r="C53" s="13"/>
      <c r="D53" s="14"/>
    </row>
    <row r="54" spans="2:7" ht="15" x14ac:dyDescent="0.2">
      <c r="B54" s="5" t="s">
        <v>12</v>
      </c>
      <c r="C54" s="1"/>
      <c r="D54" s="1"/>
      <c r="E54" s="1"/>
      <c r="F54" s="1"/>
      <c r="G54" s="1"/>
    </row>
    <row r="55" spans="2:7" x14ac:dyDescent="0.2">
      <c r="B55" s="5" t="s">
        <v>12</v>
      </c>
      <c r="E55" s="6"/>
      <c r="F55" s="6"/>
      <c r="G55" s="6"/>
    </row>
    <row r="56" spans="2:7" x14ac:dyDescent="0.2">
      <c r="B56" s="5" t="s">
        <v>12</v>
      </c>
    </row>
  </sheetData>
  <mergeCells count="18">
    <mergeCell ref="A1:N2"/>
    <mergeCell ref="A3:A4"/>
    <mergeCell ref="C3:C4"/>
    <mergeCell ref="D3:D4"/>
    <mergeCell ref="E3:E4"/>
    <mergeCell ref="F3:F4"/>
    <mergeCell ref="G3:G4"/>
    <mergeCell ref="H3:K3"/>
    <mergeCell ref="B3:B4"/>
    <mergeCell ref="L3:L4"/>
    <mergeCell ref="M3:M4"/>
    <mergeCell ref="N3:N4"/>
    <mergeCell ref="A22:K22"/>
    <mergeCell ref="A5:K5"/>
    <mergeCell ref="A9:K9"/>
    <mergeCell ref="A12:K12"/>
    <mergeCell ref="A15:K15"/>
    <mergeCell ref="A19:K1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workbookViewId="0">
      <selection activeCell="G14" sqref="G14"/>
    </sheetView>
  </sheetViews>
  <sheetFormatPr defaultRowHeight="12.75" x14ac:dyDescent="0.2"/>
  <cols>
    <col min="1" max="1" width="7.42578125" style="5" bestFit="1" customWidth="1"/>
    <col min="2" max="2" width="16" style="5" bestFit="1" customWidth="1"/>
    <col min="3" max="3" width="26.28515625" style="5" bestFit="1" customWidth="1"/>
    <col min="4" max="4" width="21.42578125" style="5" bestFit="1" customWidth="1"/>
    <col min="5" max="5" width="10.5703125" style="5" bestFit="1" customWidth="1"/>
    <col min="6" max="6" width="22.7109375" style="5" bestFit="1" customWidth="1"/>
    <col min="7" max="7" width="29.140625" style="5" bestFit="1" customWidth="1"/>
    <col min="8" max="10" width="5.5703125" style="6" customWidth="1"/>
    <col min="11" max="11" width="4.85546875" style="6" customWidth="1"/>
    <col min="12" max="12" width="7.85546875" style="6" bestFit="1" customWidth="1"/>
    <col min="13" max="13" width="8.5703125" style="6" bestFit="1" customWidth="1"/>
    <col min="14" max="14" width="15.140625" style="5" bestFit="1" customWidth="1"/>
    <col min="15" max="16384" width="9.140625" style="3"/>
  </cols>
  <sheetData>
    <row r="1" spans="1:14" s="2" customFormat="1" ht="29.1" customHeight="1" x14ac:dyDescent="0.2">
      <c r="A1" s="53" t="s">
        <v>217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6"/>
    </row>
    <row r="2" spans="1:14" s="2" customFormat="1" ht="62.1" customHeight="1" thickBot="1" x14ac:dyDescent="0.25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60"/>
    </row>
    <row r="3" spans="1:14" s="1" customFormat="1" ht="12.75" customHeight="1" x14ac:dyDescent="0.2">
      <c r="A3" s="61" t="s">
        <v>13</v>
      </c>
      <c r="B3" s="45" t="s">
        <v>0</v>
      </c>
      <c r="C3" s="63" t="s">
        <v>6</v>
      </c>
      <c r="D3" s="63" t="s">
        <v>10</v>
      </c>
      <c r="E3" s="47" t="s">
        <v>15</v>
      </c>
      <c r="F3" s="47" t="s">
        <v>4</v>
      </c>
      <c r="G3" s="47" t="s">
        <v>7</v>
      </c>
      <c r="H3" s="47" t="s">
        <v>17</v>
      </c>
      <c r="I3" s="47"/>
      <c r="J3" s="47"/>
      <c r="K3" s="47"/>
      <c r="L3" s="47" t="s">
        <v>107</v>
      </c>
      <c r="M3" s="47" t="s">
        <v>3</v>
      </c>
      <c r="N3" s="49" t="s">
        <v>2</v>
      </c>
    </row>
    <row r="4" spans="1:14" s="1" customFormat="1" ht="21" customHeight="1" thickBot="1" x14ac:dyDescent="0.25">
      <c r="A4" s="62"/>
      <c r="B4" s="46"/>
      <c r="C4" s="48"/>
      <c r="D4" s="48"/>
      <c r="E4" s="48"/>
      <c r="F4" s="48"/>
      <c r="G4" s="48"/>
      <c r="H4" s="4">
        <v>1</v>
      </c>
      <c r="I4" s="4">
        <v>2</v>
      </c>
      <c r="J4" s="4">
        <v>3</v>
      </c>
      <c r="K4" s="4" t="s">
        <v>5</v>
      </c>
      <c r="L4" s="48"/>
      <c r="M4" s="48"/>
      <c r="N4" s="50"/>
    </row>
    <row r="5" spans="1:14" ht="15" x14ac:dyDescent="0.2">
      <c r="A5" s="51" t="s">
        <v>123</v>
      </c>
      <c r="B5" s="51"/>
      <c r="C5" s="52"/>
      <c r="D5" s="52"/>
      <c r="E5" s="52"/>
      <c r="F5" s="52"/>
      <c r="G5" s="52"/>
      <c r="H5" s="52"/>
      <c r="I5" s="52"/>
      <c r="J5" s="52"/>
      <c r="K5" s="52"/>
    </row>
    <row r="6" spans="1:14" x14ac:dyDescent="0.2">
      <c r="A6" s="10" t="s">
        <v>53</v>
      </c>
      <c r="B6" s="9" t="s">
        <v>218</v>
      </c>
      <c r="C6" s="9" t="s">
        <v>219</v>
      </c>
      <c r="D6" s="9" t="s">
        <v>220</v>
      </c>
      <c r="E6" s="9" t="str">
        <f>"0,6193"</f>
        <v>0,6193</v>
      </c>
      <c r="F6" s="9" t="s">
        <v>23</v>
      </c>
      <c r="G6" s="9" t="s">
        <v>24</v>
      </c>
      <c r="H6" s="16" t="s">
        <v>50</v>
      </c>
      <c r="I6" s="16" t="s">
        <v>80</v>
      </c>
      <c r="J6" s="16" t="s">
        <v>85</v>
      </c>
      <c r="K6" s="10"/>
      <c r="L6" s="10" t="str">
        <f>"250,0"</f>
        <v>250,0</v>
      </c>
      <c r="M6" s="10" t="str">
        <f>"154,8250"</f>
        <v>154,8250</v>
      </c>
      <c r="N6" s="9" t="s">
        <v>274</v>
      </c>
    </row>
    <row r="7" spans="1:14" x14ac:dyDescent="0.2">
      <c r="B7" s="5" t="s">
        <v>12</v>
      </c>
    </row>
    <row r="8" spans="1:14" ht="15" x14ac:dyDescent="0.2">
      <c r="B8" s="5" t="s">
        <v>12</v>
      </c>
      <c r="F8" s="7"/>
    </row>
    <row r="9" spans="1:14" ht="15" x14ac:dyDescent="0.2">
      <c r="B9" s="5" t="s">
        <v>12</v>
      </c>
      <c r="F9" s="7"/>
    </row>
    <row r="10" spans="1:14" ht="15" x14ac:dyDescent="0.2">
      <c r="B10" s="5" t="s">
        <v>12</v>
      </c>
      <c r="F10" s="7"/>
    </row>
    <row r="11" spans="1:14" ht="15" x14ac:dyDescent="0.2">
      <c r="B11" s="5" t="s">
        <v>12</v>
      </c>
      <c r="F11" s="7"/>
    </row>
    <row r="12" spans="1:14" ht="15" x14ac:dyDescent="0.2">
      <c r="B12" s="5" t="s">
        <v>12</v>
      </c>
      <c r="F12" s="7"/>
    </row>
    <row r="13" spans="1:14" ht="15" x14ac:dyDescent="0.2">
      <c r="B13" s="5" t="s">
        <v>12</v>
      </c>
      <c r="F13" s="7"/>
    </row>
    <row r="14" spans="1:14" ht="15" x14ac:dyDescent="0.2">
      <c r="B14" s="5" t="s">
        <v>12</v>
      </c>
      <c r="F14" s="7"/>
    </row>
    <row r="15" spans="1:14" x14ac:dyDescent="0.2">
      <c r="B15" s="5" t="s">
        <v>12</v>
      </c>
    </row>
    <row r="16" spans="1:14" ht="18" x14ac:dyDescent="0.2">
      <c r="B16" s="5" t="s">
        <v>12</v>
      </c>
      <c r="C16" s="8"/>
      <c r="D16" s="8"/>
    </row>
    <row r="17" spans="2:7" ht="15" x14ac:dyDescent="0.2">
      <c r="B17" s="5" t="s">
        <v>12</v>
      </c>
      <c r="C17" s="12"/>
      <c r="D17" s="12"/>
    </row>
    <row r="18" spans="2:7" ht="14.25" x14ac:dyDescent="0.2">
      <c r="B18" s="5" t="s">
        <v>12</v>
      </c>
      <c r="C18" s="13"/>
      <c r="D18" s="14"/>
    </row>
    <row r="19" spans="2:7" ht="15" x14ac:dyDescent="0.2">
      <c r="B19" s="5" t="s">
        <v>12</v>
      </c>
      <c r="C19" s="1"/>
      <c r="D19" s="1"/>
      <c r="E19" s="1"/>
      <c r="F19" s="1"/>
      <c r="G19" s="1"/>
    </row>
    <row r="20" spans="2:7" x14ac:dyDescent="0.2">
      <c r="B20" s="5" t="s">
        <v>12</v>
      </c>
      <c r="E20" s="6"/>
      <c r="F20" s="6"/>
      <c r="G20" s="6"/>
    </row>
    <row r="21" spans="2:7" x14ac:dyDescent="0.2">
      <c r="B21" s="5" t="s">
        <v>12</v>
      </c>
    </row>
  </sheetData>
  <mergeCells count="13">
    <mergeCell ref="A5:K5"/>
    <mergeCell ref="B3:B4"/>
    <mergeCell ref="A1:N2"/>
    <mergeCell ref="A3:A4"/>
    <mergeCell ref="C3:C4"/>
    <mergeCell ref="D3:D4"/>
    <mergeCell ref="E3:E4"/>
    <mergeCell ref="F3:F4"/>
    <mergeCell ref="G3:G4"/>
    <mergeCell ref="H3:K3"/>
    <mergeCell ref="L3:L4"/>
    <mergeCell ref="M3:M4"/>
    <mergeCell ref="N3:N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H13" sqref="H13"/>
    </sheetView>
  </sheetViews>
  <sheetFormatPr defaultRowHeight="12.75" x14ac:dyDescent="0.2"/>
  <cols>
    <col min="1" max="1" width="7.42578125" style="5" bestFit="1" customWidth="1"/>
    <col min="2" max="2" width="16.28515625" style="5" bestFit="1" customWidth="1"/>
    <col min="3" max="3" width="26.28515625" style="5" bestFit="1" customWidth="1"/>
    <col min="4" max="4" width="21.42578125" style="5" bestFit="1" customWidth="1"/>
    <col min="5" max="5" width="10.5703125" style="5" bestFit="1" customWidth="1"/>
    <col min="6" max="6" width="22.7109375" style="5" bestFit="1" customWidth="1"/>
    <col min="7" max="7" width="34.5703125" style="5" bestFit="1" customWidth="1"/>
    <col min="8" max="10" width="5.5703125" style="6" customWidth="1"/>
    <col min="11" max="11" width="4.85546875" style="6" customWidth="1"/>
    <col min="12" max="12" width="7.85546875" style="6" bestFit="1" customWidth="1"/>
    <col min="13" max="13" width="8.5703125" style="6" bestFit="1" customWidth="1"/>
    <col min="14" max="14" width="15.140625" style="5" bestFit="1" customWidth="1"/>
    <col min="15" max="16384" width="9.140625" style="3"/>
  </cols>
  <sheetData>
    <row r="1" spans="1:14" s="2" customFormat="1" ht="29.1" customHeight="1" x14ac:dyDescent="0.2">
      <c r="A1" s="53" t="s">
        <v>208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6"/>
    </row>
    <row r="2" spans="1:14" s="2" customFormat="1" ht="62.1" customHeight="1" thickBot="1" x14ac:dyDescent="0.25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60"/>
    </row>
    <row r="3" spans="1:14" s="1" customFormat="1" ht="12.75" customHeight="1" x14ac:dyDescent="0.2">
      <c r="A3" s="61" t="s">
        <v>13</v>
      </c>
      <c r="B3" s="45" t="s">
        <v>0</v>
      </c>
      <c r="C3" s="63" t="s">
        <v>6</v>
      </c>
      <c r="D3" s="63" t="s">
        <v>10</v>
      </c>
      <c r="E3" s="47" t="s">
        <v>15</v>
      </c>
      <c r="F3" s="47" t="s">
        <v>4</v>
      </c>
      <c r="G3" s="47" t="s">
        <v>7</v>
      </c>
      <c r="H3" s="47" t="s">
        <v>17</v>
      </c>
      <c r="I3" s="47"/>
      <c r="J3" s="47"/>
      <c r="K3" s="47"/>
      <c r="L3" s="47" t="s">
        <v>107</v>
      </c>
      <c r="M3" s="47" t="s">
        <v>3</v>
      </c>
      <c r="N3" s="49" t="s">
        <v>2</v>
      </c>
    </row>
    <row r="4" spans="1:14" s="1" customFormat="1" ht="21" customHeight="1" thickBot="1" x14ac:dyDescent="0.25">
      <c r="A4" s="62"/>
      <c r="B4" s="46"/>
      <c r="C4" s="48"/>
      <c r="D4" s="48"/>
      <c r="E4" s="48"/>
      <c r="F4" s="48"/>
      <c r="G4" s="48"/>
      <c r="H4" s="4">
        <v>1</v>
      </c>
      <c r="I4" s="4">
        <v>2</v>
      </c>
      <c r="J4" s="4">
        <v>3</v>
      </c>
      <c r="K4" s="4" t="s">
        <v>5</v>
      </c>
      <c r="L4" s="48"/>
      <c r="M4" s="48"/>
      <c r="N4" s="50"/>
    </row>
    <row r="5" spans="1:14" ht="15" x14ac:dyDescent="0.2">
      <c r="A5" s="51" t="s">
        <v>33</v>
      </c>
      <c r="B5" s="51"/>
      <c r="C5" s="52"/>
      <c r="D5" s="52"/>
      <c r="E5" s="52"/>
      <c r="F5" s="52"/>
      <c r="G5" s="52"/>
      <c r="H5" s="52"/>
      <c r="I5" s="52"/>
      <c r="J5" s="52"/>
      <c r="K5" s="52"/>
    </row>
    <row r="6" spans="1:14" x14ac:dyDescent="0.2">
      <c r="A6" s="19" t="s">
        <v>53</v>
      </c>
      <c r="B6" s="18" t="s">
        <v>193</v>
      </c>
      <c r="C6" s="18" t="s">
        <v>194</v>
      </c>
      <c r="D6" s="18" t="s">
        <v>195</v>
      </c>
      <c r="E6" s="18" t="str">
        <f>"0,5691"</f>
        <v>0,5691</v>
      </c>
      <c r="F6" s="18" t="s">
        <v>23</v>
      </c>
      <c r="G6" s="18" t="s">
        <v>196</v>
      </c>
      <c r="H6" s="24" t="s">
        <v>209</v>
      </c>
      <c r="I6" s="28" t="s">
        <v>210</v>
      </c>
      <c r="J6" s="24" t="s">
        <v>210</v>
      </c>
      <c r="K6" s="19"/>
      <c r="L6" s="19" t="str">
        <f>"237,5"</f>
        <v>237,5</v>
      </c>
      <c r="M6" s="19" t="str">
        <f>"135,1613"</f>
        <v>135,1613</v>
      </c>
      <c r="N6" s="18" t="s">
        <v>274</v>
      </c>
    </row>
    <row r="7" spans="1:14" x14ac:dyDescent="0.2">
      <c r="A7" s="23" t="s">
        <v>183</v>
      </c>
      <c r="B7" s="22" t="s">
        <v>211</v>
      </c>
      <c r="C7" s="22" t="s">
        <v>212</v>
      </c>
      <c r="D7" s="22" t="s">
        <v>213</v>
      </c>
      <c r="E7" s="22" t="str">
        <f>"0,5553"</f>
        <v>0,5553</v>
      </c>
      <c r="F7" s="22" t="s">
        <v>23</v>
      </c>
      <c r="G7" s="22" t="s">
        <v>214</v>
      </c>
      <c r="H7" s="27" t="s">
        <v>215</v>
      </c>
      <c r="I7" s="27" t="s">
        <v>215</v>
      </c>
      <c r="J7" s="27" t="s">
        <v>215</v>
      </c>
      <c r="K7" s="23"/>
      <c r="L7" s="23" t="str">
        <f>"0.00"</f>
        <v>0.00</v>
      </c>
      <c r="M7" s="23" t="str">
        <f>"0,0000"</f>
        <v>0,0000</v>
      </c>
      <c r="N7" s="22" t="s">
        <v>216</v>
      </c>
    </row>
    <row r="8" spans="1:14" x14ac:dyDescent="0.2">
      <c r="B8" s="5" t="s">
        <v>12</v>
      </c>
    </row>
    <row r="9" spans="1:14" ht="15" x14ac:dyDescent="0.2">
      <c r="B9" s="5" t="s">
        <v>12</v>
      </c>
      <c r="F9" s="7"/>
    </row>
    <row r="10" spans="1:14" ht="15" x14ac:dyDescent="0.2">
      <c r="B10" s="5" t="s">
        <v>12</v>
      </c>
      <c r="F10" s="7"/>
    </row>
    <row r="11" spans="1:14" ht="15" x14ac:dyDescent="0.2">
      <c r="B11" s="5" t="s">
        <v>12</v>
      </c>
      <c r="F11" s="7"/>
    </row>
    <row r="12" spans="1:14" ht="15" x14ac:dyDescent="0.2">
      <c r="B12" s="5" t="s">
        <v>12</v>
      </c>
      <c r="F12" s="7"/>
    </row>
    <row r="13" spans="1:14" ht="15" x14ac:dyDescent="0.2">
      <c r="B13" s="5" t="s">
        <v>12</v>
      </c>
      <c r="F13" s="7"/>
    </row>
    <row r="14" spans="1:14" ht="15" x14ac:dyDescent="0.2">
      <c r="B14" s="5" t="s">
        <v>12</v>
      </c>
      <c r="F14" s="7"/>
    </row>
    <row r="15" spans="1:14" ht="15" x14ac:dyDescent="0.2">
      <c r="B15" s="5" t="s">
        <v>12</v>
      </c>
      <c r="F15" s="7"/>
    </row>
    <row r="16" spans="1:14" x14ac:dyDescent="0.2">
      <c r="B16" s="5" t="s">
        <v>12</v>
      </c>
    </row>
    <row r="17" spans="2:7" ht="18" x14ac:dyDescent="0.2">
      <c r="B17" s="5" t="s">
        <v>12</v>
      </c>
      <c r="C17" s="8"/>
      <c r="D17" s="8"/>
    </row>
    <row r="18" spans="2:7" ht="15" x14ac:dyDescent="0.2">
      <c r="B18" s="5" t="s">
        <v>12</v>
      </c>
      <c r="C18" s="12"/>
      <c r="D18" s="12"/>
    </row>
    <row r="19" spans="2:7" ht="14.25" x14ac:dyDescent="0.2">
      <c r="B19" s="5" t="s">
        <v>12</v>
      </c>
      <c r="C19" s="13"/>
      <c r="D19" s="14"/>
    </row>
    <row r="20" spans="2:7" ht="15" x14ac:dyDescent="0.2">
      <c r="B20" s="5" t="s">
        <v>12</v>
      </c>
      <c r="C20" s="1"/>
      <c r="D20" s="1"/>
      <c r="E20" s="1"/>
      <c r="F20" s="1"/>
      <c r="G20" s="1"/>
    </row>
    <row r="21" spans="2:7" x14ac:dyDescent="0.2">
      <c r="B21" s="5" t="s">
        <v>12</v>
      </c>
      <c r="E21" s="6"/>
      <c r="F21" s="6"/>
      <c r="G21" s="6"/>
    </row>
    <row r="22" spans="2:7" x14ac:dyDescent="0.2">
      <c r="B22" s="5" t="s">
        <v>12</v>
      </c>
    </row>
  </sheetData>
  <mergeCells count="13">
    <mergeCell ref="A5:K5"/>
    <mergeCell ref="B3:B4"/>
    <mergeCell ref="A1:N2"/>
    <mergeCell ref="A3:A4"/>
    <mergeCell ref="C3:C4"/>
    <mergeCell ref="D3:D4"/>
    <mergeCell ref="E3:E4"/>
    <mergeCell ref="F3:F4"/>
    <mergeCell ref="G3:G4"/>
    <mergeCell ref="H3:K3"/>
    <mergeCell ref="L3:L4"/>
    <mergeCell ref="M3:M4"/>
    <mergeCell ref="N3:N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>
      <selection activeCell="H15" sqref="H15"/>
    </sheetView>
  </sheetViews>
  <sheetFormatPr defaultRowHeight="12.75" x14ac:dyDescent="0.2"/>
  <cols>
    <col min="1" max="1" width="7.42578125" style="5" bestFit="1" customWidth="1"/>
    <col min="2" max="2" width="15.7109375" style="5" bestFit="1" customWidth="1"/>
    <col min="3" max="3" width="26.28515625" style="5" bestFit="1" customWidth="1"/>
    <col min="4" max="4" width="21.42578125" style="5" bestFit="1" customWidth="1"/>
    <col min="5" max="5" width="10.5703125" style="5" bestFit="1" customWidth="1"/>
    <col min="6" max="6" width="22.7109375" style="5" bestFit="1" customWidth="1"/>
    <col min="7" max="7" width="29.140625" style="5" bestFit="1" customWidth="1"/>
    <col min="8" max="10" width="5.5703125" style="6" customWidth="1"/>
    <col min="11" max="11" width="4.85546875" style="6" customWidth="1"/>
    <col min="12" max="12" width="7.85546875" style="6" bestFit="1" customWidth="1"/>
    <col min="13" max="13" width="8.5703125" style="6" bestFit="1" customWidth="1"/>
    <col min="14" max="14" width="15.140625" style="5" bestFit="1" customWidth="1"/>
    <col min="15" max="16384" width="9.140625" style="3"/>
  </cols>
  <sheetData>
    <row r="1" spans="1:14" s="2" customFormat="1" ht="29.1" customHeight="1" x14ac:dyDescent="0.2">
      <c r="A1" s="53" t="s">
        <v>202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6"/>
    </row>
    <row r="2" spans="1:14" s="2" customFormat="1" ht="62.1" customHeight="1" thickBot="1" x14ac:dyDescent="0.25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60"/>
    </row>
    <row r="3" spans="1:14" s="1" customFormat="1" ht="12.75" customHeight="1" x14ac:dyDescent="0.2">
      <c r="A3" s="61" t="s">
        <v>13</v>
      </c>
      <c r="B3" s="45" t="s">
        <v>0</v>
      </c>
      <c r="C3" s="63" t="s">
        <v>6</v>
      </c>
      <c r="D3" s="63" t="s">
        <v>10</v>
      </c>
      <c r="E3" s="47" t="s">
        <v>15</v>
      </c>
      <c r="F3" s="47" t="s">
        <v>4</v>
      </c>
      <c r="G3" s="47" t="s">
        <v>7</v>
      </c>
      <c r="H3" s="47" t="s">
        <v>17</v>
      </c>
      <c r="I3" s="47"/>
      <c r="J3" s="47"/>
      <c r="K3" s="47"/>
      <c r="L3" s="47" t="s">
        <v>107</v>
      </c>
      <c r="M3" s="47" t="s">
        <v>3</v>
      </c>
      <c r="N3" s="49" t="s">
        <v>2</v>
      </c>
    </row>
    <row r="4" spans="1:14" s="1" customFormat="1" ht="21" customHeight="1" thickBot="1" x14ac:dyDescent="0.25">
      <c r="A4" s="62"/>
      <c r="B4" s="46"/>
      <c r="C4" s="48"/>
      <c r="D4" s="48"/>
      <c r="E4" s="48"/>
      <c r="F4" s="48"/>
      <c r="G4" s="48"/>
      <c r="H4" s="4">
        <v>1</v>
      </c>
      <c r="I4" s="4">
        <v>2</v>
      </c>
      <c r="J4" s="4">
        <v>3</v>
      </c>
      <c r="K4" s="4" t="s">
        <v>5</v>
      </c>
      <c r="L4" s="48"/>
      <c r="M4" s="48"/>
      <c r="N4" s="50"/>
    </row>
    <row r="5" spans="1:14" ht="15" x14ac:dyDescent="0.2">
      <c r="A5" s="51" t="s">
        <v>55</v>
      </c>
      <c r="B5" s="51"/>
      <c r="C5" s="52"/>
      <c r="D5" s="52"/>
      <c r="E5" s="52"/>
      <c r="F5" s="52"/>
      <c r="G5" s="52"/>
      <c r="H5" s="52"/>
      <c r="I5" s="52"/>
      <c r="J5" s="52"/>
      <c r="K5" s="52"/>
    </row>
    <row r="6" spans="1:14" x14ac:dyDescent="0.2">
      <c r="A6" s="10" t="s">
        <v>53</v>
      </c>
      <c r="B6" s="9" t="s">
        <v>203</v>
      </c>
      <c r="C6" s="9" t="s">
        <v>204</v>
      </c>
      <c r="D6" s="9" t="s">
        <v>205</v>
      </c>
      <c r="E6" s="9" t="str">
        <f>"0,8707"</f>
        <v>0,8707</v>
      </c>
      <c r="F6" s="9" t="s">
        <v>23</v>
      </c>
      <c r="G6" s="9" t="s">
        <v>24</v>
      </c>
      <c r="H6" s="17" t="s">
        <v>61</v>
      </c>
      <c r="I6" s="16" t="s">
        <v>65</v>
      </c>
      <c r="J6" s="17" t="s">
        <v>206</v>
      </c>
      <c r="K6" s="10"/>
      <c r="L6" s="10" t="str">
        <f>"65,0"</f>
        <v>65,0</v>
      </c>
      <c r="M6" s="10" t="str">
        <f>"56,5955"</f>
        <v>56,5955</v>
      </c>
      <c r="N6" s="9" t="s">
        <v>274</v>
      </c>
    </row>
    <row r="7" spans="1:14" x14ac:dyDescent="0.2">
      <c r="B7" s="5" t="s">
        <v>12</v>
      </c>
    </row>
    <row r="8" spans="1:14" ht="15" x14ac:dyDescent="0.2">
      <c r="A8" s="43" t="s">
        <v>168</v>
      </c>
      <c r="B8" s="43"/>
      <c r="C8" s="44"/>
      <c r="D8" s="44"/>
      <c r="E8" s="44"/>
      <c r="F8" s="44"/>
      <c r="G8" s="44"/>
      <c r="H8" s="44"/>
      <c r="I8" s="44"/>
      <c r="J8" s="44"/>
      <c r="K8" s="44"/>
    </row>
    <row r="9" spans="1:14" x14ac:dyDescent="0.2">
      <c r="A9" s="10" t="s">
        <v>53</v>
      </c>
      <c r="B9" s="9" t="s">
        <v>169</v>
      </c>
      <c r="C9" s="9" t="s">
        <v>170</v>
      </c>
      <c r="D9" s="9" t="s">
        <v>171</v>
      </c>
      <c r="E9" s="9" t="str">
        <f>"0,5404"</f>
        <v>0,5404</v>
      </c>
      <c r="F9" s="9" t="s">
        <v>23</v>
      </c>
      <c r="G9" s="9" t="s">
        <v>24</v>
      </c>
      <c r="H9" s="16" t="s">
        <v>50</v>
      </c>
      <c r="I9" s="16" t="s">
        <v>89</v>
      </c>
      <c r="J9" s="16" t="s">
        <v>207</v>
      </c>
      <c r="K9" s="10"/>
      <c r="L9" s="10" t="str">
        <f>"265,0"</f>
        <v>265,0</v>
      </c>
      <c r="M9" s="10" t="str">
        <f>"143,2060"</f>
        <v>143,2060</v>
      </c>
      <c r="N9" s="9" t="s">
        <v>274</v>
      </c>
    </row>
    <row r="10" spans="1:14" x14ac:dyDescent="0.2">
      <c r="B10" s="5" t="s">
        <v>12</v>
      </c>
    </row>
    <row r="11" spans="1:14" ht="15" x14ac:dyDescent="0.2">
      <c r="B11" s="5" t="s">
        <v>12</v>
      </c>
      <c r="F11" s="7"/>
    </row>
    <row r="12" spans="1:14" ht="15" x14ac:dyDescent="0.2">
      <c r="B12" s="5" t="s">
        <v>12</v>
      </c>
      <c r="F12" s="7"/>
    </row>
    <row r="13" spans="1:14" ht="15" x14ac:dyDescent="0.2">
      <c r="B13" s="5" t="s">
        <v>12</v>
      </c>
      <c r="F13" s="7"/>
    </row>
    <row r="14" spans="1:14" ht="15" x14ac:dyDescent="0.2">
      <c r="B14" s="5" t="s">
        <v>12</v>
      </c>
      <c r="F14" s="7"/>
    </row>
    <row r="15" spans="1:14" ht="15" x14ac:dyDescent="0.2">
      <c r="B15" s="5" t="s">
        <v>12</v>
      </c>
      <c r="F15" s="7"/>
    </row>
    <row r="16" spans="1:14" ht="15" x14ac:dyDescent="0.2">
      <c r="B16" s="5" t="s">
        <v>12</v>
      </c>
      <c r="F16" s="7"/>
    </row>
    <row r="17" spans="2:7" ht="15" x14ac:dyDescent="0.2">
      <c r="B17" s="5" t="s">
        <v>12</v>
      </c>
      <c r="F17" s="7"/>
    </row>
    <row r="18" spans="2:7" x14ac:dyDescent="0.2">
      <c r="B18" s="5" t="s">
        <v>12</v>
      </c>
    </row>
    <row r="19" spans="2:7" ht="18" x14ac:dyDescent="0.2">
      <c r="B19" s="5" t="s">
        <v>12</v>
      </c>
      <c r="C19" s="8"/>
      <c r="D19" s="8"/>
    </row>
    <row r="20" spans="2:7" ht="15" x14ac:dyDescent="0.2">
      <c r="B20" s="5" t="s">
        <v>12</v>
      </c>
      <c r="C20" s="12"/>
      <c r="D20" s="12"/>
    </row>
    <row r="21" spans="2:7" ht="14.25" x14ac:dyDescent="0.2">
      <c r="B21" s="5" t="s">
        <v>12</v>
      </c>
      <c r="C21" s="13"/>
      <c r="D21" s="14"/>
    </row>
    <row r="22" spans="2:7" ht="15" x14ac:dyDescent="0.2">
      <c r="B22" s="5" t="s">
        <v>12</v>
      </c>
      <c r="C22" s="1"/>
      <c r="D22" s="1"/>
      <c r="E22" s="1"/>
      <c r="F22" s="1"/>
      <c r="G22" s="1"/>
    </row>
    <row r="23" spans="2:7" x14ac:dyDescent="0.2">
      <c r="B23" s="5" t="s">
        <v>12</v>
      </c>
      <c r="E23" s="6"/>
      <c r="F23" s="6"/>
      <c r="G23" s="6"/>
    </row>
    <row r="24" spans="2:7" x14ac:dyDescent="0.2">
      <c r="B24" s="5" t="s">
        <v>12</v>
      </c>
    </row>
    <row r="25" spans="2:7" x14ac:dyDescent="0.2">
      <c r="B25" s="5" t="s">
        <v>12</v>
      </c>
    </row>
    <row r="26" spans="2:7" ht="15" x14ac:dyDescent="0.2">
      <c r="B26" s="5" t="s">
        <v>12</v>
      </c>
      <c r="C26" s="12"/>
      <c r="D26" s="12"/>
    </row>
    <row r="27" spans="2:7" ht="14.25" x14ac:dyDescent="0.2">
      <c r="B27" s="5" t="s">
        <v>12</v>
      </c>
      <c r="C27" s="13"/>
      <c r="D27" s="14"/>
    </row>
    <row r="28" spans="2:7" ht="15" x14ac:dyDescent="0.2">
      <c r="B28" s="5" t="s">
        <v>12</v>
      </c>
      <c r="C28" s="1"/>
      <c r="D28" s="1"/>
      <c r="E28" s="1"/>
      <c r="F28" s="1"/>
      <c r="G28" s="1"/>
    </row>
    <row r="29" spans="2:7" x14ac:dyDescent="0.2">
      <c r="B29" s="5" t="s">
        <v>12</v>
      </c>
      <c r="E29" s="6"/>
      <c r="F29" s="6"/>
      <c r="G29" s="6"/>
    </row>
    <row r="30" spans="2:7" x14ac:dyDescent="0.2">
      <c r="B30" s="5" t="s">
        <v>12</v>
      </c>
    </row>
  </sheetData>
  <mergeCells count="14">
    <mergeCell ref="A1:N2"/>
    <mergeCell ref="A3:A4"/>
    <mergeCell ref="C3:C4"/>
    <mergeCell ref="D3:D4"/>
    <mergeCell ref="E3:E4"/>
    <mergeCell ref="F3:F4"/>
    <mergeCell ref="G3:G4"/>
    <mergeCell ref="H3:K3"/>
    <mergeCell ref="A8:K8"/>
    <mergeCell ref="B3:B4"/>
    <mergeCell ref="L3:L4"/>
    <mergeCell ref="M3:M4"/>
    <mergeCell ref="N3:N4"/>
    <mergeCell ref="A5:K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opLeftCell="B3" workbookViewId="0">
      <selection activeCell="L14" sqref="L14"/>
    </sheetView>
  </sheetViews>
  <sheetFormatPr defaultRowHeight="12.75" x14ac:dyDescent="0.2"/>
  <cols>
    <col min="1" max="1" width="7.42578125" style="5" bestFit="1" customWidth="1"/>
    <col min="2" max="2" width="20.140625" style="5" bestFit="1" customWidth="1"/>
    <col min="3" max="3" width="28.5703125" style="5" bestFit="1" customWidth="1"/>
    <col min="4" max="4" width="21.42578125" style="5" bestFit="1" customWidth="1"/>
    <col min="5" max="5" width="10.5703125" style="5" bestFit="1" customWidth="1"/>
    <col min="6" max="6" width="22.7109375" style="5" bestFit="1" customWidth="1"/>
    <col min="7" max="7" width="29.140625" style="5" bestFit="1" customWidth="1"/>
    <col min="8" max="10" width="5.5703125" style="6" customWidth="1"/>
    <col min="11" max="11" width="4.85546875" style="6" customWidth="1"/>
    <col min="12" max="12" width="7.85546875" style="6" bestFit="1" customWidth="1"/>
    <col min="13" max="13" width="7.5703125" style="6" bestFit="1" customWidth="1"/>
    <col min="14" max="14" width="14.140625" style="5" bestFit="1" customWidth="1"/>
    <col min="15" max="16384" width="9.140625" style="3"/>
  </cols>
  <sheetData>
    <row r="1" spans="1:14" s="2" customFormat="1" ht="29.1" customHeight="1" x14ac:dyDescent="0.2">
      <c r="A1" s="53" t="s">
        <v>189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6"/>
    </row>
    <row r="2" spans="1:14" s="2" customFormat="1" ht="62.1" customHeight="1" thickBot="1" x14ac:dyDescent="0.25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60"/>
    </row>
    <row r="3" spans="1:14" s="1" customFormat="1" ht="12.75" customHeight="1" x14ac:dyDescent="0.2">
      <c r="A3" s="61" t="s">
        <v>13</v>
      </c>
      <c r="B3" s="45" t="s">
        <v>0</v>
      </c>
      <c r="C3" s="63" t="s">
        <v>6</v>
      </c>
      <c r="D3" s="63" t="s">
        <v>10</v>
      </c>
      <c r="E3" s="47" t="s">
        <v>15</v>
      </c>
      <c r="F3" s="47" t="s">
        <v>4</v>
      </c>
      <c r="G3" s="47" t="s">
        <v>7</v>
      </c>
      <c r="H3" s="47" t="s">
        <v>17</v>
      </c>
      <c r="I3" s="47"/>
      <c r="J3" s="47"/>
      <c r="K3" s="47"/>
      <c r="L3" s="47" t="s">
        <v>107</v>
      </c>
      <c r="M3" s="47" t="s">
        <v>3</v>
      </c>
      <c r="N3" s="49" t="s">
        <v>2</v>
      </c>
    </row>
    <row r="4" spans="1:14" s="1" customFormat="1" ht="21" customHeight="1" thickBot="1" x14ac:dyDescent="0.25">
      <c r="A4" s="62"/>
      <c r="B4" s="46"/>
      <c r="C4" s="48"/>
      <c r="D4" s="48"/>
      <c r="E4" s="48"/>
      <c r="F4" s="48"/>
      <c r="G4" s="48"/>
      <c r="H4" s="4">
        <v>1</v>
      </c>
      <c r="I4" s="4">
        <v>2</v>
      </c>
      <c r="J4" s="4">
        <v>3</v>
      </c>
      <c r="K4" s="4" t="s">
        <v>5</v>
      </c>
      <c r="L4" s="48"/>
      <c r="M4" s="48"/>
      <c r="N4" s="50"/>
    </row>
    <row r="5" spans="1:14" ht="15" x14ac:dyDescent="0.2">
      <c r="A5" s="51" t="s">
        <v>93</v>
      </c>
      <c r="B5" s="51"/>
      <c r="C5" s="52"/>
      <c r="D5" s="52"/>
      <c r="E5" s="52"/>
      <c r="F5" s="52"/>
      <c r="G5" s="52"/>
      <c r="H5" s="52"/>
      <c r="I5" s="52"/>
      <c r="J5" s="52"/>
      <c r="K5" s="52"/>
    </row>
    <row r="6" spans="1:14" x14ac:dyDescent="0.2">
      <c r="A6" s="10" t="s">
        <v>53</v>
      </c>
      <c r="B6" s="9" t="s">
        <v>190</v>
      </c>
      <c r="C6" s="9" t="s">
        <v>191</v>
      </c>
      <c r="D6" s="9" t="s">
        <v>192</v>
      </c>
      <c r="E6" s="9" t="str">
        <f>"0,5952"</f>
        <v>0,5952</v>
      </c>
      <c r="F6" s="9" t="s">
        <v>23</v>
      </c>
      <c r="G6" s="9" t="s">
        <v>24</v>
      </c>
      <c r="H6" s="16" t="s">
        <v>99</v>
      </c>
      <c r="I6" s="17" t="s">
        <v>133</v>
      </c>
      <c r="J6" s="17" t="s">
        <v>133</v>
      </c>
      <c r="K6" s="10"/>
      <c r="L6" s="10" t="str">
        <f>"130,0"</f>
        <v>130,0</v>
      </c>
      <c r="M6" s="10" t="str">
        <f>"78,7688"</f>
        <v>78,7688</v>
      </c>
      <c r="N6" s="9" t="s">
        <v>277</v>
      </c>
    </row>
    <row r="7" spans="1:14" x14ac:dyDescent="0.2">
      <c r="B7" s="5" t="s">
        <v>12</v>
      </c>
    </row>
    <row r="8" spans="1:14" ht="15" x14ac:dyDescent="0.2">
      <c r="A8" s="43" t="s">
        <v>33</v>
      </c>
      <c r="B8" s="43"/>
      <c r="C8" s="44"/>
      <c r="D8" s="44"/>
      <c r="E8" s="44"/>
      <c r="F8" s="44"/>
      <c r="G8" s="44"/>
      <c r="H8" s="44"/>
      <c r="I8" s="44"/>
      <c r="J8" s="44"/>
      <c r="K8" s="44"/>
    </row>
    <row r="9" spans="1:14" x14ac:dyDescent="0.2">
      <c r="A9" s="10" t="s">
        <v>53</v>
      </c>
      <c r="B9" s="9" t="s">
        <v>193</v>
      </c>
      <c r="C9" s="9" t="s">
        <v>194</v>
      </c>
      <c r="D9" s="9" t="s">
        <v>195</v>
      </c>
      <c r="E9" s="9" t="str">
        <f>"0,5691"</f>
        <v>0,5691</v>
      </c>
      <c r="F9" s="9" t="s">
        <v>23</v>
      </c>
      <c r="G9" s="9" t="s">
        <v>196</v>
      </c>
      <c r="H9" s="16" t="s">
        <v>86</v>
      </c>
      <c r="I9" s="16" t="s">
        <v>87</v>
      </c>
      <c r="J9" s="17" t="s">
        <v>88</v>
      </c>
      <c r="K9" s="10"/>
      <c r="L9" s="10" t="str">
        <f>"170,0"</f>
        <v>170,0</v>
      </c>
      <c r="M9" s="10" t="str">
        <f>"96,7470"</f>
        <v>96,7470</v>
      </c>
      <c r="N9" s="9" t="s">
        <v>277</v>
      </c>
    </row>
    <row r="10" spans="1:14" x14ac:dyDescent="0.2">
      <c r="B10" s="5" t="s">
        <v>12</v>
      </c>
    </row>
    <row r="11" spans="1:14" ht="15" x14ac:dyDescent="0.2">
      <c r="A11" s="43" t="s">
        <v>197</v>
      </c>
      <c r="B11" s="43"/>
      <c r="C11" s="44"/>
      <c r="D11" s="44"/>
      <c r="E11" s="44"/>
      <c r="F11" s="44"/>
      <c r="G11" s="44"/>
      <c r="H11" s="44"/>
      <c r="I11" s="44"/>
      <c r="J11" s="44"/>
      <c r="K11" s="44"/>
    </row>
    <row r="12" spans="1:14" x14ac:dyDescent="0.2">
      <c r="A12" s="10" t="s">
        <v>53</v>
      </c>
      <c r="B12" s="9" t="s">
        <v>198</v>
      </c>
      <c r="C12" s="9" t="s">
        <v>199</v>
      </c>
      <c r="D12" s="9" t="s">
        <v>200</v>
      </c>
      <c r="E12" s="9" t="str">
        <f>"0,5086"</f>
        <v>0,5086</v>
      </c>
      <c r="F12" s="9" t="s">
        <v>23</v>
      </c>
      <c r="G12" s="9" t="s">
        <v>24</v>
      </c>
      <c r="H12" s="16" t="s">
        <v>87</v>
      </c>
      <c r="I12" s="16" t="s">
        <v>153</v>
      </c>
      <c r="J12" s="16" t="s">
        <v>201</v>
      </c>
      <c r="K12" s="10"/>
      <c r="L12" s="10" t="str">
        <f>"185,0"</f>
        <v>185,0</v>
      </c>
      <c r="M12" s="10" t="str">
        <f>"94,9304"</f>
        <v>94,9304</v>
      </c>
      <c r="N12" s="9" t="s">
        <v>277</v>
      </c>
    </row>
    <row r="13" spans="1:14" x14ac:dyDescent="0.2">
      <c r="B13" s="5" t="s">
        <v>12</v>
      </c>
    </row>
    <row r="14" spans="1:14" ht="15" x14ac:dyDescent="0.2">
      <c r="B14" s="5" t="s">
        <v>12</v>
      </c>
      <c r="F14" s="7"/>
    </row>
    <row r="15" spans="1:14" ht="15" x14ac:dyDescent="0.2">
      <c r="B15" s="5" t="s">
        <v>12</v>
      </c>
      <c r="F15" s="7"/>
    </row>
    <row r="16" spans="1:14" ht="15" x14ac:dyDescent="0.2">
      <c r="B16" s="5" t="s">
        <v>12</v>
      </c>
      <c r="F16" s="7"/>
    </row>
    <row r="17" spans="2:7" ht="15" x14ac:dyDescent="0.2">
      <c r="B17" s="5" t="s">
        <v>12</v>
      </c>
      <c r="F17" s="7"/>
    </row>
    <row r="18" spans="2:7" ht="15" x14ac:dyDescent="0.2">
      <c r="B18" s="5" t="s">
        <v>12</v>
      </c>
      <c r="F18" s="7"/>
    </row>
    <row r="19" spans="2:7" ht="15" x14ac:dyDescent="0.2">
      <c r="B19" s="5" t="s">
        <v>12</v>
      </c>
      <c r="F19" s="7"/>
    </row>
    <row r="20" spans="2:7" ht="15" x14ac:dyDescent="0.2">
      <c r="B20" s="5" t="s">
        <v>12</v>
      </c>
      <c r="F20" s="7"/>
    </row>
    <row r="21" spans="2:7" x14ac:dyDescent="0.2">
      <c r="B21" s="5" t="s">
        <v>12</v>
      </c>
    </row>
    <row r="22" spans="2:7" ht="18" x14ac:dyDescent="0.2">
      <c r="B22" s="5" t="s">
        <v>12</v>
      </c>
      <c r="C22" s="8"/>
      <c r="D22" s="8"/>
    </row>
    <row r="23" spans="2:7" ht="15" x14ac:dyDescent="0.2">
      <c r="B23" s="5" t="s">
        <v>12</v>
      </c>
      <c r="C23" s="12"/>
      <c r="D23" s="12"/>
    </row>
    <row r="24" spans="2:7" ht="14.25" x14ac:dyDescent="0.2">
      <c r="B24" s="5" t="s">
        <v>12</v>
      </c>
      <c r="C24" s="13"/>
      <c r="D24" s="14"/>
    </row>
    <row r="25" spans="2:7" ht="15" x14ac:dyDescent="0.2">
      <c r="B25" s="5" t="s">
        <v>12</v>
      </c>
      <c r="C25" s="1"/>
      <c r="D25" s="1"/>
      <c r="E25" s="1"/>
      <c r="F25" s="1"/>
      <c r="G25" s="1"/>
    </row>
    <row r="26" spans="2:7" x14ac:dyDescent="0.2">
      <c r="B26" s="5" t="s">
        <v>12</v>
      </c>
      <c r="E26" s="6"/>
      <c r="F26" s="6"/>
      <c r="G26" s="6"/>
    </row>
    <row r="27" spans="2:7" x14ac:dyDescent="0.2">
      <c r="B27" s="5" t="s">
        <v>12</v>
      </c>
    </row>
    <row r="28" spans="2:7" ht="14.25" x14ac:dyDescent="0.2">
      <c r="B28" s="5" t="s">
        <v>12</v>
      </c>
      <c r="C28" s="13"/>
      <c r="D28" s="14"/>
    </row>
    <row r="29" spans="2:7" ht="15" x14ac:dyDescent="0.2">
      <c r="B29" s="5" t="s">
        <v>12</v>
      </c>
      <c r="C29" s="1"/>
      <c r="D29" s="1"/>
      <c r="E29" s="1"/>
      <c r="F29" s="1"/>
      <c r="G29" s="1"/>
    </row>
    <row r="30" spans="2:7" x14ac:dyDescent="0.2">
      <c r="B30" s="5" t="s">
        <v>12</v>
      </c>
      <c r="E30" s="6"/>
      <c r="F30" s="6"/>
      <c r="G30" s="6"/>
    </row>
    <row r="31" spans="2:7" x14ac:dyDescent="0.2">
      <c r="B31" s="5" t="s">
        <v>12</v>
      </c>
      <c r="E31" s="6"/>
      <c r="F31" s="6"/>
      <c r="G31" s="6"/>
    </row>
    <row r="32" spans="2:7" x14ac:dyDescent="0.2">
      <c r="B32" s="5" t="s">
        <v>12</v>
      </c>
    </row>
  </sheetData>
  <mergeCells count="15">
    <mergeCell ref="N3:N4"/>
    <mergeCell ref="A5:K5"/>
    <mergeCell ref="A1:N2"/>
    <mergeCell ref="A3:A4"/>
    <mergeCell ref="C3:C4"/>
    <mergeCell ref="D3:D4"/>
    <mergeCell ref="E3:E4"/>
    <mergeCell ref="F3:F4"/>
    <mergeCell ref="G3:G4"/>
    <mergeCell ref="H3:K3"/>
    <mergeCell ref="A8:K8"/>
    <mergeCell ref="A11:K11"/>
    <mergeCell ref="B3:B4"/>
    <mergeCell ref="L3:L4"/>
    <mergeCell ref="M3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Люб. ПЛ. б.э.</vt:lpstr>
      <vt:lpstr>ПРО ПЛ. б.э.</vt:lpstr>
      <vt:lpstr>Двоеборье люб</vt:lpstr>
      <vt:lpstr>ПРО тяга б.э.</vt:lpstr>
      <vt:lpstr>Люб. тяга б.э.</vt:lpstr>
      <vt:lpstr>Люб. жим софт мн.петельная</vt:lpstr>
      <vt:lpstr>ПРО жим софт 1 петельная</vt:lpstr>
      <vt:lpstr>Люб. жим 1 петельная</vt:lpstr>
      <vt:lpstr>ПРО жим б.э.</vt:lpstr>
      <vt:lpstr>Люб. жим б.э.</vt:lpstr>
      <vt:lpstr>ПРО Военный жим класс.</vt:lpstr>
      <vt:lpstr>Люб. Военный жим класс.</vt:lpstr>
      <vt:lpstr>Русский жим 55 кг.</vt:lpstr>
      <vt:lpstr>Люб. НАРОДНЫЙ ЖИМ 1 ВЕС</vt:lpstr>
      <vt:lpstr>Бицепс Любители</vt:lpstr>
      <vt:lpstr>Жим стоя Любители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NPA</cp:lastModifiedBy>
  <cp:lastPrinted>2015-07-16T19:10:53Z</cp:lastPrinted>
  <dcterms:created xsi:type="dcterms:W3CDTF">2002-06-16T13:36:44Z</dcterms:created>
  <dcterms:modified xsi:type="dcterms:W3CDTF">2021-02-24T05:15:39Z</dcterms:modified>
</cp:coreProperties>
</file>