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Андрей\2021\Протоколы 2021\"/>
    </mc:Choice>
  </mc:AlternateContent>
  <bookViews>
    <workbookView xWindow="0" yWindow="0" windowWidth="28800" windowHeight="12300" firstSheet="11" activeTab="15"/>
  </bookViews>
  <sheets>
    <sheet name="Русская тяга люб. 200 кг." sheetId="30" r:id="rId1"/>
    <sheet name="Русская тяга люб. 150 кг." sheetId="29" r:id="rId2"/>
    <sheet name="РЖ любители 75 кг." sheetId="28" r:id="rId3"/>
    <sheet name="РЖ любители 55 кг." sheetId="27" r:id="rId4"/>
    <sheet name="РЖ ПРО 20 кг." sheetId="32" r:id="rId5"/>
    <sheet name="РЖ любители 35 кг." sheetId="26" r:id="rId6"/>
    <sheet name="Проф. народный жим 1_2 вес" sheetId="25" r:id="rId7"/>
    <sheet name="Люб. народный жим 1_2 вес" sheetId="24" r:id="rId8"/>
    <sheet name="Люб. народный жим 1 вес" sheetId="23" r:id="rId9"/>
    <sheet name="Пауэрспорт Профессионалы" sheetId="22" r:id="rId10"/>
    <sheet name="Пауэрспорт Любители" sheetId="21" r:id="rId11"/>
    <sheet name="Бицепс Любители" sheetId="20" r:id="rId12"/>
    <sheet name="Жим стоя Любители" sheetId="19" r:id="rId13"/>
    <sheet name="Силовое двоеб люб" sheetId="18" r:id="rId14"/>
    <sheet name="ПРО тяга б.э." sheetId="17" r:id="rId15"/>
    <sheet name="Люб. тяга б.э." sheetId="16" r:id="rId16"/>
    <sheet name="ПРО жим софт мн.петельная" sheetId="15" r:id="rId17"/>
    <sheet name="ПРО жим софт 1 петельная" sheetId="13" r:id="rId18"/>
    <sheet name="Люб. жим 1 петельная" sheetId="12" r:id="rId19"/>
    <sheet name="ПРО жим б.э." sheetId="11" r:id="rId20"/>
    <sheet name="Люб. жим б.э." sheetId="10" r:id="rId21"/>
    <sheet name="ПРО Военный жим класс." sheetId="7" r:id="rId22"/>
    <sheet name="Люб. Военный жим класс." sheetId="6" r:id="rId23"/>
    <sheet name="Люб. ПЛ. б.э." sheetId="5" r:id="rId24"/>
  </sheets>
  <definedNames>
    <definedName name="_FilterDatabase" localSheetId="23" hidden="1">'Люб. ПЛ. б.э.'!$A$1:$S$3</definedName>
  </definedNames>
  <calcPr calcId="191028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32" l="1"/>
  <c r="D9" i="32"/>
  <c r="D6" i="32"/>
  <c r="D6" i="26"/>
  <c r="J6" i="30"/>
  <c r="I6" i="30"/>
  <c r="D6" i="30"/>
  <c r="J6" i="29"/>
  <c r="I6" i="29"/>
  <c r="D6" i="29"/>
  <c r="J6" i="28"/>
  <c r="I6" i="28"/>
  <c r="D6" i="28"/>
  <c r="J12" i="27"/>
  <c r="I12" i="27"/>
  <c r="D12" i="27"/>
  <c r="J11" i="27"/>
  <c r="I11" i="27"/>
  <c r="D11" i="27"/>
  <c r="J10" i="27"/>
  <c r="I10" i="27"/>
  <c r="D10" i="27"/>
  <c r="J9" i="27"/>
  <c r="I9" i="27"/>
  <c r="D9" i="27"/>
  <c r="J8" i="27"/>
  <c r="I8" i="27"/>
  <c r="D8" i="27"/>
  <c r="J7" i="27"/>
  <c r="I7" i="27"/>
  <c r="D7" i="27"/>
  <c r="J6" i="27"/>
  <c r="I6" i="27"/>
  <c r="D6" i="27"/>
  <c r="J9" i="25"/>
  <c r="I9" i="25"/>
  <c r="D9" i="25"/>
  <c r="J6" i="25"/>
  <c r="I6" i="25"/>
  <c r="D6" i="25"/>
  <c r="J12" i="24"/>
  <c r="I12" i="24"/>
  <c r="D12" i="24"/>
  <c r="J9" i="24"/>
  <c r="I9" i="24"/>
  <c r="D9" i="24"/>
  <c r="J6" i="24"/>
  <c r="I6" i="24"/>
  <c r="D6" i="24"/>
  <c r="J6" i="23"/>
  <c r="I6" i="23"/>
  <c r="D6" i="23"/>
  <c r="P7" i="22"/>
  <c r="O7" i="22"/>
  <c r="D7" i="22"/>
  <c r="P6" i="22"/>
  <c r="O6" i="22"/>
  <c r="D6" i="22"/>
  <c r="P6" i="21"/>
  <c r="O6" i="21"/>
  <c r="D6" i="21"/>
  <c r="L28" i="20"/>
  <c r="K28" i="20"/>
  <c r="D28" i="20"/>
  <c r="L25" i="20"/>
  <c r="K25" i="20"/>
  <c r="D25" i="20"/>
  <c r="L24" i="20"/>
  <c r="K24" i="20"/>
  <c r="D24" i="20"/>
  <c r="L23" i="20"/>
  <c r="K23" i="20"/>
  <c r="D23" i="20"/>
  <c r="L22" i="20"/>
  <c r="K22" i="20"/>
  <c r="D22" i="20"/>
  <c r="L19" i="20"/>
  <c r="K19" i="20"/>
  <c r="D19" i="20"/>
  <c r="L18" i="20"/>
  <c r="K18" i="20"/>
  <c r="D18" i="20"/>
  <c r="L15" i="20"/>
  <c r="K15" i="20"/>
  <c r="D15" i="20"/>
  <c r="L12" i="20"/>
  <c r="K12" i="20"/>
  <c r="D12" i="20"/>
  <c r="L9" i="20"/>
  <c r="K9" i="20"/>
  <c r="D9" i="20"/>
  <c r="L6" i="20"/>
  <c r="K6" i="20"/>
  <c r="D6" i="20"/>
  <c r="L9" i="19"/>
  <c r="K9" i="19"/>
  <c r="D9" i="19"/>
  <c r="L6" i="19"/>
  <c r="K6" i="19"/>
  <c r="D6" i="19"/>
  <c r="P9" i="18"/>
  <c r="O9" i="18"/>
  <c r="D9" i="18"/>
  <c r="P6" i="18"/>
  <c r="O6" i="18"/>
  <c r="D6" i="18"/>
  <c r="L6" i="17"/>
  <c r="K6" i="17"/>
  <c r="D6" i="17"/>
  <c r="L27" i="16"/>
  <c r="K27" i="16"/>
  <c r="D27" i="16"/>
  <c r="L26" i="16"/>
  <c r="K26" i="16"/>
  <c r="D26" i="16"/>
  <c r="L23" i="16"/>
  <c r="K23" i="16"/>
  <c r="D23" i="16"/>
  <c r="L20" i="16"/>
  <c r="K20" i="16"/>
  <c r="D20" i="16"/>
  <c r="L19" i="16"/>
  <c r="K19" i="16"/>
  <c r="D19" i="16"/>
  <c r="L16" i="16"/>
  <c r="K16" i="16"/>
  <c r="D16" i="16"/>
  <c r="L13" i="16"/>
  <c r="K13" i="16"/>
  <c r="D13" i="16"/>
  <c r="L12" i="16"/>
  <c r="K12" i="16"/>
  <c r="D12" i="16"/>
  <c r="L9" i="16"/>
  <c r="K9" i="16"/>
  <c r="D9" i="16"/>
  <c r="L6" i="16"/>
  <c r="K6" i="16"/>
  <c r="D6" i="16"/>
  <c r="L6" i="15"/>
  <c r="K6" i="15"/>
  <c r="D6" i="15"/>
  <c r="L9" i="13"/>
  <c r="K9" i="13"/>
  <c r="D9" i="13"/>
  <c r="L6" i="13"/>
  <c r="K6" i="13"/>
  <c r="D6" i="13"/>
  <c r="L9" i="12"/>
  <c r="K9" i="12"/>
  <c r="D9" i="12"/>
  <c r="L6" i="12"/>
  <c r="K6" i="12"/>
  <c r="D6" i="12"/>
  <c r="L15" i="11"/>
  <c r="K15" i="11"/>
  <c r="D15" i="11"/>
  <c r="L12" i="11"/>
  <c r="K12" i="11"/>
  <c r="D12" i="11"/>
  <c r="L9" i="11"/>
  <c r="K9" i="11"/>
  <c r="D9" i="11"/>
  <c r="L6" i="11"/>
  <c r="K6" i="11"/>
  <c r="D6" i="11"/>
  <c r="L26" i="10"/>
  <c r="K26" i="10"/>
  <c r="D26" i="10"/>
  <c r="L23" i="10"/>
  <c r="K23" i="10"/>
  <c r="D23" i="10"/>
  <c r="L22" i="10"/>
  <c r="K22" i="10"/>
  <c r="D22" i="10"/>
  <c r="L21" i="10"/>
  <c r="K21" i="10"/>
  <c r="D21" i="10"/>
  <c r="L18" i="10"/>
  <c r="K18" i="10"/>
  <c r="D18" i="10"/>
  <c r="L15" i="10"/>
  <c r="K15" i="10"/>
  <c r="D15" i="10"/>
  <c r="L12" i="10"/>
  <c r="K12" i="10"/>
  <c r="D12" i="10"/>
  <c r="L9" i="10"/>
  <c r="K9" i="10"/>
  <c r="D9" i="10"/>
  <c r="L6" i="10"/>
  <c r="K6" i="10"/>
  <c r="D6" i="10"/>
  <c r="L6" i="7"/>
  <c r="K6" i="7"/>
  <c r="D6" i="7"/>
  <c r="L10" i="6"/>
  <c r="K10" i="6"/>
  <c r="D10" i="6"/>
  <c r="L9" i="6"/>
  <c r="K9" i="6"/>
  <c r="D9" i="6"/>
  <c r="L6" i="6"/>
  <c r="K6" i="6"/>
  <c r="D6" i="6"/>
  <c r="T23" i="5"/>
  <c r="S23" i="5"/>
  <c r="D23" i="5"/>
  <c r="T20" i="5"/>
  <c r="S20" i="5"/>
  <c r="D20" i="5"/>
  <c r="T19" i="5"/>
  <c r="S19" i="5"/>
  <c r="D19" i="5"/>
  <c r="T18" i="5"/>
  <c r="S18" i="5"/>
  <c r="D18" i="5"/>
  <c r="T15" i="5"/>
  <c r="S15" i="5"/>
  <c r="D15" i="5"/>
  <c r="T12" i="5"/>
  <c r="S12" i="5"/>
  <c r="D12" i="5"/>
  <c r="T9" i="5"/>
  <c r="S9" i="5"/>
  <c r="D9" i="5"/>
  <c r="T6" i="5"/>
  <c r="S6" i="5"/>
  <c r="D6" i="5"/>
</calcChain>
</file>

<file path=xl/sharedStrings.xml><?xml version="1.0" encoding="utf-8"?>
<sst xmlns="http://schemas.openxmlformats.org/spreadsheetml/2006/main" count="2084" uniqueCount="570">
  <si>
    <t>ФИО</t>
  </si>
  <si>
    <t>Сумма</t>
  </si>
  <si>
    <t>Тренер</t>
  </si>
  <si>
    <t>Очки</t>
  </si>
  <si>
    <t>Команда</t>
  </si>
  <si>
    <t>Рек</t>
  </si>
  <si>
    <t>Возрастная группа
Дата рождения/Возраст</t>
  </si>
  <si>
    <t>Город/Область</t>
  </si>
  <si>
    <t>Вес</t>
  </si>
  <si>
    <t>Повторы</t>
  </si>
  <si>
    <t>Собственный 
вес</t>
  </si>
  <si>
    <t>Кубок Южного Федерального Округа
Любители пауэрлифтинг без экипировки
Волжский/Волгоградская область 12 - 13 марта 2021 г.</t>
  </si>
  <si>
    <t>Shv/Mel</t>
  </si>
  <si>
    <t>Приседание</t>
  </si>
  <si>
    <t>Жим лёжа</t>
  </si>
  <si>
    <t>Становая тяга</t>
  </si>
  <si>
    <t>ВЕСОВАЯ КАТЕГОРИЯ   75</t>
  </si>
  <si>
    <t>Аджибекирова Юлианна</t>
  </si>
  <si>
    <t>1. Аджибекирова Юлианна</t>
  </si>
  <si>
    <t>Юниорки 20 - 23 (01.06.2000)/20</t>
  </si>
  <si>
    <t>74,20</t>
  </si>
  <si>
    <t xml:space="preserve">лично </t>
  </si>
  <si>
    <t xml:space="preserve">Волгоград/Волгоградская область </t>
  </si>
  <si>
    <t>60,0</t>
  </si>
  <si>
    <t>70,0</t>
  </si>
  <si>
    <t>75,0</t>
  </si>
  <si>
    <t>30,0</t>
  </si>
  <si>
    <t>40,0</t>
  </si>
  <si>
    <t>50,0</t>
  </si>
  <si>
    <t>110,0</t>
  </si>
  <si>
    <t>120,0</t>
  </si>
  <si>
    <t>125,0</t>
  </si>
  <si>
    <t xml:space="preserve">Жаденов Владимир </t>
  </si>
  <si>
    <t>ВЕСОВАЯ КАТЕГОРИЯ   90+</t>
  </si>
  <si>
    <t>Трофимова Анастасия</t>
  </si>
  <si>
    <t>1. Трофимова Анастасия</t>
  </si>
  <si>
    <t>Юниорки 20 - 23 (30.01.1999)/22</t>
  </si>
  <si>
    <t>105,00</t>
  </si>
  <si>
    <t xml:space="preserve">ВолГУ </t>
  </si>
  <si>
    <t xml:space="preserve">Салават/Башкортостан республика </t>
  </si>
  <si>
    <t>85,0</t>
  </si>
  <si>
    <t>95,0</t>
  </si>
  <si>
    <t>105,0</t>
  </si>
  <si>
    <t>55,0</t>
  </si>
  <si>
    <t>62,5</t>
  </si>
  <si>
    <t xml:space="preserve">Никитин Сергей Олегович </t>
  </si>
  <si>
    <t>ВЕСОВАЯ КАТЕГОРИЯ   67.5</t>
  </si>
  <si>
    <t>Балашов Владислав</t>
  </si>
  <si>
    <t>1. Балашов Владислав</t>
  </si>
  <si>
    <t>Юноши 18 - 19 (19.03.2001)/19</t>
  </si>
  <si>
    <t>66,30</t>
  </si>
  <si>
    <t>145,0</t>
  </si>
  <si>
    <t>155,0</t>
  </si>
  <si>
    <t>160,0</t>
  </si>
  <si>
    <t>122,5</t>
  </si>
  <si>
    <t>127,5</t>
  </si>
  <si>
    <t>130,0</t>
  </si>
  <si>
    <t>170,0</t>
  </si>
  <si>
    <t>175,0</t>
  </si>
  <si>
    <t>Лозыбной Сергей</t>
  </si>
  <si>
    <t>1. Лозыбной Сергей</t>
  </si>
  <si>
    <t>Юноши 18 - 19 (29.01.2002)/19</t>
  </si>
  <si>
    <t>74,55</t>
  </si>
  <si>
    <t>140,0</t>
  </si>
  <si>
    <t>150,0</t>
  </si>
  <si>
    <t>157,5</t>
  </si>
  <si>
    <t>107,5</t>
  </si>
  <si>
    <t>180,0</t>
  </si>
  <si>
    <t>ВЕСОВАЯ КАТЕГОРИЯ   90</t>
  </si>
  <si>
    <t>Морозов Дмитрий</t>
  </si>
  <si>
    <t>1. Морозов Дмитрий</t>
  </si>
  <si>
    <t>Юниоры 20 - 23 (16.08.1997)/23</t>
  </si>
  <si>
    <t>90,00</t>
  </si>
  <si>
    <t>92,5</t>
  </si>
  <si>
    <t>182,5</t>
  </si>
  <si>
    <t>187,5</t>
  </si>
  <si>
    <t>Сергеев Дмитрий</t>
  </si>
  <si>
    <t>1. Сергеев Дмитрий</t>
  </si>
  <si>
    <t>Открытая (01.12.1986)/34</t>
  </si>
  <si>
    <t xml:space="preserve">Росич </t>
  </si>
  <si>
    <t xml:space="preserve">Волжский/Волгоградская область </t>
  </si>
  <si>
    <t>190,0</t>
  </si>
  <si>
    <t>205,0</t>
  </si>
  <si>
    <t>210,0</t>
  </si>
  <si>
    <t>165,0</t>
  </si>
  <si>
    <t>215,0</t>
  </si>
  <si>
    <t>232,5</t>
  </si>
  <si>
    <t>250,0</t>
  </si>
  <si>
    <t xml:space="preserve">Евтушенко Вадим </t>
  </si>
  <si>
    <t>Кореневский Денис</t>
  </si>
  <si>
    <t>2. Кореневский Денис</t>
  </si>
  <si>
    <t>Открытая (04.10.1997)/23</t>
  </si>
  <si>
    <t>87,30</t>
  </si>
  <si>
    <t>147,5</t>
  </si>
  <si>
    <t>192,5</t>
  </si>
  <si>
    <t>197,5</t>
  </si>
  <si>
    <t xml:space="preserve"> </t>
  </si>
  <si>
    <t>ВЕСОВАЯ КАТЕГОРИЯ   100</t>
  </si>
  <si>
    <t>Сергеев Максим</t>
  </si>
  <si>
    <t>1. Сергеев Максим</t>
  </si>
  <si>
    <t>Открытая (27.01.1992)/29</t>
  </si>
  <si>
    <t>98,10</t>
  </si>
  <si>
    <t>200,0</t>
  </si>
  <si>
    <t>172,5</t>
  </si>
  <si>
    <t>Главный судья:</t>
  </si>
  <si>
    <t>Главный секретарь:</t>
  </si>
  <si>
    <t>Старший судья:</t>
  </si>
  <si>
    <t>Боковой судья:</t>
  </si>
  <si>
    <t xml:space="preserve">Абсолютный зачёт </t>
  </si>
  <si>
    <t xml:space="preserve">Женщины </t>
  </si>
  <si>
    <t xml:space="preserve">Юниорки </t>
  </si>
  <si>
    <t xml:space="preserve">ФИО </t>
  </si>
  <si>
    <t xml:space="preserve">Возрастная группа </t>
  </si>
  <si>
    <t xml:space="preserve">Весовая </t>
  </si>
  <si>
    <t xml:space="preserve">Сумма </t>
  </si>
  <si>
    <t xml:space="preserve">Shv/Mel </t>
  </si>
  <si>
    <t xml:space="preserve">Юниоры 20 - 23 </t>
  </si>
  <si>
    <t>75</t>
  </si>
  <si>
    <t>240,0</t>
  </si>
  <si>
    <t>179,8504</t>
  </si>
  <si>
    <t>90+</t>
  </si>
  <si>
    <t>275,0</t>
  </si>
  <si>
    <t>162,1643</t>
  </si>
  <si>
    <t xml:space="preserve">Мужчины </t>
  </si>
  <si>
    <t xml:space="preserve">Юноши </t>
  </si>
  <si>
    <t xml:space="preserve">Юноши 18 - 19 </t>
  </si>
  <si>
    <t>67.5</t>
  </si>
  <si>
    <t>465,0</t>
  </si>
  <si>
    <t>356,7517</t>
  </si>
  <si>
    <t>432,5</t>
  </si>
  <si>
    <t>300,3090</t>
  </si>
  <si>
    <t xml:space="preserve">Юниоры </t>
  </si>
  <si>
    <t>90</t>
  </si>
  <si>
    <t>442,5</t>
  </si>
  <si>
    <t>258,9953</t>
  </si>
  <si>
    <t xml:space="preserve">Открытая </t>
  </si>
  <si>
    <t>602,5</t>
  </si>
  <si>
    <t>352,6433</t>
  </si>
  <si>
    <t>100</t>
  </si>
  <si>
    <t>565,0</t>
  </si>
  <si>
    <t>315,7785</t>
  </si>
  <si>
    <t>527,5</t>
  </si>
  <si>
    <t>314,6537</t>
  </si>
  <si>
    <t>Кубок Южного Федерального Округа
Любители военный жим классический
Волжский/Волгоградская область 12 - 13 марта 2021 г.</t>
  </si>
  <si>
    <t>ВЕСОВАЯ КАТЕГОРИЯ   82.5</t>
  </si>
  <si>
    <t>Хомушку Александр</t>
  </si>
  <si>
    <t>1. Хомушку Александр</t>
  </si>
  <si>
    <t>Открытая (11.12.1986)/34</t>
  </si>
  <si>
    <t>81,55</t>
  </si>
  <si>
    <t xml:space="preserve">Волгоград гриф Сталинград </t>
  </si>
  <si>
    <t>135,0</t>
  </si>
  <si>
    <t xml:space="preserve">Тартин Сергей </t>
  </si>
  <si>
    <t>Шмадченко Александр</t>
  </si>
  <si>
    <t>1. Шмадченко Александр</t>
  </si>
  <si>
    <t>Открытая (26.12.1986)/34</t>
  </si>
  <si>
    <t>94,70</t>
  </si>
  <si>
    <t>Носачёв Владимир</t>
  </si>
  <si>
    <t>2. Носачёв Владимир</t>
  </si>
  <si>
    <t>Открытая (02.12.1982)/38</t>
  </si>
  <si>
    <t>98,40</t>
  </si>
  <si>
    <t xml:space="preserve">Результат </t>
  </si>
  <si>
    <t>85,3200</t>
  </si>
  <si>
    <t>82.5</t>
  </si>
  <si>
    <t>84,2873</t>
  </si>
  <si>
    <t>78,1340</t>
  </si>
  <si>
    <t>Результат</t>
  </si>
  <si>
    <t>Кубок Южного Федерального Округа
ПРО военный жим классический
Волжский/Волгоградская область 12 - 13 марта 2021 г.</t>
  </si>
  <si>
    <t>ВЕСОВАЯ КАТЕГОРИЯ   110</t>
  </si>
  <si>
    <t>Дембовский Богдан</t>
  </si>
  <si>
    <t>1. Дембовский Богдан</t>
  </si>
  <si>
    <t>Открытая (05.06.1993)/27</t>
  </si>
  <si>
    <t>107,85</t>
  </si>
  <si>
    <t xml:space="preserve">Русич </t>
  </si>
  <si>
    <t xml:space="preserve">Оренбург/Оренбургская область </t>
  </si>
  <si>
    <t>110</t>
  </si>
  <si>
    <t>88,9763</t>
  </si>
  <si>
    <t>Кубок Южного Федерального Округа
Любители жим лежа без экипировки
Волжский/Волгоградская область 12 - 13 марта 2021 г.</t>
  </si>
  <si>
    <t>ВЕСОВАЯ КАТЕГОРИЯ   60</t>
  </si>
  <si>
    <t>Шишкин Вадим</t>
  </si>
  <si>
    <t>1. Шишкин Вадим</t>
  </si>
  <si>
    <t>Юниоры 20 - 23 (08.12.2000)/20</t>
  </si>
  <si>
    <t>59,00</t>
  </si>
  <si>
    <t>97,5</t>
  </si>
  <si>
    <t>Открытая (19.03.2001)/19</t>
  </si>
  <si>
    <t>Гурбанов Чингиз</t>
  </si>
  <si>
    <t>1. Гурбанов Чингиз</t>
  </si>
  <si>
    <t>Открытая (01.09.1993)/27</t>
  </si>
  <si>
    <t>73,75</t>
  </si>
  <si>
    <t xml:space="preserve">Спорт Клуб 365 </t>
  </si>
  <si>
    <t xml:space="preserve">Ханов Магомед </t>
  </si>
  <si>
    <t>Осадчий Ярослав</t>
  </si>
  <si>
    <t>1. Осадчий Ярослав</t>
  </si>
  <si>
    <t>Открытая (20.11.1995)/25</t>
  </si>
  <si>
    <t>79,45</t>
  </si>
  <si>
    <t>Хомутов Павел</t>
  </si>
  <si>
    <t>1. Хомутов Павел</t>
  </si>
  <si>
    <t>Мастера 40 - 44 (20.04.1980)/40</t>
  </si>
  <si>
    <t>84,50</t>
  </si>
  <si>
    <t xml:space="preserve">Сармат </t>
  </si>
  <si>
    <t>100,0</t>
  </si>
  <si>
    <t>102,5</t>
  </si>
  <si>
    <t xml:space="preserve">Рогачёв Юрий </t>
  </si>
  <si>
    <t>162,5</t>
  </si>
  <si>
    <t>Попов Дмитрий</t>
  </si>
  <si>
    <t>3. Попов Дмитрий</t>
  </si>
  <si>
    <t>Открытая (17.01.1987)/34</t>
  </si>
  <si>
    <t>94,60</t>
  </si>
  <si>
    <t>90,0</t>
  </si>
  <si>
    <t>ВЕСОВАЯ КАТЕГОРИЯ   140</t>
  </si>
  <si>
    <t>Войтех Михаил</t>
  </si>
  <si>
    <t>1. Войтех Михаил</t>
  </si>
  <si>
    <t>Открытая (05.02.1985)/36</t>
  </si>
  <si>
    <t>128,40</t>
  </si>
  <si>
    <t xml:space="preserve">СК Ротор </t>
  </si>
  <si>
    <t xml:space="preserve">Моторин Виктор </t>
  </si>
  <si>
    <t>60</t>
  </si>
  <si>
    <t>80,9317</t>
  </si>
  <si>
    <t>101,0025</t>
  </si>
  <si>
    <t>99,5400</t>
  </si>
  <si>
    <t>95,9010</t>
  </si>
  <si>
    <t>140</t>
  </si>
  <si>
    <t>93,0456</t>
  </si>
  <si>
    <t>83,7150</t>
  </si>
  <si>
    <t>79,5125</t>
  </si>
  <si>
    <t>55,4873</t>
  </si>
  <si>
    <t xml:space="preserve">Мастера </t>
  </si>
  <si>
    <t xml:space="preserve">Мастера 40 - 44 </t>
  </si>
  <si>
    <t>62,4533</t>
  </si>
  <si>
    <t>Кубок Южного Федерального Округа
ПРО жим лежа без экипировки
Волжский/Волгоградская область 12 - 13 марта 2021 г.</t>
  </si>
  <si>
    <t>ВЕСОВАЯ КАТЕГОРИЯ   56</t>
  </si>
  <si>
    <t>Тыщенко Павел</t>
  </si>
  <si>
    <t>1. Тыщенко Павел</t>
  </si>
  <si>
    <t>Юноши 0-13 (06.10.2009)/11</t>
  </si>
  <si>
    <t>55,20</t>
  </si>
  <si>
    <t xml:space="preserve">Фролово/Волгоградская область </t>
  </si>
  <si>
    <t>45,0</t>
  </si>
  <si>
    <t>47,5</t>
  </si>
  <si>
    <t xml:space="preserve">Тыщенко Сергей </t>
  </si>
  <si>
    <t>Люлькин Никита</t>
  </si>
  <si>
    <t>1. Люлькин Никита</t>
  </si>
  <si>
    <t>Юноши 14-15 (14.03.2006)/14</t>
  </si>
  <si>
    <t>65,50</t>
  </si>
  <si>
    <t>Тыщенко Сергей</t>
  </si>
  <si>
    <t>1. Тыщенко Сергей</t>
  </si>
  <si>
    <t>Мастера 40 - 44 (07.10.1976)/44</t>
  </si>
  <si>
    <t>88,15</t>
  </si>
  <si>
    <t>115,0</t>
  </si>
  <si>
    <t xml:space="preserve">Юноши 0-13 </t>
  </si>
  <si>
    <t>56</t>
  </si>
  <si>
    <t>51,9281</t>
  </si>
  <si>
    <t xml:space="preserve">Юноши 14-15 </t>
  </si>
  <si>
    <t>50,4669</t>
  </si>
  <si>
    <t>91,6725</t>
  </si>
  <si>
    <t>73,3412</t>
  </si>
  <si>
    <t>Кубок Южного Федерального Округа
Любители жим лежа в Софт экипировка однопетельная
Волжский/Волгоградская область 12 - 13 марта 2021 г.</t>
  </si>
  <si>
    <t>ВЕСОВАЯ КАТЕГОРИЯ   52</t>
  </si>
  <si>
    <t>Эликашвили Марина</t>
  </si>
  <si>
    <t>1. Эликашвили Марина</t>
  </si>
  <si>
    <t>Юниорки 20 - 23 (26.08.1998)/22</t>
  </si>
  <si>
    <t>51,50</t>
  </si>
  <si>
    <t xml:space="preserve">ВПИ </t>
  </si>
  <si>
    <t xml:space="preserve">Решетов Николай </t>
  </si>
  <si>
    <t>220,0</t>
  </si>
  <si>
    <t>52</t>
  </si>
  <si>
    <t>83,8754</t>
  </si>
  <si>
    <t>132,2460</t>
  </si>
  <si>
    <t>Кубок Южного Федерального Округа
ПРО жим лежа Софт экипировка однопетельная
Волжский/Волгоградская область 12 - 13 марта 2021 г.</t>
  </si>
  <si>
    <t>Решетов Николай</t>
  </si>
  <si>
    <t>1. Решетов Николай</t>
  </si>
  <si>
    <t>Мастера 60 - 64 (23.02.1959)/62</t>
  </si>
  <si>
    <t>98,70</t>
  </si>
  <si>
    <t>225,0</t>
  </si>
  <si>
    <t>235,0</t>
  </si>
  <si>
    <t>-. Дембовский Богдан</t>
  </si>
  <si>
    <t>107,80</t>
  </si>
  <si>
    <t>230,0</t>
  </si>
  <si>
    <t xml:space="preserve">Мастера 60 - 64 </t>
  </si>
  <si>
    <t>229,8444</t>
  </si>
  <si>
    <t>Кубок Южного Федерального Округа
ПРО жим лежа в Софт экипировка многопетельная
Волжский/Волгоградская область 12 - 13 марта 2021 г.</t>
  </si>
  <si>
    <t>ВЕСОВАЯ КАТЕГОРИЯ   125</t>
  </si>
  <si>
    <t>Хмелёв Александр</t>
  </si>
  <si>
    <t>1. Хмелёв Александр</t>
  </si>
  <si>
    <t>Мастера 45 - 49 (19.09.1971)/49</t>
  </si>
  <si>
    <t>122,70</t>
  </si>
  <si>
    <t xml:space="preserve">ЕПГ </t>
  </si>
  <si>
    <t>360,0</t>
  </si>
  <si>
    <t>380,0</t>
  </si>
  <si>
    <t>400,0</t>
  </si>
  <si>
    <t xml:space="preserve">Козырев Олег Викторович </t>
  </si>
  <si>
    <t xml:space="preserve">Мастера 45 - 49 </t>
  </si>
  <si>
    <t>125</t>
  </si>
  <si>
    <t>227,8368</t>
  </si>
  <si>
    <t>Кубок Южного Федерального Округа
Любители становая тяга без экипировки
Волжский/Волгоградская область 12 - 13 марта 2021 г.</t>
  </si>
  <si>
    <t>Никитин Сергей</t>
  </si>
  <si>
    <t>1. Никитин Сергей</t>
  </si>
  <si>
    <t>Открытая (28.03.1964)/56</t>
  </si>
  <si>
    <t>73,10</t>
  </si>
  <si>
    <t>2. Лозыбной Сергей</t>
  </si>
  <si>
    <t>Открытая (29.01.2002)/19</t>
  </si>
  <si>
    <t>Искаринов Аслан</t>
  </si>
  <si>
    <t>1. Искаринов Аслан</t>
  </si>
  <si>
    <t>Открытая (05.09.1998)/22</t>
  </si>
  <si>
    <t>82,05</t>
  </si>
  <si>
    <t>237,5</t>
  </si>
  <si>
    <t>247,5</t>
  </si>
  <si>
    <t>Открытая (16.08.1997)/23</t>
  </si>
  <si>
    <t>Епифанов Владимир</t>
  </si>
  <si>
    <t>1. Епифанов Владимир</t>
  </si>
  <si>
    <t>Мастера 50 - 54 (27.09.1970)/50</t>
  </si>
  <si>
    <t xml:space="preserve">Энгельс/Саратовская область </t>
  </si>
  <si>
    <t xml:space="preserve">Вершинин Алексей </t>
  </si>
  <si>
    <t>Гольдштейн Павел</t>
  </si>
  <si>
    <t>1. Гольдштейн Павел</t>
  </si>
  <si>
    <t>Мастера 40 - 44 (30.07.1978)/42</t>
  </si>
  <si>
    <t>97,00</t>
  </si>
  <si>
    <t>Вдовикин Дмитрий</t>
  </si>
  <si>
    <t>1. Вдовикин Дмитрий</t>
  </si>
  <si>
    <t>Открытая (28.03.2001)/19</t>
  </si>
  <si>
    <t>111,10</t>
  </si>
  <si>
    <t xml:space="preserve">Элиста/Калмыкия республика </t>
  </si>
  <si>
    <t>Каменнов Михаил</t>
  </si>
  <si>
    <t>2. Каменнов Михаил</t>
  </si>
  <si>
    <t>Открытая (12.04.2001)/19</t>
  </si>
  <si>
    <t>119,70</t>
  </si>
  <si>
    <t>77,5</t>
  </si>
  <si>
    <t>82,5</t>
  </si>
  <si>
    <t>167,5</t>
  </si>
  <si>
    <t>149,0848</t>
  </si>
  <si>
    <t>147,6419</t>
  </si>
  <si>
    <t>139,0310</t>
  </si>
  <si>
    <t>129,0975</t>
  </si>
  <si>
    <t>113,5005</t>
  </si>
  <si>
    <t>109,7438</t>
  </si>
  <si>
    <t>107,0400</t>
  </si>
  <si>
    <t>92,2775</t>
  </si>
  <si>
    <t xml:space="preserve">Мастера 50 - 54 </t>
  </si>
  <si>
    <t>144,1770</t>
  </si>
  <si>
    <t>127,5654</t>
  </si>
  <si>
    <t>Кубок Южного Федерального Округа
ПРО становая тяга без экипировки
Волжский/Волгоградская область 12 - 13 марта 2021 г.</t>
  </si>
  <si>
    <t>Новиков Роман</t>
  </si>
  <si>
    <t>1. Новиков Роман</t>
  </si>
  <si>
    <t>Открытая (10.07.1982)/38</t>
  </si>
  <si>
    <t>280,0</t>
  </si>
  <si>
    <t>300,0</t>
  </si>
  <si>
    <t>152,2360</t>
  </si>
  <si>
    <t>Кубок Южного Федерального Округа
Силовое двоеборье любители
Волжский/Волгоградская область 12 - 13 марта 2021 г.</t>
  </si>
  <si>
    <t>1. Каменнов Михаил</t>
  </si>
  <si>
    <t>Юноши 18 - 19 (12.04.2001)/19</t>
  </si>
  <si>
    <t>257,5</t>
  </si>
  <si>
    <t>141,2109</t>
  </si>
  <si>
    <t>270,0</t>
  </si>
  <si>
    <t>230,0165</t>
  </si>
  <si>
    <t>Кубок Южного Федерального Округа
Одиночный жим штанги стоя Любители
Волжский/Волгоградская область 12 - 13 марта 2021 г.</t>
  </si>
  <si>
    <t>Жим стоя</t>
  </si>
  <si>
    <t>Барабанщиков Александр</t>
  </si>
  <si>
    <t>1. Барабанщиков Александр</t>
  </si>
  <si>
    <t>Юниоры 20 - 23 (14.01.1998)/23</t>
  </si>
  <si>
    <t>58,80</t>
  </si>
  <si>
    <t>Прокофьев Алексей</t>
  </si>
  <si>
    <t>1. Прокофьев Алексей</t>
  </si>
  <si>
    <t>Открытая (22.02.1991)/30</t>
  </si>
  <si>
    <t>88,60</t>
  </si>
  <si>
    <t>49,8060</t>
  </si>
  <si>
    <t>53,1900</t>
  </si>
  <si>
    <t>Кубок Южного Федерального Округа
Одиночный подъём штанги на бицепс Любители
Волжский/Волгоградская область 12 - 13 марта 2021 г.</t>
  </si>
  <si>
    <t>Подъем на бицепс</t>
  </si>
  <si>
    <t>Серухина Софья</t>
  </si>
  <si>
    <t>1. Серухина Софья</t>
  </si>
  <si>
    <t>Девушки 0-13 (17.11.2009)/11</t>
  </si>
  <si>
    <t>55,90</t>
  </si>
  <si>
    <t xml:space="preserve">Здоровая нация </t>
  </si>
  <si>
    <t>17,5</t>
  </si>
  <si>
    <t>20,0</t>
  </si>
  <si>
    <t>22,5</t>
  </si>
  <si>
    <t xml:space="preserve">Горбачёв Владимир Петрович </t>
  </si>
  <si>
    <t>52,5</t>
  </si>
  <si>
    <t>Бычков Глеб</t>
  </si>
  <si>
    <t>1. Бычков Глеб</t>
  </si>
  <si>
    <t>Юноши 16 - 17 (22.10.2003)/17</t>
  </si>
  <si>
    <t>64,50</t>
  </si>
  <si>
    <t>42,5</t>
  </si>
  <si>
    <t>Мирзабеков Чингиз</t>
  </si>
  <si>
    <t>1. Мирзабеков Чингиз</t>
  </si>
  <si>
    <t>Открытая (13.05.1995)/25</t>
  </si>
  <si>
    <t>74,50</t>
  </si>
  <si>
    <t>Жуликов Владислав</t>
  </si>
  <si>
    <t>1. Жуликов Владислав</t>
  </si>
  <si>
    <t>Юноши 18 - 19 (02.07.2002)/18</t>
  </si>
  <si>
    <t>82,40</t>
  </si>
  <si>
    <t>57,5</t>
  </si>
  <si>
    <t>Ханов Агамагомед</t>
  </si>
  <si>
    <t>1. Ханов Агамагомед</t>
  </si>
  <si>
    <t>Открытая (13.04.1994)/26</t>
  </si>
  <si>
    <t>80,45</t>
  </si>
  <si>
    <t>65,0</t>
  </si>
  <si>
    <t>Кривэ Евгений</t>
  </si>
  <si>
    <t>2. Кривэ Евгений</t>
  </si>
  <si>
    <t>Открытая (26.11.1986)/34</t>
  </si>
  <si>
    <t>83,70</t>
  </si>
  <si>
    <t>Крылов Сергей</t>
  </si>
  <si>
    <t>3. Крылов Сергей</t>
  </si>
  <si>
    <t>Открытая (07.05.1986)/34</t>
  </si>
  <si>
    <t>88,75</t>
  </si>
  <si>
    <t xml:space="preserve">Городище/Волгоградская область </t>
  </si>
  <si>
    <t xml:space="preserve">Кривэ Евгений </t>
  </si>
  <si>
    <t>67,5</t>
  </si>
  <si>
    <t>Горбачёв Владимир</t>
  </si>
  <si>
    <t>1. Горбачёв Владимир</t>
  </si>
  <si>
    <t>Открытая (07.07.1975)/45</t>
  </si>
  <si>
    <t>92,00</t>
  </si>
  <si>
    <t>72,5</t>
  </si>
  <si>
    <t xml:space="preserve">Девушки </t>
  </si>
  <si>
    <t>25,2756</t>
  </si>
  <si>
    <t>37,7768</t>
  </si>
  <si>
    <t xml:space="preserve">Юноши 16 - 17 </t>
  </si>
  <si>
    <t>36,7805</t>
  </si>
  <si>
    <t>45,6555</t>
  </si>
  <si>
    <t>41,3700</t>
  </si>
  <si>
    <t>40,9760</t>
  </si>
  <si>
    <t>40,4530</t>
  </si>
  <si>
    <t>39,8580</t>
  </si>
  <si>
    <t>33,9423</t>
  </si>
  <si>
    <t>31,7300</t>
  </si>
  <si>
    <t>46,3426</t>
  </si>
  <si>
    <t>Кубок Южного Федерального Округа
Пауэрспорт Любители
Волжский/Волгоградская область 12 - 13 марта 2021 г.</t>
  </si>
  <si>
    <t>94,5600</t>
  </si>
  <si>
    <t>Кубок Южного Федерального Округа
Пауэрспорт Профессионалы
Волжский/Волгоградская область 12 - 13 марта 2021 г.</t>
  </si>
  <si>
    <t>Костин Григорий</t>
  </si>
  <si>
    <t>1. Костин Григорий</t>
  </si>
  <si>
    <t>Открытая (28.06.1994)/26</t>
  </si>
  <si>
    <t>99,00</t>
  </si>
  <si>
    <t>Васильев Алексей</t>
  </si>
  <si>
    <t>2. Васильев Алексей</t>
  </si>
  <si>
    <t>Открытая (18.01.1982)/39</t>
  </si>
  <si>
    <t>95,50</t>
  </si>
  <si>
    <t xml:space="preserve">Гризли </t>
  </si>
  <si>
    <t>117,5</t>
  </si>
  <si>
    <t>80,0</t>
  </si>
  <si>
    <t xml:space="preserve">Костин Григорий </t>
  </si>
  <si>
    <t>119,6475</t>
  </si>
  <si>
    <t>113,2600</t>
  </si>
  <si>
    <t>Кубок Южного Федерального Округа
Любители народный жим (1 вес)
Волжский/Волгоградская область 12 - 13 марта 2021 г.</t>
  </si>
  <si>
    <t>НАП Н.Ж.</t>
  </si>
  <si>
    <t>Народный жим</t>
  </si>
  <si>
    <t>Рогачёв Юрий</t>
  </si>
  <si>
    <t>1. Рогачёв Юрий</t>
  </si>
  <si>
    <t>Открытая (07.09.1989)/31</t>
  </si>
  <si>
    <t>80,00</t>
  </si>
  <si>
    <t>46,0</t>
  </si>
  <si>
    <t xml:space="preserve">НАП Н.Ж. </t>
  </si>
  <si>
    <t>3680,0</t>
  </si>
  <si>
    <t>2870,3999</t>
  </si>
  <si>
    <t>Тоннаж</t>
  </si>
  <si>
    <t>Кубок Южного Федерального Округа
Любители народный жим (1/2 вес)
Волжский/Волгоградская область 12 - 13 марта 2021 г.</t>
  </si>
  <si>
    <t>Орлова Умида</t>
  </si>
  <si>
    <t>1. Орлова Умида</t>
  </si>
  <si>
    <t>Юниорки 20 - 23 (26.09.1998)/22</t>
  </si>
  <si>
    <t>53,70</t>
  </si>
  <si>
    <t>27,5</t>
  </si>
  <si>
    <t>58,0</t>
  </si>
  <si>
    <t>Кирсанов Александр</t>
  </si>
  <si>
    <t>1. Кирсанов Александр</t>
  </si>
  <si>
    <t>Юноши 14-15 (07.09.2006)/14</t>
  </si>
  <si>
    <t>65,40</t>
  </si>
  <si>
    <t>35,0</t>
  </si>
  <si>
    <t>17,0</t>
  </si>
  <si>
    <t>Проскурин Александр</t>
  </si>
  <si>
    <t>1. Проскурин Александр</t>
  </si>
  <si>
    <t>Юноши 16 - 17 (15.12.2004)/16</t>
  </si>
  <si>
    <t>81,70</t>
  </si>
  <si>
    <t>1595,0</t>
  </si>
  <si>
    <t>1524,6605</t>
  </si>
  <si>
    <t>722,5</t>
  </si>
  <si>
    <t>551,8455</t>
  </si>
  <si>
    <t>595,0</t>
  </si>
  <si>
    <t>509,4985</t>
  </si>
  <si>
    <t>Кубок Южного Федерального Округа
Профессионалы народный жим (1/2 вес)
Волжский/Волгоградская область 12 - 13 марта 2021 г.</t>
  </si>
  <si>
    <t>25,0</t>
  </si>
  <si>
    <t>21,0</t>
  </si>
  <si>
    <t>750,0</t>
  </si>
  <si>
    <t>723,7500</t>
  </si>
  <si>
    <t>735,0</t>
  </si>
  <si>
    <t>628,4250</t>
  </si>
  <si>
    <t>Кубок Южного Федерального Округа
Русский жим любители 35 кг.
Волжский/Волгоградская область 12 - 13 марта 2021 г.</t>
  </si>
  <si>
    <t>Кубок Южного Федерального Округа
Русский жим любители 55 кг.
Волжский/Волгоградская область 12 - 13 марта 2021 г.</t>
  </si>
  <si>
    <t>Атлетизм</t>
  </si>
  <si>
    <t>Русский жим</t>
  </si>
  <si>
    <t>ВЕСОВАЯ КАТЕГОРИЯ   All</t>
  </si>
  <si>
    <t>31,0</t>
  </si>
  <si>
    <t>Гизетдинов Павел</t>
  </si>
  <si>
    <t>1. Гизетдинов Павел</t>
  </si>
  <si>
    <t>Юниоры 20 - 23 (31.08.1998)/22</t>
  </si>
  <si>
    <t>91,55</t>
  </si>
  <si>
    <t>24,0</t>
  </si>
  <si>
    <t>62,0</t>
  </si>
  <si>
    <t>2. Мирзабеков Чингиз</t>
  </si>
  <si>
    <t>Цыбульник Евгений</t>
  </si>
  <si>
    <t>3. Цыбульник Евгений</t>
  </si>
  <si>
    <t>Открытая (06.03.1994)/27</t>
  </si>
  <si>
    <t>93,55</t>
  </si>
  <si>
    <t>4. Гизетдинов Павел</t>
  </si>
  <si>
    <t>Открытая (31.08.1998)/22</t>
  </si>
  <si>
    <t>Тычков Владимир</t>
  </si>
  <si>
    <t>1. Тычков Владимир</t>
  </si>
  <si>
    <t>Мастера 45 - 49 (16.05.1971)/49</t>
  </si>
  <si>
    <t>97,40</t>
  </si>
  <si>
    <t>63,0</t>
  </si>
  <si>
    <t xml:space="preserve">Атлетизм </t>
  </si>
  <si>
    <t>All</t>
  </si>
  <si>
    <t>1705,0</t>
  </si>
  <si>
    <t>20,6917</t>
  </si>
  <si>
    <t>1320,0</t>
  </si>
  <si>
    <t>14,4183</t>
  </si>
  <si>
    <t>3410,0</t>
  </si>
  <si>
    <t>37,0652</t>
  </si>
  <si>
    <t>22,8859</t>
  </si>
  <si>
    <t>18,2255</t>
  </si>
  <si>
    <t>3465,0</t>
  </si>
  <si>
    <t>35,5749</t>
  </si>
  <si>
    <t>Кубок Южного Федерального Округа
Русский жим любители 75 кг.
Волжский/Волгоградская область 12 - 13 марта 2021 г.</t>
  </si>
  <si>
    <t>48,0</t>
  </si>
  <si>
    <t>3600,0</t>
  </si>
  <si>
    <t>45,0000</t>
  </si>
  <si>
    <t>Кубок Южного Федерального Округа
Русская станова тяга любители 150 кг.
Волжский/Волгоградская область 12 - 13 марта 2021 г.</t>
  </si>
  <si>
    <t>Русская становая</t>
  </si>
  <si>
    <t>3150,0</t>
  </si>
  <si>
    <t>43,0916</t>
  </si>
  <si>
    <t>Кубок Южного Федерального Округа
Русская станова тяга любители 200 кг.
Волжский/Волгоградская область 12 - 13 марта 2021 г.</t>
  </si>
  <si>
    <t>12,0</t>
  </si>
  <si>
    <t>2400,0</t>
  </si>
  <si>
    <t>29,2504</t>
  </si>
  <si>
    <t>1. Власов Андрей</t>
  </si>
  <si>
    <t>Юноши 0-13(23.04.2008)12</t>
  </si>
  <si>
    <t>90,85</t>
  </si>
  <si>
    <t>Здоровая нация</t>
  </si>
  <si>
    <t>Волжский(Волгоградская область)</t>
  </si>
  <si>
    <t>35</t>
  </si>
  <si>
    <t>19</t>
  </si>
  <si>
    <t>665</t>
  </si>
  <si>
    <t>7,3197</t>
  </si>
  <si>
    <t>Юноши 0-13(17.11.2009)11</t>
  </si>
  <si>
    <t>55,9</t>
  </si>
  <si>
    <t>46</t>
  </si>
  <si>
    <t>920</t>
  </si>
  <si>
    <t>16,4579</t>
  </si>
  <si>
    <t>ВЕСОВАЯ КАТЕГОРИЯ   48</t>
  </si>
  <si>
    <t>1. Шестаков Михаил</t>
  </si>
  <si>
    <t>Юноши 0-13(07.02.2011)10</t>
  </si>
  <si>
    <t>32</t>
  </si>
  <si>
    <t>Асаки</t>
  </si>
  <si>
    <t>18</t>
  </si>
  <si>
    <t>360</t>
  </si>
  <si>
    <t>11,25</t>
  </si>
  <si>
    <t>1. Горпиненко Михаил</t>
  </si>
  <si>
    <t>Юноши 0-13(11.01.2011)9</t>
  </si>
  <si>
    <t>71,40</t>
  </si>
  <si>
    <t>64</t>
  </si>
  <si>
    <t>1280</t>
  </si>
  <si>
    <t>17,9271</t>
  </si>
  <si>
    <t>Девушки</t>
  </si>
  <si>
    <t>Девушки 0 -13</t>
  </si>
  <si>
    <t>Юноши 0 -13</t>
  </si>
  <si>
    <t>44</t>
  </si>
  <si>
    <t>11,2561</t>
  </si>
  <si>
    <t>Кубок Южного Федерального Округа
Русский жим любители 20 кг.
Волжский/Волгоградская область 12 - 13 марта 2021 г.</t>
  </si>
  <si>
    <t>Евтушенко В.А.</t>
  </si>
  <si>
    <t>Аныкина Д.С.</t>
  </si>
  <si>
    <t>Харламов В.В.</t>
  </si>
  <si>
    <t>Самаркина Л.А.</t>
  </si>
  <si>
    <t>Блинкова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</si>
</sst>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i/>
      <sz val="12"/>
      <name val="Arial Cyr"/>
      <charset val="204"/>
    </font>
    <font>
      <strike/>
      <sz val="10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49" fontId="0" fillId="0" borderId="0" xfId="0" applyNumberForma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left"/>
    </xf>
    <xf numFmtId="49" fontId="0" fillId="0" borderId="11" xfId="0" applyNumberFormat="1" applyFont="1" applyFill="1" applyBorder="1" applyAlignment="1">
      <alignment horizontal="center"/>
    </xf>
    <xf numFmtId="49" fontId="6" fillId="0" borderId="11" xfId="0" applyNumberFormat="1" applyFont="1" applyFill="1" applyBorder="1" applyAlignment="1">
      <alignment horizontal="center"/>
    </xf>
    <xf numFmtId="49" fontId="0" fillId="0" borderId="13" xfId="0" applyNumberFormat="1" applyFont="1" applyFill="1" applyBorder="1" applyAlignment="1">
      <alignment horizontal="left"/>
    </xf>
    <xf numFmtId="49" fontId="0" fillId="0" borderId="13" xfId="0" applyNumberFormat="1" applyFont="1" applyFill="1" applyBorder="1" applyAlignment="1">
      <alignment horizontal="center"/>
    </xf>
    <xf numFmtId="49" fontId="6" fillId="0" borderId="13" xfId="0" applyNumberFormat="1" applyFont="1" applyFill="1" applyBorder="1" applyAlignment="1">
      <alignment horizontal="center"/>
    </xf>
    <xf numFmtId="49" fontId="0" fillId="0" borderId="14" xfId="0" applyNumberFormat="1" applyFont="1" applyFill="1" applyBorder="1" applyAlignment="1">
      <alignment horizontal="left"/>
    </xf>
    <xf numFmtId="49" fontId="0" fillId="0" borderId="14" xfId="0" applyNumberFormat="1" applyFont="1" applyFill="1" applyBorder="1" applyAlignment="1">
      <alignment horizontal="center"/>
    </xf>
    <xf numFmtId="49" fontId="6" fillId="0" borderId="14" xfId="0" applyNumberFormat="1" applyFont="1" applyFill="1" applyBorder="1" applyAlignment="1">
      <alignment horizontal="center"/>
    </xf>
    <xf numFmtId="49" fontId="0" fillId="0" borderId="8" xfId="0" applyNumberFormat="1" applyFont="1" applyFill="1" applyBorder="1" applyAlignment="1">
      <alignment horizontal="left"/>
    </xf>
    <xf numFmtId="49" fontId="0" fillId="0" borderId="8" xfId="0" applyNumberFormat="1" applyFont="1" applyFill="1" applyBorder="1" applyAlignment="1">
      <alignment horizontal="center"/>
    </xf>
    <xf numFmtId="49" fontId="6" fillId="0" borderId="8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left"/>
    </xf>
    <xf numFmtId="49" fontId="1" fillId="0" borderId="0" xfId="0" applyNumberFormat="1" applyFont="1" applyFill="1" applyBorder="1" applyAlignment="1">
      <alignment horizontal="left"/>
    </xf>
    <xf numFmtId="49" fontId="1" fillId="0" borderId="11" xfId="0" applyNumberFormat="1" applyFont="1" applyFill="1" applyBorder="1" applyAlignment="1">
      <alignment horizontal="left"/>
    </xf>
    <xf numFmtId="49" fontId="1" fillId="0" borderId="11" xfId="0" applyNumberFormat="1" applyFont="1" applyFill="1" applyBorder="1" applyAlignment="1">
      <alignment horizontal="center"/>
    </xf>
    <xf numFmtId="49" fontId="1" fillId="0" borderId="13" xfId="0" applyNumberFormat="1" applyFont="1" applyFill="1" applyBorder="1" applyAlignment="1">
      <alignment horizontal="left"/>
    </xf>
    <xf numFmtId="49" fontId="1" fillId="0" borderId="13" xfId="0" applyNumberFormat="1" applyFont="1" applyFill="1" applyBorder="1" applyAlignment="1">
      <alignment horizontal="center"/>
    </xf>
    <xf numFmtId="49" fontId="1" fillId="0" borderId="14" xfId="0" applyNumberFormat="1" applyFont="1" applyFill="1" applyBorder="1" applyAlignment="1">
      <alignment horizontal="left"/>
    </xf>
    <xf numFmtId="49" fontId="1" fillId="0" borderId="14" xfId="0" applyNumberFormat="1" applyFont="1" applyFill="1" applyBorder="1" applyAlignment="1">
      <alignment horizontal="center"/>
    </xf>
    <xf numFmtId="49" fontId="1" fillId="0" borderId="8" xfId="0" applyNumberFormat="1" applyFont="1" applyFill="1" applyBorder="1" applyAlignment="1">
      <alignment horizontal="left"/>
    </xf>
    <xf numFmtId="49" fontId="1" fillId="0" borderId="8" xfId="0" applyNumberFormat="1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left"/>
    </xf>
    <xf numFmtId="49" fontId="0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/>
    </xf>
    <xf numFmtId="49" fontId="2" fillId="0" borderId="11" xfId="0" applyNumberFormat="1" applyFont="1" applyFill="1" applyBorder="1" applyAlignment="1">
      <alignment horizontal="center" vertical="center"/>
    </xf>
    <xf numFmtId="49" fontId="0" fillId="0" borderId="11" xfId="0" applyNumberFormat="1" applyFill="1" applyBorder="1" applyAlignment="1">
      <alignment horizontal="left"/>
    </xf>
    <xf numFmtId="49" fontId="0" fillId="0" borderId="11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left"/>
    </xf>
    <xf numFmtId="49" fontId="5" fillId="0" borderId="0" xfId="0" applyNumberFormat="1" applyFont="1" applyBorder="1" applyAlignment="1">
      <alignment horizontal="center"/>
    </xf>
    <xf numFmtId="49" fontId="8" fillId="0" borderId="11" xfId="0" applyNumberFormat="1" applyFont="1" applyFill="1" applyBorder="1" applyAlignment="1">
      <alignment horizontal="left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/>
    </xf>
    <xf numFmtId="49" fontId="5" fillId="0" borderId="10" xfId="0" applyNumberFormat="1" applyFont="1" applyBorder="1" applyAlignment="1">
      <alignment horizontal="center"/>
    </xf>
    <xf numFmtId="49" fontId="5" fillId="0" borderId="12" xfId="0" applyNumberFormat="1" applyFont="1" applyFill="1" applyBorder="1" applyAlignment="1">
      <alignment horizontal="center"/>
    </xf>
    <xf numFmtId="49" fontId="5" fillId="0" borderId="15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F15" sqref="F15"/>
    </sheetView>
  </sheetViews>
  <sheetFormatPr defaultColWidth="9.140625"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1.7109375" style="4" bestFit="1" customWidth="1"/>
    <col min="7" max="7" width="5.5703125" style="3" customWidth="1"/>
    <col min="8" max="8" width="10.42578125" style="3" customWidth="1"/>
    <col min="9" max="9" width="7.85546875" style="20" bestFit="1" customWidth="1"/>
    <col min="10" max="10" width="7.5703125" style="2" bestFit="1" customWidth="1"/>
    <col min="11" max="11" width="24.140625" style="4" bestFit="1" customWidth="1"/>
    <col min="12" max="16384" width="9.140625" style="3"/>
  </cols>
  <sheetData>
    <row r="1" spans="1:11" s="2" customFormat="1" ht="29.1" customHeight="1" x14ac:dyDescent="0.2">
      <c r="A1" s="40" t="s">
        <v>527</v>
      </c>
      <c r="B1" s="41"/>
      <c r="C1" s="41"/>
      <c r="D1" s="41"/>
      <c r="E1" s="41"/>
      <c r="F1" s="41"/>
      <c r="G1" s="41"/>
      <c r="H1" s="41"/>
      <c r="I1" s="41"/>
      <c r="J1" s="41"/>
      <c r="K1" s="42"/>
    </row>
    <row r="2" spans="1:11" s="2" customFormat="1" ht="62.1" customHeight="1" thickBot="1" x14ac:dyDescent="0.25">
      <c r="A2" s="43"/>
      <c r="B2" s="44"/>
      <c r="C2" s="44"/>
      <c r="D2" s="44"/>
      <c r="E2" s="44"/>
      <c r="F2" s="44"/>
      <c r="G2" s="44"/>
      <c r="H2" s="44"/>
      <c r="I2" s="44"/>
      <c r="J2" s="44"/>
      <c r="K2" s="45"/>
    </row>
    <row r="3" spans="1:11" s="1" customFormat="1" ht="12.75" customHeight="1" x14ac:dyDescent="0.2">
      <c r="A3" s="46" t="s">
        <v>0</v>
      </c>
      <c r="B3" s="48" t="s">
        <v>6</v>
      </c>
      <c r="C3" s="48" t="s">
        <v>10</v>
      </c>
      <c r="D3" s="50" t="s">
        <v>485</v>
      </c>
      <c r="E3" s="50" t="s">
        <v>4</v>
      </c>
      <c r="F3" s="50" t="s">
        <v>7</v>
      </c>
      <c r="G3" s="50" t="s">
        <v>524</v>
      </c>
      <c r="H3" s="50"/>
      <c r="I3" s="50" t="s">
        <v>452</v>
      </c>
      <c r="J3" s="50" t="s">
        <v>3</v>
      </c>
      <c r="K3" s="51" t="s">
        <v>2</v>
      </c>
    </row>
    <row r="4" spans="1:11" s="1" customFormat="1" ht="21" customHeight="1" thickBot="1" x14ac:dyDescent="0.25">
      <c r="A4" s="47"/>
      <c r="B4" s="49"/>
      <c r="C4" s="49"/>
      <c r="D4" s="49"/>
      <c r="E4" s="49"/>
      <c r="F4" s="49"/>
      <c r="G4" s="6" t="s">
        <v>8</v>
      </c>
      <c r="H4" s="6" t="s">
        <v>9</v>
      </c>
      <c r="I4" s="49"/>
      <c r="J4" s="49"/>
      <c r="K4" s="52"/>
    </row>
    <row r="5" spans="1:11" ht="15" x14ac:dyDescent="0.2">
      <c r="A5" s="53" t="s">
        <v>487</v>
      </c>
      <c r="B5" s="54"/>
      <c r="C5" s="54"/>
      <c r="D5" s="54"/>
      <c r="E5" s="54"/>
      <c r="F5" s="54"/>
      <c r="G5" s="54"/>
      <c r="H5" s="54"/>
    </row>
    <row r="6" spans="1:11" x14ac:dyDescent="0.2">
      <c r="A6" s="7" t="s">
        <v>300</v>
      </c>
      <c r="B6" s="7" t="s">
        <v>301</v>
      </c>
      <c r="C6" s="7" t="s">
        <v>302</v>
      </c>
      <c r="D6" s="7" t="str">
        <f>"1,0000"</f>
        <v>1,0000</v>
      </c>
      <c r="E6" s="7" t="s">
        <v>38</v>
      </c>
      <c r="F6" s="7" t="s">
        <v>22</v>
      </c>
      <c r="G6" s="8" t="s">
        <v>102</v>
      </c>
      <c r="H6" s="8" t="s">
        <v>528</v>
      </c>
      <c r="I6" s="21" t="str">
        <f>"2400,0"</f>
        <v>2400,0</v>
      </c>
      <c r="J6" s="22" t="str">
        <f>"29,2504"</f>
        <v>29,2504</v>
      </c>
      <c r="K6" s="7" t="s">
        <v>45</v>
      </c>
    </row>
    <row r="8" spans="1:11" ht="15" x14ac:dyDescent="0.2">
      <c r="E8" s="19" t="s">
        <v>104</v>
      </c>
      <c r="F8" s="37" t="s">
        <v>565</v>
      </c>
    </row>
    <row r="9" spans="1:11" ht="15" x14ac:dyDescent="0.2">
      <c r="E9" s="19" t="s">
        <v>105</v>
      </c>
      <c r="F9" s="37" t="s">
        <v>566</v>
      </c>
    </row>
    <row r="10" spans="1:11" ht="15" x14ac:dyDescent="0.2">
      <c r="E10" s="19" t="s">
        <v>106</v>
      </c>
      <c r="F10" s="37" t="s">
        <v>567</v>
      </c>
    </row>
    <row r="11" spans="1:11" ht="15" x14ac:dyDescent="0.2">
      <c r="E11" s="19" t="s">
        <v>107</v>
      </c>
      <c r="F11" s="37" t="s">
        <v>568</v>
      </c>
    </row>
    <row r="12" spans="1:11" ht="15" x14ac:dyDescent="0.2">
      <c r="E12" s="19" t="s">
        <v>107</v>
      </c>
      <c r="F12" s="37" t="s">
        <v>569</v>
      </c>
    </row>
    <row r="13" spans="1:11" ht="15" x14ac:dyDescent="0.2">
      <c r="E13" s="19"/>
    </row>
    <row r="14" spans="1:11" ht="15" x14ac:dyDescent="0.2">
      <c r="E14" s="19"/>
    </row>
    <row r="16" spans="1:11" ht="18" x14ac:dyDescent="0.25">
      <c r="A16" s="29" t="s">
        <v>108</v>
      </c>
      <c r="B16" s="29"/>
    </row>
    <row r="17" spans="1:5" ht="15" x14ac:dyDescent="0.2">
      <c r="A17" s="30" t="s">
        <v>123</v>
      </c>
      <c r="B17" s="30"/>
    </row>
    <row r="18" spans="1:5" ht="14.25" x14ac:dyDescent="0.2">
      <c r="A18" s="32"/>
      <c r="B18" s="33" t="s">
        <v>135</v>
      </c>
    </row>
    <row r="19" spans="1:5" ht="15" x14ac:dyDescent="0.2">
      <c r="A19" s="34" t="s">
        <v>111</v>
      </c>
      <c r="B19" s="34" t="s">
        <v>112</v>
      </c>
      <c r="C19" s="34" t="s">
        <v>113</v>
      </c>
      <c r="D19" s="34" t="s">
        <v>160</v>
      </c>
      <c r="E19" s="34" t="s">
        <v>507</v>
      </c>
    </row>
    <row r="20" spans="1:5" x14ac:dyDescent="0.2">
      <c r="A20" s="31" t="s">
        <v>299</v>
      </c>
      <c r="B20" s="4" t="s">
        <v>135</v>
      </c>
      <c r="C20" s="4" t="s">
        <v>508</v>
      </c>
      <c r="D20" s="4" t="s">
        <v>529</v>
      </c>
      <c r="E20" s="20" t="s">
        <v>530</v>
      </c>
    </row>
  </sheetData>
  <mergeCells count="12">
    <mergeCell ref="A5:H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workbookViewId="0">
      <selection activeCell="E14" sqref="E14"/>
    </sheetView>
  </sheetViews>
  <sheetFormatPr defaultColWidth="9.140625"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9.28515625" style="4" bestFit="1" customWidth="1"/>
    <col min="5" max="5" width="22.7109375" style="4" bestFit="1" customWidth="1"/>
    <col min="6" max="6" width="31.7109375" style="4" bestFit="1" customWidth="1"/>
    <col min="7" max="9" width="5.5703125" style="3" customWidth="1"/>
    <col min="10" max="10" width="4.85546875" style="3" customWidth="1"/>
    <col min="11" max="13" width="4.5703125" style="3" customWidth="1"/>
    <col min="14" max="14" width="4.85546875" style="3" customWidth="1"/>
    <col min="15" max="15" width="7.85546875" style="20" bestFit="1" customWidth="1"/>
    <col min="16" max="16" width="8.5703125" style="2" bestFit="1" customWidth="1"/>
    <col min="17" max="17" width="15.85546875" style="4" bestFit="1" customWidth="1"/>
    <col min="18" max="16384" width="9.140625" style="3"/>
  </cols>
  <sheetData>
    <row r="1" spans="1:17" s="2" customFormat="1" ht="29.1" customHeight="1" x14ac:dyDescent="0.2">
      <c r="A1" s="40" t="s">
        <v>426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2"/>
    </row>
    <row r="2" spans="1:17" s="2" customFormat="1" ht="62.1" customHeight="1" thickBot="1" x14ac:dyDescent="0.25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5"/>
    </row>
    <row r="3" spans="1:17" s="1" customFormat="1" ht="12.75" customHeight="1" x14ac:dyDescent="0.2">
      <c r="A3" s="46" t="s">
        <v>0</v>
      </c>
      <c r="B3" s="48" t="s">
        <v>6</v>
      </c>
      <c r="C3" s="48" t="s">
        <v>10</v>
      </c>
      <c r="D3" s="50" t="s">
        <v>12</v>
      </c>
      <c r="E3" s="50" t="s">
        <v>4</v>
      </c>
      <c r="F3" s="50" t="s">
        <v>7</v>
      </c>
      <c r="G3" s="50" t="s">
        <v>353</v>
      </c>
      <c r="H3" s="50"/>
      <c r="I3" s="50"/>
      <c r="J3" s="50"/>
      <c r="K3" s="50" t="s">
        <v>365</v>
      </c>
      <c r="L3" s="50"/>
      <c r="M3" s="50"/>
      <c r="N3" s="50"/>
      <c r="O3" s="50" t="s">
        <v>1</v>
      </c>
      <c r="P3" s="50" t="s">
        <v>3</v>
      </c>
      <c r="Q3" s="51" t="s">
        <v>2</v>
      </c>
    </row>
    <row r="4" spans="1:17" s="1" customFormat="1" ht="21" customHeight="1" thickBot="1" x14ac:dyDescent="0.25">
      <c r="A4" s="47"/>
      <c r="B4" s="49"/>
      <c r="C4" s="49"/>
      <c r="D4" s="49"/>
      <c r="E4" s="49"/>
      <c r="F4" s="49"/>
      <c r="G4" s="6">
        <v>1</v>
      </c>
      <c r="H4" s="6">
        <v>2</v>
      </c>
      <c r="I4" s="6">
        <v>3</v>
      </c>
      <c r="J4" s="6" t="s">
        <v>5</v>
      </c>
      <c r="K4" s="6">
        <v>1</v>
      </c>
      <c r="L4" s="6">
        <v>2</v>
      </c>
      <c r="M4" s="6">
        <v>3</v>
      </c>
      <c r="N4" s="6" t="s">
        <v>5</v>
      </c>
      <c r="O4" s="49"/>
      <c r="P4" s="49"/>
      <c r="Q4" s="52"/>
    </row>
    <row r="5" spans="1:17" ht="15" x14ac:dyDescent="0.2">
      <c r="A5" s="53" t="s">
        <v>97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</row>
    <row r="6" spans="1:17" x14ac:dyDescent="0.2">
      <c r="A6" s="10" t="s">
        <v>428</v>
      </c>
      <c r="B6" s="10" t="s">
        <v>429</v>
      </c>
      <c r="C6" s="10" t="s">
        <v>430</v>
      </c>
      <c r="D6" s="10" t="str">
        <f>"0,5565"</f>
        <v>0,5565</v>
      </c>
      <c r="E6" s="10" t="s">
        <v>21</v>
      </c>
      <c r="F6" s="10" t="s">
        <v>22</v>
      </c>
      <c r="G6" s="11" t="s">
        <v>246</v>
      </c>
      <c r="H6" s="11" t="s">
        <v>31</v>
      </c>
      <c r="I6" s="12"/>
      <c r="J6" s="12"/>
      <c r="K6" s="11" t="s">
        <v>40</v>
      </c>
      <c r="L6" s="11" t="s">
        <v>207</v>
      </c>
      <c r="M6" s="12" t="s">
        <v>41</v>
      </c>
      <c r="N6" s="12"/>
      <c r="O6" s="23" t="str">
        <f>"215,0"</f>
        <v>215,0</v>
      </c>
      <c r="P6" s="24" t="str">
        <f>"119,6475"</f>
        <v>119,6475</v>
      </c>
      <c r="Q6" s="10" t="s">
        <v>96</v>
      </c>
    </row>
    <row r="7" spans="1:17" x14ac:dyDescent="0.2">
      <c r="A7" s="16" t="s">
        <v>432</v>
      </c>
      <c r="B7" s="16" t="s">
        <v>433</v>
      </c>
      <c r="C7" s="16" t="s">
        <v>434</v>
      </c>
      <c r="D7" s="16" t="str">
        <f>"0,5663"</f>
        <v>0,5663</v>
      </c>
      <c r="E7" s="16" t="s">
        <v>435</v>
      </c>
      <c r="F7" s="16" t="s">
        <v>22</v>
      </c>
      <c r="G7" s="17" t="s">
        <v>42</v>
      </c>
      <c r="H7" s="17" t="s">
        <v>246</v>
      </c>
      <c r="I7" s="17" t="s">
        <v>436</v>
      </c>
      <c r="J7" s="18"/>
      <c r="K7" s="17" t="s">
        <v>25</v>
      </c>
      <c r="L7" s="18" t="s">
        <v>437</v>
      </c>
      <c r="M7" s="17" t="s">
        <v>325</v>
      </c>
      <c r="N7" s="18"/>
      <c r="O7" s="27" t="str">
        <f>"200,0"</f>
        <v>200,0</v>
      </c>
      <c r="P7" s="28" t="str">
        <f>"113,2600"</f>
        <v>113,2600</v>
      </c>
      <c r="Q7" s="16" t="s">
        <v>438</v>
      </c>
    </row>
    <row r="9" spans="1:17" ht="15" x14ac:dyDescent="0.2">
      <c r="E9" s="19" t="s">
        <v>104</v>
      </c>
      <c r="F9" s="37" t="s">
        <v>565</v>
      </c>
    </row>
    <row r="10" spans="1:17" ht="15" x14ac:dyDescent="0.2">
      <c r="E10" s="19" t="s">
        <v>105</v>
      </c>
      <c r="F10" s="37" t="s">
        <v>566</v>
      </c>
    </row>
    <row r="11" spans="1:17" ht="15" x14ac:dyDescent="0.2">
      <c r="E11" s="19" t="s">
        <v>106</v>
      </c>
      <c r="F11" s="37" t="s">
        <v>567</v>
      </c>
    </row>
    <row r="12" spans="1:17" ht="15" x14ac:dyDescent="0.2">
      <c r="E12" s="19" t="s">
        <v>107</v>
      </c>
      <c r="F12" s="37" t="s">
        <v>568</v>
      </c>
    </row>
    <row r="13" spans="1:17" ht="15" x14ac:dyDescent="0.2">
      <c r="E13" s="19" t="s">
        <v>107</v>
      </c>
      <c r="F13" s="37" t="s">
        <v>569</v>
      </c>
    </row>
    <row r="14" spans="1:17" ht="15" x14ac:dyDescent="0.2">
      <c r="E14" s="19"/>
    </row>
    <row r="15" spans="1:17" ht="15" x14ac:dyDescent="0.2">
      <c r="E15" s="19"/>
    </row>
    <row r="17" spans="1:5" ht="18" x14ac:dyDescent="0.25">
      <c r="A17" s="29" t="s">
        <v>108</v>
      </c>
      <c r="B17" s="29"/>
    </row>
    <row r="18" spans="1:5" ht="15" x14ac:dyDescent="0.2">
      <c r="A18" s="30" t="s">
        <v>123</v>
      </c>
      <c r="B18" s="30"/>
    </row>
    <row r="19" spans="1:5" ht="14.25" x14ac:dyDescent="0.2">
      <c r="A19" s="32"/>
      <c r="B19" s="33" t="s">
        <v>135</v>
      </c>
    </row>
    <row r="20" spans="1:5" ht="15" x14ac:dyDescent="0.2">
      <c r="A20" s="34" t="s">
        <v>111</v>
      </c>
      <c r="B20" s="34" t="s">
        <v>112</v>
      </c>
      <c r="C20" s="34" t="s">
        <v>113</v>
      </c>
      <c r="D20" s="34" t="s">
        <v>114</v>
      </c>
      <c r="E20" s="34" t="s">
        <v>115</v>
      </c>
    </row>
    <row r="21" spans="1:5" x14ac:dyDescent="0.2">
      <c r="A21" s="31" t="s">
        <v>427</v>
      </c>
      <c r="B21" s="4" t="s">
        <v>135</v>
      </c>
      <c r="C21" s="4" t="s">
        <v>138</v>
      </c>
      <c r="D21" s="4" t="s">
        <v>85</v>
      </c>
      <c r="E21" s="20" t="s">
        <v>439</v>
      </c>
    </row>
    <row r="22" spans="1:5" x14ac:dyDescent="0.2">
      <c r="A22" s="31" t="s">
        <v>431</v>
      </c>
      <c r="B22" s="4" t="s">
        <v>135</v>
      </c>
      <c r="C22" s="4" t="s">
        <v>138</v>
      </c>
      <c r="D22" s="4" t="s">
        <v>102</v>
      </c>
      <c r="E22" s="20" t="s">
        <v>440</v>
      </c>
    </row>
  </sheetData>
  <mergeCells count="13">
    <mergeCell ref="O3:O4"/>
    <mergeCell ref="P3:P4"/>
    <mergeCell ref="Q3:Q4"/>
    <mergeCell ref="A5:N5"/>
    <mergeCell ref="A1:Q2"/>
    <mergeCell ref="A3:A4"/>
    <mergeCell ref="B3:B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workbookViewId="0">
      <selection activeCell="F16" sqref="F16"/>
    </sheetView>
  </sheetViews>
  <sheetFormatPr defaultColWidth="9.140625"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9.28515625" style="4" bestFit="1" customWidth="1"/>
    <col min="5" max="5" width="22.7109375" style="4" bestFit="1" customWidth="1"/>
    <col min="6" max="6" width="31.7109375" style="4" bestFit="1" customWidth="1"/>
    <col min="7" max="9" width="4.5703125" style="3" customWidth="1"/>
    <col min="10" max="10" width="4.85546875" style="3" customWidth="1"/>
    <col min="11" max="13" width="4.5703125" style="3" customWidth="1"/>
    <col min="14" max="14" width="4.85546875" style="3" customWidth="1"/>
    <col min="15" max="15" width="7.85546875" style="20" bestFit="1" customWidth="1"/>
    <col min="16" max="16" width="7.5703125" style="2" bestFit="1" customWidth="1"/>
    <col min="17" max="17" width="8.85546875" style="4" bestFit="1" customWidth="1"/>
    <col min="18" max="16384" width="9.140625" style="3"/>
  </cols>
  <sheetData>
    <row r="1" spans="1:17" s="2" customFormat="1" ht="29.1" customHeight="1" x14ac:dyDescent="0.2">
      <c r="A1" s="40" t="s">
        <v>424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2"/>
    </row>
    <row r="2" spans="1:17" s="2" customFormat="1" ht="62.1" customHeight="1" thickBot="1" x14ac:dyDescent="0.25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5"/>
    </row>
    <row r="3" spans="1:17" s="1" customFormat="1" ht="12.75" customHeight="1" x14ac:dyDescent="0.2">
      <c r="A3" s="46" t="s">
        <v>0</v>
      </c>
      <c r="B3" s="48" t="s">
        <v>6</v>
      </c>
      <c r="C3" s="48" t="s">
        <v>10</v>
      </c>
      <c r="D3" s="50" t="s">
        <v>12</v>
      </c>
      <c r="E3" s="50" t="s">
        <v>4</v>
      </c>
      <c r="F3" s="50" t="s">
        <v>7</v>
      </c>
      <c r="G3" s="50" t="s">
        <v>353</v>
      </c>
      <c r="H3" s="50"/>
      <c r="I3" s="50"/>
      <c r="J3" s="50"/>
      <c r="K3" s="50" t="s">
        <v>365</v>
      </c>
      <c r="L3" s="50"/>
      <c r="M3" s="50"/>
      <c r="N3" s="50"/>
      <c r="O3" s="50" t="s">
        <v>1</v>
      </c>
      <c r="P3" s="50" t="s">
        <v>3</v>
      </c>
      <c r="Q3" s="51" t="s">
        <v>2</v>
      </c>
    </row>
    <row r="4" spans="1:17" s="1" customFormat="1" ht="21" customHeight="1" thickBot="1" x14ac:dyDescent="0.25">
      <c r="A4" s="47"/>
      <c r="B4" s="49"/>
      <c r="C4" s="49"/>
      <c r="D4" s="49"/>
      <c r="E4" s="49"/>
      <c r="F4" s="49"/>
      <c r="G4" s="6">
        <v>1</v>
      </c>
      <c r="H4" s="6">
        <v>2</v>
      </c>
      <c r="I4" s="6">
        <v>3</v>
      </c>
      <c r="J4" s="6" t="s">
        <v>5</v>
      </c>
      <c r="K4" s="6">
        <v>1</v>
      </c>
      <c r="L4" s="6">
        <v>2</v>
      </c>
      <c r="M4" s="6">
        <v>3</v>
      </c>
      <c r="N4" s="6" t="s">
        <v>5</v>
      </c>
      <c r="O4" s="49"/>
      <c r="P4" s="49"/>
      <c r="Q4" s="52"/>
    </row>
    <row r="5" spans="1:17" ht="15" x14ac:dyDescent="0.2">
      <c r="A5" s="53" t="s">
        <v>68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</row>
    <row r="6" spans="1:17" x14ac:dyDescent="0.2">
      <c r="A6" s="7" t="s">
        <v>359</v>
      </c>
      <c r="B6" s="7" t="s">
        <v>360</v>
      </c>
      <c r="C6" s="7" t="s">
        <v>361</v>
      </c>
      <c r="D6" s="7" t="str">
        <f>"0,5910"</f>
        <v>0,5910</v>
      </c>
      <c r="E6" s="7" t="s">
        <v>21</v>
      </c>
      <c r="F6" s="7" t="s">
        <v>22</v>
      </c>
      <c r="G6" s="9" t="s">
        <v>207</v>
      </c>
      <c r="H6" s="9" t="s">
        <v>207</v>
      </c>
      <c r="I6" s="8" t="s">
        <v>207</v>
      </c>
      <c r="J6" s="9"/>
      <c r="K6" s="8" t="s">
        <v>389</v>
      </c>
      <c r="L6" s="8" t="s">
        <v>394</v>
      </c>
      <c r="M6" s="8" t="s">
        <v>24</v>
      </c>
      <c r="N6" s="9"/>
      <c r="O6" s="21" t="str">
        <f>"160,0"</f>
        <v>160,0</v>
      </c>
      <c r="P6" s="22" t="str">
        <f>"94,5600"</f>
        <v>94,5600</v>
      </c>
      <c r="Q6" s="7" t="s">
        <v>96</v>
      </c>
    </row>
    <row r="8" spans="1:17" ht="15" x14ac:dyDescent="0.2">
      <c r="E8" s="19" t="s">
        <v>104</v>
      </c>
      <c r="F8" s="37" t="s">
        <v>565</v>
      </c>
    </row>
    <row r="9" spans="1:17" ht="15" x14ac:dyDescent="0.2">
      <c r="E9" s="19" t="s">
        <v>105</v>
      </c>
      <c r="F9" s="37" t="s">
        <v>566</v>
      </c>
    </row>
    <row r="10" spans="1:17" ht="15" x14ac:dyDescent="0.2">
      <c r="E10" s="19" t="s">
        <v>106</v>
      </c>
      <c r="F10" s="37" t="s">
        <v>567</v>
      </c>
    </row>
    <row r="11" spans="1:17" ht="15" x14ac:dyDescent="0.2">
      <c r="E11" s="19" t="s">
        <v>107</v>
      </c>
      <c r="F11" s="37" t="s">
        <v>568</v>
      </c>
    </row>
    <row r="12" spans="1:17" ht="15" x14ac:dyDescent="0.2">
      <c r="E12" s="19" t="s">
        <v>107</v>
      </c>
      <c r="F12" s="37" t="s">
        <v>569</v>
      </c>
    </row>
    <row r="13" spans="1:17" ht="15" x14ac:dyDescent="0.2">
      <c r="E13" s="19"/>
    </row>
    <row r="14" spans="1:17" ht="15" x14ac:dyDescent="0.2">
      <c r="E14" s="19"/>
    </row>
    <row r="16" spans="1:17" ht="18" x14ac:dyDescent="0.25">
      <c r="A16" s="29" t="s">
        <v>108</v>
      </c>
      <c r="B16" s="29"/>
    </row>
    <row r="17" spans="1:5" ht="15" x14ac:dyDescent="0.2">
      <c r="A17" s="30" t="s">
        <v>123</v>
      </c>
      <c r="B17" s="30"/>
    </row>
    <row r="18" spans="1:5" ht="14.25" x14ac:dyDescent="0.2">
      <c r="A18" s="32"/>
      <c r="B18" s="33" t="s">
        <v>135</v>
      </c>
    </row>
    <row r="19" spans="1:5" ht="15" x14ac:dyDescent="0.2">
      <c r="A19" s="34" t="s">
        <v>111</v>
      </c>
      <c r="B19" s="34" t="s">
        <v>112</v>
      </c>
      <c r="C19" s="34" t="s">
        <v>113</v>
      </c>
      <c r="D19" s="34" t="s">
        <v>114</v>
      </c>
      <c r="E19" s="34" t="s">
        <v>115</v>
      </c>
    </row>
    <row r="20" spans="1:5" x14ac:dyDescent="0.2">
      <c r="A20" s="31" t="s">
        <v>358</v>
      </c>
      <c r="B20" s="4" t="s">
        <v>135</v>
      </c>
      <c r="C20" s="4" t="s">
        <v>132</v>
      </c>
      <c r="D20" s="4" t="s">
        <v>53</v>
      </c>
      <c r="E20" s="20" t="s">
        <v>425</v>
      </c>
    </row>
  </sheetData>
  <mergeCells count="13">
    <mergeCell ref="O3:O4"/>
    <mergeCell ref="P3:P4"/>
    <mergeCell ref="Q3:Q4"/>
    <mergeCell ref="A5:N5"/>
    <mergeCell ref="A1:Q2"/>
    <mergeCell ref="A3:A4"/>
    <mergeCell ref="B3:B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"/>
  <sheetViews>
    <sheetView topLeftCell="A16" workbookViewId="0">
      <selection activeCell="E35" sqref="E35"/>
    </sheetView>
  </sheetViews>
  <sheetFormatPr defaultColWidth="9.140625" defaultRowHeight="12.75" x14ac:dyDescent="0.2"/>
  <cols>
    <col min="1" max="1" width="26.42578125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1.7109375" style="4" bestFit="1" customWidth="1"/>
    <col min="7" max="9" width="4.5703125" style="3" customWidth="1"/>
    <col min="10" max="10" width="4.85546875" style="3" customWidth="1"/>
    <col min="11" max="11" width="7.85546875" style="20" bestFit="1" customWidth="1"/>
    <col min="12" max="12" width="7.5703125" style="2" bestFit="1" customWidth="1"/>
    <col min="13" max="13" width="28" style="4" bestFit="1" customWidth="1"/>
    <col min="14" max="16384" width="9.140625" style="3"/>
  </cols>
  <sheetData>
    <row r="1" spans="1:13" s="2" customFormat="1" ht="29.1" customHeight="1" x14ac:dyDescent="0.2">
      <c r="A1" s="40" t="s">
        <v>364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2" customFormat="1" ht="62.1" customHeight="1" thickBot="1" x14ac:dyDescent="0.25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</row>
    <row r="3" spans="1:13" s="1" customFormat="1" ht="12.75" customHeight="1" x14ac:dyDescent="0.2">
      <c r="A3" s="46" t="s">
        <v>0</v>
      </c>
      <c r="B3" s="48" t="s">
        <v>6</v>
      </c>
      <c r="C3" s="48" t="s">
        <v>10</v>
      </c>
      <c r="D3" s="50" t="s">
        <v>12</v>
      </c>
      <c r="E3" s="50" t="s">
        <v>4</v>
      </c>
      <c r="F3" s="50" t="s">
        <v>7</v>
      </c>
      <c r="G3" s="50" t="s">
        <v>365</v>
      </c>
      <c r="H3" s="50"/>
      <c r="I3" s="50"/>
      <c r="J3" s="50"/>
      <c r="K3" s="50" t="s">
        <v>165</v>
      </c>
      <c r="L3" s="50" t="s">
        <v>3</v>
      </c>
      <c r="M3" s="51" t="s">
        <v>2</v>
      </c>
    </row>
    <row r="4" spans="1:13" s="1" customFormat="1" ht="21" customHeight="1" thickBot="1" x14ac:dyDescent="0.25">
      <c r="A4" s="47"/>
      <c r="B4" s="49"/>
      <c r="C4" s="49"/>
      <c r="D4" s="49"/>
      <c r="E4" s="49"/>
      <c r="F4" s="49"/>
      <c r="G4" s="6">
        <v>1</v>
      </c>
      <c r="H4" s="6">
        <v>2</v>
      </c>
      <c r="I4" s="6">
        <v>3</v>
      </c>
      <c r="J4" s="6" t="s">
        <v>5</v>
      </c>
      <c r="K4" s="49"/>
      <c r="L4" s="49"/>
      <c r="M4" s="52"/>
    </row>
    <row r="5" spans="1:13" ht="15" x14ac:dyDescent="0.2">
      <c r="A5" s="53" t="s">
        <v>177</v>
      </c>
      <c r="B5" s="54"/>
      <c r="C5" s="54"/>
      <c r="D5" s="54"/>
      <c r="E5" s="54"/>
      <c r="F5" s="54"/>
      <c r="G5" s="54"/>
      <c r="H5" s="54"/>
      <c r="I5" s="54"/>
      <c r="J5" s="54"/>
    </row>
    <row r="6" spans="1:13" x14ac:dyDescent="0.2">
      <c r="A6" s="7" t="s">
        <v>367</v>
      </c>
      <c r="B6" s="7" t="s">
        <v>368</v>
      </c>
      <c r="C6" s="7" t="s">
        <v>369</v>
      </c>
      <c r="D6" s="7" t="str">
        <f>"0,9133"</f>
        <v>0,9133</v>
      </c>
      <c r="E6" s="7" t="s">
        <v>370</v>
      </c>
      <c r="F6" s="7" t="s">
        <v>80</v>
      </c>
      <c r="G6" s="8" t="s">
        <v>371</v>
      </c>
      <c r="H6" s="8" t="s">
        <v>372</v>
      </c>
      <c r="I6" s="8" t="s">
        <v>373</v>
      </c>
      <c r="J6" s="9"/>
      <c r="K6" s="21" t="str">
        <f>"22,5"</f>
        <v>22,5</v>
      </c>
      <c r="L6" s="22" t="str">
        <f>"25,2756"</f>
        <v>25,2756</v>
      </c>
      <c r="M6" s="7" t="s">
        <v>374</v>
      </c>
    </row>
    <row r="8" spans="1:13" ht="15" x14ac:dyDescent="0.2">
      <c r="A8" s="57" t="s">
        <v>177</v>
      </c>
      <c r="B8" s="57"/>
      <c r="C8" s="57"/>
      <c r="D8" s="57"/>
      <c r="E8" s="57"/>
      <c r="F8" s="57"/>
      <c r="G8" s="57"/>
      <c r="H8" s="57"/>
      <c r="I8" s="57"/>
      <c r="J8" s="57"/>
    </row>
    <row r="9" spans="1:13" x14ac:dyDescent="0.2">
      <c r="A9" s="7" t="s">
        <v>355</v>
      </c>
      <c r="B9" s="7" t="s">
        <v>356</v>
      </c>
      <c r="C9" s="7" t="s">
        <v>357</v>
      </c>
      <c r="D9" s="7" t="str">
        <f>"0,8301"</f>
        <v>0,8301</v>
      </c>
      <c r="E9" s="7" t="s">
        <v>21</v>
      </c>
      <c r="F9" s="7" t="s">
        <v>22</v>
      </c>
      <c r="G9" s="8" t="s">
        <v>235</v>
      </c>
      <c r="H9" s="8" t="s">
        <v>375</v>
      </c>
      <c r="I9" s="8" t="s">
        <v>43</v>
      </c>
      <c r="J9" s="9"/>
      <c r="K9" s="21" t="str">
        <f>"55,0"</f>
        <v>55,0</v>
      </c>
      <c r="L9" s="22" t="str">
        <f>"45,6555"</f>
        <v>45,6555</v>
      </c>
      <c r="M9" s="7" t="s">
        <v>96</v>
      </c>
    </row>
    <row r="11" spans="1:13" ht="15" x14ac:dyDescent="0.2">
      <c r="A11" s="57" t="s">
        <v>46</v>
      </c>
      <c r="B11" s="57"/>
      <c r="C11" s="57"/>
      <c r="D11" s="57"/>
      <c r="E11" s="57"/>
      <c r="F11" s="57"/>
      <c r="G11" s="57"/>
      <c r="H11" s="57"/>
      <c r="I11" s="57"/>
      <c r="J11" s="57"/>
    </row>
    <row r="12" spans="1:13" x14ac:dyDescent="0.2">
      <c r="A12" s="7" t="s">
        <v>377</v>
      </c>
      <c r="B12" s="7" t="s">
        <v>378</v>
      </c>
      <c r="C12" s="7" t="s">
        <v>379</v>
      </c>
      <c r="D12" s="7" t="str">
        <f>"0,7568"</f>
        <v>0,7568</v>
      </c>
      <c r="E12" s="7" t="s">
        <v>370</v>
      </c>
      <c r="F12" s="7" t="s">
        <v>80</v>
      </c>
      <c r="G12" s="8" t="s">
        <v>380</v>
      </c>
      <c r="H12" s="8" t="s">
        <v>235</v>
      </c>
      <c r="I12" s="9" t="s">
        <v>28</v>
      </c>
      <c r="J12" s="9"/>
      <c r="K12" s="21" t="str">
        <f>"45,0"</f>
        <v>45,0</v>
      </c>
      <c r="L12" s="22" t="str">
        <f>"36,7805"</f>
        <v>36,7805</v>
      </c>
      <c r="M12" s="7" t="s">
        <v>374</v>
      </c>
    </row>
    <row r="14" spans="1:13" ht="15" x14ac:dyDescent="0.2">
      <c r="A14" s="57" t="s">
        <v>16</v>
      </c>
      <c r="B14" s="57"/>
      <c r="C14" s="57"/>
      <c r="D14" s="57"/>
      <c r="E14" s="57"/>
      <c r="F14" s="57"/>
      <c r="G14" s="57"/>
      <c r="H14" s="57"/>
      <c r="I14" s="57"/>
      <c r="J14" s="57"/>
    </row>
    <row r="15" spans="1:13" x14ac:dyDescent="0.2">
      <c r="A15" s="7" t="s">
        <v>382</v>
      </c>
      <c r="B15" s="7" t="s">
        <v>383</v>
      </c>
      <c r="C15" s="7" t="s">
        <v>384</v>
      </c>
      <c r="D15" s="7" t="str">
        <f>"0,6680"</f>
        <v>0,6680</v>
      </c>
      <c r="E15" s="7" t="s">
        <v>370</v>
      </c>
      <c r="F15" s="7" t="s">
        <v>80</v>
      </c>
      <c r="G15" s="9" t="s">
        <v>236</v>
      </c>
      <c r="H15" s="8" t="s">
        <v>236</v>
      </c>
      <c r="I15" s="9" t="s">
        <v>43</v>
      </c>
      <c r="J15" s="9"/>
      <c r="K15" s="21" t="str">
        <f>"47,5"</f>
        <v>47,5</v>
      </c>
      <c r="L15" s="22" t="str">
        <f>"31,7300"</f>
        <v>31,7300</v>
      </c>
      <c r="M15" s="7" t="s">
        <v>374</v>
      </c>
    </row>
    <row r="17" spans="1:13" ht="15" x14ac:dyDescent="0.2">
      <c r="A17" s="57" t="s">
        <v>144</v>
      </c>
      <c r="B17" s="57"/>
      <c r="C17" s="57"/>
      <c r="D17" s="57"/>
      <c r="E17" s="57"/>
      <c r="F17" s="57"/>
      <c r="G17" s="57"/>
      <c r="H17" s="57"/>
      <c r="I17" s="57"/>
      <c r="J17" s="57"/>
    </row>
    <row r="18" spans="1:13" x14ac:dyDescent="0.2">
      <c r="A18" s="10" t="s">
        <v>386</v>
      </c>
      <c r="B18" s="10" t="s">
        <v>387</v>
      </c>
      <c r="C18" s="10" t="s">
        <v>388</v>
      </c>
      <c r="D18" s="10" t="str">
        <f>"0,6198"</f>
        <v>0,6198</v>
      </c>
      <c r="E18" s="10" t="s">
        <v>370</v>
      </c>
      <c r="F18" s="10" t="s">
        <v>80</v>
      </c>
      <c r="G18" s="11" t="s">
        <v>375</v>
      </c>
      <c r="H18" s="11" t="s">
        <v>389</v>
      </c>
      <c r="I18" s="12" t="s">
        <v>23</v>
      </c>
      <c r="J18" s="12"/>
      <c r="K18" s="23" t="str">
        <f>"57,5"</f>
        <v>57,5</v>
      </c>
      <c r="L18" s="24" t="str">
        <f>"37,7768"</f>
        <v>37,7768</v>
      </c>
      <c r="M18" s="10" t="s">
        <v>374</v>
      </c>
    </row>
    <row r="19" spans="1:13" x14ac:dyDescent="0.2">
      <c r="A19" s="16" t="s">
        <v>391</v>
      </c>
      <c r="B19" s="16" t="s">
        <v>392</v>
      </c>
      <c r="C19" s="16" t="s">
        <v>393</v>
      </c>
      <c r="D19" s="16" t="str">
        <f>"0,6304"</f>
        <v>0,6304</v>
      </c>
      <c r="E19" s="16" t="s">
        <v>188</v>
      </c>
      <c r="F19" s="16" t="s">
        <v>22</v>
      </c>
      <c r="G19" s="17" t="s">
        <v>389</v>
      </c>
      <c r="H19" s="17" t="s">
        <v>394</v>
      </c>
      <c r="I19" s="18" t="s">
        <v>24</v>
      </c>
      <c r="J19" s="18"/>
      <c r="K19" s="27" t="str">
        <f>"65,0"</f>
        <v>65,0</v>
      </c>
      <c r="L19" s="28" t="str">
        <f>"40,9760"</f>
        <v>40,9760</v>
      </c>
      <c r="M19" s="16" t="s">
        <v>96</v>
      </c>
    </row>
    <row r="21" spans="1:13" ht="15" x14ac:dyDescent="0.2">
      <c r="A21" s="57" t="s">
        <v>68</v>
      </c>
      <c r="B21" s="57"/>
      <c r="C21" s="57"/>
      <c r="D21" s="57"/>
      <c r="E21" s="57"/>
      <c r="F21" s="57"/>
      <c r="G21" s="57"/>
      <c r="H21" s="57"/>
      <c r="I21" s="57"/>
      <c r="J21" s="57"/>
    </row>
    <row r="22" spans="1:13" x14ac:dyDescent="0.2">
      <c r="A22" s="10" t="s">
        <v>359</v>
      </c>
      <c r="B22" s="10" t="s">
        <v>360</v>
      </c>
      <c r="C22" s="10" t="s">
        <v>361</v>
      </c>
      <c r="D22" s="10" t="str">
        <f>"0,5910"</f>
        <v>0,5910</v>
      </c>
      <c r="E22" s="10" t="s">
        <v>21</v>
      </c>
      <c r="F22" s="10" t="s">
        <v>22</v>
      </c>
      <c r="G22" s="11" t="s">
        <v>389</v>
      </c>
      <c r="H22" s="11" t="s">
        <v>394</v>
      </c>
      <c r="I22" s="11" t="s">
        <v>24</v>
      </c>
      <c r="J22" s="12"/>
      <c r="K22" s="23" t="str">
        <f>"70,0"</f>
        <v>70,0</v>
      </c>
      <c r="L22" s="24" t="str">
        <f>"41,3700"</f>
        <v>41,3700</v>
      </c>
      <c r="M22" s="10" t="s">
        <v>96</v>
      </c>
    </row>
    <row r="23" spans="1:13" x14ac:dyDescent="0.2">
      <c r="A23" s="13" t="s">
        <v>396</v>
      </c>
      <c r="B23" s="13" t="s">
        <v>397</v>
      </c>
      <c r="C23" s="13" t="s">
        <v>398</v>
      </c>
      <c r="D23" s="13" t="str">
        <f>"0,6132"</f>
        <v>0,6132</v>
      </c>
      <c r="E23" s="13" t="s">
        <v>21</v>
      </c>
      <c r="F23" s="13" t="s">
        <v>22</v>
      </c>
      <c r="G23" s="14" t="s">
        <v>389</v>
      </c>
      <c r="H23" s="14" t="s">
        <v>394</v>
      </c>
      <c r="I23" s="15" t="s">
        <v>324</v>
      </c>
      <c r="J23" s="15"/>
      <c r="K23" s="25" t="str">
        <f>"65,0"</f>
        <v>65,0</v>
      </c>
      <c r="L23" s="26" t="str">
        <f>"39,8580"</f>
        <v>39,8580</v>
      </c>
      <c r="M23" s="13" t="s">
        <v>96</v>
      </c>
    </row>
    <row r="24" spans="1:13" x14ac:dyDescent="0.2">
      <c r="A24" s="13" t="s">
        <v>400</v>
      </c>
      <c r="B24" s="13" t="s">
        <v>401</v>
      </c>
      <c r="C24" s="13" t="s">
        <v>402</v>
      </c>
      <c r="D24" s="13" t="str">
        <f>"0,5903"</f>
        <v>0,5903</v>
      </c>
      <c r="E24" s="13" t="s">
        <v>21</v>
      </c>
      <c r="F24" s="13" t="s">
        <v>403</v>
      </c>
      <c r="G24" s="14" t="s">
        <v>389</v>
      </c>
      <c r="H24" s="15" t="s">
        <v>23</v>
      </c>
      <c r="I24" s="15" t="s">
        <v>394</v>
      </c>
      <c r="J24" s="15"/>
      <c r="K24" s="25" t="str">
        <f>"57,5"</f>
        <v>57,5</v>
      </c>
      <c r="L24" s="26" t="str">
        <f>"33,9423"</f>
        <v>33,9423</v>
      </c>
      <c r="M24" s="13" t="s">
        <v>404</v>
      </c>
    </row>
    <row r="25" spans="1:13" x14ac:dyDescent="0.2">
      <c r="A25" s="16" t="s">
        <v>307</v>
      </c>
      <c r="B25" s="16" t="s">
        <v>308</v>
      </c>
      <c r="C25" s="16" t="s">
        <v>72</v>
      </c>
      <c r="D25" s="16" t="str">
        <f>"0,5853"</f>
        <v>0,5853</v>
      </c>
      <c r="E25" s="16" t="s">
        <v>21</v>
      </c>
      <c r="F25" s="16" t="s">
        <v>309</v>
      </c>
      <c r="G25" s="17" t="s">
        <v>389</v>
      </c>
      <c r="H25" s="18" t="s">
        <v>405</v>
      </c>
      <c r="I25" s="17" t="s">
        <v>405</v>
      </c>
      <c r="J25" s="18"/>
      <c r="K25" s="27" t="str">
        <f>"67,5"</f>
        <v>67,5</v>
      </c>
      <c r="L25" s="28" t="str">
        <f>"46,3426"</f>
        <v>46,3426</v>
      </c>
      <c r="M25" s="16" t="s">
        <v>310</v>
      </c>
    </row>
    <row r="27" spans="1:13" ht="15" x14ac:dyDescent="0.2">
      <c r="A27" s="57" t="s">
        <v>97</v>
      </c>
      <c r="B27" s="57"/>
      <c r="C27" s="57"/>
      <c r="D27" s="57"/>
      <c r="E27" s="57"/>
      <c r="F27" s="57"/>
      <c r="G27" s="57"/>
      <c r="H27" s="57"/>
      <c r="I27" s="57"/>
      <c r="J27" s="57"/>
    </row>
    <row r="28" spans="1:13" x14ac:dyDescent="0.2">
      <c r="A28" s="7" t="s">
        <v>407</v>
      </c>
      <c r="B28" s="7" t="s">
        <v>408</v>
      </c>
      <c r="C28" s="7" t="s">
        <v>409</v>
      </c>
      <c r="D28" s="7" t="str">
        <f>"0,5779"</f>
        <v>0,5779</v>
      </c>
      <c r="E28" s="7" t="s">
        <v>370</v>
      </c>
      <c r="F28" s="7" t="s">
        <v>80</v>
      </c>
      <c r="G28" s="8" t="s">
        <v>394</v>
      </c>
      <c r="H28" s="8" t="s">
        <v>24</v>
      </c>
      <c r="I28" s="9" t="s">
        <v>410</v>
      </c>
      <c r="J28" s="9"/>
      <c r="K28" s="21" t="str">
        <f>"70,0"</f>
        <v>70,0</v>
      </c>
      <c r="L28" s="22" t="str">
        <f>"40,4530"</f>
        <v>40,4530</v>
      </c>
      <c r="M28" s="7" t="s">
        <v>96</v>
      </c>
    </row>
    <row r="30" spans="1:13" ht="15" x14ac:dyDescent="0.2">
      <c r="E30" s="19" t="s">
        <v>104</v>
      </c>
      <c r="F30" s="37" t="s">
        <v>565</v>
      </c>
    </row>
    <row r="31" spans="1:13" ht="15" x14ac:dyDescent="0.2">
      <c r="E31" s="19" t="s">
        <v>105</v>
      </c>
      <c r="F31" s="37" t="s">
        <v>566</v>
      </c>
    </row>
    <row r="32" spans="1:13" ht="15" x14ac:dyDescent="0.2">
      <c r="E32" s="19" t="s">
        <v>106</v>
      </c>
      <c r="F32" s="37" t="s">
        <v>567</v>
      </c>
    </row>
    <row r="33" spans="1:6" ht="15" x14ac:dyDescent="0.2">
      <c r="E33" s="19" t="s">
        <v>107</v>
      </c>
      <c r="F33" s="37" t="s">
        <v>568</v>
      </c>
    </row>
    <row r="34" spans="1:6" ht="15" x14ac:dyDescent="0.2">
      <c r="E34" s="19" t="s">
        <v>107</v>
      </c>
      <c r="F34" s="37" t="s">
        <v>569</v>
      </c>
    </row>
    <row r="35" spans="1:6" ht="15" x14ac:dyDescent="0.2">
      <c r="E35" s="19"/>
    </row>
    <row r="36" spans="1:6" ht="15" x14ac:dyDescent="0.2">
      <c r="E36" s="19"/>
    </row>
    <row r="38" spans="1:6" ht="18" x14ac:dyDescent="0.25">
      <c r="A38" s="29" t="s">
        <v>108</v>
      </c>
      <c r="B38" s="29"/>
    </row>
    <row r="39" spans="1:6" ht="15" x14ac:dyDescent="0.2">
      <c r="A39" s="30" t="s">
        <v>109</v>
      </c>
      <c r="B39" s="30"/>
    </row>
    <row r="40" spans="1:6" ht="14.25" x14ac:dyDescent="0.2">
      <c r="A40" s="32"/>
      <c r="B40" s="33" t="s">
        <v>411</v>
      </c>
    </row>
    <row r="41" spans="1:6" ht="15" x14ac:dyDescent="0.2">
      <c r="A41" s="34" t="s">
        <v>111</v>
      </c>
      <c r="B41" s="34" t="s">
        <v>112</v>
      </c>
      <c r="C41" s="34" t="s">
        <v>113</v>
      </c>
      <c r="D41" s="34" t="s">
        <v>160</v>
      </c>
      <c r="E41" s="34" t="s">
        <v>115</v>
      </c>
    </row>
    <row r="42" spans="1:6" x14ac:dyDescent="0.2">
      <c r="A42" s="31" t="s">
        <v>366</v>
      </c>
      <c r="B42" s="4" t="s">
        <v>247</v>
      </c>
      <c r="C42" s="4" t="s">
        <v>215</v>
      </c>
      <c r="D42" s="4" t="s">
        <v>373</v>
      </c>
      <c r="E42" s="20" t="s">
        <v>412</v>
      </c>
    </row>
    <row r="45" spans="1:6" ht="15" x14ac:dyDescent="0.2">
      <c r="A45" s="30" t="s">
        <v>123</v>
      </c>
      <c r="B45" s="30"/>
    </row>
    <row r="46" spans="1:6" ht="14.25" x14ac:dyDescent="0.2">
      <c r="A46" s="32"/>
      <c r="B46" s="33" t="s">
        <v>124</v>
      </c>
    </row>
    <row r="47" spans="1:6" ht="15" x14ac:dyDescent="0.2">
      <c r="A47" s="34" t="s">
        <v>111</v>
      </c>
      <c r="B47" s="34" t="s">
        <v>112</v>
      </c>
      <c r="C47" s="34" t="s">
        <v>113</v>
      </c>
      <c r="D47" s="34" t="s">
        <v>160</v>
      </c>
      <c r="E47" s="34" t="s">
        <v>115</v>
      </c>
    </row>
    <row r="48" spans="1:6" x14ac:dyDescent="0.2">
      <c r="A48" s="31" t="s">
        <v>385</v>
      </c>
      <c r="B48" s="4" t="s">
        <v>125</v>
      </c>
      <c r="C48" s="4" t="s">
        <v>162</v>
      </c>
      <c r="D48" s="4" t="s">
        <v>389</v>
      </c>
      <c r="E48" s="20" t="s">
        <v>413</v>
      </c>
    </row>
    <row r="49" spans="1:5" x14ac:dyDescent="0.2">
      <c r="A49" s="31" t="s">
        <v>376</v>
      </c>
      <c r="B49" s="4" t="s">
        <v>414</v>
      </c>
      <c r="C49" s="4" t="s">
        <v>126</v>
      </c>
      <c r="D49" s="4" t="s">
        <v>235</v>
      </c>
      <c r="E49" s="20" t="s">
        <v>415</v>
      </c>
    </row>
    <row r="51" spans="1:5" ht="14.25" x14ac:dyDescent="0.2">
      <c r="A51" s="32"/>
      <c r="B51" s="33" t="s">
        <v>131</v>
      </c>
    </row>
    <row r="52" spans="1:5" ht="15" x14ac:dyDescent="0.2">
      <c r="A52" s="34" t="s">
        <v>111</v>
      </c>
      <c r="B52" s="34" t="s">
        <v>112</v>
      </c>
      <c r="C52" s="34" t="s">
        <v>113</v>
      </c>
      <c r="D52" s="34" t="s">
        <v>160</v>
      </c>
      <c r="E52" s="34" t="s">
        <v>115</v>
      </c>
    </row>
    <row r="53" spans="1:5" x14ac:dyDescent="0.2">
      <c r="A53" s="31" t="s">
        <v>354</v>
      </c>
      <c r="B53" s="4" t="s">
        <v>116</v>
      </c>
      <c r="C53" s="4" t="s">
        <v>215</v>
      </c>
      <c r="D53" s="4" t="s">
        <v>43</v>
      </c>
      <c r="E53" s="20" t="s">
        <v>416</v>
      </c>
    </row>
    <row r="55" spans="1:5" ht="14.25" x14ac:dyDescent="0.2">
      <c r="A55" s="32"/>
      <c r="B55" s="33" t="s">
        <v>135</v>
      </c>
    </row>
    <row r="56" spans="1:5" ht="15" x14ac:dyDescent="0.2">
      <c r="A56" s="34" t="s">
        <v>111</v>
      </c>
      <c r="B56" s="34" t="s">
        <v>112</v>
      </c>
      <c r="C56" s="34" t="s">
        <v>113</v>
      </c>
      <c r="D56" s="34" t="s">
        <v>160</v>
      </c>
      <c r="E56" s="34" t="s">
        <v>115</v>
      </c>
    </row>
    <row r="57" spans="1:5" x14ac:dyDescent="0.2">
      <c r="A57" s="31" t="s">
        <v>358</v>
      </c>
      <c r="B57" s="4" t="s">
        <v>135</v>
      </c>
      <c r="C57" s="4" t="s">
        <v>132</v>
      </c>
      <c r="D57" s="4" t="s">
        <v>24</v>
      </c>
      <c r="E57" s="20" t="s">
        <v>417</v>
      </c>
    </row>
    <row r="58" spans="1:5" x14ac:dyDescent="0.2">
      <c r="A58" s="31" t="s">
        <v>390</v>
      </c>
      <c r="B58" s="4" t="s">
        <v>135</v>
      </c>
      <c r="C58" s="4" t="s">
        <v>162</v>
      </c>
      <c r="D58" s="4" t="s">
        <v>394</v>
      </c>
      <c r="E58" s="20" t="s">
        <v>418</v>
      </c>
    </row>
    <row r="59" spans="1:5" x14ac:dyDescent="0.2">
      <c r="A59" s="31" t="s">
        <v>406</v>
      </c>
      <c r="B59" s="4" t="s">
        <v>135</v>
      </c>
      <c r="C59" s="4" t="s">
        <v>138</v>
      </c>
      <c r="D59" s="4" t="s">
        <v>24</v>
      </c>
      <c r="E59" s="20" t="s">
        <v>419</v>
      </c>
    </row>
    <row r="60" spans="1:5" x14ac:dyDescent="0.2">
      <c r="A60" s="31" t="s">
        <v>395</v>
      </c>
      <c r="B60" s="4" t="s">
        <v>135</v>
      </c>
      <c r="C60" s="4" t="s">
        <v>132</v>
      </c>
      <c r="D60" s="4" t="s">
        <v>394</v>
      </c>
      <c r="E60" s="20" t="s">
        <v>420</v>
      </c>
    </row>
    <row r="61" spans="1:5" x14ac:dyDescent="0.2">
      <c r="A61" s="31" t="s">
        <v>399</v>
      </c>
      <c r="B61" s="4" t="s">
        <v>135</v>
      </c>
      <c r="C61" s="4" t="s">
        <v>132</v>
      </c>
      <c r="D61" s="4" t="s">
        <v>389</v>
      </c>
      <c r="E61" s="20" t="s">
        <v>421</v>
      </c>
    </row>
    <row r="62" spans="1:5" x14ac:dyDescent="0.2">
      <c r="A62" s="31" t="s">
        <v>381</v>
      </c>
      <c r="B62" s="4" t="s">
        <v>135</v>
      </c>
      <c r="C62" s="4" t="s">
        <v>117</v>
      </c>
      <c r="D62" s="4" t="s">
        <v>236</v>
      </c>
      <c r="E62" s="20" t="s">
        <v>422</v>
      </c>
    </row>
    <row r="64" spans="1:5" ht="14.25" x14ac:dyDescent="0.2">
      <c r="A64" s="32"/>
      <c r="B64" s="33" t="s">
        <v>225</v>
      </c>
    </row>
    <row r="65" spans="1:5" ht="15" x14ac:dyDescent="0.2">
      <c r="A65" s="34" t="s">
        <v>111</v>
      </c>
      <c r="B65" s="34" t="s">
        <v>112</v>
      </c>
      <c r="C65" s="34" t="s">
        <v>113</v>
      </c>
      <c r="D65" s="34" t="s">
        <v>160</v>
      </c>
      <c r="E65" s="34" t="s">
        <v>115</v>
      </c>
    </row>
    <row r="66" spans="1:5" x14ac:dyDescent="0.2">
      <c r="A66" s="31" t="s">
        <v>306</v>
      </c>
      <c r="B66" s="4" t="s">
        <v>335</v>
      </c>
      <c r="C66" s="4" t="s">
        <v>132</v>
      </c>
      <c r="D66" s="4" t="s">
        <v>405</v>
      </c>
      <c r="E66" s="20" t="s">
        <v>423</v>
      </c>
    </row>
  </sheetData>
  <mergeCells count="18">
    <mergeCell ref="A27:J27"/>
    <mergeCell ref="K3:K4"/>
    <mergeCell ref="L3:L4"/>
    <mergeCell ref="M3:M4"/>
    <mergeCell ref="A5:J5"/>
    <mergeCell ref="A8:J8"/>
    <mergeCell ref="A11:J11"/>
    <mergeCell ref="A14:J14"/>
    <mergeCell ref="A17:J17"/>
    <mergeCell ref="A21:J21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workbookViewId="0">
      <selection activeCell="E16" sqref="E16"/>
    </sheetView>
  </sheetViews>
  <sheetFormatPr defaultColWidth="9.140625" defaultRowHeight="12.75" x14ac:dyDescent="0.2"/>
  <cols>
    <col min="1" max="1" width="26.42578125" style="4" bestFit="1" customWidth="1"/>
    <col min="2" max="2" width="28.42578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1.7109375" style="4" bestFit="1" customWidth="1"/>
    <col min="7" max="9" width="4.5703125" style="3" customWidth="1"/>
    <col min="10" max="10" width="4.85546875" style="3" customWidth="1"/>
    <col min="11" max="11" width="7.85546875" style="20" bestFit="1" customWidth="1"/>
    <col min="12" max="12" width="7.5703125" style="2" bestFit="1" customWidth="1"/>
    <col min="13" max="13" width="8.85546875" style="4" bestFit="1" customWidth="1"/>
    <col min="14" max="16384" width="9.140625" style="3"/>
  </cols>
  <sheetData>
    <row r="1" spans="1:13" s="2" customFormat="1" ht="29.1" customHeight="1" x14ac:dyDescent="0.2">
      <c r="A1" s="40" t="s">
        <v>352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2" customFormat="1" ht="62.1" customHeight="1" thickBot="1" x14ac:dyDescent="0.25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</row>
    <row r="3" spans="1:13" s="1" customFormat="1" ht="12.75" customHeight="1" x14ac:dyDescent="0.2">
      <c r="A3" s="46" t="s">
        <v>0</v>
      </c>
      <c r="B3" s="48" t="s">
        <v>6</v>
      </c>
      <c r="C3" s="48" t="s">
        <v>10</v>
      </c>
      <c r="D3" s="50" t="s">
        <v>12</v>
      </c>
      <c r="E3" s="50" t="s">
        <v>4</v>
      </c>
      <c r="F3" s="50" t="s">
        <v>7</v>
      </c>
      <c r="G3" s="50" t="s">
        <v>353</v>
      </c>
      <c r="H3" s="50"/>
      <c r="I3" s="50"/>
      <c r="J3" s="50"/>
      <c r="K3" s="50" t="s">
        <v>165</v>
      </c>
      <c r="L3" s="50" t="s">
        <v>3</v>
      </c>
      <c r="M3" s="51" t="s">
        <v>2</v>
      </c>
    </row>
    <row r="4" spans="1:13" s="1" customFormat="1" ht="21" customHeight="1" thickBot="1" x14ac:dyDescent="0.25">
      <c r="A4" s="47"/>
      <c r="B4" s="49"/>
      <c r="C4" s="49"/>
      <c r="D4" s="49"/>
      <c r="E4" s="49"/>
      <c r="F4" s="49"/>
      <c r="G4" s="6">
        <v>1</v>
      </c>
      <c r="H4" s="6">
        <v>2</v>
      </c>
      <c r="I4" s="6">
        <v>3</v>
      </c>
      <c r="J4" s="6" t="s">
        <v>5</v>
      </c>
      <c r="K4" s="49"/>
      <c r="L4" s="49"/>
      <c r="M4" s="52"/>
    </row>
    <row r="5" spans="1:13" ht="15" x14ac:dyDescent="0.2">
      <c r="A5" s="53" t="s">
        <v>177</v>
      </c>
      <c r="B5" s="54"/>
      <c r="C5" s="54"/>
      <c r="D5" s="54"/>
      <c r="E5" s="54"/>
      <c r="F5" s="54"/>
      <c r="G5" s="54"/>
      <c r="H5" s="54"/>
      <c r="I5" s="54"/>
      <c r="J5" s="54"/>
    </row>
    <row r="6" spans="1:13" x14ac:dyDescent="0.2">
      <c r="A6" s="7" t="s">
        <v>355</v>
      </c>
      <c r="B6" s="7" t="s">
        <v>356</v>
      </c>
      <c r="C6" s="7" t="s">
        <v>357</v>
      </c>
      <c r="D6" s="7" t="str">
        <f>"0,8301"</f>
        <v>0,8301</v>
      </c>
      <c r="E6" s="7" t="s">
        <v>21</v>
      </c>
      <c r="F6" s="7" t="s">
        <v>22</v>
      </c>
      <c r="G6" s="8" t="s">
        <v>23</v>
      </c>
      <c r="H6" s="9"/>
      <c r="I6" s="9"/>
      <c r="J6" s="9"/>
      <c r="K6" s="21" t="str">
        <f>"60,0"</f>
        <v>60,0</v>
      </c>
      <c r="L6" s="22" t="str">
        <f>"49,8060"</f>
        <v>49,8060</v>
      </c>
      <c r="M6" s="7" t="s">
        <v>96</v>
      </c>
    </row>
    <row r="8" spans="1:13" ht="15" x14ac:dyDescent="0.2">
      <c r="A8" s="57" t="s">
        <v>68</v>
      </c>
      <c r="B8" s="57"/>
      <c r="C8" s="57"/>
      <c r="D8" s="57"/>
      <c r="E8" s="57"/>
      <c r="F8" s="57"/>
      <c r="G8" s="57"/>
      <c r="H8" s="57"/>
      <c r="I8" s="57"/>
      <c r="J8" s="57"/>
    </row>
    <row r="9" spans="1:13" x14ac:dyDescent="0.2">
      <c r="A9" s="7" t="s">
        <v>359</v>
      </c>
      <c r="B9" s="7" t="s">
        <v>360</v>
      </c>
      <c r="C9" s="7" t="s">
        <v>361</v>
      </c>
      <c r="D9" s="7" t="str">
        <f>"0,5910"</f>
        <v>0,5910</v>
      </c>
      <c r="E9" s="7" t="s">
        <v>21</v>
      </c>
      <c r="F9" s="7" t="s">
        <v>22</v>
      </c>
      <c r="G9" s="9" t="s">
        <v>207</v>
      </c>
      <c r="H9" s="9" t="s">
        <v>207</v>
      </c>
      <c r="I9" s="8" t="s">
        <v>207</v>
      </c>
      <c r="J9" s="9"/>
      <c r="K9" s="21" t="str">
        <f>"90,0"</f>
        <v>90,0</v>
      </c>
      <c r="L9" s="22" t="str">
        <f>"53,1900"</f>
        <v>53,1900</v>
      </c>
      <c r="M9" s="7" t="s">
        <v>96</v>
      </c>
    </row>
    <row r="11" spans="1:13" ht="15" x14ac:dyDescent="0.2">
      <c r="E11" s="19" t="s">
        <v>104</v>
      </c>
      <c r="F11" s="37" t="s">
        <v>565</v>
      </c>
    </row>
    <row r="12" spans="1:13" ht="15" x14ac:dyDescent="0.2">
      <c r="E12" s="19" t="s">
        <v>105</v>
      </c>
      <c r="F12" s="37" t="s">
        <v>566</v>
      </c>
    </row>
    <row r="13" spans="1:13" ht="15" x14ac:dyDescent="0.2">
      <c r="E13" s="19" t="s">
        <v>106</v>
      </c>
      <c r="F13" s="37" t="s">
        <v>567</v>
      </c>
    </row>
    <row r="14" spans="1:13" ht="15" x14ac:dyDescent="0.2">
      <c r="E14" s="19" t="s">
        <v>107</v>
      </c>
      <c r="F14" s="37" t="s">
        <v>568</v>
      </c>
    </row>
    <row r="15" spans="1:13" ht="15" x14ac:dyDescent="0.2">
      <c r="E15" s="19" t="s">
        <v>107</v>
      </c>
      <c r="F15" s="37" t="s">
        <v>569</v>
      </c>
    </row>
    <row r="16" spans="1:13" ht="15" x14ac:dyDescent="0.2">
      <c r="E16" s="19"/>
    </row>
    <row r="17" spans="1:5" ht="15" x14ac:dyDescent="0.2">
      <c r="E17" s="19"/>
    </row>
    <row r="19" spans="1:5" ht="18" x14ac:dyDescent="0.25">
      <c r="A19" s="29" t="s">
        <v>108</v>
      </c>
      <c r="B19" s="29"/>
    </row>
    <row r="20" spans="1:5" ht="15" x14ac:dyDescent="0.2">
      <c r="A20" s="30" t="s">
        <v>123</v>
      </c>
      <c r="B20" s="30"/>
    </row>
    <row r="21" spans="1:5" ht="14.25" x14ac:dyDescent="0.2">
      <c r="A21" s="32"/>
      <c r="B21" s="33" t="s">
        <v>131</v>
      </c>
    </row>
    <row r="22" spans="1:5" ht="15" x14ac:dyDescent="0.2">
      <c r="A22" s="34" t="s">
        <v>111</v>
      </c>
      <c r="B22" s="34" t="s">
        <v>112</v>
      </c>
      <c r="C22" s="34" t="s">
        <v>113</v>
      </c>
      <c r="D22" s="34" t="s">
        <v>160</v>
      </c>
      <c r="E22" s="34" t="s">
        <v>115</v>
      </c>
    </row>
    <row r="23" spans="1:5" x14ac:dyDescent="0.2">
      <c r="A23" s="31" t="s">
        <v>354</v>
      </c>
      <c r="B23" s="4" t="s">
        <v>116</v>
      </c>
      <c r="C23" s="4" t="s">
        <v>215</v>
      </c>
      <c r="D23" s="4" t="s">
        <v>23</v>
      </c>
      <c r="E23" s="20" t="s">
        <v>362</v>
      </c>
    </row>
    <row r="25" spans="1:5" ht="14.25" x14ac:dyDescent="0.2">
      <c r="A25" s="32"/>
      <c r="B25" s="33" t="s">
        <v>135</v>
      </c>
    </row>
    <row r="26" spans="1:5" ht="15" x14ac:dyDescent="0.2">
      <c r="A26" s="34" t="s">
        <v>111</v>
      </c>
      <c r="B26" s="34" t="s">
        <v>112</v>
      </c>
      <c r="C26" s="34" t="s">
        <v>113</v>
      </c>
      <c r="D26" s="34" t="s">
        <v>160</v>
      </c>
      <c r="E26" s="34" t="s">
        <v>115</v>
      </c>
    </row>
    <row r="27" spans="1:5" x14ac:dyDescent="0.2">
      <c r="A27" s="31" t="s">
        <v>358</v>
      </c>
      <c r="B27" s="4" t="s">
        <v>135</v>
      </c>
      <c r="C27" s="4" t="s">
        <v>132</v>
      </c>
      <c r="D27" s="4" t="s">
        <v>207</v>
      </c>
      <c r="E27" s="20" t="s">
        <v>363</v>
      </c>
    </row>
  </sheetData>
  <mergeCells count="13">
    <mergeCell ref="A8:J8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workbookViewId="0">
      <selection activeCell="E16" sqref="E16"/>
    </sheetView>
  </sheetViews>
  <sheetFormatPr defaultColWidth="9.140625" defaultRowHeight="12.75" x14ac:dyDescent="0.2"/>
  <cols>
    <col min="1" max="1" width="26" style="4" bestFit="1" customWidth="1"/>
    <col min="2" max="2" width="28.42578125" style="4" bestFit="1" customWidth="1"/>
    <col min="3" max="3" width="15.5703125" style="4" bestFit="1" customWidth="1"/>
    <col min="4" max="4" width="9.28515625" style="4" bestFit="1" customWidth="1"/>
    <col min="5" max="5" width="22.7109375" style="4" bestFit="1" customWidth="1"/>
    <col min="6" max="6" width="31.7109375" style="4" bestFit="1" customWidth="1"/>
    <col min="7" max="9" width="4.5703125" style="3" customWidth="1"/>
    <col min="10" max="10" width="4.85546875" style="3" customWidth="1"/>
    <col min="11" max="13" width="5.5703125" style="3" customWidth="1"/>
    <col min="14" max="14" width="4.85546875" style="3" customWidth="1"/>
    <col min="15" max="15" width="7.85546875" style="20" bestFit="1" customWidth="1"/>
    <col min="16" max="16" width="8.5703125" style="2" bestFit="1" customWidth="1"/>
    <col min="17" max="17" width="24.140625" style="4" bestFit="1" customWidth="1"/>
    <col min="18" max="16384" width="9.140625" style="3"/>
  </cols>
  <sheetData>
    <row r="1" spans="1:17" s="2" customFormat="1" ht="29.1" customHeight="1" x14ac:dyDescent="0.2">
      <c r="A1" s="40" t="s">
        <v>345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2"/>
    </row>
    <row r="2" spans="1:17" s="2" customFormat="1" ht="62.1" customHeight="1" thickBot="1" x14ac:dyDescent="0.25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5"/>
    </row>
    <row r="3" spans="1:17" s="1" customFormat="1" ht="12.75" customHeight="1" x14ac:dyDescent="0.2">
      <c r="A3" s="46" t="s">
        <v>0</v>
      </c>
      <c r="B3" s="48" t="s">
        <v>6</v>
      </c>
      <c r="C3" s="48" t="s">
        <v>10</v>
      </c>
      <c r="D3" s="50" t="s">
        <v>12</v>
      </c>
      <c r="E3" s="50" t="s">
        <v>4</v>
      </c>
      <c r="F3" s="50" t="s">
        <v>7</v>
      </c>
      <c r="G3" s="50" t="s">
        <v>14</v>
      </c>
      <c r="H3" s="50"/>
      <c r="I3" s="50"/>
      <c r="J3" s="50"/>
      <c r="K3" s="50" t="s">
        <v>15</v>
      </c>
      <c r="L3" s="50"/>
      <c r="M3" s="50"/>
      <c r="N3" s="50"/>
      <c r="O3" s="50" t="s">
        <v>1</v>
      </c>
      <c r="P3" s="50" t="s">
        <v>3</v>
      </c>
      <c r="Q3" s="51" t="s">
        <v>2</v>
      </c>
    </row>
    <row r="4" spans="1:17" s="1" customFormat="1" ht="21" customHeight="1" thickBot="1" x14ac:dyDescent="0.25">
      <c r="A4" s="47"/>
      <c r="B4" s="49"/>
      <c r="C4" s="49"/>
      <c r="D4" s="49"/>
      <c r="E4" s="49"/>
      <c r="F4" s="49"/>
      <c r="G4" s="6">
        <v>1</v>
      </c>
      <c r="H4" s="6">
        <v>2</v>
      </c>
      <c r="I4" s="6">
        <v>3</v>
      </c>
      <c r="J4" s="6" t="s">
        <v>5</v>
      </c>
      <c r="K4" s="6">
        <v>1</v>
      </c>
      <c r="L4" s="6">
        <v>2</v>
      </c>
      <c r="M4" s="6">
        <v>3</v>
      </c>
      <c r="N4" s="6" t="s">
        <v>5</v>
      </c>
      <c r="O4" s="49"/>
      <c r="P4" s="49"/>
      <c r="Q4" s="52"/>
    </row>
    <row r="5" spans="1:17" ht="15" x14ac:dyDescent="0.2">
      <c r="A5" s="53" t="s">
        <v>177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</row>
    <row r="6" spans="1:17" x14ac:dyDescent="0.2">
      <c r="A6" s="7" t="s">
        <v>179</v>
      </c>
      <c r="B6" s="7" t="s">
        <v>180</v>
      </c>
      <c r="C6" s="7" t="s">
        <v>181</v>
      </c>
      <c r="D6" s="7" t="str">
        <f>"0,8271"</f>
        <v>0,8271</v>
      </c>
      <c r="E6" s="7" t="s">
        <v>21</v>
      </c>
      <c r="F6" s="7" t="s">
        <v>22</v>
      </c>
      <c r="G6" s="8" t="s">
        <v>41</v>
      </c>
      <c r="H6" s="9" t="s">
        <v>182</v>
      </c>
      <c r="I6" s="9" t="s">
        <v>182</v>
      </c>
      <c r="J6" s="9"/>
      <c r="K6" s="9" t="s">
        <v>58</v>
      </c>
      <c r="L6" s="8" t="s">
        <v>58</v>
      </c>
      <c r="M6" s="9"/>
      <c r="N6" s="9"/>
      <c r="O6" s="21" t="str">
        <f>"270,0"</f>
        <v>270,0</v>
      </c>
      <c r="P6" s="22" t="str">
        <f>"230,0165"</f>
        <v>230,0165</v>
      </c>
      <c r="Q6" s="7" t="s">
        <v>32</v>
      </c>
    </row>
    <row r="8" spans="1:17" ht="15" x14ac:dyDescent="0.2">
      <c r="A8" s="57" t="s">
        <v>279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</row>
    <row r="9" spans="1:17" x14ac:dyDescent="0.2">
      <c r="A9" s="7" t="s">
        <v>346</v>
      </c>
      <c r="B9" s="7" t="s">
        <v>347</v>
      </c>
      <c r="C9" s="7" t="s">
        <v>323</v>
      </c>
      <c r="D9" s="7" t="str">
        <f>"0,5273"</f>
        <v>0,5273</v>
      </c>
      <c r="E9" s="7" t="s">
        <v>38</v>
      </c>
      <c r="F9" s="7" t="s">
        <v>22</v>
      </c>
      <c r="G9" s="8" t="s">
        <v>24</v>
      </c>
      <c r="H9" s="8" t="s">
        <v>324</v>
      </c>
      <c r="I9" s="8" t="s">
        <v>325</v>
      </c>
      <c r="J9" s="9"/>
      <c r="K9" s="8" t="s">
        <v>65</v>
      </c>
      <c r="L9" s="8" t="s">
        <v>326</v>
      </c>
      <c r="M9" s="8" t="s">
        <v>58</v>
      </c>
      <c r="N9" s="9"/>
      <c r="O9" s="21" t="str">
        <f>"257,5"</f>
        <v>257,5</v>
      </c>
      <c r="P9" s="22" t="str">
        <f>"141,2109"</f>
        <v>141,2109</v>
      </c>
      <c r="Q9" s="7" t="s">
        <v>45</v>
      </c>
    </row>
    <row r="11" spans="1:17" ht="15" x14ac:dyDescent="0.2">
      <c r="E11" s="19" t="s">
        <v>104</v>
      </c>
      <c r="F11" s="37" t="s">
        <v>565</v>
      </c>
    </row>
    <row r="12" spans="1:17" ht="15" x14ac:dyDescent="0.2">
      <c r="E12" s="19" t="s">
        <v>105</v>
      </c>
      <c r="F12" s="37" t="s">
        <v>566</v>
      </c>
    </row>
    <row r="13" spans="1:17" ht="15" x14ac:dyDescent="0.2">
      <c r="E13" s="19" t="s">
        <v>106</v>
      </c>
      <c r="F13" s="37" t="s">
        <v>567</v>
      </c>
    </row>
    <row r="14" spans="1:17" ht="15" x14ac:dyDescent="0.2">
      <c r="E14" s="19" t="s">
        <v>107</v>
      </c>
      <c r="F14" s="37" t="s">
        <v>568</v>
      </c>
    </row>
    <row r="15" spans="1:17" ht="15" x14ac:dyDescent="0.2">
      <c r="E15" s="19" t="s">
        <v>107</v>
      </c>
      <c r="F15" s="37" t="s">
        <v>569</v>
      </c>
    </row>
    <row r="16" spans="1:17" ht="15" x14ac:dyDescent="0.2">
      <c r="E16" s="19"/>
    </row>
    <row r="17" spans="1:5" ht="15" x14ac:dyDescent="0.2">
      <c r="E17" s="19"/>
    </row>
    <row r="19" spans="1:5" ht="18" x14ac:dyDescent="0.25">
      <c r="A19" s="29" t="s">
        <v>108</v>
      </c>
      <c r="B19" s="29"/>
    </row>
    <row r="20" spans="1:5" ht="15" x14ac:dyDescent="0.2">
      <c r="A20" s="30" t="s">
        <v>123</v>
      </c>
      <c r="B20" s="30"/>
    </row>
    <row r="21" spans="1:5" ht="14.25" x14ac:dyDescent="0.2">
      <c r="A21" s="32"/>
      <c r="B21" s="33" t="s">
        <v>124</v>
      </c>
    </row>
    <row r="22" spans="1:5" ht="15" x14ac:dyDescent="0.2">
      <c r="A22" s="34" t="s">
        <v>111</v>
      </c>
      <c r="B22" s="34" t="s">
        <v>112</v>
      </c>
      <c r="C22" s="34" t="s">
        <v>113</v>
      </c>
      <c r="D22" s="34" t="s">
        <v>114</v>
      </c>
      <c r="E22" s="34" t="s">
        <v>115</v>
      </c>
    </row>
    <row r="23" spans="1:5" x14ac:dyDescent="0.2">
      <c r="A23" s="31" t="s">
        <v>320</v>
      </c>
      <c r="B23" s="4" t="s">
        <v>125</v>
      </c>
      <c r="C23" s="4" t="s">
        <v>290</v>
      </c>
      <c r="D23" s="4" t="s">
        <v>348</v>
      </c>
      <c r="E23" s="20" t="s">
        <v>349</v>
      </c>
    </row>
    <row r="25" spans="1:5" ht="14.25" x14ac:dyDescent="0.2">
      <c r="A25" s="32"/>
      <c r="B25" s="33" t="s">
        <v>131</v>
      </c>
    </row>
    <row r="26" spans="1:5" ht="15" x14ac:dyDescent="0.2">
      <c r="A26" s="34" t="s">
        <v>111</v>
      </c>
      <c r="B26" s="34" t="s">
        <v>112</v>
      </c>
      <c r="C26" s="34" t="s">
        <v>113</v>
      </c>
      <c r="D26" s="34" t="s">
        <v>114</v>
      </c>
      <c r="E26" s="34" t="s">
        <v>115</v>
      </c>
    </row>
    <row r="27" spans="1:5" x14ac:dyDescent="0.2">
      <c r="A27" s="31" t="s">
        <v>178</v>
      </c>
      <c r="B27" s="4" t="s">
        <v>116</v>
      </c>
      <c r="C27" s="4" t="s">
        <v>215</v>
      </c>
      <c r="D27" s="4" t="s">
        <v>350</v>
      </c>
      <c r="E27" s="20" t="s">
        <v>351</v>
      </c>
    </row>
  </sheetData>
  <mergeCells count="14">
    <mergeCell ref="A8:N8"/>
    <mergeCell ref="O3:O4"/>
    <mergeCell ref="P3:P4"/>
    <mergeCell ref="Q3:Q4"/>
    <mergeCell ref="A5:N5"/>
    <mergeCell ref="A1:Q2"/>
    <mergeCell ref="A3:A4"/>
    <mergeCell ref="B3:B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E13" sqref="E13"/>
    </sheetView>
  </sheetViews>
  <sheetFormatPr defaultColWidth="9.140625"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1.28515625" style="4" bestFit="1" customWidth="1"/>
    <col min="7" max="8" width="5.5703125" style="3" customWidth="1"/>
    <col min="9" max="9" width="2.140625" style="3" customWidth="1"/>
    <col min="10" max="10" width="4.85546875" style="3" customWidth="1"/>
    <col min="11" max="11" width="7.85546875" style="20" bestFit="1" customWidth="1"/>
    <col min="12" max="12" width="8.5703125" style="2" bestFit="1" customWidth="1"/>
    <col min="13" max="13" width="17.5703125" style="4" bestFit="1" customWidth="1"/>
    <col min="14" max="16384" width="9.140625" style="3"/>
  </cols>
  <sheetData>
    <row r="1" spans="1:13" s="2" customFormat="1" ht="29.1" customHeight="1" x14ac:dyDescent="0.2">
      <c r="A1" s="40" t="s">
        <v>338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2" customFormat="1" ht="62.1" customHeight="1" thickBot="1" x14ac:dyDescent="0.25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</row>
    <row r="3" spans="1:13" s="1" customFormat="1" ht="12.75" customHeight="1" x14ac:dyDescent="0.2">
      <c r="A3" s="46" t="s">
        <v>0</v>
      </c>
      <c r="B3" s="48" t="s">
        <v>6</v>
      </c>
      <c r="C3" s="48" t="s">
        <v>10</v>
      </c>
      <c r="D3" s="50" t="s">
        <v>12</v>
      </c>
      <c r="E3" s="50" t="s">
        <v>4</v>
      </c>
      <c r="F3" s="50" t="s">
        <v>7</v>
      </c>
      <c r="G3" s="50" t="s">
        <v>15</v>
      </c>
      <c r="H3" s="50"/>
      <c r="I3" s="50"/>
      <c r="J3" s="50"/>
      <c r="K3" s="50" t="s">
        <v>165</v>
      </c>
      <c r="L3" s="50" t="s">
        <v>3</v>
      </c>
      <c r="M3" s="51" t="s">
        <v>2</v>
      </c>
    </row>
    <row r="4" spans="1:13" s="1" customFormat="1" ht="21" customHeight="1" thickBot="1" x14ac:dyDescent="0.25">
      <c r="A4" s="47"/>
      <c r="B4" s="49"/>
      <c r="C4" s="49"/>
      <c r="D4" s="49"/>
      <c r="E4" s="49"/>
      <c r="F4" s="49"/>
      <c r="G4" s="6">
        <v>1</v>
      </c>
      <c r="H4" s="6">
        <v>2</v>
      </c>
      <c r="I4" s="6">
        <v>3</v>
      </c>
      <c r="J4" s="6" t="s">
        <v>5</v>
      </c>
      <c r="K4" s="49"/>
      <c r="L4" s="49"/>
      <c r="M4" s="52"/>
    </row>
    <row r="5" spans="1:13" ht="15" x14ac:dyDescent="0.2">
      <c r="A5" s="53" t="s">
        <v>167</v>
      </c>
      <c r="B5" s="54"/>
      <c r="C5" s="54"/>
      <c r="D5" s="54"/>
      <c r="E5" s="54"/>
      <c r="F5" s="54"/>
      <c r="G5" s="54"/>
      <c r="H5" s="54"/>
      <c r="I5" s="54"/>
      <c r="J5" s="54"/>
    </row>
    <row r="6" spans="1:13" x14ac:dyDescent="0.2">
      <c r="A6" s="7" t="s">
        <v>340</v>
      </c>
      <c r="B6" s="7" t="s">
        <v>341</v>
      </c>
      <c r="C6" s="7" t="s">
        <v>37</v>
      </c>
      <c r="D6" s="7" t="str">
        <f>"0,5437"</f>
        <v>0,5437</v>
      </c>
      <c r="E6" s="7" t="s">
        <v>79</v>
      </c>
      <c r="F6" s="7" t="s">
        <v>80</v>
      </c>
      <c r="G6" s="8" t="s">
        <v>342</v>
      </c>
      <c r="H6" s="9" t="s">
        <v>343</v>
      </c>
      <c r="I6" s="9"/>
      <c r="J6" s="9"/>
      <c r="K6" s="21" t="str">
        <f>"280,0"</f>
        <v>280,0</v>
      </c>
      <c r="L6" s="22" t="str">
        <f>"152,2360"</f>
        <v>152,2360</v>
      </c>
      <c r="M6" s="7" t="s">
        <v>88</v>
      </c>
    </row>
    <row r="8" spans="1:13" ht="15" x14ac:dyDescent="0.2">
      <c r="E8" s="19" t="s">
        <v>104</v>
      </c>
      <c r="F8" s="37" t="s">
        <v>565</v>
      </c>
    </row>
    <row r="9" spans="1:13" ht="15" x14ac:dyDescent="0.2">
      <c r="E9" s="19" t="s">
        <v>105</v>
      </c>
      <c r="F9" s="37" t="s">
        <v>566</v>
      </c>
    </row>
    <row r="10" spans="1:13" ht="15" x14ac:dyDescent="0.2">
      <c r="E10" s="19" t="s">
        <v>106</v>
      </c>
      <c r="F10" s="37" t="s">
        <v>567</v>
      </c>
    </row>
    <row r="11" spans="1:13" ht="15" x14ac:dyDescent="0.2">
      <c r="E11" s="19" t="s">
        <v>107</v>
      </c>
      <c r="F11" s="37" t="s">
        <v>568</v>
      </c>
    </row>
    <row r="12" spans="1:13" ht="15" x14ac:dyDescent="0.2">
      <c r="E12" s="19" t="s">
        <v>107</v>
      </c>
      <c r="F12" s="37" t="s">
        <v>569</v>
      </c>
    </row>
    <row r="13" spans="1:13" ht="15" x14ac:dyDescent="0.2">
      <c r="E13" s="19"/>
    </row>
    <row r="14" spans="1:13" ht="15" x14ac:dyDescent="0.2">
      <c r="E14" s="19"/>
    </row>
    <row r="16" spans="1:13" ht="18" x14ac:dyDescent="0.25">
      <c r="A16" s="29" t="s">
        <v>108</v>
      </c>
      <c r="B16" s="29"/>
    </row>
    <row r="17" spans="1:5" ht="15" x14ac:dyDescent="0.2">
      <c r="A17" s="30" t="s">
        <v>123</v>
      </c>
      <c r="B17" s="30"/>
    </row>
    <row r="18" spans="1:5" ht="14.25" x14ac:dyDescent="0.2">
      <c r="A18" s="32"/>
      <c r="B18" s="33" t="s">
        <v>135</v>
      </c>
    </row>
    <row r="19" spans="1:5" ht="15" x14ac:dyDescent="0.2">
      <c r="A19" s="34" t="s">
        <v>111</v>
      </c>
      <c r="B19" s="34" t="s">
        <v>112</v>
      </c>
      <c r="C19" s="34" t="s">
        <v>113</v>
      </c>
      <c r="D19" s="34" t="s">
        <v>160</v>
      </c>
      <c r="E19" s="34" t="s">
        <v>115</v>
      </c>
    </row>
    <row r="20" spans="1:5" x14ac:dyDescent="0.2">
      <c r="A20" s="31" t="s">
        <v>339</v>
      </c>
      <c r="B20" s="4" t="s">
        <v>135</v>
      </c>
      <c r="C20" s="4" t="s">
        <v>174</v>
      </c>
      <c r="D20" s="4" t="s">
        <v>342</v>
      </c>
      <c r="E20" s="20" t="s">
        <v>344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tabSelected="1" workbookViewId="0">
      <selection activeCell="E34" sqref="E34"/>
    </sheetView>
  </sheetViews>
  <sheetFormatPr defaultColWidth="9.140625"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1.7109375" style="4" bestFit="1" customWidth="1"/>
    <col min="7" max="9" width="5.5703125" style="3" customWidth="1"/>
    <col min="10" max="10" width="4.85546875" style="3" customWidth="1"/>
    <col min="11" max="11" width="7.85546875" style="20" bestFit="1" customWidth="1"/>
    <col min="12" max="12" width="8.5703125" style="2" bestFit="1" customWidth="1"/>
    <col min="13" max="13" width="24.140625" style="4" bestFit="1" customWidth="1"/>
    <col min="14" max="16384" width="9.140625" style="3"/>
  </cols>
  <sheetData>
    <row r="1" spans="1:13" s="2" customFormat="1" ht="29.1" customHeight="1" x14ac:dyDescent="0.2">
      <c r="A1" s="40" t="s">
        <v>292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2" customFormat="1" ht="62.1" customHeight="1" thickBot="1" x14ac:dyDescent="0.25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</row>
    <row r="3" spans="1:13" s="1" customFormat="1" ht="12.75" customHeight="1" x14ac:dyDescent="0.2">
      <c r="A3" s="46" t="s">
        <v>0</v>
      </c>
      <c r="B3" s="48" t="s">
        <v>6</v>
      </c>
      <c r="C3" s="48" t="s">
        <v>10</v>
      </c>
      <c r="D3" s="50" t="s">
        <v>12</v>
      </c>
      <c r="E3" s="50" t="s">
        <v>4</v>
      </c>
      <c r="F3" s="50" t="s">
        <v>7</v>
      </c>
      <c r="G3" s="50" t="s">
        <v>15</v>
      </c>
      <c r="H3" s="50"/>
      <c r="I3" s="50"/>
      <c r="J3" s="50"/>
      <c r="K3" s="50" t="s">
        <v>165</v>
      </c>
      <c r="L3" s="50" t="s">
        <v>3</v>
      </c>
      <c r="M3" s="51" t="s">
        <v>2</v>
      </c>
    </row>
    <row r="4" spans="1:13" s="1" customFormat="1" ht="21" customHeight="1" thickBot="1" x14ac:dyDescent="0.25">
      <c r="A4" s="47"/>
      <c r="B4" s="49"/>
      <c r="C4" s="49"/>
      <c r="D4" s="49"/>
      <c r="E4" s="49"/>
      <c r="F4" s="49"/>
      <c r="G4" s="6">
        <v>1</v>
      </c>
      <c r="H4" s="6">
        <v>2</v>
      </c>
      <c r="I4" s="6">
        <v>3</v>
      </c>
      <c r="J4" s="6" t="s">
        <v>5</v>
      </c>
      <c r="K4" s="49"/>
      <c r="L4" s="49"/>
      <c r="M4" s="52"/>
    </row>
    <row r="5" spans="1:13" ht="15" x14ac:dyDescent="0.2">
      <c r="A5" s="53" t="s">
        <v>177</v>
      </c>
      <c r="B5" s="54"/>
      <c r="C5" s="54"/>
      <c r="D5" s="54"/>
      <c r="E5" s="54"/>
      <c r="F5" s="54"/>
      <c r="G5" s="54"/>
      <c r="H5" s="54"/>
      <c r="I5" s="54"/>
      <c r="J5" s="54"/>
    </row>
    <row r="6" spans="1:13" x14ac:dyDescent="0.2">
      <c r="A6" s="7" t="s">
        <v>179</v>
      </c>
      <c r="B6" s="7" t="s">
        <v>180</v>
      </c>
      <c r="C6" s="7" t="s">
        <v>181</v>
      </c>
      <c r="D6" s="7" t="str">
        <f>"0,8271"</f>
        <v>0,8271</v>
      </c>
      <c r="E6" s="7" t="s">
        <v>21</v>
      </c>
      <c r="F6" s="7" t="s">
        <v>22</v>
      </c>
      <c r="G6" s="9" t="s">
        <v>58</v>
      </c>
      <c r="H6" s="8" t="s">
        <v>58</v>
      </c>
      <c r="I6" s="9"/>
      <c r="J6" s="9"/>
      <c r="K6" s="21" t="str">
        <f>"175,0"</f>
        <v>175,0</v>
      </c>
      <c r="L6" s="22" t="str">
        <f>"149,0848"</f>
        <v>149,0848</v>
      </c>
      <c r="M6" s="7" t="s">
        <v>32</v>
      </c>
    </row>
    <row r="8" spans="1:13" ht="15" x14ac:dyDescent="0.2">
      <c r="A8" s="57" t="s">
        <v>46</v>
      </c>
      <c r="B8" s="57"/>
      <c r="C8" s="57"/>
      <c r="D8" s="57"/>
      <c r="E8" s="57"/>
      <c r="F8" s="57"/>
      <c r="G8" s="57"/>
      <c r="H8" s="57"/>
      <c r="I8" s="57"/>
      <c r="J8" s="57"/>
    </row>
    <row r="9" spans="1:13" x14ac:dyDescent="0.2">
      <c r="A9" s="7" t="s">
        <v>48</v>
      </c>
      <c r="B9" s="7" t="s">
        <v>183</v>
      </c>
      <c r="C9" s="7" t="s">
        <v>50</v>
      </c>
      <c r="D9" s="7" t="str">
        <f>"0,7377"</f>
        <v>0,7377</v>
      </c>
      <c r="E9" s="7" t="s">
        <v>38</v>
      </c>
      <c r="F9" s="7" t="s">
        <v>22</v>
      </c>
      <c r="G9" s="8" t="s">
        <v>53</v>
      </c>
      <c r="H9" s="8" t="s">
        <v>57</v>
      </c>
      <c r="I9" s="8" t="s">
        <v>58</v>
      </c>
      <c r="J9" s="9"/>
      <c r="K9" s="21" t="str">
        <f>"175,0"</f>
        <v>175,0</v>
      </c>
      <c r="L9" s="22" t="str">
        <f>"129,0975"</f>
        <v>129,0975</v>
      </c>
      <c r="M9" s="7" t="s">
        <v>45</v>
      </c>
    </row>
    <row r="11" spans="1:13" ht="15" x14ac:dyDescent="0.2">
      <c r="A11" s="57" t="s">
        <v>16</v>
      </c>
      <c r="B11" s="57"/>
      <c r="C11" s="57"/>
      <c r="D11" s="57"/>
      <c r="E11" s="57"/>
      <c r="F11" s="57"/>
      <c r="G11" s="57"/>
      <c r="H11" s="57"/>
      <c r="I11" s="57"/>
      <c r="J11" s="57"/>
    </row>
    <row r="12" spans="1:13" x14ac:dyDescent="0.2">
      <c r="A12" s="10" t="s">
        <v>294</v>
      </c>
      <c r="B12" s="10" t="s">
        <v>295</v>
      </c>
      <c r="C12" s="10" t="s">
        <v>296</v>
      </c>
      <c r="D12" s="10" t="str">
        <f>"0,6782"</f>
        <v>0,6782</v>
      </c>
      <c r="E12" s="10" t="s">
        <v>38</v>
      </c>
      <c r="F12" s="10" t="s">
        <v>22</v>
      </c>
      <c r="G12" s="11" t="s">
        <v>82</v>
      </c>
      <c r="H12" s="12" t="s">
        <v>271</v>
      </c>
      <c r="I12" s="12" t="s">
        <v>271</v>
      </c>
      <c r="J12" s="12"/>
      <c r="K12" s="23" t="str">
        <f>"205,0"</f>
        <v>205,0</v>
      </c>
      <c r="L12" s="24" t="str">
        <f>"139,0310"</f>
        <v>139,0310</v>
      </c>
      <c r="M12" s="10" t="s">
        <v>96</v>
      </c>
    </row>
    <row r="13" spans="1:13" x14ac:dyDescent="0.2">
      <c r="A13" s="16" t="s">
        <v>297</v>
      </c>
      <c r="B13" s="16" t="s">
        <v>298</v>
      </c>
      <c r="C13" s="16" t="s">
        <v>62</v>
      </c>
      <c r="D13" s="16" t="str">
        <f>"0,6676"</f>
        <v>0,6676</v>
      </c>
      <c r="E13" s="16" t="s">
        <v>38</v>
      </c>
      <c r="F13" s="16" t="s">
        <v>22</v>
      </c>
      <c r="G13" s="17" t="s">
        <v>53</v>
      </c>
      <c r="H13" s="17" t="s">
        <v>57</v>
      </c>
      <c r="I13" s="18" t="s">
        <v>67</v>
      </c>
      <c r="J13" s="18"/>
      <c r="K13" s="27" t="str">
        <f>"170,0"</f>
        <v>170,0</v>
      </c>
      <c r="L13" s="28" t="str">
        <f>"113,5005"</f>
        <v>113,5005</v>
      </c>
      <c r="M13" s="16" t="s">
        <v>45</v>
      </c>
    </row>
    <row r="15" spans="1:13" ht="15" x14ac:dyDescent="0.2">
      <c r="A15" s="57" t="s">
        <v>144</v>
      </c>
      <c r="B15" s="57"/>
      <c r="C15" s="57"/>
      <c r="D15" s="57"/>
      <c r="E15" s="57"/>
      <c r="F15" s="57"/>
      <c r="G15" s="57"/>
      <c r="H15" s="57"/>
      <c r="I15" s="57"/>
      <c r="J15" s="57"/>
    </row>
    <row r="16" spans="1:13" x14ac:dyDescent="0.2">
      <c r="A16" s="7" t="s">
        <v>300</v>
      </c>
      <c r="B16" s="7" t="s">
        <v>301</v>
      </c>
      <c r="C16" s="7" t="s">
        <v>302</v>
      </c>
      <c r="D16" s="7" t="str">
        <f>"0,6216"</f>
        <v>0,6216</v>
      </c>
      <c r="E16" s="7" t="s">
        <v>38</v>
      </c>
      <c r="F16" s="7" t="s">
        <v>22</v>
      </c>
      <c r="G16" s="8" t="s">
        <v>271</v>
      </c>
      <c r="H16" s="8" t="s">
        <v>303</v>
      </c>
      <c r="I16" s="9" t="s">
        <v>304</v>
      </c>
      <c r="J16" s="9"/>
      <c r="K16" s="21" t="str">
        <f>"237,5"</f>
        <v>237,5</v>
      </c>
      <c r="L16" s="22" t="str">
        <f>"147,6419"</f>
        <v>147,6419</v>
      </c>
      <c r="M16" s="7" t="s">
        <v>45</v>
      </c>
    </row>
    <row r="18" spans="1:13" ht="15" x14ac:dyDescent="0.2">
      <c r="A18" s="57" t="s">
        <v>68</v>
      </c>
      <c r="B18" s="57"/>
      <c r="C18" s="57"/>
      <c r="D18" s="57"/>
      <c r="E18" s="57"/>
      <c r="F18" s="57"/>
      <c r="G18" s="57"/>
      <c r="H18" s="57"/>
      <c r="I18" s="57"/>
      <c r="J18" s="57"/>
    </row>
    <row r="19" spans="1:13" x14ac:dyDescent="0.2">
      <c r="A19" s="10" t="s">
        <v>70</v>
      </c>
      <c r="B19" s="10" t="s">
        <v>305</v>
      </c>
      <c r="C19" s="10" t="s">
        <v>72</v>
      </c>
      <c r="D19" s="10" t="str">
        <f>"0,5853"</f>
        <v>0,5853</v>
      </c>
      <c r="E19" s="10" t="s">
        <v>38</v>
      </c>
      <c r="F19" s="10" t="s">
        <v>22</v>
      </c>
      <c r="G19" s="11" t="s">
        <v>57</v>
      </c>
      <c r="H19" s="11" t="s">
        <v>74</v>
      </c>
      <c r="I19" s="11" t="s">
        <v>75</v>
      </c>
      <c r="J19" s="12"/>
      <c r="K19" s="23" t="str">
        <f>"187,5"</f>
        <v>187,5</v>
      </c>
      <c r="L19" s="24" t="str">
        <f>"109,7438"</f>
        <v>109,7438</v>
      </c>
      <c r="M19" s="10" t="s">
        <v>45</v>
      </c>
    </row>
    <row r="20" spans="1:13" x14ac:dyDescent="0.2">
      <c r="A20" s="16" t="s">
        <v>307</v>
      </c>
      <c r="B20" s="16" t="s">
        <v>308</v>
      </c>
      <c r="C20" s="16" t="s">
        <v>72</v>
      </c>
      <c r="D20" s="16" t="str">
        <f>"0,5853"</f>
        <v>0,5853</v>
      </c>
      <c r="E20" s="16" t="s">
        <v>21</v>
      </c>
      <c r="F20" s="16" t="s">
        <v>309</v>
      </c>
      <c r="G20" s="17" t="s">
        <v>81</v>
      </c>
      <c r="H20" s="17" t="s">
        <v>102</v>
      </c>
      <c r="I20" s="17" t="s">
        <v>83</v>
      </c>
      <c r="J20" s="18"/>
      <c r="K20" s="27" t="str">
        <f>"210,0"</f>
        <v>210,0</v>
      </c>
      <c r="L20" s="28" t="str">
        <f>"144,1770"</f>
        <v>144,1770</v>
      </c>
      <c r="M20" s="16" t="s">
        <v>310</v>
      </c>
    </row>
    <row r="22" spans="1:13" ht="15" x14ac:dyDescent="0.2">
      <c r="A22" s="57" t="s">
        <v>97</v>
      </c>
      <c r="B22" s="57"/>
      <c r="C22" s="57"/>
      <c r="D22" s="57"/>
      <c r="E22" s="57"/>
      <c r="F22" s="57"/>
      <c r="G22" s="57"/>
      <c r="H22" s="57"/>
      <c r="I22" s="57"/>
      <c r="J22" s="57"/>
    </row>
    <row r="23" spans="1:13" x14ac:dyDescent="0.2">
      <c r="A23" s="7" t="s">
        <v>312</v>
      </c>
      <c r="B23" s="7" t="s">
        <v>313</v>
      </c>
      <c r="C23" s="7" t="s">
        <v>314</v>
      </c>
      <c r="D23" s="7" t="str">
        <f>"0,5619"</f>
        <v>0,5619</v>
      </c>
      <c r="E23" s="7" t="s">
        <v>21</v>
      </c>
      <c r="F23" s="7" t="s">
        <v>22</v>
      </c>
      <c r="G23" s="8" t="s">
        <v>82</v>
      </c>
      <c r="H23" s="8" t="s">
        <v>85</v>
      </c>
      <c r="I23" s="8" t="s">
        <v>271</v>
      </c>
      <c r="J23" s="9"/>
      <c r="K23" s="21" t="str">
        <f>"225,0"</f>
        <v>225,0</v>
      </c>
      <c r="L23" s="22" t="str">
        <f>"127,5654"</f>
        <v>127,5654</v>
      </c>
      <c r="M23" s="7" t="s">
        <v>96</v>
      </c>
    </row>
    <row r="25" spans="1:13" ht="15" x14ac:dyDescent="0.2">
      <c r="A25" s="57" t="s">
        <v>279</v>
      </c>
      <c r="B25" s="57"/>
      <c r="C25" s="57"/>
      <c r="D25" s="57"/>
      <c r="E25" s="57"/>
      <c r="F25" s="57"/>
      <c r="G25" s="57"/>
      <c r="H25" s="57"/>
      <c r="I25" s="57"/>
      <c r="J25" s="57"/>
    </row>
    <row r="26" spans="1:13" x14ac:dyDescent="0.2">
      <c r="A26" s="10" t="s">
        <v>316</v>
      </c>
      <c r="B26" s="10" t="s">
        <v>317</v>
      </c>
      <c r="C26" s="10" t="s">
        <v>318</v>
      </c>
      <c r="D26" s="10" t="str">
        <f>"0,5352"</f>
        <v>0,5352</v>
      </c>
      <c r="E26" s="10" t="s">
        <v>38</v>
      </c>
      <c r="F26" s="10" t="s">
        <v>319</v>
      </c>
      <c r="G26" s="11" t="s">
        <v>67</v>
      </c>
      <c r="H26" s="11" t="s">
        <v>94</v>
      </c>
      <c r="I26" s="11" t="s">
        <v>102</v>
      </c>
      <c r="J26" s="12"/>
      <c r="K26" s="23" t="str">
        <f>"200,0"</f>
        <v>200,0</v>
      </c>
      <c r="L26" s="24" t="str">
        <f>"107,0400"</f>
        <v>107,0400</v>
      </c>
      <c r="M26" s="10" t="s">
        <v>45</v>
      </c>
    </row>
    <row r="27" spans="1:13" x14ac:dyDescent="0.2">
      <c r="A27" s="16" t="s">
        <v>321</v>
      </c>
      <c r="B27" s="16" t="s">
        <v>322</v>
      </c>
      <c r="C27" s="16" t="s">
        <v>323</v>
      </c>
      <c r="D27" s="16" t="str">
        <f>"0,5273"</f>
        <v>0,5273</v>
      </c>
      <c r="E27" s="16" t="s">
        <v>38</v>
      </c>
      <c r="F27" s="16" t="s">
        <v>22</v>
      </c>
      <c r="G27" s="17" t="s">
        <v>65</v>
      </c>
      <c r="H27" s="17" t="s">
        <v>326</v>
      </c>
      <c r="I27" s="17" t="s">
        <v>58</v>
      </c>
      <c r="J27" s="18"/>
      <c r="K27" s="27" t="str">
        <f>"175,0"</f>
        <v>175,0</v>
      </c>
      <c r="L27" s="28" t="str">
        <f>"92,2775"</f>
        <v>92,2775</v>
      </c>
      <c r="M27" s="16" t="s">
        <v>45</v>
      </c>
    </row>
    <row r="29" spans="1:13" ht="15" x14ac:dyDescent="0.2">
      <c r="E29" s="19" t="s">
        <v>104</v>
      </c>
      <c r="F29" s="37" t="s">
        <v>565</v>
      </c>
    </row>
    <row r="30" spans="1:13" ht="15" x14ac:dyDescent="0.2">
      <c r="E30" s="19" t="s">
        <v>105</v>
      </c>
      <c r="F30" s="37" t="s">
        <v>566</v>
      </c>
    </row>
    <row r="31" spans="1:13" ht="15" x14ac:dyDescent="0.2">
      <c r="E31" s="19" t="s">
        <v>106</v>
      </c>
      <c r="F31" s="37" t="s">
        <v>567</v>
      </c>
    </row>
    <row r="32" spans="1:13" ht="15" x14ac:dyDescent="0.2">
      <c r="E32" s="19" t="s">
        <v>107</v>
      </c>
      <c r="F32" s="37" t="s">
        <v>568</v>
      </c>
    </row>
    <row r="33" spans="1:6" ht="15" x14ac:dyDescent="0.2">
      <c r="E33" s="19" t="s">
        <v>107</v>
      </c>
      <c r="F33" s="37" t="s">
        <v>569</v>
      </c>
    </row>
    <row r="34" spans="1:6" ht="15" x14ac:dyDescent="0.2">
      <c r="E34" s="19"/>
    </row>
    <row r="35" spans="1:6" ht="15" x14ac:dyDescent="0.2">
      <c r="E35" s="19"/>
    </row>
    <row r="37" spans="1:6" ht="18" x14ac:dyDescent="0.25">
      <c r="A37" s="29" t="s">
        <v>108</v>
      </c>
      <c r="B37" s="29"/>
    </row>
    <row r="38" spans="1:6" ht="15" x14ac:dyDescent="0.2">
      <c r="A38" s="30" t="s">
        <v>123</v>
      </c>
      <c r="B38" s="30"/>
    </row>
    <row r="39" spans="1:6" ht="14.25" x14ac:dyDescent="0.2">
      <c r="A39" s="32"/>
      <c r="B39" s="33" t="s">
        <v>131</v>
      </c>
    </row>
    <row r="40" spans="1:6" ht="15" x14ac:dyDescent="0.2">
      <c r="A40" s="34" t="s">
        <v>111</v>
      </c>
      <c r="B40" s="34" t="s">
        <v>112</v>
      </c>
      <c r="C40" s="34" t="s">
        <v>113</v>
      </c>
      <c r="D40" s="34" t="s">
        <v>160</v>
      </c>
      <c r="E40" s="34" t="s">
        <v>115</v>
      </c>
    </row>
    <row r="41" spans="1:6" x14ac:dyDescent="0.2">
      <c r="A41" s="31" t="s">
        <v>178</v>
      </c>
      <c r="B41" s="4" t="s">
        <v>116</v>
      </c>
      <c r="C41" s="4" t="s">
        <v>215</v>
      </c>
      <c r="D41" s="4" t="s">
        <v>58</v>
      </c>
      <c r="E41" s="20" t="s">
        <v>327</v>
      </c>
    </row>
    <row r="43" spans="1:6" ht="14.25" x14ac:dyDescent="0.2">
      <c r="A43" s="32"/>
      <c r="B43" s="33" t="s">
        <v>135</v>
      </c>
    </row>
    <row r="44" spans="1:6" ht="15" x14ac:dyDescent="0.2">
      <c r="A44" s="34" t="s">
        <v>111</v>
      </c>
      <c r="B44" s="34" t="s">
        <v>112</v>
      </c>
      <c r="C44" s="34" t="s">
        <v>113</v>
      </c>
      <c r="D44" s="34" t="s">
        <v>160</v>
      </c>
      <c r="E44" s="34" t="s">
        <v>115</v>
      </c>
    </row>
    <row r="45" spans="1:6" x14ac:dyDescent="0.2">
      <c r="A45" s="31" t="s">
        <v>299</v>
      </c>
      <c r="B45" s="4" t="s">
        <v>135</v>
      </c>
      <c r="C45" s="4" t="s">
        <v>162</v>
      </c>
      <c r="D45" s="4" t="s">
        <v>303</v>
      </c>
      <c r="E45" s="20" t="s">
        <v>328</v>
      </c>
    </row>
    <row r="46" spans="1:6" x14ac:dyDescent="0.2">
      <c r="A46" s="31" t="s">
        <v>293</v>
      </c>
      <c r="B46" s="4" t="s">
        <v>135</v>
      </c>
      <c r="C46" s="4" t="s">
        <v>117</v>
      </c>
      <c r="D46" s="4" t="s">
        <v>82</v>
      </c>
      <c r="E46" s="20" t="s">
        <v>329</v>
      </c>
    </row>
    <row r="47" spans="1:6" x14ac:dyDescent="0.2">
      <c r="A47" s="31" t="s">
        <v>47</v>
      </c>
      <c r="B47" s="4" t="s">
        <v>135</v>
      </c>
      <c r="C47" s="4" t="s">
        <v>126</v>
      </c>
      <c r="D47" s="4" t="s">
        <v>58</v>
      </c>
      <c r="E47" s="20" t="s">
        <v>330</v>
      </c>
    </row>
    <row r="48" spans="1:6" x14ac:dyDescent="0.2">
      <c r="A48" s="31" t="s">
        <v>59</v>
      </c>
      <c r="B48" s="4" t="s">
        <v>135</v>
      </c>
      <c r="C48" s="4" t="s">
        <v>117</v>
      </c>
      <c r="D48" s="4" t="s">
        <v>57</v>
      </c>
      <c r="E48" s="20" t="s">
        <v>331</v>
      </c>
    </row>
    <row r="49" spans="1:5" x14ac:dyDescent="0.2">
      <c r="A49" s="31" t="s">
        <v>69</v>
      </c>
      <c r="B49" s="4" t="s">
        <v>135</v>
      </c>
      <c r="C49" s="4" t="s">
        <v>132</v>
      </c>
      <c r="D49" s="4" t="s">
        <v>75</v>
      </c>
      <c r="E49" s="20" t="s">
        <v>332</v>
      </c>
    </row>
    <row r="50" spans="1:5" x14ac:dyDescent="0.2">
      <c r="A50" s="31" t="s">
        <v>315</v>
      </c>
      <c r="B50" s="4" t="s">
        <v>135</v>
      </c>
      <c r="C50" s="4" t="s">
        <v>290</v>
      </c>
      <c r="D50" s="4" t="s">
        <v>102</v>
      </c>
      <c r="E50" s="20" t="s">
        <v>333</v>
      </c>
    </row>
    <row r="51" spans="1:5" x14ac:dyDescent="0.2">
      <c r="A51" s="31" t="s">
        <v>320</v>
      </c>
      <c r="B51" s="4" t="s">
        <v>135</v>
      </c>
      <c r="C51" s="4" t="s">
        <v>290</v>
      </c>
      <c r="D51" s="4" t="s">
        <v>58</v>
      </c>
      <c r="E51" s="20" t="s">
        <v>334</v>
      </c>
    </row>
    <row r="53" spans="1:5" ht="14.25" x14ac:dyDescent="0.2">
      <c r="A53" s="32"/>
      <c r="B53" s="33" t="s">
        <v>225</v>
      </c>
    </row>
    <row r="54" spans="1:5" ht="15" x14ac:dyDescent="0.2">
      <c r="A54" s="34" t="s">
        <v>111</v>
      </c>
      <c r="B54" s="34" t="s">
        <v>112</v>
      </c>
      <c r="C54" s="34" t="s">
        <v>113</v>
      </c>
      <c r="D54" s="34" t="s">
        <v>160</v>
      </c>
      <c r="E54" s="34" t="s">
        <v>115</v>
      </c>
    </row>
    <row r="55" spans="1:5" x14ac:dyDescent="0.2">
      <c r="A55" s="31" t="s">
        <v>306</v>
      </c>
      <c r="B55" s="4" t="s">
        <v>335</v>
      </c>
      <c r="C55" s="4" t="s">
        <v>132</v>
      </c>
      <c r="D55" s="4" t="s">
        <v>83</v>
      </c>
      <c r="E55" s="20" t="s">
        <v>336</v>
      </c>
    </row>
    <row r="56" spans="1:5" x14ac:dyDescent="0.2">
      <c r="A56" s="31" t="s">
        <v>311</v>
      </c>
      <c r="B56" s="4" t="s">
        <v>226</v>
      </c>
      <c r="C56" s="4" t="s">
        <v>138</v>
      </c>
      <c r="D56" s="4" t="s">
        <v>271</v>
      </c>
      <c r="E56" s="20" t="s">
        <v>337</v>
      </c>
    </row>
  </sheetData>
  <mergeCells count="18">
    <mergeCell ref="A25:J25"/>
    <mergeCell ref="K3:K4"/>
    <mergeCell ref="L3:L4"/>
    <mergeCell ref="M3:M4"/>
    <mergeCell ref="A5:J5"/>
    <mergeCell ref="A8:J8"/>
    <mergeCell ref="A11:J11"/>
    <mergeCell ref="A15:J15"/>
    <mergeCell ref="A18:J18"/>
    <mergeCell ref="A22:J22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E13" sqref="E13"/>
    </sheetView>
  </sheetViews>
  <sheetFormatPr defaultColWidth="9.140625"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1.28515625" style="4" bestFit="1" customWidth="1"/>
    <col min="7" max="9" width="5.5703125" style="3" customWidth="1"/>
    <col min="10" max="10" width="4.85546875" style="3" customWidth="1"/>
    <col min="11" max="11" width="7.85546875" style="20" bestFit="1" customWidth="1"/>
    <col min="12" max="12" width="8.5703125" style="2" bestFit="1" customWidth="1"/>
    <col min="13" max="13" width="24.42578125" style="4" bestFit="1" customWidth="1"/>
    <col min="14" max="16384" width="9.140625" style="3"/>
  </cols>
  <sheetData>
    <row r="1" spans="1:13" s="2" customFormat="1" ht="29.1" customHeight="1" x14ac:dyDescent="0.2">
      <c r="A1" s="40" t="s">
        <v>278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2" customFormat="1" ht="62.1" customHeight="1" thickBot="1" x14ac:dyDescent="0.25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</row>
    <row r="3" spans="1:13" s="1" customFormat="1" ht="12.75" customHeight="1" x14ac:dyDescent="0.2">
      <c r="A3" s="46" t="s">
        <v>0</v>
      </c>
      <c r="B3" s="48" t="s">
        <v>6</v>
      </c>
      <c r="C3" s="48" t="s">
        <v>10</v>
      </c>
      <c r="D3" s="50" t="s">
        <v>12</v>
      </c>
      <c r="E3" s="50" t="s">
        <v>4</v>
      </c>
      <c r="F3" s="50" t="s">
        <v>7</v>
      </c>
      <c r="G3" s="50" t="s">
        <v>14</v>
      </c>
      <c r="H3" s="50"/>
      <c r="I3" s="50"/>
      <c r="J3" s="50"/>
      <c r="K3" s="50" t="s">
        <v>165</v>
      </c>
      <c r="L3" s="50" t="s">
        <v>3</v>
      </c>
      <c r="M3" s="51" t="s">
        <v>2</v>
      </c>
    </row>
    <row r="4" spans="1:13" s="1" customFormat="1" ht="21" customHeight="1" thickBot="1" x14ac:dyDescent="0.25">
      <c r="A4" s="47"/>
      <c r="B4" s="49"/>
      <c r="C4" s="49"/>
      <c r="D4" s="49"/>
      <c r="E4" s="49"/>
      <c r="F4" s="49"/>
      <c r="G4" s="6">
        <v>1</v>
      </c>
      <c r="H4" s="6">
        <v>2</v>
      </c>
      <c r="I4" s="6">
        <v>3</v>
      </c>
      <c r="J4" s="6" t="s">
        <v>5</v>
      </c>
      <c r="K4" s="49"/>
      <c r="L4" s="49"/>
      <c r="M4" s="52"/>
    </row>
    <row r="5" spans="1:13" ht="15" x14ac:dyDescent="0.2">
      <c r="A5" s="53" t="s">
        <v>279</v>
      </c>
      <c r="B5" s="54"/>
      <c r="C5" s="54"/>
      <c r="D5" s="54"/>
      <c r="E5" s="54"/>
      <c r="F5" s="54"/>
      <c r="G5" s="54"/>
      <c r="H5" s="54"/>
      <c r="I5" s="54"/>
      <c r="J5" s="54"/>
    </row>
    <row r="6" spans="1:13" x14ac:dyDescent="0.2">
      <c r="A6" s="7" t="s">
        <v>281</v>
      </c>
      <c r="B6" s="7" t="s">
        <v>282</v>
      </c>
      <c r="C6" s="7" t="s">
        <v>283</v>
      </c>
      <c r="D6" s="7" t="str">
        <f>"0,5241"</f>
        <v>0,5241</v>
      </c>
      <c r="E6" s="7" t="s">
        <v>284</v>
      </c>
      <c r="F6" s="7" t="s">
        <v>80</v>
      </c>
      <c r="G6" s="9" t="s">
        <v>285</v>
      </c>
      <c r="H6" s="8" t="s">
        <v>286</v>
      </c>
      <c r="I6" s="9" t="s">
        <v>287</v>
      </c>
      <c r="J6" s="9"/>
      <c r="K6" s="21" t="str">
        <f>"380,0"</f>
        <v>380,0</v>
      </c>
      <c r="L6" s="22" t="str">
        <f>"227,8368"</f>
        <v>227,8368</v>
      </c>
      <c r="M6" s="7" t="s">
        <v>288</v>
      </c>
    </row>
    <row r="8" spans="1:13" ht="15" x14ac:dyDescent="0.2">
      <c r="E8" s="19" t="s">
        <v>104</v>
      </c>
      <c r="F8" s="37" t="s">
        <v>565</v>
      </c>
    </row>
    <row r="9" spans="1:13" ht="15" x14ac:dyDescent="0.2">
      <c r="E9" s="19" t="s">
        <v>105</v>
      </c>
      <c r="F9" s="37" t="s">
        <v>566</v>
      </c>
    </row>
    <row r="10" spans="1:13" ht="15" x14ac:dyDescent="0.2">
      <c r="E10" s="19" t="s">
        <v>106</v>
      </c>
      <c r="F10" s="37" t="s">
        <v>567</v>
      </c>
    </row>
    <row r="11" spans="1:13" ht="15" x14ac:dyDescent="0.2">
      <c r="E11" s="19" t="s">
        <v>107</v>
      </c>
      <c r="F11" s="37" t="s">
        <v>568</v>
      </c>
    </row>
    <row r="12" spans="1:13" ht="15" x14ac:dyDescent="0.2">
      <c r="E12" s="19" t="s">
        <v>107</v>
      </c>
      <c r="F12" s="37" t="s">
        <v>569</v>
      </c>
    </row>
    <row r="13" spans="1:13" ht="15" x14ac:dyDescent="0.2">
      <c r="E13" s="19"/>
    </row>
    <row r="14" spans="1:13" ht="15" x14ac:dyDescent="0.2">
      <c r="E14" s="19"/>
    </row>
    <row r="16" spans="1:13" ht="18" x14ac:dyDescent="0.25">
      <c r="A16" s="29" t="s">
        <v>108</v>
      </c>
      <c r="B16" s="29"/>
    </row>
    <row r="17" spans="1:5" ht="15" x14ac:dyDescent="0.2">
      <c r="A17" s="30" t="s">
        <v>123</v>
      </c>
      <c r="B17" s="30"/>
    </row>
    <row r="18" spans="1:5" ht="14.25" x14ac:dyDescent="0.2">
      <c r="A18" s="32"/>
      <c r="B18" s="33" t="s">
        <v>225</v>
      </c>
    </row>
    <row r="19" spans="1:5" ht="15" x14ac:dyDescent="0.2">
      <c r="A19" s="34" t="s">
        <v>111</v>
      </c>
      <c r="B19" s="34" t="s">
        <v>112</v>
      </c>
      <c r="C19" s="34" t="s">
        <v>113</v>
      </c>
      <c r="D19" s="34" t="s">
        <v>160</v>
      </c>
      <c r="E19" s="34" t="s">
        <v>115</v>
      </c>
    </row>
    <row r="20" spans="1:5" x14ac:dyDescent="0.2">
      <c r="A20" s="31" t="s">
        <v>280</v>
      </c>
      <c r="B20" s="4" t="s">
        <v>289</v>
      </c>
      <c r="C20" s="4" t="s">
        <v>290</v>
      </c>
      <c r="D20" s="4" t="s">
        <v>286</v>
      </c>
      <c r="E20" s="20" t="s">
        <v>291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workbookViewId="0">
      <selection activeCell="E16" sqref="E16"/>
    </sheetView>
  </sheetViews>
  <sheetFormatPr defaultColWidth="9.140625"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1.28515625" style="4" bestFit="1" customWidth="1"/>
    <col min="7" max="10" width="5.5703125" style="3" customWidth="1"/>
    <col min="11" max="11" width="7.85546875" style="20" bestFit="1" customWidth="1"/>
    <col min="12" max="12" width="8.5703125" style="2" bestFit="1" customWidth="1"/>
    <col min="13" max="13" width="8.85546875" style="4" bestFit="1" customWidth="1"/>
    <col min="14" max="16384" width="9.140625" style="3"/>
  </cols>
  <sheetData>
    <row r="1" spans="1:13" s="2" customFormat="1" ht="29.1" customHeight="1" x14ac:dyDescent="0.2">
      <c r="A1" s="40" t="s">
        <v>266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2" customFormat="1" ht="62.1" customHeight="1" thickBot="1" x14ac:dyDescent="0.25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</row>
    <row r="3" spans="1:13" s="1" customFormat="1" ht="12.75" customHeight="1" x14ac:dyDescent="0.2">
      <c r="A3" s="46" t="s">
        <v>0</v>
      </c>
      <c r="B3" s="48" t="s">
        <v>6</v>
      </c>
      <c r="C3" s="48" t="s">
        <v>10</v>
      </c>
      <c r="D3" s="50" t="s">
        <v>12</v>
      </c>
      <c r="E3" s="50" t="s">
        <v>4</v>
      </c>
      <c r="F3" s="50" t="s">
        <v>7</v>
      </c>
      <c r="G3" s="50" t="s">
        <v>14</v>
      </c>
      <c r="H3" s="50"/>
      <c r="I3" s="50"/>
      <c r="J3" s="50"/>
      <c r="K3" s="50" t="s">
        <v>165</v>
      </c>
      <c r="L3" s="50" t="s">
        <v>3</v>
      </c>
      <c r="M3" s="51" t="s">
        <v>2</v>
      </c>
    </row>
    <row r="4" spans="1:13" s="1" customFormat="1" ht="21" customHeight="1" thickBot="1" x14ac:dyDescent="0.25">
      <c r="A4" s="47"/>
      <c r="B4" s="49"/>
      <c r="C4" s="49"/>
      <c r="D4" s="49"/>
      <c r="E4" s="49"/>
      <c r="F4" s="49"/>
      <c r="G4" s="6">
        <v>1</v>
      </c>
      <c r="H4" s="6">
        <v>2</v>
      </c>
      <c r="I4" s="6">
        <v>3</v>
      </c>
      <c r="J4" s="6" t="s">
        <v>5</v>
      </c>
      <c r="K4" s="49"/>
      <c r="L4" s="49"/>
      <c r="M4" s="52"/>
    </row>
    <row r="5" spans="1:13" ht="15" x14ac:dyDescent="0.2">
      <c r="A5" s="53" t="s">
        <v>97</v>
      </c>
      <c r="B5" s="54"/>
      <c r="C5" s="54"/>
      <c r="D5" s="54"/>
      <c r="E5" s="54"/>
      <c r="F5" s="54"/>
      <c r="G5" s="54"/>
      <c r="H5" s="54"/>
      <c r="I5" s="54"/>
      <c r="J5" s="54"/>
    </row>
    <row r="6" spans="1:13" x14ac:dyDescent="0.2">
      <c r="A6" s="7" t="s">
        <v>268</v>
      </c>
      <c r="B6" s="7" t="s">
        <v>269</v>
      </c>
      <c r="C6" s="7" t="s">
        <v>270</v>
      </c>
      <c r="D6" s="7" t="str">
        <f>"0,5573"</f>
        <v>0,5573</v>
      </c>
      <c r="E6" s="7" t="s">
        <v>260</v>
      </c>
      <c r="F6" s="7" t="s">
        <v>80</v>
      </c>
      <c r="G6" s="8" t="s">
        <v>83</v>
      </c>
      <c r="H6" s="8" t="s">
        <v>271</v>
      </c>
      <c r="I6" s="8" t="s">
        <v>272</v>
      </c>
      <c r="J6" s="8" t="s">
        <v>118</v>
      </c>
      <c r="K6" s="21" t="str">
        <f>"235,0"</f>
        <v>235,0</v>
      </c>
      <c r="L6" s="22" t="str">
        <f>"229,8444"</f>
        <v>229,8444</v>
      </c>
      <c r="M6" s="7" t="s">
        <v>96</v>
      </c>
    </row>
    <row r="8" spans="1:13" ht="15" x14ac:dyDescent="0.2">
      <c r="A8" s="57" t="s">
        <v>167</v>
      </c>
      <c r="B8" s="57"/>
      <c r="C8" s="57"/>
      <c r="D8" s="57"/>
      <c r="E8" s="57"/>
      <c r="F8" s="57"/>
      <c r="G8" s="57"/>
      <c r="H8" s="57"/>
      <c r="I8" s="57"/>
      <c r="J8" s="57"/>
    </row>
    <row r="9" spans="1:13" x14ac:dyDescent="0.2">
      <c r="A9" s="7" t="s">
        <v>273</v>
      </c>
      <c r="B9" s="7" t="s">
        <v>170</v>
      </c>
      <c r="C9" s="7" t="s">
        <v>274</v>
      </c>
      <c r="D9" s="7" t="str">
        <f>"0,5393"</f>
        <v>0,5393</v>
      </c>
      <c r="E9" s="7" t="s">
        <v>172</v>
      </c>
      <c r="F9" s="7" t="s">
        <v>173</v>
      </c>
      <c r="G9" s="9" t="s">
        <v>275</v>
      </c>
      <c r="H9" s="9" t="s">
        <v>275</v>
      </c>
      <c r="I9" s="9"/>
      <c r="J9" s="9"/>
      <c r="K9" s="21" t="str">
        <f>"0.00"</f>
        <v>0.00</v>
      </c>
      <c r="L9" s="22" t="str">
        <f>"0,0000"</f>
        <v>0,0000</v>
      </c>
      <c r="M9" s="7" t="s">
        <v>96</v>
      </c>
    </row>
    <row r="11" spans="1:13" ht="15" x14ac:dyDescent="0.2">
      <c r="E11" s="19" t="s">
        <v>104</v>
      </c>
      <c r="F11" s="37" t="s">
        <v>565</v>
      </c>
    </row>
    <row r="12" spans="1:13" ht="15" x14ac:dyDescent="0.2">
      <c r="E12" s="19" t="s">
        <v>105</v>
      </c>
      <c r="F12" s="37" t="s">
        <v>566</v>
      </c>
    </row>
    <row r="13" spans="1:13" ht="15" x14ac:dyDescent="0.2">
      <c r="E13" s="19" t="s">
        <v>106</v>
      </c>
      <c r="F13" s="37" t="s">
        <v>567</v>
      </c>
    </row>
    <row r="14" spans="1:13" ht="15" x14ac:dyDescent="0.2">
      <c r="E14" s="19" t="s">
        <v>107</v>
      </c>
      <c r="F14" s="37" t="s">
        <v>568</v>
      </c>
    </row>
    <row r="15" spans="1:13" ht="15" x14ac:dyDescent="0.2">
      <c r="E15" s="19" t="s">
        <v>107</v>
      </c>
      <c r="F15" s="37" t="s">
        <v>569</v>
      </c>
    </row>
    <row r="16" spans="1:13" ht="15" x14ac:dyDescent="0.2">
      <c r="E16" s="19"/>
    </row>
    <row r="17" spans="1:5" ht="15" x14ac:dyDescent="0.2">
      <c r="E17" s="19"/>
    </row>
    <row r="19" spans="1:5" ht="18" x14ac:dyDescent="0.25">
      <c r="A19" s="29" t="s">
        <v>108</v>
      </c>
      <c r="B19" s="29"/>
    </row>
    <row r="20" spans="1:5" ht="15" x14ac:dyDescent="0.2">
      <c r="A20" s="30" t="s">
        <v>123</v>
      </c>
      <c r="B20" s="30"/>
    </row>
    <row r="21" spans="1:5" ht="14.25" x14ac:dyDescent="0.2">
      <c r="A21" s="32"/>
      <c r="B21" s="33" t="s">
        <v>225</v>
      </c>
    </row>
    <row r="22" spans="1:5" ht="15" x14ac:dyDescent="0.2">
      <c r="A22" s="34" t="s">
        <v>111</v>
      </c>
      <c r="B22" s="34" t="s">
        <v>112</v>
      </c>
      <c r="C22" s="34" t="s">
        <v>113</v>
      </c>
      <c r="D22" s="34" t="s">
        <v>160</v>
      </c>
      <c r="E22" s="34" t="s">
        <v>115</v>
      </c>
    </row>
    <row r="23" spans="1:5" x14ac:dyDescent="0.2">
      <c r="A23" s="31" t="s">
        <v>267</v>
      </c>
      <c r="B23" s="4" t="s">
        <v>276</v>
      </c>
      <c r="C23" s="4" t="s">
        <v>138</v>
      </c>
      <c r="D23" s="4" t="s">
        <v>272</v>
      </c>
      <c r="E23" s="20" t="s">
        <v>277</v>
      </c>
    </row>
  </sheetData>
  <mergeCells count="13">
    <mergeCell ref="A8:J8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workbookViewId="0">
      <selection activeCell="E16" sqref="E16"/>
    </sheetView>
  </sheetViews>
  <sheetFormatPr defaultColWidth="9.140625" defaultRowHeight="12.75" x14ac:dyDescent="0.2"/>
  <cols>
    <col min="1" max="1" width="26" style="4" bestFit="1" customWidth="1"/>
    <col min="2" max="2" width="29" style="4" bestFit="1" customWidth="1"/>
    <col min="3" max="3" width="15.5703125" style="4" bestFit="1" customWidth="1"/>
    <col min="4" max="4" width="11.85546875" style="4" bestFit="1" customWidth="1"/>
    <col min="5" max="5" width="26" style="4" bestFit="1" customWidth="1"/>
    <col min="6" max="6" width="31.7109375" style="4" bestFit="1" customWidth="1"/>
    <col min="7" max="8" width="5.5703125" style="3" customWidth="1"/>
    <col min="9" max="9" width="4.5703125" style="3" customWidth="1"/>
    <col min="10" max="10" width="4.85546875" style="3" customWidth="1"/>
    <col min="11" max="11" width="7.85546875" style="20" bestFit="1" customWidth="1"/>
    <col min="12" max="12" width="8.5703125" style="2" bestFit="1" customWidth="1"/>
    <col min="13" max="13" width="18.85546875" style="4" bestFit="1" customWidth="1"/>
    <col min="14" max="16384" width="9.140625" style="3"/>
  </cols>
  <sheetData>
    <row r="1" spans="1:13" s="2" customFormat="1" ht="29.1" customHeight="1" x14ac:dyDescent="0.2">
      <c r="A1" s="40" t="s">
        <v>254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2" customFormat="1" ht="62.1" customHeight="1" thickBot="1" x14ac:dyDescent="0.25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</row>
    <row r="3" spans="1:13" s="1" customFormat="1" ht="12.75" customHeight="1" x14ac:dyDescent="0.2">
      <c r="A3" s="46" t="s">
        <v>0</v>
      </c>
      <c r="B3" s="48" t="s">
        <v>6</v>
      </c>
      <c r="C3" s="48" t="s">
        <v>10</v>
      </c>
      <c r="D3" s="50" t="s">
        <v>12</v>
      </c>
      <c r="E3" s="50" t="s">
        <v>4</v>
      </c>
      <c r="F3" s="50" t="s">
        <v>7</v>
      </c>
      <c r="G3" s="50" t="s">
        <v>14</v>
      </c>
      <c r="H3" s="50"/>
      <c r="I3" s="50"/>
      <c r="J3" s="50"/>
      <c r="K3" s="50" t="s">
        <v>165</v>
      </c>
      <c r="L3" s="50" t="s">
        <v>3</v>
      </c>
      <c r="M3" s="51" t="s">
        <v>2</v>
      </c>
    </row>
    <row r="4" spans="1:13" s="1" customFormat="1" ht="21" customHeight="1" thickBot="1" x14ac:dyDescent="0.25">
      <c r="A4" s="47"/>
      <c r="B4" s="49"/>
      <c r="C4" s="49"/>
      <c r="D4" s="49"/>
      <c r="E4" s="49"/>
      <c r="F4" s="49"/>
      <c r="G4" s="6">
        <v>1</v>
      </c>
      <c r="H4" s="6">
        <v>2</v>
      </c>
      <c r="I4" s="6">
        <v>3</v>
      </c>
      <c r="J4" s="6" t="s">
        <v>5</v>
      </c>
      <c r="K4" s="49"/>
      <c r="L4" s="49"/>
      <c r="M4" s="52"/>
    </row>
    <row r="5" spans="1:13" ht="15" x14ac:dyDescent="0.2">
      <c r="A5" s="53" t="s">
        <v>255</v>
      </c>
      <c r="B5" s="54"/>
      <c r="C5" s="54"/>
      <c r="D5" s="54"/>
      <c r="E5" s="54"/>
      <c r="F5" s="54"/>
      <c r="G5" s="54"/>
      <c r="H5" s="54"/>
      <c r="I5" s="54"/>
      <c r="J5" s="54"/>
    </row>
    <row r="6" spans="1:13" x14ac:dyDescent="0.2">
      <c r="A6" s="7" t="s">
        <v>257</v>
      </c>
      <c r="B6" s="7" t="s">
        <v>258</v>
      </c>
      <c r="C6" s="7" t="s">
        <v>259</v>
      </c>
      <c r="D6" s="7" t="str">
        <f>"0,9770"</f>
        <v>0,9770</v>
      </c>
      <c r="E6" s="7" t="s">
        <v>260</v>
      </c>
      <c r="F6" s="7" t="s">
        <v>80</v>
      </c>
      <c r="G6" s="8" t="s">
        <v>40</v>
      </c>
      <c r="H6" s="9" t="s">
        <v>73</v>
      </c>
      <c r="I6" s="9" t="s">
        <v>73</v>
      </c>
      <c r="J6" s="9"/>
      <c r="K6" s="21" t="str">
        <f>"85,0"</f>
        <v>85,0</v>
      </c>
      <c r="L6" s="22" t="str">
        <f>"83,8754"</f>
        <v>83,8754</v>
      </c>
      <c r="M6" s="7" t="s">
        <v>261</v>
      </c>
    </row>
    <row r="8" spans="1:13" ht="15" x14ac:dyDescent="0.2">
      <c r="A8" s="57" t="s">
        <v>97</v>
      </c>
      <c r="B8" s="57"/>
      <c r="C8" s="57"/>
      <c r="D8" s="57"/>
      <c r="E8" s="57"/>
      <c r="F8" s="57"/>
      <c r="G8" s="57"/>
      <c r="H8" s="57"/>
      <c r="I8" s="57"/>
      <c r="J8" s="57"/>
    </row>
    <row r="9" spans="1:13" x14ac:dyDescent="0.2">
      <c r="A9" s="7" t="s">
        <v>153</v>
      </c>
      <c r="B9" s="7" t="s">
        <v>154</v>
      </c>
      <c r="C9" s="7" t="s">
        <v>155</v>
      </c>
      <c r="D9" s="7" t="str">
        <f>"0,5688"</f>
        <v>0,5688</v>
      </c>
      <c r="E9" s="7" t="s">
        <v>149</v>
      </c>
      <c r="F9" s="7" t="s">
        <v>22</v>
      </c>
      <c r="G9" s="8" t="s">
        <v>262</v>
      </c>
      <c r="H9" s="8" t="s">
        <v>86</v>
      </c>
      <c r="I9" s="9"/>
      <c r="J9" s="9"/>
      <c r="K9" s="21" t="str">
        <f>"232,5"</f>
        <v>232,5</v>
      </c>
      <c r="L9" s="22" t="str">
        <f>"132,2460"</f>
        <v>132,2460</v>
      </c>
      <c r="M9" s="7" t="s">
        <v>32</v>
      </c>
    </row>
    <row r="11" spans="1:13" ht="15" x14ac:dyDescent="0.2">
      <c r="E11" s="19" t="s">
        <v>104</v>
      </c>
      <c r="F11" s="37" t="s">
        <v>565</v>
      </c>
    </row>
    <row r="12" spans="1:13" ht="15" x14ac:dyDescent="0.2">
      <c r="E12" s="19" t="s">
        <v>105</v>
      </c>
      <c r="F12" s="37" t="s">
        <v>566</v>
      </c>
    </row>
    <row r="13" spans="1:13" ht="15" x14ac:dyDescent="0.2">
      <c r="E13" s="19" t="s">
        <v>106</v>
      </c>
      <c r="F13" s="37" t="s">
        <v>567</v>
      </c>
    </row>
    <row r="14" spans="1:13" ht="15" x14ac:dyDescent="0.2">
      <c r="E14" s="19" t="s">
        <v>107</v>
      </c>
      <c r="F14" s="37" t="s">
        <v>568</v>
      </c>
    </row>
    <row r="15" spans="1:13" ht="15" x14ac:dyDescent="0.2">
      <c r="E15" s="19" t="s">
        <v>107</v>
      </c>
      <c r="F15" s="37" t="s">
        <v>569</v>
      </c>
    </row>
    <row r="16" spans="1:13" ht="15" x14ac:dyDescent="0.2">
      <c r="E16" s="19"/>
    </row>
    <row r="17" spans="1:5" ht="15" x14ac:dyDescent="0.2">
      <c r="E17" s="19"/>
    </row>
    <row r="19" spans="1:5" ht="18" x14ac:dyDescent="0.25">
      <c r="A19" s="29" t="s">
        <v>108</v>
      </c>
      <c r="B19" s="29"/>
    </row>
    <row r="20" spans="1:5" ht="15" x14ac:dyDescent="0.2">
      <c r="A20" s="30" t="s">
        <v>109</v>
      </c>
      <c r="B20" s="30"/>
    </row>
    <row r="21" spans="1:5" ht="14.25" x14ac:dyDescent="0.2">
      <c r="A21" s="32"/>
      <c r="B21" s="33" t="s">
        <v>110</v>
      </c>
    </row>
    <row r="22" spans="1:5" ht="15" x14ac:dyDescent="0.2">
      <c r="A22" s="34" t="s">
        <v>111</v>
      </c>
      <c r="B22" s="34" t="s">
        <v>112</v>
      </c>
      <c r="C22" s="34" t="s">
        <v>113</v>
      </c>
      <c r="D22" s="34" t="s">
        <v>160</v>
      </c>
      <c r="E22" s="34" t="s">
        <v>115</v>
      </c>
    </row>
    <row r="23" spans="1:5" x14ac:dyDescent="0.2">
      <c r="A23" s="31" t="s">
        <v>256</v>
      </c>
      <c r="B23" s="4" t="s">
        <v>116</v>
      </c>
      <c r="C23" s="4" t="s">
        <v>263</v>
      </c>
      <c r="D23" s="4" t="s">
        <v>40</v>
      </c>
      <c r="E23" s="20" t="s">
        <v>264</v>
      </c>
    </row>
    <row r="26" spans="1:5" ht="15" x14ac:dyDescent="0.2">
      <c r="A26" s="30" t="s">
        <v>123</v>
      </c>
      <c r="B26" s="30"/>
    </row>
    <row r="27" spans="1:5" ht="14.25" x14ac:dyDescent="0.2">
      <c r="A27" s="32"/>
      <c r="B27" s="33" t="s">
        <v>135</v>
      </c>
    </row>
    <row r="28" spans="1:5" ht="15" x14ac:dyDescent="0.2">
      <c r="A28" s="34" t="s">
        <v>111</v>
      </c>
      <c r="B28" s="34" t="s">
        <v>112</v>
      </c>
      <c r="C28" s="34" t="s">
        <v>113</v>
      </c>
      <c r="D28" s="34" t="s">
        <v>160</v>
      </c>
      <c r="E28" s="34" t="s">
        <v>115</v>
      </c>
    </row>
    <row r="29" spans="1:5" x14ac:dyDescent="0.2">
      <c r="A29" s="31" t="s">
        <v>152</v>
      </c>
      <c r="B29" s="4" t="s">
        <v>135</v>
      </c>
      <c r="C29" s="4" t="s">
        <v>138</v>
      </c>
      <c r="D29" s="4" t="s">
        <v>86</v>
      </c>
      <c r="E29" s="20" t="s">
        <v>265</v>
      </c>
    </row>
  </sheetData>
  <mergeCells count="13">
    <mergeCell ref="A8:J8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F8" sqref="F8:F12"/>
    </sheetView>
  </sheetViews>
  <sheetFormatPr defaultColWidth="9.140625"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1.7109375" style="4" bestFit="1" customWidth="1"/>
    <col min="7" max="7" width="5.5703125" style="3" customWidth="1"/>
    <col min="8" max="8" width="10.42578125" style="3" customWidth="1"/>
    <col min="9" max="9" width="7.85546875" style="20" bestFit="1" customWidth="1"/>
    <col min="10" max="10" width="7.5703125" style="2" bestFit="1" customWidth="1"/>
    <col min="11" max="11" width="8.85546875" style="4" bestFit="1" customWidth="1"/>
    <col min="12" max="16384" width="9.140625" style="3"/>
  </cols>
  <sheetData>
    <row r="1" spans="1:11" s="2" customFormat="1" ht="29.1" customHeight="1" x14ac:dyDescent="0.2">
      <c r="A1" s="40" t="s">
        <v>523</v>
      </c>
      <c r="B1" s="41"/>
      <c r="C1" s="41"/>
      <c r="D1" s="41"/>
      <c r="E1" s="41"/>
      <c r="F1" s="41"/>
      <c r="G1" s="41"/>
      <c r="H1" s="41"/>
      <c r="I1" s="41"/>
      <c r="J1" s="41"/>
      <c r="K1" s="42"/>
    </row>
    <row r="2" spans="1:11" s="2" customFormat="1" ht="62.1" customHeight="1" thickBot="1" x14ac:dyDescent="0.25">
      <c r="A2" s="43"/>
      <c r="B2" s="44"/>
      <c r="C2" s="44"/>
      <c r="D2" s="44"/>
      <c r="E2" s="44"/>
      <c r="F2" s="44"/>
      <c r="G2" s="44"/>
      <c r="H2" s="44"/>
      <c r="I2" s="44"/>
      <c r="J2" s="44"/>
      <c r="K2" s="45"/>
    </row>
    <row r="3" spans="1:11" s="1" customFormat="1" ht="12.75" customHeight="1" x14ac:dyDescent="0.2">
      <c r="A3" s="46" t="s">
        <v>0</v>
      </c>
      <c r="B3" s="48" t="s">
        <v>6</v>
      </c>
      <c r="C3" s="48" t="s">
        <v>10</v>
      </c>
      <c r="D3" s="50" t="s">
        <v>485</v>
      </c>
      <c r="E3" s="50" t="s">
        <v>4</v>
      </c>
      <c r="F3" s="50" t="s">
        <v>7</v>
      </c>
      <c r="G3" s="50" t="s">
        <v>524</v>
      </c>
      <c r="H3" s="50"/>
      <c r="I3" s="50" t="s">
        <v>452</v>
      </c>
      <c r="J3" s="50" t="s">
        <v>3</v>
      </c>
      <c r="K3" s="51" t="s">
        <v>2</v>
      </c>
    </row>
    <row r="4" spans="1:11" s="1" customFormat="1" ht="21" customHeight="1" thickBot="1" x14ac:dyDescent="0.25">
      <c r="A4" s="47"/>
      <c r="B4" s="49"/>
      <c r="C4" s="49"/>
      <c r="D4" s="49"/>
      <c r="E4" s="49"/>
      <c r="F4" s="49"/>
      <c r="G4" s="6" t="s">
        <v>8</v>
      </c>
      <c r="H4" s="6" t="s">
        <v>9</v>
      </c>
      <c r="I4" s="49"/>
      <c r="J4" s="49"/>
      <c r="K4" s="52"/>
    </row>
    <row r="5" spans="1:11" ht="15" x14ac:dyDescent="0.2">
      <c r="A5" s="53" t="s">
        <v>487</v>
      </c>
      <c r="B5" s="54"/>
      <c r="C5" s="54"/>
      <c r="D5" s="54"/>
      <c r="E5" s="54"/>
      <c r="F5" s="54"/>
      <c r="G5" s="54"/>
      <c r="H5" s="54"/>
    </row>
    <row r="6" spans="1:11" x14ac:dyDescent="0.2">
      <c r="A6" s="7" t="s">
        <v>294</v>
      </c>
      <c r="B6" s="7" t="s">
        <v>295</v>
      </c>
      <c r="C6" s="7" t="s">
        <v>296</v>
      </c>
      <c r="D6" s="7" t="str">
        <f>"1,0000"</f>
        <v>1,0000</v>
      </c>
      <c r="E6" s="7" t="s">
        <v>38</v>
      </c>
      <c r="F6" s="7" t="s">
        <v>22</v>
      </c>
      <c r="G6" s="8" t="s">
        <v>64</v>
      </c>
      <c r="H6" s="8" t="s">
        <v>478</v>
      </c>
      <c r="I6" s="21" t="str">
        <f>"3150,0"</f>
        <v>3150,0</v>
      </c>
      <c r="J6" s="22" t="str">
        <f>"43,0916"</f>
        <v>43,0916</v>
      </c>
      <c r="K6" s="7" t="s">
        <v>96</v>
      </c>
    </row>
    <row r="8" spans="1:11" ht="15" x14ac:dyDescent="0.2">
      <c r="E8" s="19" t="s">
        <v>104</v>
      </c>
      <c r="F8" s="37" t="s">
        <v>565</v>
      </c>
    </row>
    <row r="9" spans="1:11" ht="15" x14ac:dyDescent="0.2">
      <c r="E9" s="19" t="s">
        <v>105</v>
      </c>
      <c r="F9" s="37" t="s">
        <v>566</v>
      </c>
    </row>
    <row r="10" spans="1:11" ht="15" x14ac:dyDescent="0.2">
      <c r="E10" s="19" t="s">
        <v>106</v>
      </c>
      <c r="F10" s="37" t="s">
        <v>567</v>
      </c>
    </row>
    <row r="11" spans="1:11" ht="15" x14ac:dyDescent="0.2">
      <c r="E11" s="19" t="s">
        <v>107</v>
      </c>
      <c r="F11" s="37" t="s">
        <v>568</v>
      </c>
    </row>
    <row r="12" spans="1:11" ht="15" x14ac:dyDescent="0.2">
      <c r="E12" s="19" t="s">
        <v>107</v>
      </c>
      <c r="F12" s="37" t="s">
        <v>569</v>
      </c>
    </row>
    <row r="13" spans="1:11" ht="15" x14ac:dyDescent="0.2">
      <c r="E13" s="19"/>
    </row>
    <row r="14" spans="1:11" ht="15" x14ac:dyDescent="0.2">
      <c r="E14" s="19"/>
    </row>
    <row r="16" spans="1:11" ht="18" x14ac:dyDescent="0.25">
      <c r="A16" s="29" t="s">
        <v>108</v>
      </c>
      <c r="B16" s="29"/>
    </row>
    <row r="17" spans="1:5" ht="15" x14ac:dyDescent="0.2">
      <c r="A17" s="30" t="s">
        <v>123</v>
      </c>
      <c r="B17" s="30"/>
    </row>
    <row r="18" spans="1:5" ht="14.25" x14ac:dyDescent="0.2">
      <c r="A18" s="32"/>
      <c r="B18" s="33" t="s">
        <v>135</v>
      </c>
    </row>
    <row r="19" spans="1:5" ht="15" x14ac:dyDescent="0.2">
      <c r="A19" s="34" t="s">
        <v>111</v>
      </c>
      <c r="B19" s="34" t="s">
        <v>112</v>
      </c>
      <c r="C19" s="34" t="s">
        <v>113</v>
      </c>
      <c r="D19" s="34" t="s">
        <v>160</v>
      </c>
      <c r="E19" s="34" t="s">
        <v>507</v>
      </c>
    </row>
    <row r="20" spans="1:5" x14ac:dyDescent="0.2">
      <c r="A20" s="31" t="s">
        <v>293</v>
      </c>
      <c r="B20" s="4" t="s">
        <v>135</v>
      </c>
      <c r="C20" s="4" t="s">
        <v>508</v>
      </c>
      <c r="D20" s="4" t="s">
        <v>525</v>
      </c>
      <c r="E20" s="20" t="s">
        <v>526</v>
      </c>
    </row>
  </sheetData>
  <mergeCells count="12">
    <mergeCell ref="A5:H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opLeftCell="A10" workbookViewId="0">
      <selection activeCell="E22" sqref="E22"/>
    </sheetView>
  </sheetViews>
  <sheetFormatPr defaultColWidth="9.140625"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0.42578125" style="4" bestFit="1" customWidth="1"/>
    <col min="7" max="9" width="5.5703125" style="3" customWidth="1"/>
    <col min="10" max="10" width="4.85546875" style="3" customWidth="1"/>
    <col min="11" max="11" width="7.85546875" style="20" bestFit="1" customWidth="1"/>
    <col min="12" max="12" width="7.5703125" style="2" bestFit="1" customWidth="1"/>
    <col min="13" max="13" width="16.140625" style="4" bestFit="1" customWidth="1"/>
    <col min="14" max="16384" width="9.140625" style="3"/>
  </cols>
  <sheetData>
    <row r="1" spans="1:13" s="2" customFormat="1" ht="29.1" customHeight="1" x14ac:dyDescent="0.2">
      <c r="A1" s="40" t="s">
        <v>228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2" customFormat="1" ht="62.1" customHeight="1" thickBot="1" x14ac:dyDescent="0.25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</row>
    <row r="3" spans="1:13" s="1" customFormat="1" ht="12.75" customHeight="1" x14ac:dyDescent="0.2">
      <c r="A3" s="46" t="s">
        <v>0</v>
      </c>
      <c r="B3" s="48" t="s">
        <v>6</v>
      </c>
      <c r="C3" s="48" t="s">
        <v>10</v>
      </c>
      <c r="D3" s="50" t="s">
        <v>12</v>
      </c>
      <c r="E3" s="50" t="s">
        <v>4</v>
      </c>
      <c r="F3" s="50" t="s">
        <v>7</v>
      </c>
      <c r="G3" s="50" t="s">
        <v>14</v>
      </c>
      <c r="H3" s="50"/>
      <c r="I3" s="50"/>
      <c r="J3" s="50"/>
      <c r="K3" s="50" t="s">
        <v>165</v>
      </c>
      <c r="L3" s="50" t="s">
        <v>3</v>
      </c>
      <c r="M3" s="51" t="s">
        <v>2</v>
      </c>
    </row>
    <row r="4" spans="1:13" s="1" customFormat="1" ht="21" customHeight="1" thickBot="1" x14ac:dyDescent="0.25">
      <c r="A4" s="47"/>
      <c r="B4" s="49"/>
      <c r="C4" s="49"/>
      <c r="D4" s="49"/>
      <c r="E4" s="49"/>
      <c r="F4" s="49"/>
      <c r="G4" s="6">
        <v>1</v>
      </c>
      <c r="H4" s="6">
        <v>2</v>
      </c>
      <c r="I4" s="6">
        <v>3</v>
      </c>
      <c r="J4" s="6" t="s">
        <v>5</v>
      </c>
      <c r="K4" s="49"/>
      <c r="L4" s="49"/>
      <c r="M4" s="52"/>
    </row>
    <row r="5" spans="1:13" ht="15" x14ac:dyDescent="0.2">
      <c r="A5" s="53" t="s">
        <v>229</v>
      </c>
      <c r="B5" s="54"/>
      <c r="C5" s="54"/>
      <c r="D5" s="54"/>
      <c r="E5" s="54"/>
      <c r="F5" s="54"/>
      <c r="G5" s="54"/>
      <c r="H5" s="54"/>
      <c r="I5" s="54"/>
      <c r="J5" s="54"/>
    </row>
    <row r="6" spans="1:13" x14ac:dyDescent="0.2">
      <c r="A6" s="7" t="s">
        <v>231</v>
      </c>
      <c r="B6" s="7" t="s">
        <v>232</v>
      </c>
      <c r="C6" s="7" t="s">
        <v>233</v>
      </c>
      <c r="D6" s="7" t="str">
        <f>"0,8888"</f>
        <v>0,8888</v>
      </c>
      <c r="E6" s="7" t="s">
        <v>198</v>
      </c>
      <c r="F6" s="7" t="s">
        <v>234</v>
      </c>
      <c r="G6" s="8" t="s">
        <v>27</v>
      </c>
      <c r="H6" s="8" t="s">
        <v>235</v>
      </c>
      <c r="I6" s="8" t="s">
        <v>236</v>
      </c>
      <c r="J6" s="9"/>
      <c r="K6" s="21" t="str">
        <f>"47,5"</f>
        <v>47,5</v>
      </c>
      <c r="L6" s="22" t="str">
        <f>"51,9281"</f>
        <v>51,9281</v>
      </c>
      <c r="M6" s="7" t="s">
        <v>237</v>
      </c>
    </row>
    <row r="8" spans="1:13" ht="15" x14ac:dyDescent="0.2">
      <c r="A8" s="57" t="s">
        <v>46</v>
      </c>
      <c r="B8" s="57"/>
      <c r="C8" s="57"/>
      <c r="D8" s="57"/>
      <c r="E8" s="57"/>
      <c r="F8" s="57"/>
      <c r="G8" s="57"/>
      <c r="H8" s="57"/>
      <c r="I8" s="57"/>
      <c r="J8" s="57"/>
    </row>
    <row r="9" spans="1:13" x14ac:dyDescent="0.2">
      <c r="A9" s="7" t="s">
        <v>239</v>
      </c>
      <c r="B9" s="7" t="s">
        <v>240</v>
      </c>
      <c r="C9" s="7" t="s">
        <v>241</v>
      </c>
      <c r="D9" s="7" t="str">
        <f>"0,7460"</f>
        <v>0,7460</v>
      </c>
      <c r="E9" s="7" t="s">
        <v>198</v>
      </c>
      <c r="F9" s="7" t="s">
        <v>234</v>
      </c>
      <c r="G9" s="8" t="s">
        <v>235</v>
      </c>
      <c r="H9" s="8" t="s">
        <v>28</v>
      </c>
      <c r="I9" s="8" t="s">
        <v>43</v>
      </c>
      <c r="J9" s="9"/>
      <c r="K9" s="21" t="str">
        <f>"55,0"</f>
        <v>55,0</v>
      </c>
      <c r="L9" s="22" t="str">
        <f>"50,4669"</f>
        <v>50,4669</v>
      </c>
      <c r="M9" s="7" t="s">
        <v>237</v>
      </c>
    </row>
    <row r="11" spans="1:13" ht="15" x14ac:dyDescent="0.2">
      <c r="A11" s="57" t="s">
        <v>68</v>
      </c>
      <c r="B11" s="57"/>
      <c r="C11" s="57"/>
      <c r="D11" s="57"/>
      <c r="E11" s="57"/>
      <c r="F11" s="57"/>
      <c r="G11" s="57"/>
      <c r="H11" s="57"/>
      <c r="I11" s="57"/>
      <c r="J11" s="57"/>
    </row>
    <row r="12" spans="1:13" x14ac:dyDescent="0.2">
      <c r="A12" s="7" t="s">
        <v>243</v>
      </c>
      <c r="B12" s="7" t="s">
        <v>244</v>
      </c>
      <c r="C12" s="7" t="s">
        <v>245</v>
      </c>
      <c r="D12" s="7" t="str">
        <f>"0,5928"</f>
        <v>0,5928</v>
      </c>
      <c r="E12" s="7" t="s">
        <v>198</v>
      </c>
      <c r="F12" s="7" t="s">
        <v>234</v>
      </c>
      <c r="G12" s="8" t="s">
        <v>29</v>
      </c>
      <c r="H12" s="8" t="s">
        <v>246</v>
      </c>
      <c r="I12" s="8" t="s">
        <v>30</v>
      </c>
      <c r="J12" s="9"/>
      <c r="K12" s="21" t="str">
        <f>"120,0"</f>
        <v>120,0</v>
      </c>
      <c r="L12" s="22" t="str">
        <f>"73,3412"</f>
        <v>73,3412</v>
      </c>
      <c r="M12" s="7" t="s">
        <v>96</v>
      </c>
    </row>
    <row r="14" spans="1:13" ht="15" x14ac:dyDescent="0.2">
      <c r="A14" s="57" t="s">
        <v>167</v>
      </c>
      <c r="B14" s="57"/>
      <c r="C14" s="57"/>
      <c r="D14" s="57"/>
      <c r="E14" s="57"/>
      <c r="F14" s="57"/>
      <c r="G14" s="57"/>
      <c r="H14" s="57"/>
      <c r="I14" s="57"/>
      <c r="J14" s="57"/>
    </row>
    <row r="15" spans="1:13" x14ac:dyDescent="0.2">
      <c r="A15" s="7" t="s">
        <v>169</v>
      </c>
      <c r="B15" s="7" t="s">
        <v>170</v>
      </c>
      <c r="C15" s="7" t="s">
        <v>171</v>
      </c>
      <c r="D15" s="7" t="str">
        <f>"0,5393"</f>
        <v>0,5393</v>
      </c>
      <c r="E15" s="7" t="s">
        <v>172</v>
      </c>
      <c r="F15" s="7" t="s">
        <v>173</v>
      </c>
      <c r="G15" s="9" t="s">
        <v>57</v>
      </c>
      <c r="H15" s="8" t="s">
        <v>57</v>
      </c>
      <c r="I15" s="9"/>
      <c r="J15" s="9"/>
      <c r="K15" s="21" t="str">
        <f>"170,0"</f>
        <v>170,0</v>
      </c>
      <c r="L15" s="22" t="str">
        <f>"91,6725"</f>
        <v>91,6725</v>
      </c>
      <c r="M15" s="7" t="s">
        <v>96</v>
      </c>
    </row>
    <row r="17" spans="1:6" ht="15" x14ac:dyDescent="0.2">
      <c r="E17" s="19" t="s">
        <v>104</v>
      </c>
      <c r="F17" s="37" t="s">
        <v>565</v>
      </c>
    </row>
    <row r="18" spans="1:6" ht="15" x14ac:dyDescent="0.2">
      <c r="E18" s="19" t="s">
        <v>105</v>
      </c>
      <c r="F18" s="37" t="s">
        <v>566</v>
      </c>
    </row>
    <row r="19" spans="1:6" ht="15" x14ac:dyDescent="0.2">
      <c r="E19" s="19" t="s">
        <v>106</v>
      </c>
      <c r="F19" s="37" t="s">
        <v>567</v>
      </c>
    </row>
    <row r="20" spans="1:6" ht="15" x14ac:dyDescent="0.2">
      <c r="E20" s="19" t="s">
        <v>107</v>
      </c>
      <c r="F20" s="37" t="s">
        <v>568</v>
      </c>
    </row>
    <row r="21" spans="1:6" ht="15" x14ac:dyDescent="0.2">
      <c r="E21" s="19" t="s">
        <v>107</v>
      </c>
      <c r="F21" s="37" t="s">
        <v>569</v>
      </c>
    </row>
    <row r="22" spans="1:6" ht="15" x14ac:dyDescent="0.2">
      <c r="E22" s="19"/>
    </row>
    <row r="23" spans="1:6" ht="15" x14ac:dyDescent="0.2">
      <c r="E23" s="19"/>
    </row>
    <row r="25" spans="1:6" ht="18" x14ac:dyDescent="0.25">
      <c r="A25" s="29" t="s">
        <v>108</v>
      </c>
      <c r="B25" s="29"/>
    </row>
    <row r="26" spans="1:6" ht="15" x14ac:dyDescent="0.2">
      <c r="A26" s="30" t="s">
        <v>123</v>
      </c>
      <c r="B26" s="30"/>
    </row>
    <row r="27" spans="1:6" ht="14.25" x14ac:dyDescent="0.2">
      <c r="A27" s="32"/>
      <c r="B27" s="33" t="s">
        <v>124</v>
      </c>
    </row>
    <row r="28" spans="1:6" ht="15" x14ac:dyDescent="0.2">
      <c r="A28" s="34" t="s">
        <v>111</v>
      </c>
      <c r="B28" s="34" t="s">
        <v>112</v>
      </c>
      <c r="C28" s="34" t="s">
        <v>113</v>
      </c>
      <c r="D28" s="34" t="s">
        <v>160</v>
      </c>
      <c r="E28" s="34" t="s">
        <v>115</v>
      </c>
    </row>
    <row r="29" spans="1:6" x14ac:dyDescent="0.2">
      <c r="A29" s="31" t="s">
        <v>230</v>
      </c>
      <c r="B29" s="4" t="s">
        <v>247</v>
      </c>
      <c r="C29" s="4" t="s">
        <v>248</v>
      </c>
      <c r="D29" s="4" t="s">
        <v>236</v>
      </c>
      <c r="E29" s="20" t="s">
        <v>249</v>
      </c>
    </row>
    <row r="30" spans="1:6" x14ac:dyDescent="0.2">
      <c r="A30" s="31" t="s">
        <v>238</v>
      </c>
      <c r="B30" s="4" t="s">
        <v>250</v>
      </c>
      <c r="C30" s="4" t="s">
        <v>126</v>
      </c>
      <c r="D30" s="4" t="s">
        <v>43</v>
      </c>
      <c r="E30" s="20" t="s">
        <v>251</v>
      </c>
    </row>
    <row r="32" spans="1:6" ht="14.25" x14ac:dyDescent="0.2">
      <c r="A32" s="32"/>
      <c r="B32" s="33" t="s">
        <v>135</v>
      </c>
    </row>
    <row r="33" spans="1:5" ht="15" x14ac:dyDescent="0.2">
      <c r="A33" s="34" t="s">
        <v>111</v>
      </c>
      <c r="B33" s="34" t="s">
        <v>112</v>
      </c>
      <c r="C33" s="34" t="s">
        <v>113</v>
      </c>
      <c r="D33" s="34" t="s">
        <v>160</v>
      </c>
      <c r="E33" s="34" t="s">
        <v>115</v>
      </c>
    </row>
    <row r="34" spans="1:5" x14ac:dyDescent="0.2">
      <c r="A34" s="31" t="s">
        <v>168</v>
      </c>
      <c r="B34" s="4" t="s">
        <v>135</v>
      </c>
      <c r="C34" s="4" t="s">
        <v>174</v>
      </c>
      <c r="D34" s="4" t="s">
        <v>57</v>
      </c>
      <c r="E34" s="20" t="s">
        <v>252</v>
      </c>
    </row>
    <row r="36" spans="1:5" ht="14.25" x14ac:dyDescent="0.2">
      <c r="A36" s="32"/>
      <c r="B36" s="33" t="s">
        <v>225</v>
      </c>
    </row>
    <row r="37" spans="1:5" ht="15" x14ac:dyDescent="0.2">
      <c r="A37" s="34" t="s">
        <v>111</v>
      </c>
      <c r="B37" s="34" t="s">
        <v>112</v>
      </c>
      <c r="C37" s="34" t="s">
        <v>113</v>
      </c>
      <c r="D37" s="34" t="s">
        <v>160</v>
      </c>
      <c r="E37" s="34" t="s">
        <v>115</v>
      </c>
    </row>
    <row r="38" spans="1:5" x14ac:dyDescent="0.2">
      <c r="A38" s="31" t="s">
        <v>242</v>
      </c>
      <c r="B38" s="4" t="s">
        <v>226</v>
      </c>
      <c r="C38" s="4" t="s">
        <v>132</v>
      </c>
      <c r="D38" s="4" t="s">
        <v>30</v>
      </c>
      <c r="E38" s="20" t="s">
        <v>253</v>
      </c>
    </row>
  </sheetData>
  <mergeCells count="15">
    <mergeCell ref="A8:J8"/>
    <mergeCell ref="A11:J11"/>
    <mergeCell ref="A14:J14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16" workbookViewId="0">
      <selection activeCell="E33" sqref="E33"/>
    </sheetView>
  </sheetViews>
  <sheetFormatPr defaultColWidth="9.140625"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6" style="4" bestFit="1" customWidth="1"/>
    <col min="6" max="6" width="31.7109375" style="4" bestFit="1" customWidth="1"/>
    <col min="7" max="9" width="5.5703125" style="3" customWidth="1"/>
    <col min="10" max="10" width="4.85546875" style="3" customWidth="1"/>
    <col min="11" max="11" width="7.85546875" style="20" bestFit="1" customWidth="1"/>
    <col min="12" max="12" width="8.5703125" style="2" bestFit="1" customWidth="1"/>
    <col min="13" max="13" width="24.140625" style="4" bestFit="1" customWidth="1"/>
    <col min="14" max="16384" width="9.140625" style="3"/>
  </cols>
  <sheetData>
    <row r="1" spans="1:13" s="2" customFormat="1" ht="29.1" customHeight="1" x14ac:dyDescent="0.2">
      <c r="A1" s="40" t="s">
        <v>176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2" customFormat="1" ht="62.1" customHeight="1" thickBot="1" x14ac:dyDescent="0.25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</row>
    <row r="3" spans="1:13" s="1" customFormat="1" ht="12.75" customHeight="1" x14ac:dyDescent="0.2">
      <c r="A3" s="46" t="s">
        <v>0</v>
      </c>
      <c r="B3" s="48" t="s">
        <v>6</v>
      </c>
      <c r="C3" s="48" t="s">
        <v>10</v>
      </c>
      <c r="D3" s="50" t="s">
        <v>12</v>
      </c>
      <c r="E3" s="50" t="s">
        <v>4</v>
      </c>
      <c r="F3" s="50" t="s">
        <v>7</v>
      </c>
      <c r="G3" s="50" t="s">
        <v>14</v>
      </c>
      <c r="H3" s="50"/>
      <c r="I3" s="50"/>
      <c r="J3" s="50"/>
      <c r="K3" s="50" t="s">
        <v>165</v>
      </c>
      <c r="L3" s="50" t="s">
        <v>3</v>
      </c>
      <c r="M3" s="51" t="s">
        <v>2</v>
      </c>
    </row>
    <row r="4" spans="1:13" s="1" customFormat="1" ht="21" customHeight="1" thickBot="1" x14ac:dyDescent="0.25">
      <c r="A4" s="47"/>
      <c r="B4" s="49"/>
      <c r="C4" s="49"/>
      <c r="D4" s="49"/>
      <c r="E4" s="49"/>
      <c r="F4" s="49"/>
      <c r="G4" s="6">
        <v>1</v>
      </c>
      <c r="H4" s="6">
        <v>2</v>
      </c>
      <c r="I4" s="6">
        <v>3</v>
      </c>
      <c r="J4" s="6" t="s">
        <v>5</v>
      </c>
      <c r="K4" s="49"/>
      <c r="L4" s="49"/>
      <c r="M4" s="52"/>
    </row>
    <row r="5" spans="1:13" ht="15" x14ac:dyDescent="0.2">
      <c r="A5" s="53" t="s">
        <v>177</v>
      </c>
      <c r="B5" s="54"/>
      <c r="C5" s="54"/>
      <c r="D5" s="54"/>
      <c r="E5" s="54"/>
      <c r="F5" s="54"/>
      <c r="G5" s="54"/>
      <c r="H5" s="54"/>
      <c r="I5" s="54"/>
      <c r="J5" s="54"/>
    </row>
    <row r="6" spans="1:13" x14ac:dyDescent="0.2">
      <c r="A6" s="7" t="s">
        <v>179</v>
      </c>
      <c r="B6" s="7" t="s">
        <v>180</v>
      </c>
      <c r="C6" s="7" t="s">
        <v>181</v>
      </c>
      <c r="D6" s="7" t="str">
        <f>"0,8271"</f>
        <v>0,8271</v>
      </c>
      <c r="E6" s="7" t="s">
        <v>21</v>
      </c>
      <c r="F6" s="7" t="s">
        <v>22</v>
      </c>
      <c r="G6" s="8" t="s">
        <v>41</v>
      </c>
      <c r="H6" s="9" t="s">
        <v>182</v>
      </c>
      <c r="I6" s="9" t="s">
        <v>182</v>
      </c>
      <c r="J6" s="9"/>
      <c r="K6" s="21" t="str">
        <f>"95,0"</f>
        <v>95,0</v>
      </c>
      <c r="L6" s="22" t="str">
        <f>"80,9317"</f>
        <v>80,9317</v>
      </c>
      <c r="M6" s="7" t="s">
        <v>32</v>
      </c>
    </row>
    <row r="8" spans="1:13" ht="15" x14ac:dyDescent="0.2">
      <c r="A8" s="57" t="s">
        <v>46</v>
      </c>
      <c r="B8" s="57"/>
      <c r="C8" s="57"/>
      <c r="D8" s="57"/>
      <c r="E8" s="57"/>
      <c r="F8" s="57"/>
      <c r="G8" s="57"/>
      <c r="H8" s="57"/>
      <c r="I8" s="57"/>
      <c r="J8" s="57"/>
    </row>
    <row r="9" spans="1:13" x14ac:dyDescent="0.2">
      <c r="A9" s="7" t="s">
        <v>48</v>
      </c>
      <c r="B9" s="7" t="s">
        <v>183</v>
      </c>
      <c r="C9" s="7" t="s">
        <v>50</v>
      </c>
      <c r="D9" s="7" t="str">
        <f>"0,7377"</f>
        <v>0,7377</v>
      </c>
      <c r="E9" s="7" t="s">
        <v>38</v>
      </c>
      <c r="F9" s="7" t="s">
        <v>22</v>
      </c>
      <c r="G9" s="8" t="s">
        <v>54</v>
      </c>
      <c r="H9" s="8" t="s">
        <v>55</v>
      </c>
      <c r="I9" s="8" t="s">
        <v>56</v>
      </c>
      <c r="J9" s="9"/>
      <c r="K9" s="21" t="str">
        <f>"130,0"</f>
        <v>130,0</v>
      </c>
      <c r="L9" s="22" t="str">
        <f>"95,9010"</f>
        <v>95,9010</v>
      </c>
      <c r="M9" s="7" t="s">
        <v>45</v>
      </c>
    </row>
    <row r="11" spans="1:13" ht="15" x14ac:dyDescent="0.2">
      <c r="A11" s="57" t="s">
        <v>16</v>
      </c>
      <c r="B11" s="57"/>
      <c r="C11" s="57"/>
      <c r="D11" s="57"/>
      <c r="E11" s="57"/>
      <c r="F11" s="57"/>
      <c r="G11" s="57"/>
      <c r="H11" s="57"/>
      <c r="I11" s="57"/>
      <c r="J11" s="57"/>
    </row>
    <row r="12" spans="1:13" x14ac:dyDescent="0.2">
      <c r="A12" s="7" t="s">
        <v>185</v>
      </c>
      <c r="B12" s="7" t="s">
        <v>186</v>
      </c>
      <c r="C12" s="7" t="s">
        <v>187</v>
      </c>
      <c r="D12" s="7" t="str">
        <f>"0,6733"</f>
        <v>0,6733</v>
      </c>
      <c r="E12" s="7" t="s">
        <v>188</v>
      </c>
      <c r="F12" s="7" t="s">
        <v>22</v>
      </c>
      <c r="G12" s="9" t="s">
        <v>64</v>
      </c>
      <c r="H12" s="8" t="s">
        <v>64</v>
      </c>
      <c r="I12" s="9" t="s">
        <v>52</v>
      </c>
      <c r="J12" s="9"/>
      <c r="K12" s="21" t="str">
        <f>"150,0"</f>
        <v>150,0</v>
      </c>
      <c r="L12" s="22" t="str">
        <f>"101,0025"</f>
        <v>101,0025</v>
      </c>
      <c r="M12" s="7" t="s">
        <v>189</v>
      </c>
    </row>
    <row r="14" spans="1:13" ht="15" x14ac:dyDescent="0.2">
      <c r="A14" s="57" t="s">
        <v>144</v>
      </c>
      <c r="B14" s="57"/>
      <c r="C14" s="57"/>
      <c r="D14" s="57"/>
      <c r="E14" s="57"/>
      <c r="F14" s="57"/>
      <c r="G14" s="57"/>
      <c r="H14" s="57"/>
      <c r="I14" s="57"/>
      <c r="J14" s="57"/>
    </row>
    <row r="15" spans="1:13" x14ac:dyDescent="0.2">
      <c r="A15" s="7" t="s">
        <v>191</v>
      </c>
      <c r="B15" s="7" t="s">
        <v>192</v>
      </c>
      <c r="C15" s="7" t="s">
        <v>193</v>
      </c>
      <c r="D15" s="7" t="str">
        <f>"0,6361"</f>
        <v>0,6361</v>
      </c>
      <c r="E15" s="7" t="s">
        <v>21</v>
      </c>
      <c r="F15" s="7" t="s">
        <v>80</v>
      </c>
      <c r="G15" s="8" t="s">
        <v>30</v>
      </c>
      <c r="H15" s="8" t="s">
        <v>31</v>
      </c>
      <c r="I15" s="9" t="s">
        <v>56</v>
      </c>
      <c r="J15" s="9"/>
      <c r="K15" s="21" t="str">
        <f>"125,0"</f>
        <v>125,0</v>
      </c>
      <c r="L15" s="22" t="str">
        <f>"79,5125"</f>
        <v>79,5125</v>
      </c>
      <c r="M15" s="7" t="s">
        <v>96</v>
      </c>
    </row>
    <row r="17" spans="1:13" ht="15" x14ac:dyDescent="0.2">
      <c r="A17" s="57" t="s">
        <v>68</v>
      </c>
      <c r="B17" s="57"/>
      <c r="C17" s="57"/>
      <c r="D17" s="57"/>
      <c r="E17" s="57"/>
      <c r="F17" s="57"/>
      <c r="G17" s="57"/>
      <c r="H17" s="57"/>
      <c r="I17" s="57"/>
      <c r="J17" s="57"/>
    </row>
    <row r="18" spans="1:13" x14ac:dyDescent="0.2">
      <c r="A18" s="7" t="s">
        <v>195</v>
      </c>
      <c r="B18" s="7" t="s">
        <v>196</v>
      </c>
      <c r="C18" s="7" t="s">
        <v>197</v>
      </c>
      <c r="D18" s="7" t="str">
        <f>"0,6093"</f>
        <v>0,6093</v>
      </c>
      <c r="E18" s="7" t="s">
        <v>198</v>
      </c>
      <c r="F18" s="7" t="s">
        <v>22</v>
      </c>
      <c r="G18" s="8" t="s">
        <v>41</v>
      </c>
      <c r="H18" s="8" t="s">
        <v>199</v>
      </c>
      <c r="I18" s="8" t="s">
        <v>200</v>
      </c>
      <c r="J18" s="9"/>
      <c r="K18" s="21" t="str">
        <f>"102,5"</f>
        <v>102,5</v>
      </c>
      <c r="L18" s="22" t="str">
        <f>"62,4533"</f>
        <v>62,4533</v>
      </c>
      <c r="M18" s="7" t="s">
        <v>201</v>
      </c>
    </row>
    <row r="20" spans="1:13" ht="15" x14ac:dyDescent="0.2">
      <c r="A20" s="57" t="s">
        <v>97</v>
      </c>
      <c r="B20" s="57"/>
      <c r="C20" s="57"/>
      <c r="D20" s="57"/>
      <c r="E20" s="57"/>
      <c r="F20" s="57"/>
      <c r="G20" s="57"/>
      <c r="H20" s="57"/>
      <c r="I20" s="57"/>
      <c r="J20" s="57"/>
    </row>
    <row r="21" spans="1:13" x14ac:dyDescent="0.2">
      <c r="A21" s="10" t="s">
        <v>153</v>
      </c>
      <c r="B21" s="10" t="s">
        <v>154</v>
      </c>
      <c r="C21" s="10" t="s">
        <v>155</v>
      </c>
      <c r="D21" s="10" t="str">
        <f>"0,5688"</f>
        <v>0,5688</v>
      </c>
      <c r="E21" s="10" t="s">
        <v>149</v>
      </c>
      <c r="F21" s="10" t="s">
        <v>22</v>
      </c>
      <c r="G21" s="11" t="s">
        <v>84</v>
      </c>
      <c r="H21" s="11" t="s">
        <v>57</v>
      </c>
      <c r="I21" s="11" t="s">
        <v>58</v>
      </c>
      <c r="J21" s="12"/>
      <c r="K21" s="23" t="str">
        <f>"175,0"</f>
        <v>175,0</v>
      </c>
      <c r="L21" s="24" t="str">
        <f>"99,5400"</f>
        <v>99,5400</v>
      </c>
      <c r="M21" s="10" t="s">
        <v>32</v>
      </c>
    </row>
    <row r="22" spans="1:13" x14ac:dyDescent="0.2">
      <c r="A22" s="13" t="s">
        <v>157</v>
      </c>
      <c r="B22" s="13" t="s">
        <v>158</v>
      </c>
      <c r="C22" s="13" t="s">
        <v>159</v>
      </c>
      <c r="D22" s="13" t="str">
        <f>"0,5581"</f>
        <v>0,5581</v>
      </c>
      <c r="E22" s="13" t="s">
        <v>21</v>
      </c>
      <c r="F22" s="13" t="s">
        <v>22</v>
      </c>
      <c r="G22" s="15" t="s">
        <v>64</v>
      </c>
      <c r="H22" s="14" t="s">
        <v>64</v>
      </c>
      <c r="I22" s="15" t="s">
        <v>202</v>
      </c>
      <c r="J22" s="15"/>
      <c r="K22" s="25" t="str">
        <f>"150,0"</f>
        <v>150,0</v>
      </c>
      <c r="L22" s="26" t="str">
        <f>"83,7150"</f>
        <v>83,7150</v>
      </c>
      <c r="M22" s="13" t="s">
        <v>32</v>
      </c>
    </row>
    <row r="23" spans="1:13" x14ac:dyDescent="0.2">
      <c r="A23" s="16" t="s">
        <v>204</v>
      </c>
      <c r="B23" s="16" t="s">
        <v>205</v>
      </c>
      <c r="C23" s="16" t="s">
        <v>206</v>
      </c>
      <c r="D23" s="16" t="str">
        <f>"0,5691"</f>
        <v>0,5691</v>
      </c>
      <c r="E23" s="16" t="s">
        <v>198</v>
      </c>
      <c r="F23" s="16" t="s">
        <v>22</v>
      </c>
      <c r="G23" s="17" t="s">
        <v>207</v>
      </c>
      <c r="H23" s="18" t="s">
        <v>182</v>
      </c>
      <c r="I23" s="17" t="s">
        <v>182</v>
      </c>
      <c r="J23" s="18"/>
      <c r="K23" s="27" t="str">
        <f>"97,5"</f>
        <v>97,5</v>
      </c>
      <c r="L23" s="28" t="str">
        <f>"55,4873"</f>
        <v>55,4873</v>
      </c>
      <c r="M23" s="16" t="s">
        <v>201</v>
      </c>
    </row>
    <row r="25" spans="1:13" ht="15" x14ac:dyDescent="0.2">
      <c r="A25" s="57" t="s">
        <v>208</v>
      </c>
      <c r="B25" s="57"/>
      <c r="C25" s="57"/>
      <c r="D25" s="57"/>
      <c r="E25" s="57"/>
      <c r="F25" s="57"/>
      <c r="G25" s="57"/>
      <c r="H25" s="57"/>
      <c r="I25" s="57"/>
      <c r="J25" s="57"/>
    </row>
    <row r="26" spans="1:13" x14ac:dyDescent="0.2">
      <c r="A26" s="7" t="s">
        <v>210</v>
      </c>
      <c r="B26" s="7" t="s">
        <v>211</v>
      </c>
      <c r="C26" s="7" t="s">
        <v>212</v>
      </c>
      <c r="D26" s="7" t="str">
        <f>"0,5169"</f>
        <v>0,5169</v>
      </c>
      <c r="E26" s="7" t="s">
        <v>213</v>
      </c>
      <c r="F26" s="7" t="s">
        <v>22</v>
      </c>
      <c r="G26" s="8" t="s">
        <v>53</v>
      </c>
      <c r="H26" s="8" t="s">
        <v>67</v>
      </c>
      <c r="I26" s="9" t="s">
        <v>81</v>
      </c>
      <c r="J26" s="9"/>
      <c r="K26" s="21" t="str">
        <f>"180,0"</f>
        <v>180,0</v>
      </c>
      <c r="L26" s="22" t="str">
        <f>"93,0456"</f>
        <v>93,0456</v>
      </c>
      <c r="M26" s="7" t="s">
        <v>214</v>
      </c>
    </row>
    <row r="28" spans="1:13" ht="15" x14ac:dyDescent="0.2">
      <c r="E28" s="19" t="s">
        <v>104</v>
      </c>
      <c r="F28" s="37" t="s">
        <v>565</v>
      </c>
    </row>
    <row r="29" spans="1:13" ht="15" x14ac:dyDescent="0.2">
      <c r="E29" s="19" t="s">
        <v>105</v>
      </c>
      <c r="F29" s="37" t="s">
        <v>566</v>
      </c>
    </row>
    <row r="30" spans="1:13" ht="15" x14ac:dyDescent="0.2">
      <c r="E30" s="19" t="s">
        <v>106</v>
      </c>
      <c r="F30" s="37" t="s">
        <v>567</v>
      </c>
    </row>
    <row r="31" spans="1:13" ht="15" x14ac:dyDescent="0.2">
      <c r="E31" s="19" t="s">
        <v>107</v>
      </c>
      <c r="F31" s="37" t="s">
        <v>568</v>
      </c>
    </row>
    <row r="32" spans="1:13" ht="15" x14ac:dyDescent="0.2">
      <c r="E32" s="19" t="s">
        <v>107</v>
      </c>
      <c r="F32" s="37" t="s">
        <v>569</v>
      </c>
    </row>
    <row r="33" spans="1:5" ht="15" x14ac:dyDescent="0.2">
      <c r="E33" s="19"/>
    </row>
    <row r="34" spans="1:5" ht="15" x14ac:dyDescent="0.2">
      <c r="E34" s="19"/>
    </row>
    <row r="36" spans="1:5" ht="18" x14ac:dyDescent="0.25">
      <c r="A36" s="29" t="s">
        <v>108</v>
      </c>
      <c r="B36" s="29"/>
    </row>
    <row r="37" spans="1:5" ht="15" x14ac:dyDescent="0.2">
      <c r="A37" s="30" t="s">
        <v>123</v>
      </c>
      <c r="B37" s="30"/>
    </row>
    <row r="38" spans="1:5" ht="14.25" x14ac:dyDescent="0.2">
      <c r="A38" s="32"/>
      <c r="B38" s="33" t="s">
        <v>131</v>
      </c>
    </row>
    <row r="39" spans="1:5" ht="15" x14ac:dyDescent="0.2">
      <c r="A39" s="34" t="s">
        <v>111</v>
      </c>
      <c r="B39" s="34" t="s">
        <v>112</v>
      </c>
      <c r="C39" s="34" t="s">
        <v>113</v>
      </c>
      <c r="D39" s="34" t="s">
        <v>160</v>
      </c>
      <c r="E39" s="34" t="s">
        <v>115</v>
      </c>
    </row>
    <row r="40" spans="1:5" x14ac:dyDescent="0.2">
      <c r="A40" s="31" t="s">
        <v>178</v>
      </c>
      <c r="B40" s="4" t="s">
        <v>116</v>
      </c>
      <c r="C40" s="4" t="s">
        <v>215</v>
      </c>
      <c r="D40" s="4" t="s">
        <v>41</v>
      </c>
      <c r="E40" s="20" t="s">
        <v>216</v>
      </c>
    </row>
    <row r="42" spans="1:5" ht="14.25" x14ac:dyDescent="0.2">
      <c r="A42" s="32"/>
      <c r="B42" s="33" t="s">
        <v>135</v>
      </c>
    </row>
    <row r="43" spans="1:5" ht="15" x14ac:dyDescent="0.2">
      <c r="A43" s="34" t="s">
        <v>111</v>
      </c>
      <c r="B43" s="34" t="s">
        <v>112</v>
      </c>
      <c r="C43" s="34" t="s">
        <v>113</v>
      </c>
      <c r="D43" s="34" t="s">
        <v>160</v>
      </c>
      <c r="E43" s="34" t="s">
        <v>115</v>
      </c>
    </row>
    <row r="44" spans="1:5" x14ac:dyDescent="0.2">
      <c r="A44" s="31" t="s">
        <v>184</v>
      </c>
      <c r="B44" s="4" t="s">
        <v>135</v>
      </c>
      <c r="C44" s="4" t="s">
        <v>117</v>
      </c>
      <c r="D44" s="4" t="s">
        <v>64</v>
      </c>
      <c r="E44" s="20" t="s">
        <v>217</v>
      </c>
    </row>
    <row r="45" spans="1:5" x14ac:dyDescent="0.2">
      <c r="A45" s="31" t="s">
        <v>152</v>
      </c>
      <c r="B45" s="4" t="s">
        <v>135</v>
      </c>
      <c r="C45" s="4" t="s">
        <v>138</v>
      </c>
      <c r="D45" s="4" t="s">
        <v>58</v>
      </c>
      <c r="E45" s="20" t="s">
        <v>218</v>
      </c>
    </row>
    <row r="46" spans="1:5" x14ac:dyDescent="0.2">
      <c r="A46" s="31" t="s">
        <v>47</v>
      </c>
      <c r="B46" s="4" t="s">
        <v>135</v>
      </c>
      <c r="C46" s="4" t="s">
        <v>126</v>
      </c>
      <c r="D46" s="4" t="s">
        <v>56</v>
      </c>
      <c r="E46" s="20" t="s">
        <v>219</v>
      </c>
    </row>
    <row r="47" spans="1:5" x14ac:dyDescent="0.2">
      <c r="A47" s="31" t="s">
        <v>209</v>
      </c>
      <c r="B47" s="4" t="s">
        <v>135</v>
      </c>
      <c r="C47" s="4" t="s">
        <v>220</v>
      </c>
      <c r="D47" s="4" t="s">
        <v>67</v>
      </c>
      <c r="E47" s="20" t="s">
        <v>221</v>
      </c>
    </row>
    <row r="48" spans="1:5" x14ac:dyDescent="0.2">
      <c r="A48" s="31" t="s">
        <v>156</v>
      </c>
      <c r="B48" s="4" t="s">
        <v>135</v>
      </c>
      <c r="C48" s="4" t="s">
        <v>138</v>
      </c>
      <c r="D48" s="4" t="s">
        <v>64</v>
      </c>
      <c r="E48" s="20" t="s">
        <v>222</v>
      </c>
    </row>
    <row r="49" spans="1:5" x14ac:dyDescent="0.2">
      <c r="A49" s="31" t="s">
        <v>190</v>
      </c>
      <c r="B49" s="4" t="s">
        <v>135</v>
      </c>
      <c r="C49" s="4" t="s">
        <v>162</v>
      </c>
      <c r="D49" s="4" t="s">
        <v>31</v>
      </c>
      <c r="E49" s="20" t="s">
        <v>223</v>
      </c>
    </row>
    <row r="50" spans="1:5" x14ac:dyDescent="0.2">
      <c r="A50" s="31" t="s">
        <v>203</v>
      </c>
      <c r="B50" s="4" t="s">
        <v>135</v>
      </c>
      <c r="C50" s="4" t="s">
        <v>138</v>
      </c>
      <c r="D50" s="4" t="s">
        <v>182</v>
      </c>
      <c r="E50" s="20" t="s">
        <v>224</v>
      </c>
    </row>
    <row r="52" spans="1:5" ht="14.25" x14ac:dyDescent="0.2">
      <c r="A52" s="32"/>
      <c r="B52" s="33" t="s">
        <v>225</v>
      </c>
    </row>
    <row r="53" spans="1:5" ht="15" x14ac:dyDescent="0.2">
      <c r="A53" s="34" t="s">
        <v>111</v>
      </c>
      <c r="B53" s="34" t="s">
        <v>112</v>
      </c>
      <c r="C53" s="34" t="s">
        <v>113</v>
      </c>
      <c r="D53" s="34" t="s">
        <v>160</v>
      </c>
      <c r="E53" s="34" t="s">
        <v>115</v>
      </c>
    </row>
    <row r="54" spans="1:5" x14ac:dyDescent="0.2">
      <c r="A54" s="31" t="s">
        <v>194</v>
      </c>
      <c r="B54" s="4" t="s">
        <v>226</v>
      </c>
      <c r="C54" s="4" t="s">
        <v>132</v>
      </c>
      <c r="D54" s="4" t="s">
        <v>200</v>
      </c>
      <c r="E54" s="20" t="s">
        <v>227</v>
      </c>
    </row>
  </sheetData>
  <mergeCells count="18">
    <mergeCell ref="A25:J25"/>
    <mergeCell ref="K3:K4"/>
    <mergeCell ref="L3:L4"/>
    <mergeCell ref="M3:M4"/>
    <mergeCell ref="A5:J5"/>
    <mergeCell ref="A8:J8"/>
    <mergeCell ref="A11:J11"/>
    <mergeCell ref="A14:J14"/>
    <mergeCell ref="A17:J17"/>
    <mergeCell ref="A20:J20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E13" sqref="E13"/>
    </sheetView>
  </sheetViews>
  <sheetFormatPr defaultColWidth="9.140625"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0.28515625" style="4" bestFit="1" customWidth="1"/>
    <col min="7" max="8" width="5.5703125" style="3" customWidth="1"/>
    <col min="9" max="9" width="2.140625" style="3" customWidth="1"/>
    <col min="10" max="10" width="4.85546875" style="3" customWidth="1"/>
    <col min="11" max="11" width="7.85546875" style="20" bestFit="1" customWidth="1"/>
    <col min="12" max="12" width="7.5703125" style="2" bestFit="1" customWidth="1"/>
    <col min="13" max="13" width="8.85546875" style="4" bestFit="1" customWidth="1"/>
    <col min="14" max="16384" width="9.140625" style="3"/>
  </cols>
  <sheetData>
    <row r="1" spans="1:13" s="2" customFormat="1" ht="29.1" customHeight="1" x14ac:dyDescent="0.2">
      <c r="A1" s="40" t="s">
        <v>166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2" customFormat="1" ht="62.1" customHeight="1" thickBot="1" x14ac:dyDescent="0.25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</row>
    <row r="3" spans="1:13" s="1" customFormat="1" ht="12.75" customHeight="1" x14ac:dyDescent="0.2">
      <c r="A3" s="46" t="s">
        <v>0</v>
      </c>
      <c r="B3" s="48" t="s">
        <v>6</v>
      </c>
      <c r="C3" s="48" t="s">
        <v>10</v>
      </c>
      <c r="D3" s="50" t="s">
        <v>12</v>
      </c>
      <c r="E3" s="50" t="s">
        <v>4</v>
      </c>
      <c r="F3" s="50" t="s">
        <v>7</v>
      </c>
      <c r="G3" s="50" t="s">
        <v>14</v>
      </c>
      <c r="H3" s="50"/>
      <c r="I3" s="50"/>
      <c r="J3" s="50"/>
      <c r="K3" s="50" t="s">
        <v>165</v>
      </c>
      <c r="L3" s="50" t="s">
        <v>3</v>
      </c>
      <c r="M3" s="51" t="s">
        <v>2</v>
      </c>
    </row>
    <row r="4" spans="1:13" s="1" customFormat="1" ht="21" customHeight="1" thickBot="1" x14ac:dyDescent="0.25">
      <c r="A4" s="47"/>
      <c r="B4" s="49"/>
      <c r="C4" s="49"/>
      <c r="D4" s="49"/>
      <c r="E4" s="49"/>
      <c r="F4" s="49"/>
      <c r="G4" s="6">
        <v>1</v>
      </c>
      <c r="H4" s="6">
        <v>2</v>
      </c>
      <c r="I4" s="6">
        <v>3</v>
      </c>
      <c r="J4" s="6" t="s">
        <v>5</v>
      </c>
      <c r="K4" s="49"/>
      <c r="L4" s="49"/>
      <c r="M4" s="52"/>
    </row>
    <row r="5" spans="1:13" ht="15" x14ac:dyDescent="0.2">
      <c r="A5" s="53" t="s">
        <v>167</v>
      </c>
      <c r="B5" s="54"/>
      <c r="C5" s="54"/>
      <c r="D5" s="54"/>
      <c r="E5" s="54"/>
      <c r="F5" s="54"/>
      <c r="G5" s="54"/>
      <c r="H5" s="54"/>
      <c r="I5" s="54"/>
      <c r="J5" s="54"/>
    </row>
    <row r="6" spans="1:13" x14ac:dyDescent="0.2">
      <c r="A6" s="7" t="s">
        <v>169</v>
      </c>
      <c r="B6" s="7" t="s">
        <v>170</v>
      </c>
      <c r="C6" s="7" t="s">
        <v>171</v>
      </c>
      <c r="D6" s="7" t="str">
        <f>"0,5393"</f>
        <v>0,5393</v>
      </c>
      <c r="E6" s="7" t="s">
        <v>172</v>
      </c>
      <c r="F6" s="7" t="s">
        <v>173</v>
      </c>
      <c r="G6" s="8" t="s">
        <v>52</v>
      </c>
      <c r="H6" s="8" t="s">
        <v>84</v>
      </c>
      <c r="I6" s="9"/>
      <c r="J6" s="9"/>
      <c r="K6" s="21" t="str">
        <f>"165,0"</f>
        <v>165,0</v>
      </c>
      <c r="L6" s="22" t="str">
        <f>"88,9763"</f>
        <v>88,9763</v>
      </c>
      <c r="M6" s="7" t="s">
        <v>96</v>
      </c>
    </row>
    <row r="8" spans="1:13" ht="15" x14ac:dyDescent="0.2">
      <c r="E8" s="19" t="s">
        <v>104</v>
      </c>
      <c r="F8" s="37" t="s">
        <v>565</v>
      </c>
    </row>
    <row r="9" spans="1:13" ht="15" x14ac:dyDescent="0.2">
      <c r="E9" s="19" t="s">
        <v>105</v>
      </c>
      <c r="F9" s="37" t="s">
        <v>566</v>
      </c>
    </row>
    <row r="10" spans="1:13" ht="15" x14ac:dyDescent="0.2">
      <c r="E10" s="19" t="s">
        <v>106</v>
      </c>
      <c r="F10" s="37" t="s">
        <v>567</v>
      </c>
    </row>
    <row r="11" spans="1:13" ht="15" x14ac:dyDescent="0.2">
      <c r="E11" s="19" t="s">
        <v>107</v>
      </c>
      <c r="F11" s="37" t="s">
        <v>568</v>
      </c>
    </row>
    <row r="12" spans="1:13" ht="15" x14ac:dyDescent="0.2">
      <c r="E12" s="19" t="s">
        <v>107</v>
      </c>
      <c r="F12" s="37" t="s">
        <v>569</v>
      </c>
    </row>
    <row r="13" spans="1:13" ht="15" x14ac:dyDescent="0.2">
      <c r="E13" s="19"/>
    </row>
    <row r="14" spans="1:13" ht="15" x14ac:dyDescent="0.2">
      <c r="E14" s="19"/>
    </row>
    <row r="16" spans="1:13" ht="18" x14ac:dyDescent="0.25">
      <c r="A16" s="29" t="s">
        <v>108</v>
      </c>
      <c r="B16" s="29"/>
    </row>
    <row r="17" spans="1:5" ht="15" x14ac:dyDescent="0.2">
      <c r="A17" s="30" t="s">
        <v>123</v>
      </c>
      <c r="B17" s="30"/>
    </row>
    <row r="18" spans="1:5" ht="14.25" x14ac:dyDescent="0.2">
      <c r="A18" s="32"/>
      <c r="B18" s="33" t="s">
        <v>135</v>
      </c>
    </row>
    <row r="19" spans="1:5" ht="15" x14ac:dyDescent="0.2">
      <c r="A19" s="34" t="s">
        <v>111</v>
      </c>
      <c r="B19" s="34" t="s">
        <v>112</v>
      </c>
      <c r="C19" s="34" t="s">
        <v>113</v>
      </c>
      <c r="D19" s="34" t="s">
        <v>160</v>
      </c>
      <c r="E19" s="34" t="s">
        <v>115</v>
      </c>
    </row>
    <row r="20" spans="1:5" x14ac:dyDescent="0.2">
      <c r="A20" s="31" t="s">
        <v>168</v>
      </c>
      <c r="B20" s="4" t="s">
        <v>135</v>
      </c>
      <c r="C20" s="4" t="s">
        <v>174</v>
      </c>
      <c r="D20" s="4" t="s">
        <v>84</v>
      </c>
      <c r="E20" s="20" t="s">
        <v>175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workbookViewId="0">
      <selection activeCell="E17" sqref="E17"/>
    </sheetView>
  </sheetViews>
  <sheetFormatPr defaultColWidth="9.140625"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11.85546875" style="4" bestFit="1" customWidth="1"/>
    <col min="5" max="5" width="26" style="4" bestFit="1" customWidth="1"/>
    <col min="6" max="6" width="31.7109375" style="4" bestFit="1" customWidth="1"/>
    <col min="7" max="9" width="5.5703125" style="3" customWidth="1"/>
    <col min="10" max="10" width="4.85546875" style="3" customWidth="1"/>
    <col min="11" max="11" width="7.85546875" style="20" bestFit="1" customWidth="1"/>
    <col min="12" max="12" width="7.5703125" style="2" bestFit="1" customWidth="1"/>
    <col min="13" max="13" width="18.85546875" style="4" bestFit="1" customWidth="1"/>
    <col min="14" max="16384" width="9.140625" style="3"/>
  </cols>
  <sheetData>
    <row r="1" spans="1:13" s="2" customFormat="1" ht="29.1" customHeight="1" x14ac:dyDescent="0.2">
      <c r="A1" s="40" t="s">
        <v>143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2" customFormat="1" ht="62.1" customHeight="1" thickBot="1" x14ac:dyDescent="0.25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</row>
    <row r="3" spans="1:13" s="1" customFormat="1" ht="12.75" customHeight="1" x14ac:dyDescent="0.2">
      <c r="A3" s="46" t="s">
        <v>0</v>
      </c>
      <c r="B3" s="48" t="s">
        <v>6</v>
      </c>
      <c r="C3" s="48" t="s">
        <v>10</v>
      </c>
      <c r="D3" s="50" t="s">
        <v>12</v>
      </c>
      <c r="E3" s="50" t="s">
        <v>4</v>
      </c>
      <c r="F3" s="50" t="s">
        <v>7</v>
      </c>
      <c r="G3" s="50" t="s">
        <v>14</v>
      </c>
      <c r="H3" s="50"/>
      <c r="I3" s="50"/>
      <c r="J3" s="50"/>
      <c r="K3" s="50" t="s">
        <v>165</v>
      </c>
      <c r="L3" s="50" t="s">
        <v>3</v>
      </c>
      <c r="M3" s="51" t="s">
        <v>2</v>
      </c>
    </row>
    <row r="4" spans="1:13" s="1" customFormat="1" ht="21" customHeight="1" thickBot="1" x14ac:dyDescent="0.25">
      <c r="A4" s="47"/>
      <c r="B4" s="49"/>
      <c r="C4" s="49"/>
      <c r="D4" s="49"/>
      <c r="E4" s="49"/>
      <c r="F4" s="49"/>
      <c r="G4" s="6">
        <v>1</v>
      </c>
      <c r="H4" s="6">
        <v>2</v>
      </c>
      <c r="I4" s="6">
        <v>3</v>
      </c>
      <c r="J4" s="6" t="s">
        <v>5</v>
      </c>
      <c r="K4" s="49"/>
      <c r="L4" s="49"/>
      <c r="M4" s="52"/>
    </row>
    <row r="5" spans="1:13" ht="15" x14ac:dyDescent="0.2">
      <c r="A5" s="53" t="s">
        <v>144</v>
      </c>
      <c r="B5" s="54"/>
      <c r="C5" s="54"/>
      <c r="D5" s="54"/>
      <c r="E5" s="54"/>
      <c r="F5" s="54"/>
      <c r="G5" s="54"/>
      <c r="H5" s="54"/>
      <c r="I5" s="54"/>
      <c r="J5" s="54"/>
    </row>
    <row r="6" spans="1:13" x14ac:dyDescent="0.2">
      <c r="A6" s="7" t="s">
        <v>146</v>
      </c>
      <c r="B6" s="7" t="s">
        <v>147</v>
      </c>
      <c r="C6" s="7" t="s">
        <v>148</v>
      </c>
      <c r="D6" s="7" t="str">
        <f>"0,6244"</f>
        <v>0,6244</v>
      </c>
      <c r="E6" s="7" t="s">
        <v>149</v>
      </c>
      <c r="F6" s="7" t="s">
        <v>22</v>
      </c>
      <c r="G6" s="8" t="s">
        <v>56</v>
      </c>
      <c r="H6" s="9" t="s">
        <v>150</v>
      </c>
      <c r="I6" s="8" t="s">
        <v>150</v>
      </c>
      <c r="J6" s="9"/>
      <c r="K6" s="21" t="str">
        <f>"135,0"</f>
        <v>135,0</v>
      </c>
      <c r="L6" s="22" t="str">
        <f>"84,2873"</f>
        <v>84,2873</v>
      </c>
      <c r="M6" s="7" t="s">
        <v>151</v>
      </c>
    </row>
    <row r="8" spans="1:13" ht="15" x14ac:dyDescent="0.2">
      <c r="A8" s="57" t="s">
        <v>97</v>
      </c>
      <c r="B8" s="57"/>
      <c r="C8" s="57"/>
      <c r="D8" s="57"/>
      <c r="E8" s="57"/>
      <c r="F8" s="57"/>
      <c r="G8" s="57"/>
      <c r="H8" s="57"/>
      <c r="I8" s="57"/>
      <c r="J8" s="57"/>
    </row>
    <row r="9" spans="1:13" x14ac:dyDescent="0.2">
      <c r="A9" s="10" t="s">
        <v>153</v>
      </c>
      <c r="B9" s="10" t="s">
        <v>154</v>
      </c>
      <c r="C9" s="10" t="s">
        <v>155</v>
      </c>
      <c r="D9" s="10" t="str">
        <f>"0,5688"</f>
        <v>0,5688</v>
      </c>
      <c r="E9" s="10" t="s">
        <v>149</v>
      </c>
      <c r="F9" s="10" t="s">
        <v>22</v>
      </c>
      <c r="G9" s="11" t="s">
        <v>64</v>
      </c>
      <c r="H9" s="12"/>
      <c r="I9" s="12"/>
      <c r="J9" s="12"/>
      <c r="K9" s="23" t="str">
        <f>"150,0"</f>
        <v>150,0</v>
      </c>
      <c r="L9" s="24" t="str">
        <f>"85,3200"</f>
        <v>85,3200</v>
      </c>
      <c r="M9" s="10" t="s">
        <v>32</v>
      </c>
    </row>
    <row r="10" spans="1:13" x14ac:dyDescent="0.2">
      <c r="A10" s="16" t="s">
        <v>157</v>
      </c>
      <c r="B10" s="16" t="s">
        <v>158</v>
      </c>
      <c r="C10" s="16" t="s">
        <v>159</v>
      </c>
      <c r="D10" s="16" t="str">
        <f>"0,5581"</f>
        <v>0,5581</v>
      </c>
      <c r="E10" s="16" t="s">
        <v>21</v>
      </c>
      <c r="F10" s="16" t="s">
        <v>22</v>
      </c>
      <c r="G10" s="18" t="s">
        <v>63</v>
      </c>
      <c r="H10" s="18" t="s">
        <v>63</v>
      </c>
      <c r="I10" s="17" t="s">
        <v>63</v>
      </c>
      <c r="J10" s="18"/>
      <c r="K10" s="27" t="str">
        <f>"140,0"</f>
        <v>140,0</v>
      </c>
      <c r="L10" s="28" t="str">
        <f>"78,1340"</f>
        <v>78,1340</v>
      </c>
      <c r="M10" s="16" t="s">
        <v>32</v>
      </c>
    </row>
    <row r="12" spans="1:13" ht="15" x14ac:dyDescent="0.2">
      <c r="E12" s="19" t="s">
        <v>104</v>
      </c>
      <c r="F12" s="37" t="s">
        <v>565</v>
      </c>
    </row>
    <row r="13" spans="1:13" ht="15" x14ac:dyDescent="0.2">
      <c r="E13" s="19" t="s">
        <v>105</v>
      </c>
      <c r="F13" s="37" t="s">
        <v>566</v>
      </c>
    </row>
    <row r="14" spans="1:13" ht="15" x14ac:dyDescent="0.2">
      <c r="E14" s="19" t="s">
        <v>106</v>
      </c>
      <c r="F14" s="37" t="s">
        <v>567</v>
      </c>
    </row>
    <row r="15" spans="1:13" ht="15" x14ac:dyDescent="0.2">
      <c r="E15" s="19" t="s">
        <v>107</v>
      </c>
      <c r="F15" s="37" t="s">
        <v>568</v>
      </c>
    </row>
    <row r="16" spans="1:13" ht="15" x14ac:dyDescent="0.2">
      <c r="E16" s="19" t="s">
        <v>107</v>
      </c>
      <c r="F16" s="37" t="s">
        <v>569</v>
      </c>
    </row>
    <row r="17" spans="1:5" ht="15" x14ac:dyDescent="0.2">
      <c r="E17" s="19"/>
    </row>
    <row r="18" spans="1:5" ht="15" x14ac:dyDescent="0.2">
      <c r="E18" s="19"/>
    </row>
    <row r="20" spans="1:5" ht="18" x14ac:dyDescent="0.25">
      <c r="A20" s="29" t="s">
        <v>108</v>
      </c>
      <c r="B20" s="29"/>
    </row>
    <row r="21" spans="1:5" ht="15" x14ac:dyDescent="0.2">
      <c r="A21" s="30" t="s">
        <v>123</v>
      </c>
      <c r="B21" s="30"/>
    </row>
    <row r="22" spans="1:5" ht="14.25" x14ac:dyDescent="0.2">
      <c r="A22" s="32"/>
      <c r="B22" s="33" t="s">
        <v>135</v>
      </c>
    </row>
    <row r="23" spans="1:5" ht="15" x14ac:dyDescent="0.2">
      <c r="A23" s="34" t="s">
        <v>111</v>
      </c>
      <c r="B23" s="34" t="s">
        <v>112</v>
      </c>
      <c r="C23" s="34" t="s">
        <v>113</v>
      </c>
      <c r="D23" s="34" t="s">
        <v>160</v>
      </c>
      <c r="E23" s="34" t="s">
        <v>115</v>
      </c>
    </row>
    <row r="24" spans="1:5" x14ac:dyDescent="0.2">
      <c r="A24" s="31" t="s">
        <v>152</v>
      </c>
      <c r="B24" s="4" t="s">
        <v>135</v>
      </c>
      <c r="C24" s="4" t="s">
        <v>138</v>
      </c>
      <c r="D24" s="4" t="s">
        <v>64</v>
      </c>
      <c r="E24" s="20" t="s">
        <v>161</v>
      </c>
    </row>
    <row r="25" spans="1:5" x14ac:dyDescent="0.2">
      <c r="A25" s="31" t="s">
        <v>145</v>
      </c>
      <c r="B25" s="4" t="s">
        <v>135</v>
      </c>
      <c r="C25" s="4" t="s">
        <v>162</v>
      </c>
      <c r="D25" s="4" t="s">
        <v>150</v>
      </c>
      <c r="E25" s="20" t="s">
        <v>163</v>
      </c>
    </row>
    <row r="26" spans="1:5" x14ac:dyDescent="0.2">
      <c r="A26" s="31" t="s">
        <v>156</v>
      </c>
      <c r="B26" s="4" t="s">
        <v>135</v>
      </c>
      <c r="C26" s="4" t="s">
        <v>138</v>
      </c>
      <c r="D26" s="4" t="s">
        <v>63</v>
      </c>
      <c r="E26" s="20" t="s">
        <v>164</v>
      </c>
    </row>
  </sheetData>
  <mergeCells count="13">
    <mergeCell ref="A8:J8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U55"/>
  <sheetViews>
    <sheetView topLeftCell="A13" workbookViewId="0">
      <selection activeCell="E30" sqref="E30"/>
    </sheetView>
  </sheetViews>
  <sheetFormatPr defaultColWidth="9.140625" defaultRowHeight="12.75" x14ac:dyDescent="0.2"/>
  <cols>
    <col min="1" max="1" width="26" style="4" bestFit="1" customWidth="1"/>
    <col min="2" max="2" width="29" style="4" bestFit="1" customWidth="1"/>
    <col min="3" max="3" width="15.5703125" style="4" bestFit="1" customWidth="1"/>
    <col min="4" max="4" width="9.28515625" style="4" bestFit="1" customWidth="1"/>
    <col min="5" max="5" width="22.7109375" style="4" bestFit="1" customWidth="1"/>
    <col min="6" max="6" width="32.42578125" style="4" bestFit="1" customWidth="1"/>
    <col min="7" max="9" width="5.5703125" style="3" customWidth="1"/>
    <col min="10" max="10" width="4.85546875" style="3" customWidth="1"/>
    <col min="11" max="13" width="5.5703125" style="3" customWidth="1"/>
    <col min="14" max="14" width="4.85546875" style="3" customWidth="1"/>
    <col min="15" max="17" width="5.5703125" style="3" customWidth="1"/>
    <col min="18" max="18" width="4.85546875" style="3" customWidth="1"/>
    <col min="19" max="19" width="7.85546875" style="20" bestFit="1" customWidth="1"/>
    <col min="20" max="20" width="8.5703125" style="2" bestFit="1" customWidth="1"/>
    <col min="21" max="21" width="24.140625" style="4" bestFit="1" customWidth="1"/>
    <col min="22" max="16384" width="9.140625" style="3"/>
  </cols>
  <sheetData>
    <row r="1" spans="1:21" s="2" customFormat="1" ht="29.1" customHeight="1" x14ac:dyDescent="0.2">
      <c r="A1" s="40" t="s">
        <v>11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2"/>
    </row>
    <row r="2" spans="1:21" s="2" customFormat="1" ht="62.1" customHeight="1" thickBot="1" x14ac:dyDescent="0.25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5"/>
    </row>
    <row r="3" spans="1:21" s="1" customFormat="1" ht="12.75" customHeight="1" x14ac:dyDescent="0.2">
      <c r="A3" s="46" t="s">
        <v>0</v>
      </c>
      <c r="B3" s="48" t="s">
        <v>6</v>
      </c>
      <c r="C3" s="48" t="s">
        <v>10</v>
      </c>
      <c r="D3" s="50" t="s">
        <v>12</v>
      </c>
      <c r="E3" s="50" t="s">
        <v>4</v>
      </c>
      <c r="F3" s="50" t="s">
        <v>7</v>
      </c>
      <c r="G3" s="50" t="s">
        <v>13</v>
      </c>
      <c r="H3" s="50"/>
      <c r="I3" s="50"/>
      <c r="J3" s="50"/>
      <c r="K3" s="50" t="s">
        <v>14</v>
      </c>
      <c r="L3" s="50"/>
      <c r="M3" s="50"/>
      <c r="N3" s="50"/>
      <c r="O3" s="50" t="s">
        <v>15</v>
      </c>
      <c r="P3" s="50"/>
      <c r="Q3" s="50"/>
      <c r="R3" s="50"/>
      <c r="S3" s="50" t="s">
        <v>1</v>
      </c>
      <c r="T3" s="50" t="s">
        <v>3</v>
      </c>
      <c r="U3" s="51" t="s">
        <v>2</v>
      </c>
    </row>
    <row r="4" spans="1:21" s="1" customFormat="1" ht="21" customHeight="1" thickBot="1" x14ac:dyDescent="0.25">
      <c r="A4" s="47"/>
      <c r="B4" s="49"/>
      <c r="C4" s="49"/>
      <c r="D4" s="49"/>
      <c r="E4" s="49"/>
      <c r="F4" s="49"/>
      <c r="G4" s="6">
        <v>1</v>
      </c>
      <c r="H4" s="6">
        <v>2</v>
      </c>
      <c r="I4" s="6">
        <v>3</v>
      </c>
      <c r="J4" s="6" t="s">
        <v>5</v>
      </c>
      <c r="K4" s="6">
        <v>1</v>
      </c>
      <c r="L4" s="6">
        <v>2</v>
      </c>
      <c r="M4" s="6">
        <v>3</v>
      </c>
      <c r="N4" s="6" t="s">
        <v>5</v>
      </c>
      <c r="O4" s="6">
        <v>1</v>
      </c>
      <c r="P4" s="6">
        <v>2</v>
      </c>
      <c r="Q4" s="6">
        <v>3</v>
      </c>
      <c r="R4" s="6" t="s">
        <v>5</v>
      </c>
      <c r="S4" s="49"/>
      <c r="T4" s="49"/>
      <c r="U4" s="52"/>
    </row>
    <row r="5" spans="1:21" ht="15" x14ac:dyDescent="0.2">
      <c r="A5" s="53" t="s">
        <v>16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</row>
    <row r="6" spans="1:21" x14ac:dyDescent="0.2">
      <c r="A6" s="7" t="s">
        <v>18</v>
      </c>
      <c r="B6" s="7" t="s">
        <v>19</v>
      </c>
      <c r="C6" s="7" t="s">
        <v>20</v>
      </c>
      <c r="D6" s="7" t="str">
        <f>"0,7276"</f>
        <v>0,7276</v>
      </c>
      <c r="E6" s="7" t="s">
        <v>21</v>
      </c>
      <c r="F6" s="7" t="s">
        <v>22</v>
      </c>
      <c r="G6" s="8" t="s">
        <v>23</v>
      </c>
      <c r="H6" s="8" t="s">
        <v>24</v>
      </c>
      <c r="I6" s="8" t="s">
        <v>25</v>
      </c>
      <c r="J6" s="9"/>
      <c r="K6" s="8" t="s">
        <v>26</v>
      </c>
      <c r="L6" s="8" t="s">
        <v>27</v>
      </c>
      <c r="M6" s="9" t="s">
        <v>28</v>
      </c>
      <c r="N6" s="9"/>
      <c r="O6" s="8" t="s">
        <v>29</v>
      </c>
      <c r="P6" s="8" t="s">
        <v>30</v>
      </c>
      <c r="Q6" s="8" t="s">
        <v>31</v>
      </c>
      <c r="R6" s="9"/>
      <c r="S6" s="21" t="str">
        <f>"240,0"</f>
        <v>240,0</v>
      </c>
      <c r="T6" s="22" t="str">
        <f>"179,8504"</f>
        <v>179,8504</v>
      </c>
      <c r="U6" s="7" t="s">
        <v>32</v>
      </c>
    </row>
    <row r="8" spans="1:21" ht="15" x14ac:dyDescent="0.2">
      <c r="A8" s="57" t="s">
        <v>33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</row>
    <row r="9" spans="1:21" x14ac:dyDescent="0.2">
      <c r="A9" s="7" t="s">
        <v>35</v>
      </c>
      <c r="B9" s="7" t="s">
        <v>36</v>
      </c>
      <c r="C9" s="7" t="s">
        <v>37</v>
      </c>
      <c r="D9" s="7" t="str">
        <f>"0,5839"</f>
        <v>0,5839</v>
      </c>
      <c r="E9" s="7" t="s">
        <v>38</v>
      </c>
      <c r="F9" s="7" t="s">
        <v>39</v>
      </c>
      <c r="G9" s="8" t="s">
        <v>40</v>
      </c>
      <c r="H9" s="8" t="s">
        <v>41</v>
      </c>
      <c r="I9" s="8" t="s">
        <v>42</v>
      </c>
      <c r="J9" s="9"/>
      <c r="K9" s="8" t="s">
        <v>43</v>
      </c>
      <c r="L9" s="8" t="s">
        <v>23</v>
      </c>
      <c r="M9" s="9" t="s">
        <v>44</v>
      </c>
      <c r="N9" s="9"/>
      <c r="O9" s="8" t="s">
        <v>41</v>
      </c>
      <c r="P9" s="8" t="s">
        <v>42</v>
      </c>
      <c r="Q9" s="8" t="s">
        <v>29</v>
      </c>
      <c r="R9" s="9"/>
      <c r="S9" s="21" t="str">
        <f>"275,0"</f>
        <v>275,0</v>
      </c>
      <c r="T9" s="22" t="str">
        <f>"162,1643"</f>
        <v>162,1643</v>
      </c>
      <c r="U9" s="7" t="s">
        <v>45</v>
      </c>
    </row>
    <row r="11" spans="1:21" ht="15" x14ac:dyDescent="0.2">
      <c r="A11" s="57" t="s">
        <v>46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</row>
    <row r="12" spans="1:21" x14ac:dyDescent="0.2">
      <c r="A12" s="7" t="s">
        <v>48</v>
      </c>
      <c r="B12" s="7" t="s">
        <v>49</v>
      </c>
      <c r="C12" s="7" t="s">
        <v>50</v>
      </c>
      <c r="D12" s="7" t="str">
        <f>"0,7377"</f>
        <v>0,7377</v>
      </c>
      <c r="E12" s="7" t="s">
        <v>38</v>
      </c>
      <c r="F12" s="7" t="s">
        <v>22</v>
      </c>
      <c r="G12" s="9" t="s">
        <v>51</v>
      </c>
      <c r="H12" s="8" t="s">
        <v>52</v>
      </c>
      <c r="I12" s="8" t="s">
        <v>53</v>
      </c>
      <c r="J12" s="9"/>
      <c r="K12" s="8" t="s">
        <v>54</v>
      </c>
      <c r="L12" s="8" t="s">
        <v>55</v>
      </c>
      <c r="M12" s="8" t="s">
        <v>56</v>
      </c>
      <c r="N12" s="9"/>
      <c r="O12" s="8" t="s">
        <v>53</v>
      </c>
      <c r="P12" s="8" t="s">
        <v>57</v>
      </c>
      <c r="Q12" s="8" t="s">
        <v>58</v>
      </c>
      <c r="R12" s="9"/>
      <c r="S12" s="21" t="str">
        <f>"465,0"</f>
        <v>465,0</v>
      </c>
      <c r="T12" s="22" t="str">
        <f>"356,7517"</f>
        <v>356,7517</v>
      </c>
      <c r="U12" s="7" t="s">
        <v>45</v>
      </c>
    </row>
    <row r="14" spans="1:21" ht="15" x14ac:dyDescent="0.2">
      <c r="A14" s="57" t="s">
        <v>16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</row>
    <row r="15" spans="1:21" x14ac:dyDescent="0.2">
      <c r="A15" s="7" t="s">
        <v>60</v>
      </c>
      <c r="B15" s="7" t="s">
        <v>61</v>
      </c>
      <c r="C15" s="7" t="s">
        <v>62</v>
      </c>
      <c r="D15" s="7" t="str">
        <f>"0,6676"</f>
        <v>0,6676</v>
      </c>
      <c r="E15" s="7" t="s">
        <v>38</v>
      </c>
      <c r="F15" s="7" t="s">
        <v>22</v>
      </c>
      <c r="G15" s="8" t="s">
        <v>63</v>
      </c>
      <c r="H15" s="8" t="s">
        <v>64</v>
      </c>
      <c r="I15" s="8" t="s">
        <v>65</v>
      </c>
      <c r="J15" s="9"/>
      <c r="K15" s="8" t="s">
        <v>41</v>
      </c>
      <c r="L15" s="8" t="s">
        <v>42</v>
      </c>
      <c r="M15" s="9" t="s">
        <v>66</v>
      </c>
      <c r="N15" s="9"/>
      <c r="O15" s="8" t="s">
        <v>53</v>
      </c>
      <c r="P15" s="8" t="s">
        <v>57</v>
      </c>
      <c r="Q15" s="9" t="s">
        <v>67</v>
      </c>
      <c r="R15" s="9"/>
      <c r="S15" s="21" t="str">
        <f>"432,5"</f>
        <v>432,5</v>
      </c>
      <c r="T15" s="22" t="str">
        <f>"300,3090"</f>
        <v>300,3090</v>
      </c>
      <c r="U15" s="7" t="s">
        <v>45</v>
      </c>
    </row>
    <row r="17" spans="1:21" ht="15" x14ac:dyDescent="0.2">
      <c r="A17" s="57" t="s">
        <v>68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</row>
    <row r="18" spans="1:21" x14ac:dyDescent="0.2">
      <c r="A18" s="10" t="s">
        <v>70</v>
      </c>
      <c r="B18" s="10" t="s">
        <v>71</v>
      </c>
      <c r="C18" s="10" t="s">
        <v>72</v>
      </c>
      <c r="D18" s="10" t="str">
        <f>"0,5853"</f>
        <v>0,5853</v>
      </c>
      <c r="E18" s="10" t="s">
        <v>38</v>
      </c>
      <c r="F18" s="10" t="s">
        <v>22</v>
      </c>
      <c r="G18" s="11" t="s">
        <v>63</v>
      </c>
      <c r="H18" s="11" t="s">
        <v>64</v>
      </c>
      <c r="I18" s="11" t="s">
        <v>53</v>
      </c>
      <c r="J18" s="12"/>
      <c r="K18" s="11" t="s">
        <v>40</v>
      </c>
      <c r="L18" s="12" t="s">
        <v>73</v>
      </c>
      <c r="M18" s="11" t="s">
        <v>41</v>
      </c>
      <c r="N18" s="12"/>
      <c r="O18" s="11" t="s">
        <v>57</v>
      </c>
      <c r="P18" s="11" t="s">
        <v>74</v>
      </c>
      <c r="Q18" s="11" t="s">
        <v>75</v>
      </c>
      <c r="R18" s="12"/>
      <c r="S18" s="23" t="str">
        <f>"442,5"</f>
        <v>442,5</v>
      </c>
      <c r="T18" s="24" t="str">
        <f>"258,9953"</f>
        <v>258,9953</v>
      </c>
      <c r="U18" s="10" t="s">
        <v>45</v>
      </c>
    </row>
    <row r="19" spans="1:21" x14ac:dyDescent="0.2">
      <c r="A19" s="13" t="s">
        <v>77</v>
      </c>
      <c r="B19" s="13" t="s">
        <v>78</v>
      </c>
      <c r="C19" s="13" t="s">
        <v>72</v>
      </c>
      <c r="D19" s="13" t="str">
        <f>"0,5853"</f>
        <v>0,5853</v>
      </c>
      <c r="E19" s="13" t="s">
        <v>79</v>
      </c>
      <c r="F19" s="13" t="s">
        <v>80</v>
      </c>
      <c r="G19" s="14" t="s">
        <v>81</v>
      </c>
      <c r="H19" s="14" t="s">
        <v>82</v>
      </c>
      <c r="I19" s="14" t="s">
        <v>83</v>
      </c>
      <c r="J19" s="15"/>
      <c r="K19" s="14" t="s">
        <v>64</v>
      </c>
      <c r="L19" s="14" t="s">
        <v>53</v>
      </c>
      <c r="M19" s="15" t="s">
        <v>84</v>
      </c>
      <c r="N19" s="15"/>
      <c r="O19" s="14" t="s">
        <v>85</v>
      </c>
      <c r="P19" s="14" t="s">
        <v>86</v>
      </c>
      <c r="Q19" s="15" t="s">
        <v>87</v>
      </c>
      <c r="R19" s="15"/>
      <c r="S19" s="25" t="str">
        <f>"602,5"</f>
        <v>602,5</v>
      </c>
      <c r="T19" s="26" t="str">
        <f>"352,6433"</f>
        <v>352,6433</v>
      </c>
      <c r="U19" s="13" t="s">
        <v>88</v>
      </c>
    </row>
    <row r="20" spans="1:21" x14ac:dyDescent="0.2">
      <c r="A20" s="16" t="s">
        <v>90</v>
      </c>
      <c r="B20" s="16" t="s">
        <v>91</v>
      </c>
      <c r="C20" s="16" t="s">
        <v>92</v>
      </c>
      <c r="D20" s="16" t="str">
        <f>"0,5965"</f>
        <v>0,5965</v>
      </c>
      <c r="E20" s="16" t="s">
        <v>21</v>
      </c>
      <c r="F20" s="16" t="s">
        <v>80</v>
      </c>
      <c r="G20" s="17" t="s">
        <v>58</v>
      </c>
      <c r="H20" s="17" t="s">
        <v>74</v>
      </c>
      <c r="I20" s="18" t="s">
        <v>75</v>
      </c>
      <c r="J20" s="18"/>
      <c r="K20" s="17" t="s">
        <v>63</v>
      </c>
      <c r="L20" s="18" t="s">
        <v>93</v>
      </c>
      <c r="M20" s="17" t="s">
        <v>93</v>
      </c>
      <c r="N20" s="18"/>
      <c r="O20" s="17" t="s">
        <v>67</v>
      </c>
      <c r="P20" s="17" t="s">
        <v>94</v>
      </c>
      <c r="Q20" s="17" t="s">
        <v>95</v>
      </c>
      <c r="R20" s="18"/>
      <c r="S20" s="27" t="str">
        <f>"527,5"</f>
        <v>527,5</v>
      </c>
      <c r="T20" s="28" t="str">
        <f>"314,6537"</f>
        <v>314,6537</v>
      </c>
      <c r="U20" s="16" t="s">
        <v>96</v>
      </c>
    </row>
    <row r="22" spans="1:21" ht="15" x14ac:dyDescent="0.2">
      <c r="A22" s="57" t="s">
        <v>97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</row>
    <row r="23" spans="1:21" x14ac:dyDescent="0.2">
      <c r="A23" s="7" t="s">
        <v>99</v>
      </c>
      <c r="B23" s="7" t="s">
        <v>100</v>
      </c>
      <c r="C23" s="7" t="s">
        <v>101</v>
      </c>
      <c r="D23" s="7" t="str">
        <f>"0,5589"</f>
        <v>0,5589</v>
      </c>
      <c r="E23" s="7" t="s">
        <v>79</v>
      </c>
      <c r="F23" s="7" t="s">
        <v>80</v>
      </c>
      <c r="G23" s="8" t="s">
        <v>67</v>
      </c>
      <c r="H23" s="8" t="s">
        <v>102</v>
      </c>
      <c r="I23" s="9" t="s">
        <v>83</v>
      </c>
      <c r="J23" s="9"/>
      <c r="K23" s="8" t="s">
        <v>52</v>
      </c>
      <c r="L23" s="8" t="s">
        <v>84</v>
      </c>
      <c r="M23" s="9" t="s">
        <v>103</v>
      </c>
      <c r="N23" s="9"/>
      <c r="O23" s="9" t="s">
        <v>81</v>
      </c>
      <c r="P23" s="8" t="s">
        <v>102</v>
      </c>
      <c r="Q23" s="9" t="s">
        <v>83</v>
      </c>
      <c r="R23" s="9"/>
      <c r="S23" s="21" t="str">
        <f>"565,0"</f>
        <v>565,0</v>
      </c>
      <c r="T23" s="22" t="str">
        <f>"315,7785"</f>
        <v>315,7785</v>
      </c>
      <c r="U23" s="7" t="s">
        <v>88</v>
      </c>
    </row>
    <row r="25" spans="1:21" ht="15" x14ac:dyDescent="0.2">
      <c r="E25" s="19" t="s">
        <v>104</v>
      </c>
      <c r="F25" s="37" t="s">
        <v>565</v>
      </c>
    </row>
    <row r="26" spans="1:21" ht="15" x14ac:dyDescent="0.2">
      <c r="E26" s="19" t="s">
        <v>105</v>
      </c>
      <c r="F26" s="37" t="s">
        <v>566</v>
      </c>
    </row>
    <row r="27" spans="1:21" ht="15" x14ac:dyDescent="0.2">
      <c r="E27" s="19" t="s">
        <v>106</v>
      </c>
      <c r="F27" s="37" t="s">
        <v>567</v>
      </c>
    </row>
    <row r="28" spans="1:21" ht="15" x14ac:dyDescent="0.2">
      <c r="E28" s="19" t="s">
        <v>107</v>
      </c>
      <c r="F28" s="37" t="s">
        <v>568</v>
      </c>
    </row>
    <row r="29" spans="1:21" ht="15" x14ac:dyDescent="0.2">
      <c r="E29" s="19" t="s">
        <v>107</v>
      </c>
      <c r="F29" s="37" t="s">
        <v>569</v>
      </c>
    </row>
    <row r="30" spans="1:21" ht="15" x14ac:dyDescent="0.2">
      <c r="E30" s="19"/>
    </row>
    <row r="31" spans="1:21" ht="15" x14ac:dyDescent="0.2">
      <c r="E31" s="19"/>
    </row>
    <row r="33" spans="1:5" ht="18" x14ac:dyDescent="0.25">
      <c r="A33" s="29" t="s">
        <v>108</v>
      </c>
      <c r="B33" s="29"/>
    </row>
    <row r="34" spans="1:5" ht="15" x14ac:dyDescent="0.2">
      <c r="A34" s="30" t="s">
        <v>109</v>
      </c>
      <c r="B34" s="30"/>
    </row>
    <row r="35" spans="1:5" ht="14.25" x14ac:dyDescent="0.2">
      <c r="A35" s="32"/>
      <c r="B35" s="33" t="s">
        <v>110</v>
      </c>
    </row>
    <row r="36" spans="1:5" ht="15" x14ac:dyDescent="0.2">
      <c r="A36" s="34" t="s">
        <v>111</v>
      </c>
      <c r="B36" s="34" t="s">
        <v>112</v>
      </c>
      <c r="C36" s="34" t="s">
        <v>113</v>
      </c>
      <c r="D36" s="34" t="s">
        <v>114</v>
      </c>
      <c r="E36" s="34" t="s">
        <v>115</v>
      </c>
    </row>
    <row r="37" spans="1:5" x14ac:dyDescent="0.2">
      <c r="A37" s="31" t="s">
        <v>17</v>
      </c>
      <c r="B37" s="4" t="s">
        <v>116</v>
      </c>
      <c r="C37" s="4" t="s">
        <v>117</v>
      </c>
      <c r="D37" s="4" t="s">
        <v>118</v>
      </c>
      <c r="E37" s="20" t="s">
        <v>119</v>
      </c>
    </row>
    <row r="38" spans="1:5" x14ac:dyDescent="0.2">
      <c r="A38" s="31" t="s">
        <v>34</v>
      </c>
      <c r="B38" s="4" t="s">
        <v>116</v>
      </c>
      <c r="C38" s="4" t="s">
        <v>120</v>
      </c>
      <c r="D38" s="4" t="s">
        <v>121</v>
      </c>
      <c r="E38" s="20" t="s">
        <v>122</v>
      </c>
    </row>
    <row r="41" spans="1:5" ht="15" x14ac:dyDescent="0.2">
      <c r="A41" s="30" t="s">
        <v>123</v>
      </c>
      <c r="B41" s="30"/>
    </row>
    <row r="42" spans="1:5" ht="14.25" x14ac:dyDescent="0.2">
      <c r="A42" s="32"/>
      <c r="B42" s="33" t="s">
        <v>124</v>
      </c>
    </row>
    <row r="43" spans="1:5" ht="15" x14ac:dyDescent="0.2">
      <c r="A43" s="34" t="s">
        <v>111</v>
      </c>
      <c r="B43" s="34" t="s">
        <v>112</v>
      </c>
      <c r="C43" s="34" t="s">
        <v>113</v>
      </c>
      <c r="D43" s="34" t="s">
        <v>114</v>
      </c>
      <c r="E43" s="34" t="s">
        <v>115</v>
      </c>
    </row>
    <row r="44" spans="1:5" x14ac:dyDescent="0.2">
      <c r="A44" s="31" t="s">
        <v>47</v>
      </c>
      <c r="B44" s="4" t="s">
        <v>125</v>
      </c>
      <c r="C44" s="4" t="s">
        <v>126</v>
      </c>
      <c r="D44" s="4" t="s">
        <v>127</v>
      </c>
      <c r="E44" s="20" t="s">
        <v>128</v>
      </c>
    </row>
    <row r="45" spans="1:5" x14ac:dyDescent="0.2">
      <c r="A45" s="31" t="s">
        <v>59</v>
      </c>
      <c r="B45" s="4" t="s">
        <v>125</v>
      </c>
      <c r="C45" s="4" t="s">
        <v>117</v>
      </c>
      <c r="D45" s="4" t="s">
        <v>129</v>
      </c>
      <c r="E45" s="20" t="s">
        <v>130</v>
      </c>
    </row>
    <row r="47" spans="1:5" ht="14.25" x14ac:dyDescent="0.2">
      <c r="A47" s="32"/>
      <c r="B47" s="33" t="s">
        <v>131</v>
      </c>
    </row>
    <row r="48" spans="1:5" ht="15" x14ac:dyDescent="0.2">
      <c r="A48" s="34" t="s">
        <v>111</v>
      </c>
      <c r="B48" s="34" t="s">
        <v>112</v>
      </c>
      <c r="C48" s="34" t="s">
        <v>113</v>
      </c>
      <c r="D48" s="34" t="s">
        <v>114</v>
      </c>
      <c r="E48" s="34" t="s">
        <v>115</v>
      </c>
    </row>
    <row r="49" spans="1:5" x14ac:dyDescent="0.2">
      <c r="A49" s="31" t="s">
        <v>69</v>
      </c>
      <c r="B49" s="4" t="s">
        <v>116</v>
      </c>
      <c r="C49" s="4" t="s">
        <v>132</v>
      </c>
      <c r="D49" s="4" t="s">
        <v>133</v>
      </c>
      <c r="E49" s="20" t="s">
        <v>134</v>
      </c>
    </row>
    <row r="51" spans="1:5" ht="14.25" x14ac:dyDescent="0.2">
      <c r="A51" s="32"/>
      <c r="B51" s="33" t="s">
        <v>135</v>
      </c>
    </row>
    <row r="52" spans="1:5" ht="15" x14ac:dyDescent="0.2">
      <c r="A52" s="34" t="s">
        <v>111</v>
      </c>
      <c r="B52" s="34" t="s">
        <v>112</v>
      </c>
      <c r="C52" s="34" t="s">
        <v>113</v>
      </c>
      <c r="D52" s="34" t="s">
        <v>114</v>
      </c>
      <c r="E52" s="34" t="s">
        <v>115</v>
      </c>
    </row>
    <row r="53" spans="1:5" x14ac:dyDescent="0.2">
      <c r="A53" s="31" t="s">
        <v>76</v>
      </c>
      <c r="B53" s="4" t="s">
        <v>135</v>
      </c>
      <c r="C53" s="4" t="s">
        <v>132</v>
      </c>
      <c r="D53" s="4" t="s">
        <v>136</v>
      </c>
      <c r="E53" s="20" t="s">
        <v>137</v>
      </c>
    </row>
    <row r="54" spans="1:5" x14ac:dyDescent="0.2">
      <c r="A54" s="31" t="s">
        <v>98</v>
      </c>
      <c r="B54" s="4" t="s">
        <v>135</v>
      </c>
      <c r="C54" s="4" t="s">
        <v>138</v>
      </c>
      <c r="D54" s="4" t="s">
        <v>139</v>
      </c>
      <c r="E54" s="20" t="s">
        <v>140</v>
      </c>
    </row>
    <row r="55" spans="1:5" x14ac:dyDescent="0.2">
      <c r="A55" s="31" t="s">
        <v>89</v>
      </c>
      <c r="B55" s="4" t="s">
        <v>135</v>
      </c>
      <c r="C55" s="4" t="s">
        <v>132</v>
      </c>
      <c r="D55" s="4" t="s">
        <v>141</v>
      </c>
      <c r="E55" s="20" t="s">
        <v>142</v>
      </c>
    </row>
  </sheetData>
  <mergeCells count="19">
    <mergeCell ref="A22:R22"/>
    <mergeCell ref="A5:R5"/>
    <mergeCell ref="A8:R8"/>
    <mergeCell ref="A11:R11"/>
    <mergeCell ref="A14:R14"/>
    <mergeCell ref="A17:R17"/>
    <mergeCell ref="D3:D4"/>
    <mergeCell ref="S3:S4"/>
    <mergeCell ref="T3:T4"/>
    <mergeCell ref="A1:U2"/>
    <mergeCell ref="G3:J3"/>
    <mergeCell ref="K3:N3"/>
    <mergeCell ref="O3:R3"/>
    <mergeCell ref="A3:A4"/>
    <mergeCell ref="B3:B4"/>
    <mergeCell ref="C3:C4"/>
    <mergeCell ref="U3:U4"/>
    <mergeCell ref="F3:F4"/>
    <mergeCell ref="E3:E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E13" sqref="E13"/>
    </sheetView>
  </sheetViews>
  <sheetFormatPr defaultColWidth="9.140625"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0.42578125" style="4" bestFit="1" customWidth="1"/>
    <col min="7" max="7" width="5" style="3" customWidth="1"/>
    <col min="8" max="8" width="10.42578125" style="3" customWidth="1"/>
    <col min="9" max="9" width="7.85546875" style="20" bestFit="1" customWidth="1"/>
    <col min="10" max="10" width="7.5703125" style="2" bestFit="1" customWidth="1"/>
    <col min="11" max="11" width="8.85546875" style="4" bestFit="1" customWidth="1"/>
    <col min="12" max="16384" width="9.140625" style="3"/>
  </cols>
  <sheetData>
    <row r="1" spans="1:11" s="2" customFormat="1" ht="29.1" customHeight="1" x14ac:dyDescent="0.2">
      <c r="A1" s="40" t="s">
        <v>519</v>
      </c>
      <c r="B1" s="41"/>
      <c r="C1" s="41"/>
      <c r="D1" s="41"/>
      <c r="E1" s="41"/>
      <c r="F1" s="41"/>
      <c r="G1" s="41"/>
      <c r="H1" s="41"/>
      <c r="I1" s="41"/>
      <c r="J1" s="41"/>
      <c r="K1" s="42"/>
    </row>
    <row r="2" spans="1:11" s="2" customFormat="1" ht="62.1" customHeight="1" thickBot="1" x14ac:dyDescent="0.25">
      <c r="A2" s="43"/>
      <c r="B2" s="44"/>
      <c r="C2" s="44"/>
      <c r="D2" s="44"/>
      <c r="E2" s="44"/>
      <c r="F2" s="44"/>
      <c r="G2" s="44"/>
      <c r="H2" s="44"/>
      <c r="I2" s="44"/>
      <c r="J2" s="44"/>
      <c r="K2" s="45"/>
    </row>
    <row r="3" spans="1:11" s="1" customFormat="1" ht="12.75" customHeight="1" x14ac:dyDescent="0.2">
      <c r="A3" s="46" t="s">
        <v>0</v>
      </c>
      <c r="B3" s="48" t="s">
        <v>6</v>
      </c>
      <c r="C3" s="48" t="s">
        <v>10</v>
      </c>
      <c r="D3" s="50" t="s">
        <v>485</v>
      </c>
      <c r="E3" s="50" t="s">
        <v>4</v>
      </c>
      <c r="F3" s="50" t="s">
        <v>7</v>
      </c>
      <c r="G3" s="50" t="s">
        <v>486</v>
      </c>
      <c r="H3" s="50"/>
      <c r="I3" s="50" t="s">
        <v>452</v>
      </c>
      <c r="J3" s="50" t="s">
        <v>3</v>
      </c>
      <c r="K3" s="51" t="s">
        <v>2</v>
      </c>
    </row>
    <row r="4" spans="1:11" s="1" customFormat="1" ht="21" customHeight="1" thickBot="1" x14ac:dyDescent="0.25">
      <c r="A4" s="47"/>
      <c r="B4" s="49"/>
      <c r="C4" s="49"/>
      <c r="D4" s="49"/>
      <c r="E4" s="49"/>
      <c r="F4" s="49"/>
      <c r="G4" s="6" t="s">
        <v>8</v>
      </c>
      <c r="H4" s="6" t="s">
        <v>9</v>
      </c>
      <c r="I4" s="49"/>
      <c r="J4" s="49"/>
      <c r="K4" s="52"/>
    </row>
    <row r="5" spans="1:11" ht="15" x14ac:dyDescent="0.2">
      <c r="A5" s="53" t="s">
        <v>487</v>
      </c>
      <c r="B5" s="54"/>
      <c r="C5" s="54"/>
      <c r="D5" s="54"/>
      <c r="E5" s="54"/>
      <c r="F5" s="54"/>
      <c r="G5" s="54"/>
      <c r="H5" s="54"/>
    </row>
    <row r="6" spans="1:11" x14ac:dyDescent="0.2">
      <c r="A6" s="7" t="s">
        <v>445</v>
      </c>
      <c r="B6" s="7" t="s">
        <v>446</v>
      </c>
      <c r="C6" s="7" t="s">
        <v>447</v>
      </c>
      <c r="D6" s="7" t="str">
        <f>"1,0000"</f>
        <v>1,0000</v>
      </c>
      <c r="E6" s="7" t="s">
        <v>198</v>
      </c>
      <c r="F6" s="7" t="s">
        <v>234</v>
      </c>
      <c r="G6" s="8" t="s">
        <v>25</v>
      </c>
      <c r="H6" s="8" t="s">
        <v>520</v>
      </c>
      <c r="I6" s="21" t="str">
        <f>"3600,0"</f>
        <v>3600,0</v>
      </c>
      <c r="J6" s="22" t="str">
        <f>"45,0000"</f>
        <v>45,0000</v>
      </c>
      <c r="K6" s="7" t="s">
        <v>96</v>
      </c>
    </row>
    <row r="8" spans="1:11" ht="15" x14ac:dyDescent="0.2">
      <c r="E8" s="19" t="s">
        <v>104</v>
      </c>
      <c r="F8" s="37" t="s">
        <v>565</v>
      </c>
    </row>
    <row r="9" spans="1:11" ht="15" x14ac:dyDescent="0.2">
      <c r="E9" s="19" t="s">
        <v>105</v>
      </c>
      <c r="F9" s="37" t="s">
        <v>566</v>
      </c>
    </row>
    <row r="10" spans="1:11" ht="15" x14ac:dyDescent="0.2">
      <c r="E10" s="19" t="s">
        <v>106</v>
      </c>
      <c r="F10" s="37" t="s">
        <v>567</v>
      </c>
    </row>
    <row r="11" spans="1:11" ht="15" x14ac:dyDescent="0.2">
      <c r="E11" s="19" t="s">
        <v>107</v>
      </c>
      <c r="F11" s="37" t="s">
        <v>568</v>
      </c>
    </row>
    <row r="12" spans="1:11" ht="15" x14ac:dyDescent="0.2">
      <c r="E12" s="19" t="s">
        <v>107</v>
      </c>
      <c r="F12" s="37" t="s">
        <v>569</v>
      </c>
    </row>
    <row r="13" spans="1:11" ht="15" x14ac:dyDescent="0.2">
      <c r="E13" s="19"/>
    </row>
    <row r="14" spans="1:11" ht="15" x14ac:dyDescent="0.2">
      <c r="E14" s="19"/>
    </row>
    <row r="16" spans="1:11" ht="18" x14ac:dyDescent="0.25">
      <c r="A16" s="29" t="s">
        <v>108</v>
      </c>
      <c r="B16" s="29"/>
    </row>
    <row r="17" spans="1:5" ht="15" x14ac:dyDescent="0.2">
      <c r="A17" s="30" t="s">
        <v>123</v>
      </c>
      <c r="B17" s="30"/>
    </row>
    <row r="18" spans="1:5" ht="14.25" x14ac:dyDescent="0.2">
      <c r="A18" s="32"/>
      <c r="B18" s="33" t="s">
        <v>135</v>
      </c>
    </row>
    <row r="19" spans="1:5" ht="15" x14ac:dyDescent="0.2">
      <c r="A19" s="34" t="s">
        <v>111</v>
      </c>
      <c r="B19" s="34" t="s">
        <v>112</v>
      </c>
      <c r="C19" s="34" t="s">
        <v>113</v>
      </c>
      <c r="D19" s="34" t="s">
        <v>160</v>
      </c>
      <c r="E19" s="34" t="s">
        <v>507</v>
      </c>
    </row>
    <row r="20" spans="1:5" x14ac:dyDescent="0.2">
      <c r="A20" s="31" t="s">
        <v>444</v>
      </c>
      <c r="B20" s="4" t="s">
        <v>135</v>
      </c>
      <c r="C20" s="4" t="s">
        <v>508</v>
      </c>
      <c r="D20" s="4" t="s">
        <v>521</v>
      </c>
      <c r="E20" s="20" t="s">
        <v>522</v>
      </c>
    </row>
  </sheetData>
  <mergeCells count="12">
    <mergeCell ref="A5:H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workbookViewId="0">
      <selection activeCell="E19" sqref="E19"/>
    </sheetView>
  </sheetViews>
  <sheetFormatPr defaultColWidth="9.140625"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1.28515625" style="4" bestFit="1" customWidth="1"/>
    <col min="7" max="7" width="5" style="3" customWidth="1"/>
    <col min="8" max="8" width="10.42578125" style="3" customWidth="1"/>
    <col min="9" max="9" width="7.85546875" style="20" bestFit="1" customWidth="1"/>
    <col min="10" max="10" width="7.5703125" style="2" bestFit="1" customWidth="1"/>
    <col min="11" max="11" width="28" style="4" bestFit="1" customWidth="1"/>
    <col min="12" max="16384" width="9.140625" style="3"/>
  </cols>
  <sheetData>
    <row r="1" spans="1:11" s="2" customFormat="1" ht="29.1" customHeight="1" x14ac:dyDescent="0.2">
      <c r="A1" s="40" t="s">
        <v>484</v>
      </c>
      <c r="B1" s="41"/>
      <c r="C1" s="41"/>
      <c r="D1" s="41"/>
      <c r="E1" s="41"/>
      <c r="F1" s="41"/>
      <c r="G1" s="41"/>
      <c r="H1" s="41"/>
      <c r="I1" s="41"/>
      <c r="J1" s="41"/>
      <c r="K1" s="42"/>
    </row>
    <row r="2" spans="1:11" s="2" customFormat="1" ht="62.1" customHeight="1" thickBot="1" x14ac:dyDescent="0.25">
      <c r="A2" s="43"/>
      <c r="B2" s="44"/>
      <c r="C2" s="44"/>
      <c r="D2" s="44"/>
      <c r="E2" s="44"/>
      <c r="F2" s="44"/>
      <c r="G2" s="44"/>
      <c r="H2" s="44"/>
      <c r="I2" s="44"/>
      <c r="J2" s="44"/>
      <c r="K2" s="45"/>
    </row>
    <row r="3" spans="1:11" s="1" customFormat="1" ht="12.75" customHeight="1" x14ac:dyDescent="0.2">
      <c r="A3" s="46" t="s">
        <v>0</v>
      </c>
      <c r="B3" s="48" t="s">
        <v>6</v>
      </c>
      <c r="C3" s="48" t="s">
        <v>10</v>
      </c>
      <c r="D3" s="50" t="s">
        <v>485</v>
      </c>
      <c r="E3" s="50" t="s">
        <v>4</v>
      </c>
      <c r="F3" s="50" t="s">
        <v>7</v>
      </c>
      <c r="G3" s="50" t="s">
        <v>486</v>
      </c>
      <c r="H3" s="50"/>
      <c r="I3" s="50" t="s">
        <v>452</v>
      </c>
      <c r="J3" s="50" t="s">
        <v>3</v>
      </c>
      <c r="K3" s="51" t="s">
        <v>2</v>
      </c>
    </row>
    <row r="4" spans="1:11" s="1" customFormat="1" ht="21" customHeight="1" thickBot="1" x14ac:dyDescent="0.25">
      <c r="A4" s="47"/>
      <c r="B4" s="49"/>
      <c r="C4" s="49"/>
      <c r="D4" s="49"/>
      <c r="E4" s="49"/>
      <c r="F4" s="49"/>
      <c r="G4" s="6" t="s">
        <v>8</v>
      </c>
      <c r="H4" s="6" t="s">
        <v>9</v>
      </c>
      <c r="I4" s="49"/>
      <c r="J4" s="49"/>
      <c r="K4" s="52"/>
    </row>
    <row r="5" spans="1:11" ht="15" x14ac:dyDescent="0.2">
      <c r="A5" s="53" t="s">
        <v>487</v>
      </c>
      <c r="B5" s="54"/>
      <c r="C5" s="54"/>
      <c r="D5" s="54"/>
      <c r="E5" s="54"/>
      <c r="F5" s="54"/>
      <c r="G5" s="54"/>
      <c r="H5" s="54"/>
    </row>
    <row r="6" spans="1:11" x14ac:dyDescent="0.2">
      <c r="A6" s="10" t="s">
        <v>386</v>
      </c>
      <c r="B6" s="10" t="s">
        <v>387</v>
      </c>
      <c r="C6" s="10" t="s">
        <v>388</v>
      </c>
      <c r="D6" s="10" t="str">
        <f t="shared" ref="D6:D12" si="0">"1,0000"</f>
        <v>1,0000</v>
      </c>
      <c r="E6" s="10" t="s">
        <v>370</v>
      </c>
      <c r="F6" s="10" t="s">
        <v>80</v>
      </c>
      <c r="G6" s="11" t="s">
        <v>43</v>
      </c>
      <c r="H6" s="11" t="s">
        <v>488</v>
      </c>
      <c r="I6" s="23" t="str">
        <f>"1705,0"</f>
        <v>1705,0</v>
      </c>
      <c r="J6" s="24" t="str">
        <f>"20,6917"</f>
        <v>20,6917</v>
      </c>
      <c r="K6" s="10" t="s">
        <v>374</v>
      </c>
    </row>
    <row r="7" spans="1:11" x14ac:dyDescent="0.2">
      <c r="A7" s="13" t="s">
        <v>490</v>
      </c>
      <c r="B7" s="13" t="s">
        <v>491</v>
      </c>
      <c r="C7" s="13" t="s">
        <v>492</v>
      </c>
      <c r="D7" s="13" t="str">
        <f t="shared" si="0"/>
        <v>1,0000</v>
      </c>
      <c r="E7" s="13" t="s">
        <v>370</v>
      </c>
      <c r="F7" s="13" t="s">
        <v>80</v>
      </c>
      <c r="G7" s="14" t="s">
        <v>43</v>
      </c>
      <c r="H7" s="14" t="s">
        <v>493</v>
      </c>
      <c r="I7" s="25" t="str">
        <f>"1320,0"</f>
        <v>1320,0</v>
      </c>
      <c r="J7" s="26" t="str">
        <f>"14,4183"</f>
        <v>14,4183</v>
      </c>
      <c r="K7" s="13" t="s">
        <v>374</v>
      </c>
    </row>
    <row r="8" spans="1:11" x14ac:dyDescent="0.2">
      <c r="A8" s="13" t="s">
        <v>407</v>
      </c>
      <c r="B8" s="13" t="s">
        <v>408</v>
      </c>
      <c r="C8" s="13" t="s">
        <v>409</v>
      </c>
      <c r="D8" s="13" t="str">
        <f t="shared" si="0"/>
        <v>1,0000</v>
      </c>
      <c r="E8" s="13" t="s">
        <v>370</v>
      </c>
      <c r="F8" s="13" t="s">
        <v>80</v>
      </c>
      <c r="G8" s="14" t="s">
        <v>43</v>
      </c>
      <c r="H8" s="14" t="s">
        <v>494</v>
      </c>
      <c r="I8" s="25" t="str">
        <f>"3410,0"</f>
        <v>3410,0</v>
      </c>
      <c r="J8" s="26" t="str">
        <f>"37,0652"</f>
        <v>37,0652</v>
      </c>
      <c r="K8" s="13" t="s">
        <v>96</v>
      </c>
    </row>
    <row r="9" spans="1:11" x14ac:dyDescent="0.2">
      <c r="A9" s="13" t="s">
        <v>495</v>
      </c>
      <c r="B9" s="13" t="s">
        <v>383</v>
      </c>
      <c r="C9" s="13" t="s">
        <v>384</v>
      </c>
      <c r="D9" s="13" t="str">
        <f t="shared" si="0"/>
        <v>1,0000</v>
      </c>
      <c r="E9" s="13" t="s">
        <v>370</v>
      </c>
      <c r="F9" s="13" t="s">
        <v>80</v>
      </c>
      <c r="G9" s="14" t="s">
        <v>43</v>
      </c>
      <c r="H9" s="14" t="s">
        <v>488</v>
      </c>
      <c r="I9" s="25" t="str">
        <f>"1705,0"</f>
        <v>1705,0</v>
      </c>
      <c r="J9" s="26" t="str">
        <f>"22,8859"</f>
        <v>22,8859</v>
      </c>
      <c r="K9" s="13" t="s">
        <v>374</v>
      </c>
    </row>
    <row r="10" spans="1:11" x14ac:dyDescent="0.2">
      <c r="A10" s="13" t="s">
        <v>497</v>
      </c>
      <c r="B10" s="13" t="s">
        <v>498</v>
      </c>
      <c r="C10" s="13" t="s">
        <v>499</v>
      </c>
      <c r="D10" s="13" t="str">
        <f t="shared" si="0"/>
        <v>1,0000</v>
      </c>
      <c r="E10" s="13" t="s">
        <v>370</v>
      </c>
      <c r="F10" s="13" t="s">
        <v>80</v>
      </c>
      <c r="G10" s="14" t="s">
        <v>43</v>
      </c>
      <c r="H10" s="14" t="s">
        <v>488</v>
      </c>
      <c r="I10" s="25" t="str">
        <f>"1705,0"</f>
        <v>1705,0</v>
      </c>
      <c r="J10" s="26" t="str">
        <f>"18,2255"</f>
        <v>18,2255</v>
      </c>
      <c r="K10" s="13" t="s">
        <v>374</v>
      </c>
    </row>
    <row r="11" spans="1:11" x14ac:dyDescent="0.2">
      <c r="A11" s="13" t="s">
        <v>500</v>
      </c>
      <c r="B11" s="13" t="s">
        <v>501</v>
      </c>
      <c r="C11" s="13" t="s">
        <v>492</v>
      </c>
      <c r="D11" s="13" t="str">
        <f t="shared" si="0"/>
        <v>1,0000</v>
      </c>
      <c r="E11" s="13" t="s">
        <v>370</v>
      </c>
      <c r="F11" s="13" t="s">
        <v>80</v>
      </c>
      <c r="G11" s="14" t="s">
        <v>43</v>
      </c>
      <c r="H11" s="14" t="s">
        <v>493</v>
      </c>
      <c r="I11" s="25" t="str">
        <f>"1320,0"</f>
        <v>1320,0</v>
      </c>
      <c r="J11" s="26" t="str">
        <f>"14,4183"</f>
        <v>14,4183</v>
      </c>
      <c r="K11" s="13" t="s">
        <v>374</v>
      </c>
    </row>
    <row r="12" spans="1:11" x14ac:dyDescent="0.2">
      <c r="A12" s="16" t="s">
        <v>503</v>
      </c>
      <c r="B12" s="16" t="s">
        <v>504</v>
      </c>
      <c r="C12" s="16" t="s">
        <v>505</v>
      </c>
      <c r="D12" s="16" t="str">
        <f t="shared" si="0"/>
        <v>1,0000</v>
      </c>
      <c r="E12" s="16" t="s">
        <v>79</v>
      </c>
      <c r="F12" s="16" t="s">
        <v>80</v>
      </c>
      <c r="G12" s="17" t="s">
        <v>43</v>
      </c>
      <c r="H12" s="17" t="s">
        <v>506</v>
      </c>
      <c r="I12" s="27" t="str">
        <f>"3465,0"</f>
        <v>3465,0</v>
      </c>
      <c r="J12" s="28" t="str">
        <f>"35,5749"</f>
        <v>35,5749</v>
      </c>
      <c r="K12" s="16" t="s">
        <v>88</v>
      </c>
    </row>
    <row r="14" spans="1:11" ht="15" x14ac:dyDescent="0.2">
      <c r="E14" s="19" t="s">
        <v>104</v>
      </c>
      <c r="F14" s="37" t="s">
        <v>565</v>
      </c>
    </row>
    <row r="15" spans="1:11" ht="15" x14ac:dyDescent="0.2">
      <c r="E15" s="19" t="s">
        <v>105</v>
      </c>
      <c r="F15" s="37" t="s">
        <v>566</v>
      </c>
    </row>
    <row r="16" spans="1:11" ht="15" x14ac:dyDescent="0.2">
      <c r="E16" s="19" t="s">
        <v>106</v>
      </c>
      <c r="F16" s="37" t="s">
        <v>567</v>
      </c>
    </row>
    <row r="17" spans="1:6" ht="15" x14ac:dyDescent="0.2">
      <c r="E17" s="19" t="s">
        <v>107</v>
      </c>
      <c r="F17" s="37" t="s">
        <v>568</v>
      </c>
    </row>
    <row r="18" spans="1:6" ht="15" x14ac:dyDescent="0.2">
      <c r="E18" s="19" t="s">
        <v>107</v>
      </c>
      <c r="F18" s="37" t="s">
        <v>569</v>
      </c>
    </row>
    <row r="19" spans="1:6" ht="15" x14ac:dyDescent="0.2">
      <c r="E19" s="19"/>
    </row>
    <row r="20" spans="1:6" ht="15" x14ac:dyDescent="0.2">
      <c r="E20" s="19"/>
    </row>
    <row r="22" spans="1:6" ht="18" x14ac:dyDescent="0.25">
      <c r="A22" s="29" t="s">
        <v>108</v>
      </c>
      <c r="B22" s="29"/>
    </row>
    <row r="23" spans="1:6" ht="15" x14ac:dyDescent="0.2">
      <c r="A23" s="30" t="s">
        <v>123</v>
      </c>
      <c r="B23" s="30"/>
    </row>
    <row r="24" spans="1:6" ht="14.25" x14ac:dyDescent="0.2">
      <c r="A24" s="32"/>
      <c r="B24" s="33" t="s">
        <v>124</v>
      </c>
    </row>
    <row r="25" spans="1:6" ht="15" x14ac:dyDescent="0.2">
      <c r="A25" s="34" t="s">
        <v>111</v>
      </c>
      <c r="B25" s="34" t="s">
        <v>112</v>
      </c>
      <c r="C25" s="34" t="s">
        <v>113</v>
      </c>
      <c r="D25" s="34" t="s">
        <v>160</v>
      </c>
      <c r="E25" s="34" t="s">
        <v>507</v>
      </c>
    </row>
    <row r="26" spans="1:6" x14ac:dyDescent="0.2">
      <c r="A26" s="31" t="s">
        <v>385</v>
      </c>
      <c r="B26" s="4" t="s">
        <v>125</v>
      </c>
      <c r="C26" s="4" t="s">
        <v>508</v>
      </c>
      <c r="D26" s="4" t="s">
        <v>509</v>
      </c>
      <c r="E26" s="20" t="s">
        <v>510</v>
      </c>
    </row>
    <row r="28" spans="1:6" ht="14.25" x14ac:dyDescent="0.2">
      <c r="A28" s="32"/>
      <c r="B28" s="33" t="s">
        <v>131</v>
      </c>
    </row>
    <row r="29" spans="1:6" ht="15" x14ac:dyDescent="0.2">
      <c r="A29" s="34" t="s">
        <v>111</v>
      </c>
      <c r="B29" s="34" t="s">
        <v>112</v>
      </c>
      <c r="C29" s="34" t="s">
        <v>113</v>
      </c>
      <c r="D29" s="34" t="s">
        <v>160</v>
      </c>
      <c r="E29" s="34" t="s">
        <v>507</v>
      </c>
    </row>
    <row r="30" spans="1:6" x14ac:dyDescent="0.2">
      <c r="A30" s="31" t="s">
        <v>489</v>
      </c>
      <c r="B30" s="4" t="s">
        <v>116</v>
      </c>
      <c r="C30" s="4" t="s">
        <v>508</v>
      </c>
      <c r="D30" s="4" t="s">
        <v>511</v>
      </c>
      <c r="E30" s="20" t="s">
        <v>512</v>
      </c>
    </row>
    <row r="32" spans="1:6" ht="14.25" x14ac:dyDescent="0.2">
      <c r="A32" s="32"/>
      <c r="B32" s="33" t="s">
        <v>135</v>
      </c>
    </row>
    <row r="33" spans="1:5" ht="15" x14ac:dyDescent="0.2">
      <c r="A33" s="34" t="s">
        <v>111</v>
      </c>
      <c r="B33" s="34" t="s">
        <v>112</v>
      </c>
      <c r="C33" s="34" t="s">
        <v>113</v>
      </c>
      <c r="D33" s="34" t="s">
        <v>160</v>
      </c>
      <c r="E33" s="34" t="s">
        <v>507</v>
      </c>
    </row>
    <row r="34" spans="1:5" x14ac:dyDescent="0.2">
      <c r="A34" s="31" t="s">
        <v>406</v>
      </c>
      <c r="B34" s="4" t="s">
        <v>135</v>
      </c>
      <c r="C34" s="4" t="s">
        <v>508</v>
      </c>
      <c r="D34" s="4" t="s">
        <v>513</v>
      </c>
      <c r="E34" s="20" t="s">
        <v>514</v>
      </c>
    </row>
    <row r="35" spans="1:5" x14ac:dyDescent="0.2">
      <c r="A35" s="31" t="s">
        <v>381</v>
      </c>
      <c r="B35" s="4" t="s">
        <v>135</v>
      </c>
      <c r="C35" s="4" t="s">
        <v>508</v>
      </c>
      <c r="D35" s="4" t="s">
        <v>509</v>
      </c>
      <c r="E35" s="20" t="s">
        <v>515</v>
      </c>
    </row>
    <row r="36" spans="1:5" x14ac:dyDescent="0.2">
      <c r="A36" s="31" t="s">
        <v>496</v>
      </c>
      <c r="B36" s="4" t="s">
        <v>135</v>
      </c>
      <c r="C36" s="4" t="s">
        <v>508</v>
      </c>
      <c r="D36" s="4" t="s">
        <v>509</v>
      </c>
      <c r="E36" s="20" t="s">
        <v>516</v>
      </c>
    </row>
    <row r="37" spans="1:5" x14ac:dyDescent="0.2">
      <c r="A37" s="31" t="s">
        <v>489</v>
      </c>
      <c r="B37" s="4" t="s">
        <v>135</v>
      </c>
      <c r="C37" s="4" t="s">
        <v>508</v>
      </c>
      <c r="D37" s="4" t="s">
        <v>511</v>
      </c>
      <c r="E37" s="20" t="s">
        <v>512</v>
      </c>
    </row>
    <row r="39" spans="1:5" ht="14.25" x14ac:dyDescent="0.2">
      <c r="A39" s="32"/>
      <c r="B39" s="33" t="s">
        <v>225</v>
      </c>
    </row>
    <row r="40" spans="1:5" ht="15" x14ac:dyDescent="0.2">
      <c r="A40" s="34" t="s">
        <v>111</v>
      </c>
      <c r="B40" s="34" t="s">
        <v>112</v>
      </c>
      <c r="C40" s="34" t="s">
        <v>113</v>
      </c>
      <c r="D40" s="34" t="s">
        <v>160</v>
      </c>
      <c r="E40" s="34" t="s">
        <v>507</v>
      </c>
    </row>
    <row r="41" spans="1:5" x14ac:dyDescent="0.2">
      <c r="A41" s="31" t="s">
        <v>502</v>
      </c>
      <c r="B41" s="4" t="s">
        <v>289</v>
      </c>
      <c r="C41" s="4" t="s">
        <v>508</v>
      </c>
      <c r="D41" s="4" t="s">
        <v>517</v>
      </c>
      <c r="E41" s="20" t="s">
        <v>518</v>
      </c>
    </row>
  </sheetData>
  <mergeCells count="12">
    <mergeCell ref="A5:H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workbookViewId="0">
      <selection activeCell="E19" sqref="E19"/>
    </sheetView>
  </sheetViews>
  <sheetFormatPr defaultRowHeight="12.75" x14ac:dyDescent="0.2"/>
  <cols>
    <col min="1" max="1" width="27.42578125" customWidth="1"/>
    <col min="2" max="2" width="31.5703125" customWidth="1"/>
    <col min="3" max="3" width="11" customWidth="1"/>
    <col min="5" max="5" width="25.85546875" customWidth="1"/>
    <col min="6" max="6" width="30.7109375" customWidth="1"/>
  </cols>
  <sheetData>
    <row r="1" spans="1:11" ht="95.25" customHeight="1" x14ac:dyDescent="0.2">
      <c r="A1" s="40" t="s">
        <v>564</v>
      </c>
      <c r="B1" s="41"/>
      <c r="C1" s="41"/>
      <c r="D1" s="41"/>
      <c r="E1" s="41"/>
      <c r="F1" s="41"/>
      <c r="G1" s="41"/>
      <c r="H1" s="41"/>
      <c r="I1" s="41"/>
      <c r="J1" s="41"/>
      <c r="K1" s="42"/>
    </row>
    <row r="2" spans="1:11" ht="13.5" thickBot="1" x14ac:dyDescent="0.25">
      <c r="A2" s="43"/>
      <c r="B2" s="44"/>
      <c r="C2" s="44"/>
      <c r="D2" s="44"/>
      <c r="E2" s="44"/>
      <c r="F2" s="44"/>
      <c r="G2" s="44"/>
      <c r="H2" s="44"/>
      <c r="I2" s="44"/>
      <c r="J2" s="44"/>
      <c r="K2" s="45"/>
    </row>
    <row r="3" spans="1:11" ht="15" x14ac:dyDescent="0.2">
      <c r="A3" s="46" t="s">
        <v>0</v>
      </c>
      <c r="B3" s="48" t="s">
        <v>6</v>
      </c>
      <c r="C3" s="48" t="s">
        <v>10</v>
      </c>
      <c r="D3" s="50"/>
      <c r="E3" s="50" t="s">
        <v>4</v>
      </c>
      <c r="F3" s="50" t="s">
        <v>7</v>
      </c>
      <c r="G3" s="50"/>
      <c r="H3" s="50"/>
      <c r="I3" s="50" t="s">
        <v>452</v>
      </c>
      <c r="J3" s="50" t="s">
        <v>3</v>
      </c>
      <c r="K3" s="51" t="s">
        <v>2</v>
      </c>
    </row>
    <row r="4" spans="1:11" ht="15.75" thickBot="1" x14ac:dyDescent="0.25">
      <c r="A4" s="47"/>
      <c r="B4" s="49"/>
      <c r="C4" s="49"/>
      <c r="D4" s="49"/>
      <c r="E4" s="49"/>
      <c r="F4" s="49"/>
      <c r="G4" s="6" t="s">
        <v>8</v>
      </c>
      <c r="H4" s="6" t="s">
        <v>9</v>
      </c>
      <c r="I4" s="49"/>
      <c r="J4" s="49"/>
      <c r="K4" s="52"/>
    </row>
    <row r="5" spans="1:11" ht="15" x14ac:dyDescent="0.2">
      <c r="A5" s="53" t="s">
        <v>229</v>
      </c>
      <c r="B5" s="54"/>
      <c r="C5" s="54"/>
      <c r="D5" s="54"/>
      <c r="E5" s="54"/>
      <c r="F5" s="54"/>
      <c r="G5" s="54"/>
      <c r="H5" s="54"/>
      <c r="I5" s="20"/>
      <c r="J5" s="2"/>
      <c r="K5" s="4"/>
    </row>
    <row r="6" spans="1:11" x14ac:dyDescent="0.2">
      <c r="A6" s="35" t="s">
        <v>367</v>
      </c>
      <c r="B6" s="35" t="s">
        <v>540</v>
      </c>
      <c r="C6" s="35" t="s">
        <v>541</v>
      </c>
      <c r="D6" s="7" t="str">
        <f>"1,0000"</f>
        <v>1,0000</v>
      </c>
      <c r="E6" s="35" t="s">
        <v>534</v>
      </c>
      <c r="F6" s="35" t="s">
        <v>535</v>
      </c>
      <c r="G6" s="36" t="s">
        <v>372</v>
      </c>
      <c r="H6" s="36" t="s">
        <v>542</v>
      </c>
      <c r="I6" s="22" t="s">
        <v>543</v>
      </c>
      <c r="J6" s="22" t="s">
        <v>544</v>
      </c>
      <c r="K6" s="8" t="s">
        <v>96</v>
      </c>
    </row>
    <row r="7" spans="1:11" x14ac:dyDescent="0.2">
      <c r="A7" s="37"/>
      <c r="B7" s="37"/>
      <c r="C7" s="37"/>
      <c r="D7" s="4"/>
      <c r="E7" s="37"/>
      <c r="F7" s="37"/>
      <c r="G7" s="5"/>
      <c r="H7" s="3"/>
      <c r="I7" s="20"/>
      <c r="J7" s="2"/>
      <c r="K7" s="4"/>
    </row>
    <row r="8" spans="1:11" ht="15" x14ac:dyDescent="0.2">
      <c r="A8" s="55" t="s">
        <v>545</v>
      </c>
      <c r="B8" s="55"/>
      <c r="C8" s="55"/>
      <c r="D8" s="55"/>
      <c r="E8" s="55"/>
      <c r="F8" s="55"/>
      <c r="G8" s="55"/>
      <c r="H8" s="38"/>
      <c r="I8" s="20"/>
      <c r="J8" s="2"/>
      <c r="K8" s="4"/>
    </row>
    <row r="9" spans="1:11" x14ac:dyDescent="0.2">
      <c r="A9" s="35" t="s">
        <v>546</v>
      </c>
      <c r="B9" s="35" t="s">
        <v>547</v>
      </c>
      <c r="C9" s="35" t="s">
        <v>548</v>
      </c>
      <c r="D9" s="7" t="str">
        <f>"1,0000"</f>
        <v>1,0000</v>
      </c>
      <c r="E9" s="35" t="s">
        <v>549</v>
      </c>
      <c r="F9" s="35" t="s">
        <v>535</v>
      </c>
      <c r="G9" s="36" t="s">
        <v>372</v>
      </c>
      <c r="H9" s="36" t="s">
        <v>550</v>
      </c>
      <c r="I9" s="22" t="s">
        <v>551</v>
      </c>
      <c r="J9" s="22" t="s">
        <v>552</v>
      </c>
      <c r="K9" s="7" t="s">
        <v>96</v>
      </c>
    </row>
    <row r="10" spans="1:11" ht="13.5" thickBot="1" x14ac:dyDescent="0.25">
      <c r="A10" s="4"/>
      <c r="B10" s="4"/>
      <c r="C10" s="4"/>
      <c r="D10" s="4"/>
      <c r="E10" s="4"/>
      <c r="F10" s="4"/>
      <c r="G10" s="3"/>
      <c r="H10" s="3"/>
      <c r="I10" s="2"/>
      <c r="J10" s="2"/>
      <c r="K10" s="4"/>
    </row>
    <row r="11" spans="1:11" ht="15" x14ac:dyDescent="0.2">
      <c r="A11" s="56" t="s">
        <v>16</v>
      </c>
      <c r="B11" s="56"/>
      <c r="C11" s="56"/>
      <c r="D11" s="56"/>
      <c r="E11" s="56"/>
      <c r="F11" s="56"/>
      <c r="G11" s="56"/>
      <c r="H11" s="56"/>
      <c r="I11" s="2"/>
      <c r="J11" s="2"/>
      <c r="K11" s="4"/>
    </row>
    <row r="12" spans="1:11" x14ac:dyDescent="0.2">
      <c r="A12" s="35" t="s">
        <v>553</v>
      </c>
      <c r="B12" s="35" t="s">
        <v>554</v>
      </c>
      <c r="C12" s="35" t="s">
        <v>555</v>
      </c>
      <c r="D12" s="7" t="str">
        <f>"1,0000"</f>
        <v>1,0000</v>
      </c>
      <c r="E12" s="35" t="s">
        <v>534</v>
      </c>
      <c r="F12" s="35" t="s">
        <v>535</v>
      </c>
      <c r="G12" s="36" t="s">
        <v>372</v>
      </c>
      <c r="H12" s="36" t="s">
        <v>556</v>
      </c>
      <c r="I12" s="22" t="s">
        <v>557</v>
      </c>
      <c r="J12" s="22" t="s">
        <v>558</v>
      </c>
      <c r="K12" s="7" t="s">
        <v>96</v>
      </c>
    </row>
    <row r="14" spans="1:11" ht="15" x14ac:dyDescent="0.2">
      <c r="A14" s="4"/>
      <c r="B14" s="4"/>
      <c r="C14" s="4"/>
      <c r="D14" s="4"/>
      <c r="E14" s="19" t="s">
        <v>104</v>
      </c>
      <c r="F14" s="37" t="s">
        <v>565</v>
      </c>
    </row>
    <row r="15" spans="1:11" ht="15" x14ac:dyDescent="0.2">
      <c r="A15" s="4"/>
      <c r="B15" s="4"/>
      <c r="C15" s="4"/>
      <c r="D15" s="4"/>
      <c r="E15" s="19" t="s">
        <v>105</v>
      </c>
      <c r="F15" s="37" t="s">
        <v>566</v>
      </c>
    </row>
    <row r="16" spans="1:11" ht="15" x14ac:dyDescent="0.2">
      <c r="A16" s="4"/>
      <c r="B16" s="4"/>
      <c r="C16" s="4"/>
      <c r="D16" s="4"/>
      <c r="E16" s="19" t="s">
        <v>106</v>
      </c>
      <c r="F16" s="37" t="s">
        <v>567</v>
      </c>
    </row>
    <row r="17" spans="1:6" ht="15" x14ac:dyDescent="0.2">
      <c r="A17" s="4"/>
      <c r="B17" s="4"/>
      <c r="C17" s="4"/>
      <c r="D17" s="4"/>
      <c r="E17" s="19" t="s">
        <v>107</v>
      </c>
      <c r="F17" s="37" t="s">
        <v>568</v>
      </c>
    </row>
    <row r="18" spans="1:6" ht="15" x14ac:dyDescent="0.2">
      <c r="A18" s="4"/>
      <c r="B18" s="4"/>
      <c r="C18" s="4"/>
      <c r="D18" s="4"/>
      <c r="E18" s="19" t="s">
        <v>107</v>
      </c>
      <c r="F18" s="37" t="s">
        <v>569</v>
      </c>
    </row>
    <row r="19" spans="1:6" ht="15" x14ac:dyDescent="0.2">
      <c r="A19" s="4"/>
      <c r="B19" s="4"/>
      <c r="C19" s="4"/>
      <c r="D19" s="4"/>
      <c r="E19" s="19"/>
    </row>
    <row r="20" spans="1:6" ht="15" x14ac:dyDescent="0.2">
      <c r="A20" s="4"/>
      <c r="B20" s="4"/>
      <c r="C20" s="4"/>
      <c r="D20" s="4"/>
      <c r="E20" s="19"/>
    </row>
    <row r="21" spans="1:6" x14ac:dyDescent="0.2">
      <c r="A21" s="4"/>
      <c r="B21" s="4"/>
      <c r="C21" s="4"/>
      <c r="D21" s="4"/>
      <c r="E21" s="4"/>
    </row>
    <row r="22" spans="1:6" ht="18" x14ac:dyDescent="0.25">
      <c r="A22" s="29" t="s">
        <v>108</v>
      </c>
      <c r="B22" s="29"/>
      <c r="C22" s="4"/>
      <c r="D22" s="4"/>
      <c r="E22" s="4"/>
    </row>
    <row r="23" spans="1:6" ht="15" x14ac:dyDescent="0.2">
      <c r="A23" s="19" t="s">
        <v>559</v>
      </c>
      <c r="B23" s="33" t="s">
        <v>560</v>
      </c>
      <c r="C23" s="4"/>
      <c r="D23" s="4"/>
      <c r="E23" s="4"/>
    </row>
    <row r="24" spans="1:6" ht="15" x14ac:dyDescent="0.2">
      <c r="A24" s="34" t="s">
        <v>111</v>
      </c>
      <c r="B24" s="34" t="s">
        <v>112</v>
      </c>
      <c r="C24" s="34" t="s">
        <v>113</v>
      </c>
      <c r="D24" s="34" t="s">
        <v>160</v>
      </c>
      <c r="E24" s="34" t="s">
        <v>507</v>
      </c>
    </row>
    <row r="25" spans="1:6" ht="14.25" x14ac:dyDescent="0.2">
      <c r="A25" s="35" t="s">
        <v>367</v>
      </c>
      <c r="B25" s="39" t="s">
        <v>561</v>
      </c>
      <c r="C25" s="35" t="s">
        <v>248</v>
      </c>
      <c r="D25" s="35" t="s">
        <v>542</v>
      </c>
      <c r="E25" s="22" t="s">
        <v>544</v>
      </c>
    </row>
    <row r="26" spans="1:6" ht="15" x14ac:dyDescent="0.2">
      <c r="A26" s="30"/>
      <c r="B26" s="30"/>
      <c r="C26" s="4"/>
      <c r="D26" s="4"/>
      <c r="E26" s="4"/>
    </row>
    <row r="27" spans="1:6" ht="15" x14ac:dyDescent="0.2">
      <c r="A27" s="30" t="s">
        <v>123</v>
      </c>
      <c r="B27" s="30"/>
      <c r="C27" s="4"/>
      <c r="D27" s="4"/>
      <c r="E27" s="4"/>
    </row>
    <row r="28" spans="1:6" ht="14.25" x14ac:dyDescent="0.2">
      <c r="A28" s="32"/>
      <c r="B28" s="33" t="s">
        <v>561</v>
      </c>
      <c r="C28" s="4"/>
      <c r="D28" s="4"/>
      <c r="E28" s="4"/>
    </row>
    <row r="29" spans="1:6" ht="15" x14ac:dyDescent="0.2">
      <c r="A29" s="34" t="s">
        <v>111</v>
      </c>
      <c r="B29" s="34" t="s">
        <v>112</v>
      </c>
      <c r="C29" s="34" t="s">
        <v>113</v>
      </c>
      <c r="D29" s="34" t="s">
        <v>160</v>
      </c>
      <c r="E29" s="34" t="s">
        <v>507</v>
      </c>
    </row>
    <row r="30" spans="1:6" ht="14.25" x14ac:dyDescent="0.2">
      <c r="A30" s="35" t="s">
        <v>553</v>
      </c>
      <c r="B30" s="39" t="s">
        <v>561</v>
      </c>
      <c r="C30" s="35" t="s">
        <v>117</v>
      </c>
      <c r="D30" s="36" t="s">
        <v>556</v>
      </c>
      <c r="E30" s="22" t="s">
        <v>558</v>
      </c>
    </row>
    <row r="31" spans="1:6" ht="14.25" x14ac:dyDescent="0.2">
      <c r="A31" s="35" t="s">
        <v>546</v>
      </c>
      <c r="B31" s="39" t="s">
        <v>561</v>
      </c>
      <c r="C31" s="35" t="s">
        <v>562</v>
      </c>
      <c r="D31" s="36" t="s">
        <v>550</v>
      </c>
      <c r="E31" s="22" t="s">
        <v>563</v>
      </c>
    </row>
  </sheetData>
  <mergeCells count="14">
    <mergeCell ref="K3:K4"/>
    <mergeCell ref="A5:H5"/>
    <mergeCell ref="A8:G8"/>
    <mergeCell ref="A11:H11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E13" sqref="E13"/>
    </sheetView>
  </sheetViews>
  <sheetFormatPr defaultColWidth="9.140625"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6.5703125" style="4" customWidth="1"/>
    <col min="5" max="5" width="22.7109375" style="4" bestFit="1" customWidth="1"/>
    <col min="6" max="6" width="17.28515625" style="4" bestFit="1" customWidth="1"/>
    <col min="7" max="7" width="5" style="3" customWidth="1"/>
    <col min="8" max="8" width="10.42578125" style="3" customWidth="1"/>
    <col min="9" max="9" width="7.85546875" style="20" bestFit="1" customWidth="1"/>
    <col min="10" max="10" width="6.42578125" style="2" bestFit="1" customWidth="1"/>
    <col min="11" max="11" width="8.85546875" style="4" bestFit="1" customWidth="1"/>
    <col min="12" max="16384" width="9.140625" style="3"/>
  </cols>
  <sheetData>
    <row r="1" spans="1:11" s="2" customFormat="1" ht="29.1" customHeight="1" x14ac:dyDescent="0.2">
      <c r="A1" s="40" t="s">
        <v>483</v>
      </c>
      <c r="B1" s="41"/>
      <c r="C1" s="41"/>
      <c r="D1" s="41"/>
      <c r="E1" s="41"/>
      <c r="F1" s="41"/>
      <c r="G1" s="41"/>
      <c r="H1" s="41"/>
      <c r="I1" s="41"/>
      <c r="J1" s="41"/>
      <c r="K1" s="42"/>
    </row>
    <row r="2" spans="1:11" s="2" customFormat="1" ht="62.1" customHeight="1" thickBot="1" x14ac:dyDescent="0.25">
      <c r="A2" s="43"/>
      <c r="B2" s="44"/>
      <c r="C2" s="44"/>
      <c r="D2" s="44"/>
      <c r="E2" s="44"/>
      <c r="F2" s="44"/>
      <c r="G2" s="44"/>
      <c r="H2" s="44"/>
      <c r="I2" s="44"/>
      <c r="J2" s="44"/>
      <c r="K2" s="45"/>
    </row>
    <row r="3" spans="1:11" s="1" customFormat="1" ht="12.75" customHeight="1" x14ac:dyDescent="0.2">
      <c r="A3" s="46" t="s">
        <v>0</v>
      </c>
      <c r="B3" s="48" t="s">
        <v>6</v>
      </c>
      <c r="C3" s="48" t="s">
        <v>10</v>
      </c>
      <c r="D3" s="50"/>
      <c r="E3" s="50" t="s">
        <v>4</v>
      </c>
      <c r="F3" s="50" t="s">
        <v>7</v>
      </c>
      <c r="G3" s="50"/>
      <c r="H3" s="50"/>
      <c r="I3" s="50" t="s">
        <v>452</v>
      </c>
      <c r="J3" s="50" t="s">
        <v>3</v>
      </c>
      <c r="K3" s="51" t="s">
        <v>2</v>
      </c>
    </row>
    <row r="4" spans="1:11" s="1" customFormat="1" ht="21" customHeight="1" thickBot="1" x14ac:dyDescent="0.25">
      <c r="A4" s="47"/>
      <c r="B4" s="49"/>
      <c r="C4" s="49"/>
      <c r="D4" s="49"/>
      <c r="E4" s="49"/>
      <c r="F4" s="49"/>
      <c r="G4" s="6" t="s">
        <v>8</v>
      </c>
      <c r="H4" s="6" t="s">
        <v>9</v>
      </c>
      <c r="I4" s="49"/>
      <c r="J4" s="49"/>
      <c r="K4" s="52"/>
    </row>
    <row r="5" spans="1:11" ht="15" x14ac:dyDescent="0.2">
      <c r="A5" s="53" t="s">
        <v>97</v>
      </c>
      <c r="B5" s="54"/>
      <c r="C5" s="54"/>
      <c r="D5" s="54"/>
      <c r="E5" s="54"/>
      <c r="F5" s="54"/>
      <c r="G5" s="54"/>
      <c r="H5" s="54"/>
      <c r="I5" s="2"/>
    </row>
    <row r="6" spans="1:11" x14ac:dyDescent="0.2">
      <c r="A6" s="35" t="s">
        <v>531</v>
      </c>
      <c r="B6" s="35" t="s">
        <v>532</v>
      </c>
      <c r="C6" s="35" t="s">
        <v>533</v>
      </c>
      <c r="D6" s="7" t="str">
        <f>"1,0000"</f>
        <v>1,0000</v>
      </c>
      <c r="E6" s="35" t="s">
        <v>534</v>
      </c>
      <c r="F6" s="35" t="s">
        <v>535</v>
      </c>
      <c r="G6" s="36" t="s">
        <v>536</v>
      </c>
      <c r="H6" s="36" t="s">
        <v>537</v>
      </c>
      <c r="I6" s="22" t="s">
        <v>538</v>
      </c>
      <c r="J6" s="22" t="s">
        <v>539</v>
      </c>
      <c r="K6" s="7" t="s">
        <v>96</v>
      </c>
    </row>
    <row r="7" spans="1:11" x14ac:dyDescent="0.2">
      <c r="A7" s="37"/>
      <c r="B7" s="37"/>
      <c r="C7" s="37"/>
      <c r="E7" s="37"/>
      <c r="F7" s="37"/>
      <c r="G7" s="5"/>
      <c r="H7" s="5"/>
      <c r="I7" s="2"/>
    </row>
    <row r="8" spans="1:11" ht="15" x14ac:dyDescent="0.2">
      <c r="E8" s="19" t="s">
        <v>104</v>
      </c>
      <c r="F8" s="37" t="s">
        <v>565</v>
      </c>
    </row>
    <row r="9" spans="1:11" ht="15" x14ac:dyDescent="0.2">
      <c r="E9" s="19" t="s">
        <v>105</v>
      </c>
      <c r="F9" s="37" t="s">
        <v>566</v>
      </c>
    </row>
    <row r="10" spans="1:11" ht="15" x14ac:dyDescent="0.2">
      <c r="E10" s="19" t="s">
        <v>106</v>
      </c>
      <c r="F10" s="37" t="s">
        <v>567</v>
      </c>
    </row>
    <row r="11" spans="1:11" ht="15" x14ac:dyDescent="0.2">
      <c r="E11" s="19" t="s">
        <v>107</v>
      </c>
      <c r="F11" s="37" t="s">
        <v>568</v>
      </c>
    </row>
    <row r="12" spans="1:11" ht="15" x14ac:dyDescent="0.2">
      <c r="E12" s="19" t="s">
        <v>107</v>
      </c>
      <c r="F12" s="37" t="s">
        <v>569</v>
      </c>
    </row>
    <row r="13" spans="1:11" ht="15" x14ac:dyDescent="0.2">
      <c r="E13" s="19"/>
    </row>
    <row r="14" spans="1:11" ht="15" x14ac:dyDescent="0.2">
      <c r="E14" s="19"/>
    </row>
    <row r="16" spans="1:11" ht="18" x14ac:dyDescent="0.25">
      <c r="A16" s="29" t="s">
        <v>108</v>
      </c>
      <c r="B16" s="29"/>
    </row>
    <row r="17" spans="1:5" ht="15" x14ac:dyDescent="0.2">
      <c r="A17" s="19" t="s">
        <v>559</v>
      </c>
      <c r="B17" s="33" t="s">
        <v>560</v>
      </c>
    </row>
    <row r="18" spans="1:5" ht="15" x14ac:dyDescent="0.2">
      <c r="A18" s="34" t="s">
        <v>111</v>
      </c>
      <c r="B18" s="34" t="s">
        <v>112</v>
      </c>
      <c r="C18" s="34" t="s">
        <v>113</v>
      </c>
      <c r="D18" s="34" t="s">
        <v>160</v>
      </c>
      <c r="E18" s="34" t="s">
        <v>507</v>
      </c>
    </row>
    <row r="19" spans="1:5" ht="14.25" x14ac:dyDescent="0.2">
      <c r="A19" s="35" t="s">
        <v>367</v>
      </c>
      <c r="B19" s="39" t="s">
        <v>561</v>
      </c>
      <c r="C19" s="35" t="s">
        <v>248</v>
      </c>
      <c r="D19" s="35" t="s">
        <v>542</v>
      </c>
      <c r="E19" s="22" t="s">
        <v>544</v>
      </c>
    </row>
    <row r="20" spans="1:5" ht="15" x14ac:dyDescent="0.2">
      <c r="A20" s="30"/>
      <c r="B20" s="30"/>
    </row>
    <row r="21" spans="1:5" ht="15" x14ac:dyDescent="0.2">
      <c r="A21" s="30" t="s">
        <v>123</v>
      </c>
      <c r="B21" s="30"/>
    </row>
    <row r="22" spans="1:5" ht="14.25" x14ac:dyDescent="0.2">
      <c r="A22" s="32"/>
      <c r="B22" s="33" t="s">
        <v>561</v>
      </c>
    </row>
    <row r="23" spans="1:5" ht="15" x14ac:dyDescent="0.2">
      <c r="A23" s="34" t="s">
        <v>111</v>
      </c>
      <c r="B23" s="34" t="s">
        <v>112</v>
      </c>
      <c r="C23" s="34" t="s">
        <v>113</v>
      </c>
      <c r="D23" s="34" t="s">
        <v>160</v>
      </c>
      <c r="E23" s="34" t="s">
        <v>507</v>
      </c>
    </row>
    <row r="24" spans="1:5" ht="14.25" x14ac:dyDescent="0.2">
      <c r="A24" s="35" t="s">
        <v>553</v>
      </c>
      <c r="B24" s="39" t="s">
        <v>561</v>
      </c>
      <c r="C24" s="35" t="s">
        <v>117</v>
      </c>
      <c r="D24" s="36" t="s">
        <v>556</v>
      </c>
      <c r="E24" s="22" t="s">
        <v>558</v>
      </c>
    </row>
    <row r="25" spans="1:5" ht="14.25" x14ac:dyDescent="0.2">
      <c r="A25" s="35" t="s">
        <v>546</v>
      </c>
      <c r="B25" s="39" t="s">
        <v>561</v>
      </c>
      <c r="C25" s="35" t="s">
        <v>562</v>
      </c>
      <c r="D25" s="36" t="s">
        <v>550</v>
      </c>
      <c r="E25" s="22" t="s">
        <v>563</v>
      </c>
    </row>
  </sheetData>
  <mergeCells count="12">
    <mergeCell ref="A5:H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activeCell="E16" sqref="E16"/>
    </sheetView>
  </sheetViews>
  <sheetFormatPr defaultColWidth="9.140625" defaultRowHeight="12.75" x14ac:dyDescent="0.2"/>
  <cols>
    <col min="1" max="1" width="26" style="4" bestFit="1" customWidth="1"/>
    <col min="2" max="2" width="26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0.42578125" style="4" bestFit="1" customWidth="1"/>
    <col min="7" max="7" width="5" style="3" customWidth="1"/>
    <col min="8" max="8" width="10.42578125" style="3" customWidth="1"/>
    <col min="9" max="9" width="7.85546875" style="20" bestFit="1" customWidth="1"/>
    <col min="10" max="10" width="8.5703125" style="2" bestFit="1" customWidth="1"/>
    <col min="11" max="11" width="16.140625" style="4" bestFit="1" customWidth="1"/>
    <col min="12" max="16384" width="9.140625" style="3"/>
  </cols>
  <sheetData>
    <row r="1" spans="1:11" s="2" customFormat="1" ht="29.1" customHeight="1" x14ac:dyDescent="0.2">
      <c r="A1" s="40" t="s">
        <v>476</v>
      </c>
      <c r="B1" s="41"/>
      <c r="C1" s="41"/>
      <c r="D1" s="41"/>
      <c r="E1" s="41"/>
      <c r="F1" s="41"/>
      <c r="G1" s="41"/>
      <c r="H1" s="41"/>
      <c r="I1" s="41"/>
      <c r="J1" s="41"/>
      <c r="K1" s="42"/>
    </row>
    <row r="2" spans="1:11" s="2" customFormat="1" ht="62.1" customHeight="1" thickBot="1" x14ac:dyDescent="0.25">
      <c r="A2" s="43"/>
      <c r="B2" s="44"/>
      <c r="C2" s="44"/>
      <c r="D2" s="44"/>
      <c r="E2" s="44"/>
      <c r="F2" s="44"/>
      <c r="G2" s="44"/>
      <c r="H2" s="44"/>
      <c r="I2" s="44"/>
      <c r="J2" s="44"/>
      <c r="K2" s="45"/>
    </row>
    <row r="3" spans="1:11" s="1" customFormat="1" ht="12.75" customHeight="1" x14ac:dyDescent="0.2">
      <c r="A3" s="46" t="s">
        <v>0</v>
      </c>
      <c r="B3" s="48" t="s">
        <v>6</v>
      </c>
      <c r="C3" s="48" t="s">
        <v>10</v>
      </c>
      <c r="D3" s="50" t="s">
        <v>442</v>
      </c>
      <c r="E3" s="50" t="s">
        <v>4</v>
      </c>
      <c r="F3" s="50" t="s">
        <v>7</v>
      </c>
      <c r="G3" s="50" t="s">
        <v>443</v>
      </c>
      <c r="H3" s="50"/>
      <c r="I3" s="50" t="s">
        <v>452</v>
      </c>
      <c r="J3" s="50" t="s">
        <v>3</v>
      </c>
      <c r="K3" s="51" t="s">
        <v>2</v>
      </c>
    </row>
    <row r="4" spans="1:11" s="1" customFormat="1" ht="21" customHeight="1" thickBot="1" x14ac:dyDescent="0.25">
      <c r="A4" s="47"/>
      <c r="B4" s="49"/>
      <c r="C4" s="49"/>
      <c r="D4" s="49"/>
      <c r="E4" s="49"/>
      <c r="F4" s="49"/>
      <c r="G4" s="6" t="s">
        <v>8</v>
      </c>
      <c r="H4" s="6" t="s">
        <v>9</v>
      </c>
      <c r="I4" s="49"/>
      <c r="J4" s="49"/>
      <c r="K4" s="52"/>
    </row>
    <row r="5" spans="1:11" ht="15" x14ac:dyDescent="0.2">
      <c r="A5" s="53" t="s">
        <v>229</v>
      </c>
      <c r="B5" s="54"/>
      <c r="C5" s="54"/>
      <c r="D5" s="54"/>
      <c r="E5" s="54"/>
      <c r="F5" s="54"/>
      <c r="G5" s="54"/>
      <c r="H5" s="54"/>
    </row>
    <row r="6" spans="1:11" x14ac:dyDescent="0.2">
      <c r="A6" s="7" t="s">
        <v>231</v>
      </c>
      <c r="B6" s="7" t="s">
        <v>232</v>
      </c>
      <c r="C6" s="7" t="s">
        <v>233</v>
      </c>
      <c r="D6" s="7" t="str">
        <f>"0,9650"</f>
        <v>0,9650</v>
      </c>
      <c r="E6" s="7" t="s">
        <v>198</v>
      </c>
      <c r="F6" s="7" t="s">
        <v>234</v>
      </c>
      <c r="G6" s="8" t="s">
        <v>26</v>
      </c>
      <c r="H6" s="8" t="s">
        <v>477</v>
      </c>
      <c r="I6" s="21" t="str">
        <f>"750,0"</f>
        <v>750,0</v>
      </c>
      <c r="J6" s="22" t="str">
        <f>"723,7500"</f>
        <v>723,7500</v>
      </c>
      <c r="K6" s="7" t="s">
        <v>237</v>
      </c>
    </row>
    <row r="8" spans="1:11" ht="15" x14ac:dyDescent="0.2">
      <c r="A8" s="57" t="s">
        <v>46</v>
      </c>
      <c r="B8" s="57"/>
      <c r="C8" s="57"/>
      <c r="D8" s="57"/>
      <c r="E8" s="57"/>
      <c r="F8" s="57"/>
      <c r="G8" s="57"/>
      <c r="H8" s="57"/>
    </row>
    <row r="9" spans="1:11" x14ac:dyDescent="0.2">
      <c r="A9" s="7" t="s">
        <v>239</v>
      </c>
      <c r="B9" s="7" t="s">
        <v>240</v>
      </c>
      <c r="C9" s="7" t="s">
        <v>241</v>
      </c>
      <c r="D9" s="7" t="str">
        <f>"0,8550"</f>
        <v>0,8550</v>
      </c>
      <c r="E9" s="7" t="s">
        <v>198</v>
      </c>
      <c r="F9" s="7" t="s">
        <v>234</v>
      </c>
      <c r="G9" s="8" t="s">
        <v>464</v>
      </c>
      <c r="H9" s="8" t="s">
        <v>478</v>
      </c>
      <c r="I9" s="21" t="str">
        <f>"735,0"</f>
        <v>735,0</v>
      </c>
      <c r="J9" s="22" t="str">
        <f>"628,4250"</f>
        <v>628,4250</v>
      </c>
      <c r="K9" s="7" t="s">
        <v>237</v>
      </c>
    </row>
    <row r="11" spans="1:11" ht="15" x14ac:dyDescent="0.2">
      <c r="E11" s="19" t="s">
        <v>104</v>
      </c>
      <c r="F11" s="37" t="s">
        <v>565</v>
      </c>
    </row>
    <row r="12" spans="1:11" ht="15" x14ac:dyDescent="0.2">
      <c r="E12" s="19" t="s">
        <v>105</v>
      </c>
      <c r="F12" s="37" t="s">
        <v>566</v>
      </c>
    </row>
    <row r="13" spans="1:11" ht="15" x14ac:dyDescent="0.2">
      <c r="E13" s="19" t="s">
        <v>106</v>
      </c>
      <c r="F13" s="37" t="s">
        <v>567</v>
      </c>
    </row>
    <row r="14" spans="1:11" ht="15" x14ac:dyDescent="0.2">
      <c r="E14" s="19" t="s">
        <v>107</v>
      </c>
      <c r="F14" s="37" t="s">
        <v>568</v>
      </c>
    </row>
    <row r="15" spans="1:11" ht="15" x14ac:dyDescent="0.2">
      <c r="E15" s="19" t="s">
        <v>107</v>
      </c>
      <c r="F15" s="37" t="s">
        <v>569</v>
      </c>
    </row>
    <row r="16" spans="1:11" ht="15" x14ac:dyDescent="0.2">
      <c r="E16" s="19"/>
    </row>
    <row r="17" spans="1:5" ht="15" x14ac:dyDescent="0.2">
      <c r="E17" s="19"/>
    </row>
    <row r="19" spans="1:5" ht="18" x14ac:dyDescent="0.25">
      <c r="A19" s="29" t="s">
        <v>108</v>
      </c>
      <c r="B19" s="29"/>
    </row>
    <row r="20" spans="1:5" ht="15" x14ac:dyDescent="0.2">
      <c r="A20" s="30" t="s">
        <v>123</v>
      </c>
      <c r="B20" s="30"/>
    </row>
    <row r="21" spans="1:5" ht="14.25" x14ac:dyDescent="0.2">
      <c r="A21" s="32"/>
      <c r="B21" s="33" t="s">
        <v>124</v>
      </c>
    </row>
    <row r="22" spans="1:5" ht="15" x14ac:dyDescent="0.2">
      <c r="A22" s="34" t="s">
        <v>111</v>
      </c>
      <c r="B22" s="34" t="s">
        <v>112</v>
      </c>
      <c r="C22" s="34" t="s">
        <v>113</v>
      </c>
      <c r="D22" s="34" t="s">
        <v>160</v>
      </c>
      <c r="E22" s="34" t="s">
        <v>449</v>
      </c>
    </row>
    <row r="23" spans="1:5" x14ac:dyDescent="0.2">
      <c r="A23" s="31" t="s">
        <v>230</v>
      </c>
      <c r="B23" s="4" t="s">
        <v>247</v>
      </c>
      <c r="C23" s="4" t="s">
        <v>248</v>
      </c>
      <c r="D23" s="4" t="s">
        <v>479</v>
      </c>
      <c r="E23" s="20" t="s">
        <v>480</v>
      </c>
    </row>
    <row r="24" spans="1:5" x14ac:dyDescent="0.2">
      <c r="A24" s="31" t="s">
        <v>238</v>
      </c>
      <c r="B24" s="4" t="s">
        <v>250</v>
      </c>
      <c r="C24" s="4" t="s">
        <v>126</v>
      </c>
      <c r="D24" s="4" t="s">
        <v>481</v>
      </c>
      <c r="E24" s="20" t="s">
        <v>482</v>
      </c>
    </row>
  </sheetData>
  <mergeCells count="13">
    <mergeCell ref="A8:H8"/>
    <mergeCell ref="G3:H3"/>
    <mergeCell ref="I3:I4"/>
    <mergeCell ref="J3:J4"/>
    <mergeCell ref="K3:K4"/>
    <mergeCell ref="A5:H5"/>
    <mergeCell ref="A1:K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>
      <selection activeCell="E19" sqref="E19"/>
    </sheetView>
  </sheetViews>
  <sheetFormatPr defaultColWidth="9.140625" defaultRowHeight="12.75" x14ac:dyDescent="0.2"/>
  <cols>
    <col min="1" max="1" width="26" style="4" bestFit="1" customWidth="1"/>
    <col min="2" max="2" width="29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1.28515625" style="4" bestFit="1" customWidth="1"/>
    <col min="7" max="7" width="5" style="3" customWidth="1"/>
    <col min="8" max="8" width="10.42578125" style="3" customWidth="1"/>
    <col min="9" max="9" width="7.85546875" style="20" bestFit="1" customWidth="1"/>
    <col min="10" max="10" width="9.5703125" style="2" bestFit="1" customWidth="1"/>
    <col min="11" max="11" width="28" style="4" bestFit="1" customWidth="1"/>
    <col min="12" max="16384" width="9.140625" style="3"/>
  </cols>
  <sheetData>
    <row r="1" spans="1:11" s="2" customFormat="1" ht="29.1" customHeight="1" x14ac:dyDescent="0.2">
      <c r="A1" s="40" t="s">
        <v>453</v>
      </c>
      <c r="B1" s="41"/>
      <c r="C1" s="41"/>
      <c r="D1" s="41"/>
      <c r="E1" s="41"/>
      <c r="F1" s="41"/>
      <c r="G1" s="41"/>
      <c r="H1" s="41"/>
      <c r="I1" s="41"/>
      <c r="J1" s="41"/>
      <c r="K1" s="42"/>
    </row>
    <row r="2" spans="1:11" s="2" customFormat="1" ht="62.1" customHeight="1" thickBot="1" x14ac:dyDescent="0.25">
      <c r="A2" s="43"/>
      <c r="B2" s="44"/>
      <c r="C2" s="44"/>
      <c r="D2" s="44"/>
      <c r="E2" s="44"/>
      <c r="F2" s="44"/>
      <c r="G2" s="44"/>
      <c r="H2" s="44"/>
      <c r="I2" s="44"/>
      <c r="J2" s="44"/>
      <c r="K2" s="45"/>
    </row>
    <row r="3" spans="1:11" s="1" customFormat="1" ht="12.75" customHeight="1" x14ac:dyDescent="0.2">
      <c r="A3" s="46" t="s">
        <v>0</v>
      </c>
      <c r="B3" s="48" t="s">
        <v>6</v>
      </c>
      <c r="C3" s="48" t="s">
        <v>10</v>
      </c>
      <c r="D3" s="50" t="s">
        <v>442</v>
      </c>
      <c r="E3" s="50" t="s">
        <v>4</v>
      </c>
      <c r="F3" s="50" t="s">
        <v>7</v>
      </c>
      <c r="G3" s="50" t="s">
        <v>443</v>
      </c>
      <c r="H3" s="50"/>
      <c r="I3" s="50" t="s">
        <v>452</v>
      </c>
      <c r="J3" s="50" t="s">
        <v>3</v>
      </c>
      <c r="K3" s="51" t="s">
        <v>2</v>
      </c>
    </row>
    <row r="4" spans="1:11" s="1" customFormat="1" ht="21" customHeight="1" thickBot="1" x14ac:dyDescent="0.25">
      <c r="A4" s="47"/>
      <c r="B4" s="49"/>
      <c r="C4" s="49"/>
      <c r="D4" s="49"/>
      <c r="E4" s="49"/>
      <c r="F4" s="49"/>
      <c r="G4" s="6" t="s">
        <v>8</v>
      </c>
      <c r="H4" s="6" t="s">
        <v>9</v>
      </c>
      <c r="I4" s="49"/>
      <c r="J4" s="49"/>
      <c r="K4" s="52"/>
    </row>
    <row r="5" spans="1:11" ht="15" x14ac:dyDescent="0.2">
      <c r="A5" s="53" t="s">
        <v>229</v>
      </c>
      <c r="B5" s="54"/>
      <c r="C5" s="54"/>
      <c r="D5" s="54"/>
      <c r="E5" s="54"/>
      <c r="F5" s="54"/>
      <c r="G5" s="54"/>
      <c r="H5" s="54"/>
    </row>
    <row r="6" spans="1:11" x14ac:dyDescent="0.2">
      <c r="A6" s="7" t="s">
        <v>455</v>
      </c>
      <c r="B6" s="7" t="s">
        <v>456</v>
      </c>
      <c r="C6" s="7" t="s">
        <v>457</v>
      </c>
      <c r="D6" s="7" t="str">
        <f>"0,9559"</f>
        <v>0,9559</v>
      </c>
      <c r="E6" s="7" t="s">
        <v>370</v>
      </c>
      <c r="F6" s="7" t="s">
        <v>80</v>
      </c>
      <c r="G6" s="8" t="s">
        <v>458</v>
      </c>
      <c r="H6" s="8" t="s">
        <v>459</v>
      </c>
      <c r="I6" s="21" t="str">
        <f>"1595,0"</f>
        <v>1595,0</v>
      </c>
      <c r="J6" s="22" t="str">
        <f>"1524,6605"</f>
        <v>1524,6605</v>
      </c>
      <c r="K6" s="7" t="s">
        <v>374</v>
      </c>
    </row>
    <row r="8" spans="1:11" ht="15" x14ac:dyDescent="0.2">
      <c r="A8" s="57" t="s">
        <v>46</v>
      </c>
      <c r="B8" s="57"/>
      <c r="C8" s="57"/>
      <c r="D8" s="57"/>
      <c r="E8" s="57"/>
      <c r="F8" s="57"/>
      <c r="G8" s="57"/>
      <c r="H8" s="57"/>
    </row>
    <row r="9" spans="1:11" x14ac:dyDescent="0.2">
      <c r="A9" s="7" t="s">
        <v>461</v>
      </c>
      <c r="B9" s="7" t="s">
        <v>462</v>
      </c>
      <c r="C9" s="7" t="s">
        <v>463</v>
      </c>
      <c r="D9" s="7" t="str">
        <f>"0,8563"</f>
        <v>0,8563</v>
      </c>
      <c r="E9" s="7" t="s">
        <v>370</v>
      </c>
      <c r="F9" s="7" t="s">
        <v>80</v>
      </c>
      <c r="G9" s="8" t="s">
        <v>464</v>
      </c>
      <c r="H9" s="8" t="s">
        <v>465</v>
      </c>
      <c r="I9" s="21" t="str">
        <f>"595,0"</f>
        <v>595,0</v>
      </c>
      <c r="J9" s="22" t="str">
        <f>"509,4985"</f>
        <v>509,4985</v>
      </c>
      <c r="K9" s="7" t="s">
        <v>374</v>
      </c>
    </row>
    <row r="11" spans="1:11" ht="15" x14ac:dyDescent="0.2">
      <c r="A11" s="57" t="s">
        <v>144</v>
      </c>
      <c r="B11" s="57"/>
      <c r="C11" s="57"/>
      <c r="D11" s="57"/>
      <c r="E11" s="57"/>
      <c r="F11" s="57"/>
      <c r="G11" s="57"/>
      <c r="H11" s="57"/>
    </row>
    <row r="12" spans="1:11" x14ac:dyDescent="0.2">
      <c r="A12" s="7" t="s">
        <v>467</v>
      </c>
      <c r="B12" s="7" t="s">
        <v>468</v>
      </c>
      <c r="C12" s="7" t="s">
        <v>469</v>
      </c>
      <c r="D12" s="7" t="str">
        <f>"0,7638"</f>
        <v>0,7638</v>
      </c>
      <c r="E12" s="7" t="s">
        <v>370</v>
      </c>
      <c r="F12" s="7" t="s">
        <v>80</v>
      </c>
      <c r="G12" s="8" t="s">
        <v>380</v>
      </c>
      <c r="H12" s="8" t="s">
        <v>465</v>
      </c>
      <c r="I12" s="21" t="str">
        <f>"722,5"</f>
        <v>722,5</v>
      </c>
      <c r="J12" s="22" t="str">
        <f>"551,8455"</f>
        <v>551,8455</v>
      </c>
      <c r="K12" s="7" t="s">
        <v>374</v>
      </c>
    </row>
    <row r="14" spans="1:11" ht="15" x14ac:dyDescent="0.2">
      <c r="E14" s="19" t="s">
        <v>104</v>
      </c>
      <c r="F14" s="37" t="s">
        <v>565</v>
      </c>
    </row>
    <row r="15" spans="1:11" ht="15" x14ac:dyDescent="0.2">
      <c r="E15" s="19" t="s">
        <v>105</v>
      </c>
      <c r="F15" s="37" t="s">
        <v>566</v>
      </c>
    </row>
    <row r="16" spans="1:11" ht="15" x14ac:dyDescent="0.2">
      <c r="E16" s="19" t="s">
        <v>106</v>
      </c>
      <c r="F16" s="37" t="s">
        <v>567</v>
      </c>
    </row>
    <row r="17" spans="1:6" ht="15" x14ac:dyDescent="0.2">
      <c r="E17" s="19" t="s">
        <v>107</v>
      </c>
      <c r="F17" s="37" t="s">
        <v>568</v>
      </c>
    </row>
    <row r="18" spans="1:6" ht="15" x14ac:dyDescent="0.2">
      <c r="E18" s="19" t="s">
        <v>107</v>
      </c>
      <c r="F18" s="37" t="s">
        <v>569</v>
      </c>
    </row>
    <row r="19" spans="1:6" ht="15" x14ac:dyDescent="0.2">
      <c r="E19" s="19"/>
    </row>
    <row r="20" spans="1:6" ht="15" x14ac:dyDescent="0.2">
      <c r="E20" s="19"/>
    </row>
    <row r="22" spans="1:6" ht="18" x14ac:dyDescent="0.25">
      <c r="A22" s="29" t="s">
        <v>108</v>
      </c>
      <c r="B22" s="29"/>
    </row>
    <row r="23" spans="1:6" ht="15" x14ac:dyDescent="0.2">
      <c r="A23" s="30" t="s">
        <v>109</v>
      </c>
      <c r="B23" s="30"/>
    </row>
    <row r="24" spans="1:6" ht="14.25" x14ac:dyDescent="0.2">
      <c r="A24" s="32"/>
      <c r="B24" s="33" t="s">
        <v>110</v>
      </c>
    </row>
    <row r="25" spans="1:6" ht="15" x14ac:dyDescent="0.2">
      <c r="A25" s="34" t="s">
        <v>111</v>
      </c>
      <c r="B25" s="34" t="s">
        <v>112</v>
      </c>
      <c r="C25" s="34" t="s">
        <v>113</v>
      </c>
      <c r="D25" s="34" t="s">
        <v>160</v>
      </c>
      <c r="E25" s="34" t="s">
        <v>449</v>
      </c>
    </row>
    <row r="26" spans="1:6" x14ac:dyDescent="0.2">
      <c r="A26" s="31" t="s">
        <v>454</v>
      </c>
      <c r="B26" s="4" t="s">
        <v>116</v>
      </c>
      <c r="C26" s="4" t="s">
        <v>248</v>
      </c>
      <c r="D26" s="4" t="s">
        <v>470</v>
      </c>
      <c r="E26" s="20" t="s">
        <v>471</v>
      </c>
    </row>
    <row r="29" spans="1:6" ht="15" x14ac:dyDescent="0.2">
      <c r="A29" s="30" t="s">
        <v>123</v>
      </c>
      <c r="B29" s="30"/>
    </row>
    <row r="30" spans="1:6" ht="14.25" x14ac:dyDescent="0.2">
      <c r="A30" s="32"/>
      <c r="B30" s="33" t="s">
        <v>124</v>
      </c>
    </row>
    <row r="31" spans="1:6" ht="15" x14ac:dyDescent="0.2">
      <c r="A31" s="34" t="s">
        <v>111</v>
      </c>
      <c r="B31" s="34" t="s">
        <v>112</v>
      </c>
      <c r="C31" s="34" t="s">
        <v>113</v>
      </c>
      <c r="D31" s="34" t="s">
        <v>160</v>
      </c>
      <c r="E31" s="34" t="s">
        <v>449</v>
      </c>
    </row>
    <row r="32" spans="1:6" x14ac:dyDescent="0.2">
      <c r="A32" s="31" t="s">
        <v>466</v>
      </c>
      <c r="B32" s="4" t="s">
        <v>414</v>
      </c>
      <c r="C32" s="4" t="s">
        <v>162</v>
      </c>
      <c r="D32" s="4" t="s">
        <v>472</v>
      </c>
      <c r="E32" s="20" t="s">
        <v>473</v>
      </c>
    </row>
    <row r="33" spans="1:5" x14ac:dyDescent="0.2">
      <c r="A33" s="31" t="s">
        <v>460</v>
      </c>
      <c r="B33" s="4" t="s">
        <v>250</v>
      </c>
      <c r="C33" s="4" t="s">
        <v>126</v>
      </c>
      <c r="D33" s="4" t="s">
        <v>474</v>
      </c>
      <c r="E33" s="20" t="s">
        <v>475</v>
      </c>
    </row>
  </sheetData>
  <mergeCells count="14">
    <mergeCell ref="A8:H8"/>
    <mergeCell ref="A11:H11"/>
    <mergeCell ref="G3:H3"/>
    <mergeCell ref="I3:I4"/>
    <mergeCell ref="J3:J4"/>
    <mergeCell ref="K3:K4"/>
    <mergeCell ref="A5:H5"/>
    <mergeCell ref="A1:K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E13" sqref="E13"/>
    </sheetView>
  </sheetViews>
  <sheetFormatPr defaultColWidth="9.140625"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0.42578125" style="4" bestFit="1" customWidth="1"/>
    <col min="7" max="7" width="5" style="3" customWidth="1"/>
    <col min="8" max="8" width="10.42578125" style="3" customWidth="1"/>
    <col min="9" max="9" width="7.85546875" style="20" bestFit="1" customWidth="1"/>
    <col min="10" max="10" width="9.5703125" style="2" bestFit="1" customWidth="1"/>
    <col min="11" max="11" width="8.85546875" style="4" bestFit="1" customWidth="1"/>
    <col min="12" max="16384" width="9.140625" style="3"/>
  </cols>
  <sheetData>
    <row r="1" spans="1:11" s="2" customFormat="1" ht="29.1" customHeight="1" x14ac:dyDescent="0.2">
      <c r="A1" s="40" t="s">
        <v>441</v>
      </c>
      <c r="B1" s="41"/>
      <c r="C1" s="41"/>
      <c r="D1" s="41"/>
      <c r="E1" s="41"/>
      <c r="F1" s="41"/>
      <c r="G1" s="41"/>
      <c r="H1" s="41"/>
      <c r="I1" s="41"/>
      <c r="J1" s="41"/>
      <c r="K1" s="42"/>
    </row>
    <row r="2" spans="1:11" s="2" customFormat="1" ht="62.1" customHeight="1" thickBot="1" x14ac:dyDescent="0.25">
      <c r="A2" s="43"/>
      <c r="B2" s="44"/>
      <c r="C2" s="44"/>
      <c r="D2" s="44"/>
      <c r="E2" s="44"/>
      <c r="F2" s="44"/>
      <c r="G2" s="44"/>
      <c r="H2" s="44"/>
      <c r="I2" s="44"/>
      <c r="J2" s="44"/>
      <c r="K2" s="45"/>
    </row>
    <row r="3" spans="1:11" s="1" customFormat="1" ht="12.75" customHeight="1" x14ac:dyDescent="0.2">
      <c r="A3" s="46" t="s">
        <v>0</v>
      </c>
      <c r="B3" s="48" t="s">
        <v>6</v>
      </c>
      <c r="C3" s="48" t="s">
        <v>10</v>
      </c>
      <c r="D3" s="50" t="s">
        <v>442</v>
      </c>
      <c r="E3" s="50" t="s">
        <v>4</v>
      </c>
      <c r="F3" s="50" t="s">
        <v>7</v>
      </c>
      <c r="G3" s="50" t="s">
        <v>443</v>
      </c>
      <c r="H3" s="50"/>
      <c r="I3" s="50" t="s">
        <v>452</v>
      </c>
      <c r="J3" s="50" t="s">
        <v>3</v>
      </c>
      <c r="K3" s="51" t="s">
        <v>2</v>
      </c>
    </row>
    <row r="4" spans="1:11" s="1" customFormat="1" ht="21" customHeight="1" thickBot="1" x14ac:dyDescent="0.25">
      <c r="A4" s="47"/>
      <c r="B4" s="49"/>
      <c r="C4" s="49"/>
      <c r="D4" s="49"/>
      <c r="E4" s="49"/>
      <c r="F4" s="49"/>
      <c r="G4" s="6" t="s">
        <v>8</v>
      </c>
      <c r="H4" s="6" t="s">
        <v>9</v>
      </c>
      <c r="I4" s="49"/>
      <c r="J4" s="49"/>
      <c r="K4" s="52"/>
    </row>
    <row r="5" spans="1:11" ht="15" x14ac:dyDescent="0.2">
      <c r="A5" s="53" t="s">
        <v>144</v>
      </c>
      <c r="B5" s="54"/>
      <c r="C5" s="54"/>
      <c r="D5" s="54"/>
      <c r="E5" s="54"/>
      <c r="F5" s="54"/>
      <c r="G5" s="54"/>
      <c r="H5" s="54"/>
    </row>
    <row r="6" spans="1:11" x14ac:dyDescent="0.2">
      <c r="A6" s="7" t="s">
        <v>445</v>
      </c>
      <c r="B6" s="7" t="s">
        <v>446</v>
      </c>
      <c r="C6" s="7" t="s">
        <v>447</v>
      </c>
      <c r="D6" s="7" t="str">
        <f>"0,7800"</f>
        <v>0,7800</v>
      </c>
      <c r="E6" s="7" t="s">
        <v>198</v>
      </c>
      <c r="F6" s="7" t="s">
        <v>234</v>
      </c>
      <c r="G6" s="8" t="s">
        <v>437</v>
      </c>
      <c r="H6" s="8" t="s">
        <v>448</v>
      </c>
      <c r="I6" s="21" t="str">
        <f>"3680,0"</f>
        <v>3680,0</v>
      </c>
      <c r="J6" s="22" t="str">
        <f>"2870,3999"</f>
        <v>2870,3999</v>
      </c>
      <c r="K6" s="7" t="s">
        <v>96</v>
      </c>
    </row>
    <row r="8" spans="1:11" ht="15" x14ac:dyDescent="0.2">
      <c r="E8" s="19" t="s">
        <v>104</v>
      </c>
      <c r="F8" s="37" t="s">
        <v>565</v>
      </c>
    </row>
    <row r="9" spans="1:11" ht="15" x14ac:dyDescent="0.2">
      <c r="E9" s="19" t="s">
        <v>105</v>
      </c>
      <c r="F9" s="37" t="s">
        <v>566</v>
      </c>
    </row>
    <row r="10" spans="1:11" ht="15" x14ac:dyDescent="0.2">
      <c r="E10" s="19" t="s">
        <v>106</v>
      </c>
      <c r="F10" s="37" t="s">
        <v>567</v>
      </c>
    </row>
    <row r="11" spans="1:11" ht="15" x14ac:dyDescent="0.2">
      <c r="E11" s="19" t="s">
        <v>107</v>
      </c>
      <c r="F11" s="37" t="s">
        <v>568</v>
      </c>
    </row>
    <row r="12" spans="1:11" ht="15" x14ac:dyDescent="0.2">
      <c r="E12" s="19" t="s">
        <v>107</v>
      </c>
      <c r="F12" s="37" t="s">
        <v>569</v>
      </c>
    </row>
    <row r="13" spans="1:11" ht="15" x14ac:dyDescent="0.2">
      <c r="E13" s="19"/>
    </row>
    <row r="14" spans="1:11" ht="15" x14ac:dyDescent="0.2">
      <c r="E14" s="19"/>
    </row>
    <row r="16" spans="1:11" ht="18" x14ac:dyDescent="0.25">
      <c r="A16" s="29" t="s">
        <v>108</v>
      </c>
      <c r="B16" s="29"/>
    </row>
    <row r="17" spans="1:5" ht="15" x14ac:dyDescent="0.2">
      <c r="A17" s="30" t="s">
        <v>123</v>
      </c>
      <c r="B17" s="30"/>
    </row>
    <row r="18" spans="1:5" ht="14.25" x14ac:dyDescent="0.2">
      <c r="A18" s="32"/>
      <c r="B18" s="33" t="s">
        <v>135</v>
      </c>
    </row>
    <row r="19" spans="1:5" ht="15" x14ac:dyDescent="0.2">
      <c r="A19" s="34" t="s">
        <v>111</v>
      </c>
      <c r="B19" s="34" t="s">
        <v>112</v>
      </c>
      <c r="C19" s="34" t="s">
        <v>113</v>
      </c>
      <c r="D19" s="34" t="s">
        <v>160</v>
      </c>
      <c r="E19" s="34" t="s">
        <v>449</v>
      </c>
    </row>
    <row r="20" spans="1:5" x14ac:dyDescent="0.2">
      <c r="A20" s="31" t="s">
        <v>444</v>
      </c>
      <c r="B20" s="4" t="s">
        <v>135</v>
      </c>
      <c r="C20" s="4" t="s">
        <v>162</v>
      </c>
      <c r="D20" s="4" t="s">
        <v>450</v>
      </c>
      <c r="E20" s="20" t="s">
        <v>451</v>
      </c>
    </row>
  </sheetData>
  <mergeCells count="12">
    <mergeCell ref="A5:H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24</vt:i4>
      </vt:variant>
    </vt:vector>
  </HeadingPairs>
  <TitlesOfParts>
    <vt:vector size="24" baseType="lpstr">
      <vt:lpstr>Русская тяга люб. 200 кг.</vt:lpstr>
      <vt:lpstr>Русская тяга люб. 150 кг.</vt:lpstr>
      <vt:lpstr>РЖ любители 75 кг.</vt:lpstr>
      <vt:lpstr>РЖ любители 55 кг.</vt:lpstr>
      <vt:lpstr>РЖ ПРО 20 кг.</vt:lpstr>
      <vt:lpstr>РЖ любители 35 кг.</vt:lpstr>
      <vt:lpstr>Проф. народный жим 1_2 вес</vt:lpstr>
      <vt:lpstr>Люб. народный жим 1_2 вес</vt:lpstr>
      <vt:lpstr>Люб. народный жим 1 вес</vt:lpstr>
      <vt:lpstr>Пауэрспорт Профессионалы</vt:lpstr>
      <vt:lpstr>Пауэрспорт Любители</vt:lpstr>
      <vt:lpstr>Бицепс Любители</vt:lpstr>
      <vt:lpstr>Жим стоя Любители</vt:lpstr>
      <vt:lpstr>Силовое двоеб люб</vt:lpstr>
      <vt:lpstr>ПРО тяга б.э.</vt:lpstr>
      <vt:lpstr>Люб. тяга б.э.</vt:lpstr>
      <vt:lpstr>ПРО жим софт мн.петельная</vt:lpstr>
      <vt:lpstr>ПРО жим софт 1 петельная</vt:lpstr>
      <vt:lpstr>Люб. жим 1 петельная</vt:lpstr>
      <vt:lpstr>ПРО жим б.э.</vt:lpstr>
      <vt:lpstr>Люб. жим б.э.</vt:lpstr>
      <vt:lpstr>ПРО Военный жим класс.</vt:lpstr>
      <vt:lpstr>Люб. Военный жим класс.</vt:lpstr>
      <vt:lpstr>Люб. ПЛ. б.э.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NPA</cp:lastModifiedBy>
  <cp:lastPrinted>2015-07-16T19:10:53Z</cp:lastPrinted>
  <dcterms:created xsi:type="dcterms:W3CDTF">2002-06-16T13:36:44Z</dcterms:created>
  <dcterms:modified xsi:type="dcterms:W3CDTF">2021-03-14T07:10:49Z</dcterms:modified>
</cp:coreProperties>
</file>