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 tabRatio="849" firstSheet="17" activeTab="25"/>
  </bookViews>
  <sheets>
    <sheet name="Лист16" sheetId="21" r:id="rId1"/>
    <sheet name="Двоеборье проф." sheetId="20" r:id="rId2"/>
    <sheet name="Двоеборье люб" sheetId="19" r:id="rId3"/>
    <sheet name="Люб. присед б.э." sheetId="18" r:id="rId4"/>
    <sheet name="ПРО присед 1.слой" sheetId="17" r:id="rId5"/>
    <sheet name="ПРО тяга б.э." sheetId="16" r:id="rId6"/>
    <sheet name="Люб. тяга б.э." sheetId="15" r:id="rId7"/>
    <sheet name="ПРО тяга 1.слой" sheetId="14" r:id="rId8"/>
    <sheet name="ПРО жим софт мн.петельная" sheetId="13" r:id="rId9"/>
    <sheet name="ПРО жим софт 1 петельная" sheetId="12" r:id="rId10"/>
    <sheet name="Люб. жим 1 петельная" sheetId="11" r:id="rId11"/>
    <sheet name="ПРО жим б.э." sheetId="10" r:id="rId12"/>
    <sheet name="Люб. жим б.э." sheetId="9" r:id="rId13"/>
    <sheet name="ПРО ПЛ. б.э." sheetId="8" r:id="rId14"/>
    <sheet name="Люб. ПЛ. б.э." sheetId="7" r:id="rId15"/>
    <sheet name="Люб. ПЛ. софт стандарт" sheetId="6" r:id="rId16"/>
    <sheet name="ПРО ПЛ. 1.слой" sheetId="5" r:id="rId17"/>
    <sheet name="Русская тяга проф. 150 кг." sheetId="22" r:id="rId18"/>
    <sheet name="Русская тяга люб. 150 кг." sheetId="23" r:id="rId19"/>
    <sheet name="Русская тяга люб. 100 кг." sheetId="24" r:id="rId20"/>
    <sheet name="Русская тяга люб. 55 кг." sheetId="25" r:id="rId21"/>
    <sheet name="РБ Проф 50 кг." sheetId="26" r:id="rId22"/>
    <sheet name="РЖ Проф 100 кг." sheetId="27" r:id="rId23"/>
    <sheet name="Бицепс Профессионалы" sheetId="28" r:id="rId24"/>
    <sheet name="Бицепс Любители" sheetId="29" r:id="rId25"/>
    <sheet name="Люб. становая тяга" sheetId="30" r:id="rId26"/>
  </sheets>
  <definedNames>
    <definedName name="_FilterDatabase" localSheetId="16" hidden="1">'ПРО ПЛ. 1.слой'!$A$1:$S$3</definedName>
    <definedName name="_FilterDatabase" localSheetId="22" hidden="1">'РЖ Проф 100 кг.'!$A$1:$I$3</definedName>
  </definedNames>
  <calcPr calcId="162913" refMode="R1C1"/>
</workbook>
</file>

<file path=xl/calcChain.xml><?xml version="1.0" encoding="utf-8"?>
<calcChain xmlns="http://schemas.openxmlformats.org/spreadsheetml/2006/main">
  <c r="D6" i="30" l="1"/>
  <c r="I6" i="30"/>
  <c r="J6" i="30"/>
  <c r="D6" i="29" l="1"/>
  <c r="K6" i="29"/>
  <c r="L6" i="29"/>
  <c r="D7" i="29"/>
  <c r="K7" i="29"/>
  <c r="L7" i="29"/>
  <c r="D10" i="29"/>
  <c r="K10" i="29"/>
  <c r="L10" i="29"/>
  <c r="D11" i="29"/>
  <c r="K11" i="29"/>
  <c r="L11" i="29"/>
  <c r="D14" i="29"/>
  <c r="K14" i="29"/>
  <c r="L14" i="29"/>
  <c r="D17" i="29"/>
  <c r="K17" i="29"/>
  <c r="L17" i="29"/>
  <c r="D18" i="29"/>
  <c r="K18" i="29"/>
  <c r="L18" i="29"/>
  <c r="D6" i="28"/>
  <c r="K6" i="28"/>
  <c r="L6" i="28"/>
  <c r="D7" i="28"/>
  <c r="K7" i="28"/>
  <c r="L7" i="28"/>
  <c r="D8" i="28"/>
  <c r="K8" i="28"/>
  <c r="L8" i="28"/>
  <c r="D6" i="27" l="1"/>
  <c r="I6" i="27"/>
  <c r="J6" i="27"/>
  <c r="D6" i="26"/>
  <c r="I6" i="26"/>
  <c r="J6" i="26"/>
  <c r="D7" i="26"/>
  <c r="I7" i="26"/>
  <c r="J7" i="26"/>
  <c r="D8" i="26"/>
  <c r="I8" i="26"/>
  <c r="J8" i="26"/>
  <c r="D6" i="25"/>
  <c r="I6" i="25"/>
  <c r="J6" i="25"/>
  <c r="D7" i="25"/>
  <c r="I7" i="25"/>
  <c r="J7" i="25"/>
  <c r="D8" i="25"/>
  <c r="I8" i="25"/>
  <c r="J8" i="25"/>
  <c r="D6" i="24"/>
  <c r="I6" i="24"/>
  <c r="J6" i="24"/>
  <c r="D7" i="24"/>
  <c r="I7" i="24"/>
  <c r="J7" i="24"/>
  <c r="D6" i="23"/>
  <c r="I6" i="23"/>
  <c r="J6" i="23"/>
  <c r="D7" i="23"/>
  <c r="I7" i="23"/>
  <c r="J7" i="23"/>
  <c r="D6" i="22"/>
  <c r="I6" i="22"/>
  <c r="J6" i="22"/>
  <c r="D7" i="22"/>
  <c r="I7" i="22"/>
  <c r="J7" i="22"/>
  <c r="P6" i="20" l="1"/>
  <c r="O6" i="20"/>
  <c r="D6" i="20"/>
  <c r="P6" i="19"/>
  <c r="O6" i="19"/>
  <c r="D6" i="19"/>
  <c r="L6" i="18"/>
  <c r="K6" i="18"/>
  <c r="D6" i="18"/>
  <c r="L10" i="16"/>
  <c r="K10" i="16"/>
  <c r="D10" i="16"/>
  <c r="L9" i="16"/>
  <c r="K9" i="16"/>
  <c r="D9" i="16"/>
  <c r="L6" i="16"/>
  <c r="K6" i="16"/>
  <c r="D6" i="16"/>
  <c r="L34" i="15"/>
  <c r="K34" i="15"/>
  <c r="D34" i="15"/>
  <c r="L31" i="15"/>
  <c r="K31" i="15"/>
  <c r="D31" i="15"/>
  <c r="L28" i="15"/>
  <c r="K28" i="15"/>
  <c r="D28" i="15"/>
  <c r="L27" i="15"/>
  <c r="K27" i="15"/>
  <c r="D27" i="15"/>
  <c r="L26" i="15"/>
  <c r="K26" i="15"/>
  <c r="D26" i="15"/>
  <c r="L23" i="15"/>
  <c r="K23" i="15"/>
  <c r="D23" i="15"/>
  <c r="L22" i="15"/>
  <c r="K22" i="15"/>
  <c r="D22" i="15"/>
  <c r="L19" i="15"/>
  <c r="K19" i="15"/>
  <c r="D19" i="15"/>
  <c r="L18" i="15"/>
  <c r="K18" i="15"/>
  <c r="D18" i="15"/>
  <c r="L17" i="15"/>
  <c r="K17" i="15"/>
  <c r="D17" i="15"/>
  <c r="L14" i="15"/>
  <c r="K14" i="15"/>
  <c r="D14" i="15"/>
  <c r="L13" i="15"/>
  <c r="K13" i="15"/>
  <c r="D13" i="15"/>
  <c r="L12" i="15"/>
  <c r="K12" i="15"/>
  <c r="D12" i="15"/>
  <c r="L9" i="15"/>
  <c r="K9" i="15"/>
  <c r="D9" i="15"/>
  <c r="L6" i="15"/>
  <c r="K6" i="15"/>
  <c r="D6" i="15"/>
  <c r="L7" i="12"/>
  <c r="K7" i="12"/>
  <c r="D7" i="12"/>
  <c r="L6" i="12"/>
  <c r="K6" i="12"/>
  <c r="D6" i="12"/>
  <c r="L6" i="11"/>
  <c r="K6" i="11"/>
  <c r="D6" i="11"/>
  <c r="L15" i="10"/>
  <c r="K15" i="10"/>
  <c r="D15" i="10"/>
  <c r="L12" i="10"/>
  <c r="K12" i="10"/>
  <c r="D12" i="10"/>
  <c r="L9" i="10"/>
  <c r="K9" i="10"/>
  <c r="D9" i="10"/>
  <c r="L6" i="10"/>
  <c r="K6" i="10"/>
  <c r="D6" i="10"/>
  <c r="L30" i="9"/>
  <c r="K30" i="9"/>
  <c r="D30" i="9"/>
  <c r="L27" i="9"/>
  <c r="K27" i="9"/>
  <c r="D27" i="9"/>
  <c r="L26" i="9"/>
  <c r="K26" i="9"/>
  <c r="D26" i="9"/>
  <c r="L23" i="9"/>
  <c r="K23" i="9"/>
  <c r="D23" i="9"/>
  <c r="L22" i="9"/>
  <c r="K22" i="9"/>
  <c r="D22" i="9"/>
  <c r="L19" i="9"/>
  <c r="K19" i="9"/>
  <c r="D19" i="9"/>
  <c r="L18" i="9"/>
  <c r="K18" i="9"/>
  <c r="D18" i="9"/>
  <c r="L17" i="9"/>
  <c r="K17" i="9"/>
  <c r="D17" i="9"/>
  <c r="L16" i="9"/>
  <c r="K16" i="9"/>
  <c r="D16" i="9"/>
  <c r="L13" i="9"/>
  <c r="K13" i="9"/>
  <c r="D13" i="9"/>
  <c r="L12" i="9"/>
  <c r="K12" i="9"/>
  <c r="D12" i="9"/>
  <c r="L9" i="9"/>
  <c r="K9" i="9"/>
  <c r="D9" i="9"/>
  <c r="L6" i="9"/>
  <c r="K6" i="9"/>
  <c r="D6" i="9"/>
  <c r="T6" i="8"/>
  <c r="S6" i="8"/>
  <c r="D6" i="8"/>
  <c r="T25" i="7"/>
  <c r="S25" i="7"/>
  <c r="D25" i="7"/>
  <c r="T24" i="7"/>
  <c r="S24" i="7"/>
  <c r="D24" i="7"/>
  <c r="T21" i="7"/>
  <c r="S21" i="7"/>
  <c r="D21" i="7"/>
  <c r="T20" i="7"/>
  <c r="S20" i="7"/>
  <c r="D20" i="7"/>
  <c r="T17" i="7"/>
  <c r="S17" i="7"/>
  <c r="D17" i="7"/>
  <c r="T16" i="7"/>
  <c r="S16" i="7"/>
  <c r="D16" i="7"/>
  <c r="T13" i="7"/>
  <c r="S13" i="7"/>
  <c r="D13" i="7"/>
  <c r="T10" i="7"/>
  <c r="S10" i="7"/>
  <c r="D10" i="7"/>
  <c r="T9" i="7"/>
  <c r="S9" i="7"/>
  <c r="D9" i="7"/>
  <c r="T6" i="7"/>
  <c r="S6" i="7"/>
  <c r="D6" i="7"/>
</calcChain>
</file>

<file path=xl/sharedStrings.xml><?xml version="1.0" encoding="utf-8"?>
<sst xmlns="http://schemas.openxmlformats.org/spreadsheetml/2006/main" count="1955" uniqueCount="528">
  <si>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</si>
  <si>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</si>
  <si>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</si>
  <si>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</si>
  <si>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</si>
  <si>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</si>
  <si>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</si>
  <si>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</si>
  <si>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</si>
  <si>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</si>
  <si>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</si>
  <si>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</si>
  <si>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Евразии (Краснодар 23-24 Апреля 2022 г.)
ПРО пауэрлифтинг в однослойной экипировке
Краснодар/Краснодарский край 23 - 24 апреля 2022 г.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</si>
  <si>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</si>
  <si>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</si>
  <si>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</si>
  <si>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</si>
  <si>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</si>
  <si>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</si>
  <si>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Чемпионат Евразии (Краснодар 23-24 Апреля 2022 г.)
Любители пауэрлифтинг софт экипировка стандарт
Краснодар/Краснодарский край 23 - 24 апреля 2022 г.</t>
  </si>
  <si>
    <t>Чемпионат Евразии (Краснодар 23-24 Апреля 2022 г.)
Любители пауэрлифтинг без экипировки
Краснодар/Краснодарский край 23 - 24 апреля 2022 г.</t>
  </si>
  <si>
    <t>Shv/Mel</t>
  </si>
  <si>
    <t>Приседание</t>
  </si>
  <si>
    <t>Жим лёжа</t>
  </si>
  <si>
    <t>Становая тяга</t>
  </si>
  <si>
    <t>ВЕСОВАЯ КАТЕГОРИЯ   90+</t>
  </si>
  <si>
    <t>Бондаренко Маргарита</t>
  </si>
  <si>
    <t>1. Бондаренко Маргарита</t>
  </si>
  <si>
    <t>Мастера 40 - 44 (08.07.1978)/43</t>
  </si>
  <si>
    <t>107,10</t>
  </si>
  <si>
    <t xml:space="preserve">лично </t>
  </si>
  <si>
    <t xml:space="preserve">Краснодар/Краснодарский край </t>
  </si>
  <si>
    <t>77,5</t>
  </si>
  <si>
    <t>85,0</t>
  </si>
  <si>
    <t>92,5</t>
  </si>
  <si>
    <t>47,5</t>
  </si>
  <si>
    <t>52,5</t>
  </si>
  <si>
    <t>57,5</t>
  </si>
  <si>
    <t>115,0</t>
  </si>
  <si>
    <t>127,5</t>
  </si>
  <si>
    <t>135,0</t>
  </si>
  <si>
    <t xml:space="preserve"> </t>
  </si>
  <si>
    <t>ВЕСОВАЯ КАТЕГОРИЯ   75</t>
  </si>
  <si>
    <t>Емиж Ислам</t>
  </si>
  <si>
    <t>1. Емиж Ислам</t>
  </si>
  <si>
    <t>Юниоры 20 - 23 (03.04.2002)/20</t>
  </si>
  <si>
    <t>73,40</t>
  </si>
  <si>
    <t xml:space="preserve">АГУ Майкоп </t>
  </si>
  <si>
    <t xml:space="preserve">Майкоп/Адыгея </t>
  </si>
  <si>
    <t>130,0</t>
  </si>
  <si>
    <t>140,0</t>
  </si>
  <si>
    <t>145,0</t>
  </si>
  <si>
    <t>95,0</t>
  </si>
  <si>
    <t>100,0</t>
  </si>
  <si>
    <t>105,0</t>
  </si>
  <si>
    <t>150,0</t>
  </si>
  <si>
    <t>165,0</t>
  </si>
  <si>
    <t xml:space="preserve">Манько И. </t>
  </si>
  <si>
    <t>Хомутов Сергей</t>
  </si>
  <si>
    <t>1. Хомутов Сергей</t>
  </si>
  <si>
    <t>Открытая (24.01.1991)/31</t>
  </si>
  <si>
    <t>ВЕСОВАЯ КАТЕГОРИЯ   82.5</t>
  </si>
  <si>
    <t>Грунтов Михаил</t>
  </si>
  <si>
    <t>1. Грунтов Михаил</t>
  </si>
  <si>
    <t>Юноши 18 - 19 (21.10.2003)/18</t>
  </si>
  <si>
    <t>79,00</t>
  </si>
  <si>
    <t>80,0</t>
  </si>
  <si>
    <t>90,0</t>
  </si>
  <si>
    <t>75,0</t>
  </si>
  <si>
    <t>ВЕСОВАЯ КАТЕГОРИЯ   100</t>
  </si>
  <si>
    <t>Армашевский Михаил</t>
  </si>
  <si>
    <t>1. Армашевский Михаил</t>
  </si>
  <si>
    <t>Открытая (07.05.1996)/25</t>
  </si>
  <si>
    <t>98,10</t>
  </si>
  <si>
    <t xml:space="preserve">Армашевский М </t>
  </si>
  <si>
    <t xml:space="preserve">Белореченск/Краснодарский край </t>
  </si>
  <si>
    <t>200,0</t>
  </si>
  <si>
    <t>210,0</t>
  </si>
  <si>
    <t>220,0</t>
  </si>
  <si>
    <t>125,0</t>
  </si>
  <si>
    <t>190,0</t>
  </si>
  <si>
    <t>205,0</t>
  </si>
  <si>
    <t>247,5</t>
  </si>
  <si>
    <t xml:space="preserve">Джимов Владимир </t>
  </si>
  <si>
    <t>Гадиев Казбек</t>
  </si>
  <si>
    <t>1. Гадиев Казбек</t>
  </si>
  <si>
    <t>Мастера 40 - 44 (30.05.1980)/41</t>
  </si>
  <si>
    <t>97,20</t>
  </si>
  <si>
    <t xml:space="preserve">Фитнес Клуб Олимпийский </t>
  </si>
  <si>
    <t>180,0</t>
  </si>
  <si>
    <t xml:space="preserve">Армашевский Михаил </t>
  </si>
  <si>
    <t>ВЕСОВАЯ КАТЕГОРИЯ   110</t>
  </si>
  <si>
    <t>Крапивка Иван</t>
  </si>
  <si>
    <t>1. Крапивка Иван</t>
  </si>
  <si>
    <t>Открытая (13.10.1977)/44</t>
  </si>
  <si>
    <t>109,20</t>
  </si>
  <si>
    <t xml:space="preserve">FTZ </t>
  </si>
  <si>
    <t>207,5</t>
  </si>
  <si>
    <t>160,0</t>
  </si>
  <si>
    <t>170,0</t>
  </si>
  <si>
    <t>270,0</t>
  </si>
  <si>
    <t>275,0</t>
  </si>
  <si>
    <t>280,0</t>
  </si>
  <si>
    <t xml:space="preserve">Калаян Геворк </t>
  </si>
  <si>
    <t>Мастера 40 - 44 (13.10.1977)/44</t>
  </si>
  <si>
    <t>ВЕСОВАЯ КАТЕГОРИЯ   125</t>
  </si>
  <si>
    <t>Авджян Владимир</t>
  </si>
  <si>
    <t>1. Авджян Владимир</t>
  </si>
  <si>
    <t>Открытая (16.02.1993)/29</t>
  </si>
  <si>
    <t>119,00</t>
  </si>
  <si>
    <t xml:space="preserve">Сочи/Краснодарский край </t>
  </si>
  <si>
    <t>245,0</t>
  </si>
  <si>
    <t>260,0</t>
  </si>
  <si>
    <t>177,5</t>
  </si>
  <si>
    <t>290,0</t>
  </si>
  <si>
    <t>305,0</t>
  </si>
  <si>
    <t>Черепанов Александр</t>
  </si>
  <si>
    <t>2. Черепанов Александр</t>
  </si>
  <si>
    <t>Открытая (11.05.1989)/32</t>
  </si>
  <si>
    <t>125,00</t>
  </si>
  <si>
    <t>240,0</t>
  </si>
  <si>
    <t>185,0</t>
  </si>
  <si>
    <t xml:space="preserve">Дроб Максим </t>
  </si>
  <si>
    <t xml:space="preserve">Женщины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</si>
  <si>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</si>
  <si>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</si>
  <si>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</si>
  <si>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</si>
  <si>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</si>
  <si>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</si>
  <si>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40 - 44 </t>
  </si>
  <si>
    <t>90+</t>
  </si>
  <si>
    <t>285,0</t>
  </si>
  <si>
    <t>167,6226</t>
  </si>
  <si>
    <t xml:space="preserve">Мужчины </t>
  </si>
  <si>
    <t xml:space="preserve">Юноши </t>
  </si>
  <si>
    <t xml:space="preserve">Юноши 18 - 19 </t>
  </si>
  <si>
    <t>82.5</t>
  </si>
  <si>
    <t>315,0</t>
  </si>
  <si>
    <t>213,2953</t>
  </si>
  <si>
    <t xml:space="preserve">Юниоры </t>
  </si>
  <si>
    <t xml:space="preserve">Юниоры 20 - 23 </t>
  </si>
  <si>
    <t>75</t>
  </si>
  <si>
    <t>390,0</t>
  </si>
  <si>
    <t>271,5492</t>
  </si>
  <si>
    <t xml:space="preserve">Открытая </t>
  </si>
  <si>
    <t>125</t>
  </si>
  <si>
    <t>752,5</t>
  </si>
  <si>
    <t>397,2447</t>
  </si>
  <si>
    <t>730,0</t>
  </si>
  <si>
    <t>380,3300</t>
  </si>
  <si>
    <t>110</t>
  </si>
  <si>
    <t>647,5</t>
  </si>
  <si>
    <t>348,0313</t>
  </si>
  <si>
    <t>100</t>
  </si>
  <si>
    <t>530,0</t>
  </si>
  <si>
    <t>296,2170</t>
  </si>
  <si>
    <t>385,0</t>
  </si>
  <si>
    <t>260,2600</t>
  </si>
  <si>
    <t>358,8202</t>
  </si>
  <si>
    <t>545,0</t>
  </si>
  <si>
    <t>306,8262</t>
  </si>
  <si>
    <t>Чемпионат Евразии (Краснодар 23-24 Апреля 2022 г.)
ПРО пауэрлифтинг без экипировки
Краснодар/Краснодарский край 23 - 24 апреля 2022 г.</t>
  </si>
  <si>
    <t>ВЕСОВАЯ КАТЕГОРИЯ   90</t>
  </si>
  <si>
    <t>Соколов Владимир</t>
  </si>
  <si>
    <t>1. Соколов Владимир</t>
  </si>
  <si>
    <t>Мастера 45 - 49 (11.10.1974)/47</t>
  </si>
  <si>
    <t>88,30</t>
  </si>
  <si>
    <t xml:space="preserve">Ставропольстрой опторг </t>
  </si>
  <si>
    <t xml:space="preserve">Ставрополь/Ставропольский край </t>
  </si>
  <si>
    <t>225,0</t>
  </si>
  <si>
    <t xml:space="preserve">Мастера 45 - 49 </t>
  </si>
  <si>
    <t>90</t>
  </si>
  <si>
    <t>540,0</t>
  </si>
  <si>
    <t>349,2085</t>
  </si>
  <si>
    <t>Чемпионат Евразии (Краснодар 23-24 Апреля 2022 г.)
Любители жим лежа без экипировки
Краснодар/Краснодарский край 23 - 24 апреля 2022 г.</t>
  </si>
  <si>
    <t>ВЕСОВАЯ КАТЕГОРИЯ   52</t>
  </si>
  <si>
    <t>Евсеенкова Юлия</t>
  </si>
  <si>
    <t>1. Евсеенкова Юлия</t>
  </si>
  <si>
    <t>Открытая (02.05.1983)/38</t>
  </si>
  <si>
    <t>52,00</t>
  </si>
  <si>
    <t>60,0</t>
  </si>
  <si>
    <t>65,0</t>
  </si>
  <si>
    <t xml:space="preserve">Геворг </t>
  </si>
  <si>
    <t>Лысенко Юрий</t>
  </si>
  <si>
    <t>1. Лысенко Юрий</t>
  </si>
  <si>
    <t>Юноши 14-15 (06.09.2006)/15</t>
  </si>
  <si>
    <t xml:space="preserve">Ляшко Тим </t>
  </si>
  <si>
    <t xml:space="preserve">Северская/Краснодарский край </t>
  </si>
  <si>
    <t>82,5</t>
  </si>
  <si>
    <t>87,5</t>
  </si>
  <si>
    <t xml:space="preserve">Ляшко Василий </t>
  </si>
  <si>
    <t>Васильев Илья</t>
  </si>
  <si>
    <t>1. Васильев Илья</t>
  </si>
  <si>
    <t>Открытая (17.12.2000)/21</t>
  </si>
  <si>
    <t>70,20</t>
  </si>
  <si>
    <t>107,5</t>
  </si>
  <si>
    <t>112,5</t>
  </si>
  <si>
    <t>Дворкин Леонид</t>
  </si>
  <si>
    <t>1. Дворкин Леонид</t>
  </si>
  <si>
    <t>Мастера 80+ (23.01.1941)/81</t>
  </si>
  <si>
    <t>74,60</t>
  </si>
  <si>
    <t xml:space="preserve">Проф-фитнес </t>
  </si>
  <si>
    <t>97,5</t>
  </si>
  <si>
    <t>102,5</t>
  </si>
  <si>
    <t xml:space="preserve">Авраменко О. </t>
  </si>
  <si>
    <t>Чернов Илья</t>
  </si>
  <si>
    <t>1. Чернов Илья</t>
  </si>
  <si>
    <t>Открытая (20.10.1992)/29</t>
  </si>
  <si>
    <t>82,40</t>
  </si>
  <si>
    <t>122,5</t>
  </si>
  <si>
    <t>132,5</t>
  </si>
  <si>
    <t>Раджабов Фарход</t>
  </si>
  <si>
    <t>2. Раджабов Фарход</t>
  </si>
  <si>
    <t>Открытая (06.03.1990)/32</t>
  </si>
  <si>
    <t>82,50</t>
  </si>
  <si>
    <t xml:space="preserve">Асбест/Свердловская область </t>
  </si>
  <si>
    <t>Логинов Александр</t>
  </si>
  <si>
    <t>1. Логинов Александр</t>
  </si>
  <si>
    <t>Мастера 40 - 44 (19.07.1977)/44</t>
  </si>
  <si>
    <t>80,00</t>
  </si>
  <si>
    <t>110,0</t>
  </si>
  <si>
    <t xml:space="preserve">89604821472 </t>
  </si>
  <si>
    <t>Вареников Алексей</t>
  </si>
  <si>
    <t>1. Вареников Алексей</t>
  </si>
  <si>
    <t>Открытая (31.12.1985)/36</t>
  </si>
  <si>
    <t>87,10</t>
  </si>
  <si>
    <t>Кузнецов Сергей</t>
  </si>
  <si>
    <t>2. Кузнецов Сергей</t>
  </si>
  <si>
    <t>Открытая (27.12.1983)/38</t>
  </si>
  <si>
    <t>85,00</t>
  </si>
  <si>
    <t xml:space="preserve">Выдра Ю.А. </t>
  </si>
  <si>
    <t>Куданов Иван</t>
  </si>
  <si>
    <t>1. Куданов Иван</t>
  </si>
  <si>
    <t>Юниоры 20 - 23 (08.11.1998)/23</t>
  </si>
  <si>
    <t>98,60</t>
  </si>
  <si>
    <t>175,0</t>
  </si>
  <si>
    <t>182,5</t>
  </si>
  <si>
    <t xml:space="preserve">Геворк </t>
  </si>
  <si>
    <t>Открытая (08.11.1998)/23</t>
  </si>
  <si>
    <t>Яковлев Александр</t>
  </si>
  <si>
    <t>1. Яковлев Александр</t>
  </si>
  <si>
    <t>Мастера 40 - 44 (13.07.1978)/43</t>
  </si>
  <si>
    <t>105,60</t>
  </si>
  <si>
    <t xml:space="preserve">EPG </t>
  </si>
  <si>
    <t>230,0</t>
  </si>
  <si>
    <t xml:space="preserve">Результат </t>
  </si>
  <si>
    <t>52</t>
  </si>
  <si>
    <t>58,1610</t>
  </si>
  <si>
    <t xml:space="preserve">Юноши 14-15 </t>
  </si>
  <si>
    <t>98,2424</t>
  </si>
  <si>
    <t>54,1702</t>
  </si>
  <si>
    <t>101,7438</t>
  </si>
  <si>
    <t>82,1235</t>
  </si>
  <si>
    <t>80,6355</t>
  </si>
  <si>
    <t>77,4125</t>
  </si>
  <si>
    <t>75,4005</t>
  </si>
  <si>
    <t>68,2762</t>
  </si>
  <si>
    <t>82,8703</t>
  </si>
  <si>
    <t>75,0398</t>
  </si>
  <si>
    <t xml:space="preserve">Мастера 80+ </t>
  </si>
  <si>
    <t>65,0617</t>
  </si>
  <si>
    <t>Результат</t>
  </si>
  <si>
    <t>Чемпионат Евразии (Краснодар 23-24 Апреля 2022 г.)
ПРО жим лежа без экипировки
Краснодар/Краснодарский край 23 - 24 апреля 2022 г.</t>
  </si>
  <si>
    <t>Соловьёв Евгений</t>
  </si>
  <si>
    <t>1. Соловьёв Евгений</t>
  </si>
  <si>
    <t>Мастера 40 - 44 (27.07.1979)/42</t>
  </si>
  <si>
    <t>78,20</t>
  </si>
  <si>
    <t xml:space="preserve">Олимпийский </t>
  </si>
  <si>
    <t>155,0</t>
  </si>
  <si>
    <t>Рыбалко Владимир</t>
  </si>
  <si>
    <t>1. Рыбалко Владимир</t>
  </si>
  <si>
    <t>Открытая (04.05.1987)/34</t>
  </si>
  <si>
    <t>86,10</t>
  </si>
  <si>
    <t>Мищенко Артем</t>
  </si>
  <si>
    <t>1. Мищенко Артем</t>
  </si>
  <si>
    <t>Открытая (26.06.1984)/37</t>
  </si>
  <si>
    <t>95,50</t>
  </si>
  <si>
    <t xml:space="preserve">TG </t>
  </si>
  <si>
    <t xml:space="preserve">Москва </t>
  </si>
  <si>
    <t xml:space="preserve">Сапажульков Андрей </t>
  </si>
  <si>
    <t>Долгов Глеб</t>
  </si>
  <si>
    <t>1. Долгов Глеб</t>
  </si>
  <si>
    <t>Открытая (11.03.2000)/22</t>
  </si>
  <si>
    <t>110,00</t>
  </si>
  <si>
    <t>215,0</t>
  </si>
  <si>
    <t>118,9230</t>
  </si>
  <si>
    <t>115,3475</t>
  </si>
  <si>
    <t>105,3150</t>
  </si>
  <si>
    <t>107,1497</t>
  </si>
  <si>
    <t>Чемпионат Евразии (Краснодар 23-24 Апреля 2022 г.)
Любители жим лежа в Софт экипировка однопетельная
Краснодар/Краснодарский край 23 - 24 апреля 2022 г.</t>
  </si>
  <si>
    <t>Ульянов Антон</t>
  </si>
  <si>
    <t>1. Ульянов Антон</t>
  </si>
  <si>
    <t>Открытая (09.04.1997)/25</t>
  </si>
  <si>
    <t>78,90</t>
  </si>
  <si>
    <t xml:space="preserve">Тюмень/Тюменская область </t>
  </si>
  <si>
    <t>195,0</t>
  </si>
  <si>
    <t>118,2890</t>
  </si>
  <si>
    <t>Чемпионат Евразии (Краснодар 23-24 Апреля 2022 г.)
ПРО жим лежа Софт экипировка однопетельная
Краснодар/Краснодарский край 23 - 24 апреля 2022 г.</t>
  </si>
  <si>
    <t>Якушенко Константин</t>
  </si>
  <si>
    <t>1. Якушенко Константин</t>
  </si>
  <si>
    <t>Открытая (12.06.1970)/51</t>
  </si>
  <si>
    <t>95,40</t>
  </si>
  <si>
    <t>247,0</t>
  </si>
  <si>
    <t>Мастера 50 - 54 (12.06.1970)/51</t>
  </si>
  <si>
    <t>139,9502</t>
  </si>
  <si>
    <t xml:space="preserve">Мастера 50 - 54 </t>
  </si>
  <si>
    <t>168,5000</t>
  </si>
  <si>
    <t>Чемпионат Евразии (Краснодар 23-24 Апреля 2022 г.)
ПРО жим лежа в Софт экипировка многопетельная
Краснодар/Краснодарский край 23 - 24 апреля 2022 г.</t>
  </si>
  <si>
    <t>Чемпионат Евразии (Краснодар 23-24 Апреля 2022 г.)
ПРО становая тяга в однослойной экипировке
Краснодар/Краснодарский край 23 - 24 апреля 2022 г.</t>
  </si>
  <si>
    <t>Чемпионат Евразии (Краснодар 23-24 Апреля 2022 г.)
Любители становая тяга без экипировки
Краснодар/Краснодарский край 23 - 24 апреля 2022 г.</t>
  </si>
  <si>
    <t>ВЕСОВАЯ КАТЕГОРИЯ   60</t>
  </si>
  <si>
    <t>Седова Карина</t>
  </si>
  <si>
    <t>1. Седова Карина</t>
  </si>
  <si>
    <t>Открытая (12.11.1989)/32</t>
  </si>
  <si>
    <t>59,70</t>
  </si>
  <si>
    <t xml:space="preserve">Ферум </t>
  </si>
  <si>
    <t>120,0</t>
  </si>
  <si>
    <t>137,5</t>
  </si>
  <si>
    <t>ВЕСОВАЯ КАТЕГОРИЯ   67.5</t>
  </si>
  <si>
    <t>Вац Максим</t>
  </si>
  <si>
    <t>1. Вац Максим</t>
  </si>
  <si>
    <t>Юноши 18 - 19 (07.09.2002)/19</t>
  </si>
  <si>
    <t>66,40</t>
  </si>
  <si>
    <t xml:space="preserve">Головко П.В. </t>
  </si>
  <si>
    <t>-. Масляков Сергей</t>
  </si>
  <si>
    <t>Открытая (14.03.1970)/52</t>
  </si>
  <si>
    <t>67,50</t>
  </si>
  <si>
    <t xml:space="preserve">Староминская/Краснодарский край </t>
  </si>
  <si>
    <t xml:space="preserve">Кожушний </t>
  </si>
  <si>
    <t>Мастера 50 - 54 (14.03.1970)/52</t>
  </si>
  <si>
    <t>Бабичев Андрей</t>
  </si>
  <si>
    <t>1. Бабичев Андрей</t>
  </si>
  <si>
    <t>Юниоры 20 - 23 (18.06.1998)/23</t>
  </si>
  <si>
    <t>72,90</t>
  </si>
  <si>
    <t xml:space="preserve">Тульский/Адыгея республика </t>
  </si>
  <si>
    <t xml:space="preserve">Никулкин Руслан </t>
  </si>
  <si>
    <t>2. Емиж Ислам</t>
  </si>
  <si>
    <t>Зимарин Кирилл</t>
  </si>
  <si>
    <t>1. Зимарин Кирилл</t>
  </si>
  <si>
    <t>Открытая (29.08.2004)/17</t>
  </si>
  <si>
    <t>82,10</t>
  </si>
  <si>
    <t xml:space="preserve">Виноград жим </t>
  </si>
  <si>
    <t xml:space="preserve">Анапа/Краснодарский край </t>
  </si>
  <si>
    <t>217,5</t>
  </si>
  <si>
    <t xml:space="preserve">Шукшин П.Н. </t>
  </si>
  <si>
    <t>Молчанов Евгений</t>
  </si>
  <si>
    <t>1. Молчанов Евгений</t>
  </si>
  <si>
    <t>Открытая (05.08.1987)/34</t>
  </si>
  <si>
    <t>89,00</t>
  </si>
  <si>
    <t>235,0</t>
  </si>
  <si>
    <t>Голубков Александр</t>
  </si>
  <si>
    <t>2. Голубков Александр</t>
  </si>
  <si>
    <t>Открытая (25.06.1987)/34</t>
  </si>
  <si>
    <t>Буров Андрей</t>
  </si>
  <si>
    <t>1. Буров Андрей</t>
  </si>
  <si>
    <t>Мастера 50 - 54 (13.12.1967)/54</t>
  </si>
  <si>
    <t>87,50</t>
  </si>
  <si>
    <t>Шурдумов Альбек</t>
  </si>
  <si>
    <t>1. Шурдумов Альбек</t>
  </si>
  <si>
    <t>96,60</t>
  </si>
  <si>
    <t>250,0</t>
  </si>
  <si>
    <t>60</t>
  </si>
  <si>
    <t>112,4045</t>
  </si>
  <si>
    <t>151,5739</t>
  </si>
  <si>
    <t>67.5</t>
  </si>
  <si>
    <t>111,0944</t>
  </si>
  <si>
    <t>98,1836</t>
  </si>
  <si>
    <t>122,3460</t>
  </si>
  <si>
    <t>104,4420</t>
  </si>
  <si>
    <t>146,3800</t>
  </si>
  <si>
    <t>138,4855</t>
  </si>
  <si>
    <t>136,2060</t>
  </si>
  <si>
    <t>124,2800</t>
  </si>
  <si>
    <t>101,4000</t>
  </si>
  <si>
    <t>166,3511</t>
  </si>
  <si>
    <t>135,3548</t>
  </si>
  <si>
    <t>Чемпионат Евразии (Краснодар 23-24 Апреля 2022 г.)
ПРО становая тяга без экипировки
Краснодар/Краснодарский край 23 - 24 апреля 2022 г.</t>
  </si>
  <si>
    <t>Широкобородов Антон</t>
  </si>
  <si>
    <t>1. Широкобородов Антон</t>
  </si>
  <si>
    <t>Юноши 14-15 (18.11.2007)/14</t>
  </si>
  <si>
    <t>46,80</t>
  </si>
  <si>
    <t xml:space="preserve">Старжим </t>
  </si>
  <si>
    <t xml:space="preserve">Масляков Сергей Викторович </t>
  </si>
  <si>
    <t>Ляшко Василий</t>
  </si>
  <si>
    <t>1. Ляшко Василий</t>
  </si>
  <si>
    <t>Открытая (15.07.1982)/39</t>
  </si>
  <si>
    <t>108,60</t>
  </si>
  <si>
    <t>300,0</t>
  </si>
  <si>
    <t>Выдра Юрий</t>
  </si>
  <si>
    <t>1. Выдра Юрий</t>
  </si>
  <si>
    <t>Мастера 45 - 49 (18.10.1975)/46</t>
  </si>
  <si>
    <t>104,50</t>
  </si>
  <si>
    <t>106,2622</t>
  </si>
  <si>
    <t>161,4600</t>
  </si>
  <si>
    <t>145,5444</t>
  </si>
  <si>
    <t>Чемпионат Евразии (Краснодар 23-24 Апреля 2022 г.)
ПРО присед в однослойной экипировке
Краснодар/Краснодарский край 23 - 24 апреля 2022 г.</t>
  </si>
  <si>
    <t>Чемпионат Евразии (Краснодар 23-24 Апреля 2022 г.)
Любители присед без экипировки
Краснодар/Краснодарский край 23 - 24 апреля 2022 г.</t>
  </si>
  <si>
    <t>94,6400</t>
  </si>
  <si>
    <t>Чемпионат Евразии (Краснодар 23-24 Апреля 2022 г.)
Силовое двоеборье любители
Краснодар/Краснодарский край 23 - 24 апреля 2022 г.</t>
  </si>
  <si>
    <t>395,0</t>
  </si>
  <si>
    <t>218,2251</t>
  </si>
  <si>
    <t>Чемпионат Евразии (Краснодар 23-24 Апреля 2022 г.)
Силовое двоеборье профессионалы
Краснодар/Краснодарский край 23 - 24 апреля 2022 г.</t>
  </si>
  <si>
    <t>229,9601</t>
  </si>
  <si>
    <t>ВЕСОВАЯ КАТЕГОРИЯ   48</t>
  </si>
  <si>
    <t>48</t>
  </si>
  <si>
    <t>22,7272</t>
  </si>
  <si>
    <t>2250,0</t>
  </si>
  <si>
    <t>All</t>
  </si>
  <si>
    <t>Никандров Роман</t>
  </si>
  <si>
    <t xml:space="preserve">Атлетизм </t>
  </si>
  <si>
    <t>49,0909</t>
  </si>
  <si>
    <t>4050,0</t>
  </si>
  <si>
    <t>15,0</t>
  </si>
  <si>
    <t xml:space="preserve">Мистер Мускул </t>
  </si>
  <si>
    <t>99,00</t>
  </si>
  <si>
    <t>Мастера 40 - 44 (30.10.1978)/43</t>
  </si>
  <si>
    <t>1. Никандров Роман</t>
  </si>
  <si>
    <t>27,0</t>
  </si>
  <si>
    <t>1. Раджабов Фарход</t>
  </si>
  <si>
    <t>ВЕСОВАЯ КАТЕГОРИЯ   All</t>
  </si>
  <si>
    <t>Тоннаж</t>
  </si>
  <si>
    <t>Русская становая</t>
  </si>
  <si>
    <t>Атлетизм</t>
  </si>
  <si>
    <t>Чемпионат Евразии (Русский)
Русская станова тяга профессионалы 150 кг.
Краснодар/Краснодарский край 23 - 24 апреля 2022 г.</t>
  </si>
  <si>
    <t>66,6666</t>
  </si>
  <si>
    <t>4500,0</t>
  </si>
  <si>
    <t>Масляков Сергей</t>
  </si>
  <si>
    <t>30,0</t>
  </si>
  <si>
    <t>1. Масляков Сергей</t>
  </si>
  <si>
    <t>Чемпионат Евразии (Русский)
Русская станова тяга любители 150 кг.
Краснодар/Краснодарский край 23 - 24 апреля 2022 г.</t>
  </si>
  <si>
    <t>43,5967</t>
  </si>
  <si>
    <t>3200,0</t>
  </si>
  <si>
    <t>27,3972</t>
  </si>
  <si>
    <t>2000,0</t>
  </si>
  <si>
    <t>Юсеф Симон</t>
  </si>
  <si>
    <t>32,0</t>
  </si>
  <si>
    <t xml:space="preserve">Никандров Р.Г. </t>
  </si>
  <si>
    <t>20,0</t>
  </si>
  <si>
    <t>73,00</t>
  </si>
  <si>
    <t>Юноши 18 - 19 (06.06.2003)/18</t>
  </si>
  <si>
    <t>1. Юсеф Симон</t>
  </si>
  <si>
    <t>Чемпионат Евразии (Русский)
Русская станова тяга любители 100 кг.
Краснодар/Краснодарский край 23 - 24 апреля 2022 г.</t>
  </si>
  <si>
    <t>56,2500</t>
  </si>
  <si>
    <t>2475,0</t>
  </si>
  <si>
    <t>Лобас Екатерина</t>
  </si>
  <si>
    <t>58,1395</t>
  </si>
  <si>
    <t>2750,0</t>
  </si>
  <si>
    <t>Чирва Елена</t>
  </si>
  <si>
    <t>70,6656</t>
  </si>
  <si>
    <t>4565,0</t>
  </si>
  <si>
    <t>Клименко Юлия</t>
  </si>
  <si>
    <t xml:space="preserve">- </t>
  </si>
  <si>
    <t>45,0</t>
  </si>
  <si>
    <t>55,0</t>
  </si>
  <si>
    <t>44,00</t>
  </si>
  <si>
    <t>Открытая (21.09.1998)/23</t>
  </si>
  <si>
    <t>3. Лобас Екатерина</t>
  </si>
  <si>
    <t>50,0</t>
  </si>
  <si>
    <t>47,30</t>
  </si>
  <si>
    <t>Открытая (13.05.1986)/35</t>
  </si>
  <si>
    <t>2. Чирва Елена</t>
  </si>
  <si>
    <t>83,0</t>
  </si>
  <si>
    <t>64,60</t>
  </si>
  <si>
    <t>Открытая (03.10.1991)/30</t>
  </si>
  <si>
    <t>1. Клименко Юлия</t>
  </si>
  <si>
    <t>Чемпионат Евразии (Русский)
Русская станова тяга любители 55 кг.
Краснодар/Краснодарский край 23 - 24 апреля 2022 г.</t>
  </si>
  <si>
    <t>14,1414</t>
  </si>
  <si>
    <t>1400,0</t>
  </si>
  <si>
    <t>14,0000</t>
  </si>
  <si>
    <t>1050,0</t>
  </si>
  <si>
    <t>Соломахин Александр</t>
  </si>
  <si>
    <t>17,6470</t>
  </si>
  <si>
    <t>1650,0</t>
  </si>
  <si>
    <t xml:space="preserve">Юноши 16 - 17 </t>
  </si>
  <si>
    <t>Киндрась Дмитрий</t>
  </si>
  <si>
    <t>28,0</t>
  </si>
  <si>
    <t>21,0</t>
  </si>
  <si>
    <t xml:space="preserve">Новочеркасск/Ростовская область </t>
  </si>
  <si>
    <t xml:space="preserve">Muzychenko team </t>
  </si>
  <si>
    <t>75,00</t>
  </si>
  <si>
    <t>Открытая (27.06.1984)/37</t>
  </si>
  <si>
    <t>1. Соломахин Александр</t>
  </si>
  <si>
    <t>33,0</t>
  </si>
  <si>
    <t>93,50</t>
  </si>
  <si>
    <t>Юноши 16 - 17 (26.05.2004)/17</t>
  </si>
  <si>
    <t>1. Киндрась Дмитрий</t>
  </si>
  <si>
    <t>Подъем на бицепс мн.повт.</t>
  </si>
  <si>
    <t>Чемпионат Евразии (Русский)
Русский бицепс профессионалы 50 кг.
Краснодар/Краснодарский край 23 - 24 апреля 2022 г.</t>
  </si>
  <si>
    <t>15,1515</t>
  </si>
  <si>
    <t>1500,0</t>
  </si>
  <si>
    <t>Русский жим</t>
  </si>
  <si>
    <t>Чемпионат Евразии (Русский)
Русский жим профессионалы 100 кг.
Краснодар/Краснодарский край 23 - 24 апреля 2022 г.</t>
  </si>
  <si>
    <t>41,0725</t>
  </si>
  <si>
    <t>72,5</t>
  </si>
  <si>
    <t>38,4143</t>
  </si>
  <si>
    <t>67,5</t>
  </si>
  <si>
    <t>Рахнянский Николай</t>
  </si>
  <si>
    <t>40,2035</t>
  </si>
  <si>
    <t>62,5</t>
  </si>
  <si>
    <t>94,60</t>
  </si>
  <si>
    <t>1. Рахнянский Николай</t>
  </si>
  <si>
    <t>Подъем на бицепс</t>
  </si>
  <si>
    <t>Чемпионат Евразии (Пауэрспорт)
Одиночный подъём штанги на бицепс Профессионалы
Краснодар/Краснодарский край 23 - 24 апреля 2022 г.</t>
  </si>
  <si>
    <t>39,1512</t>
  </si>
  <si>
    <t>42,0840</t>
  </si>
  <si>
    <t>45,9938</t>
  </si>
  <si>
    <t>47,7840</t>
  </si>
  <si>
    <t>37,7808</t>
  </si>
  <si>
    <t>39,4832</t>
  </si>
  <si>
    <t>Ищенко Сергей</t>
  </si>
  <si>
    <t>70,0</t>
  </si>
  <si>
    <t>79,50</t>
  </si>
  <si>
    <t>Юноши 16 - 17 (09.12.2004)/17</t>
  </si>
  <si>
    <t>1. Ищенко Сергей</t>
  </si>
  <si>
    <t>Чемпионат Евразии (Пауэрспорт)
Одиночный подъём штанги на бицепс Любители
Краснодар/Краснодарский край 23 - 24 апреля 2022 г.</t>
  </si>
  <si>
    <t>1768,7040</t>
  </si>
  <si>
    <t>1920,0</t>
  </si>
  <si>
    <t>Давлетшина Ольга</t>
  </si>
  <si>
    <t xml:space="preserve">НАП Н.Ж. </t>
  </si>
  <si>
    <t xml:space="preserve">Скляр О.Ю. </t>
  </si>
  <si>
    <t xml:space="preserve">Спарта </t>
  </si>
  <si>
    <t>59,00</t>
  </si>
  <si>
    <t>Мастера 50 - 54 (09.06.1969)/52</t>
  </si>
  <si>
    <t>1. Давлетшина Ольга</t>
  </si>
  <si>
    <t>Народная становая</t>
  </si>
  <si>
    <t>НАП Н.Ж.</t>
  </si>
  <si>
    <t>Чемпионат Евразии (Народный)
Любители народная становая тяга
Краснодар/Краснодарский край 23 - 24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</si>
</sst>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sqref="A1:XFD1048576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7" bestFit="1" customWidth="1"/>
    <col min="24" max="24" width="8.5703125" style="8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</row>
    <row r="2" spans="1:25" s="2" customFormat="1" ht="66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</row>
    <row r="3" spans="1:25" s="1" customFormat="1" ht="12.75" customHeight="1" x14ac:dyDescent="0.2">
      <c r="A3" s="45" t="s">
        <v>0</v>
      </c>
      <c r="B3" s="47" t="s">
        <v>7</v>
      </c>
      <c r="C3" s="47" t="s">
        <v>11</v>
      </c>
      <c r="D3" s="49" t="s">
        <v>6</v>
      </c>
      <c r="E3" s="51" t="s">
        <v>4</v>
      </c>
      <c r="F3" s="51" t="s">
        <v>8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49" t="s">
        <v>1</v>
      </c>
      <c r="X3" s="49" t="s">
        <v>3</v>
      </c>
      <c r="Y3" s="52" t="s">
        <v>2</v>
      </c>
    </row>
    <row r="4" spans="1:25" s="1" customFormat="1" ht="21" customHeight="1" thickBot="1" x14ac:dyDescent="0.25">
      <c r="A4" s="46"/>
      <c r="B4" s="48"/>
      <c r="C4" s="48"/>
      <c r="D4" s="50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9" t="s">
        <v>9</v>
      </c>
      <c r="T4" s="9" t="s">
        <v>10</v>
      </c>
      <c r="U4" s="9" t="s">
        <v>9</v>
      </c>
      <c r="V4" s="9" t="s">
        <v>10</v>
      </c>
      <c r="W4" s="50"/>
      <c r="X4" s="50"/>
      <c r="Y4" s="53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298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69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6" t="s">
        <v>300</v>
      </c>
      <c r="B6" s="16" t="s">
        <v>301</v>
      </c>
      <c r="C6" s="16" t="s">
        <v>302</v>
      </c>
      <c r="D6" s="16" t="str">
        <f>"0,5666"</f>
        <v>0,5666</v>
      </c>
      <c r="E6" s="16" t="s">
        <v>30</v>
      </c>
      <c r="F6" s="16" t="s">
        <v>31</v>
      </c>
      <c r="G6" s="17" t="s">
        <v>78</v>
      </c>
      <c r="H6" s="17" t="s">
        <v>245</v>
      </c>
      <c r="I6" s="17" t="s">
        <v>303</v>
      </c>
      <c r="J6" s="18"/>
      <c r="K6" s="24" t="str">
        <f>"247,0"</f>
        <v>247,0</v>
      </c>
      <c r="L6" s="25" t="str">
        <f>"139,9502"</f>
        <v>139,9502</v>
      </c>
      <c r="M6" s="16" t="s">
        <v>41</v>
      </c>
    </row>
    <row r="7" spans="1:13" x14ac:dyDescent="0.2">
      <c r="A7" s="19" t="s">
        <v>300</v>
      </c>
      <c r="B7" s="19" t="s">
        <v>304</v>
      </c>
      <c r="C7" s="19" t="s">
        <v>302</v>
      </c>
      <c r="D7" s="19" t="str">
        <f>"0,5666"</f>
        <v>0,5666</v>
      </c>
      <c r="E7" s="19" t="s">
        <v>30</v>
      </c>
      <c r="F7" s="19" t="s">
        <v>31</v>
      </c>
      <c r="G7" s="20" t="s">
        <v>78</v>
      </c>
      <c r="H7" s="20" t="s">
        <v>245</v>
      </c>
      <c r="I7" s="20" t="s">
        <v>303</v>
      </c>
      <c r="J7" s="21"/>
      <c r="K7" s="26" t="str">
        <f>"247,0"</f>
        <v>247,0</v>
      </c>
      <c r="L7" s="27" t="str">
        <f>"168,5000"</f>
        <v>168,5000</v>
      </c>
      <c r="M7" s="19" t="s">
        <v>41</v>
      </c>
    </row>
    <row r="9" spans="1:13" ht="15" x14ac:dyDescent="0.2">
      <c r="E9" s="10" t="s">
        <v>13</v>
      </c>
    </row>
    <row r="10" spans="1:13" ht="15" x14ac:dyDescent="0.2">
      <c r="E10" s="10" t="s">
        <v>14</v>
      </c>
    </row>
    <row r="11" spans="1:13" ht="15" x14ac:dyDescent="0.2">
      <c r="E11" s="10" t="s">
        <v>15</v>
      </c>
    </row>
    <row r="12" spans="1:13" ht="15" x14ac:dyDescent="0.2">
      <c r="E12" s="10" t="s">
        <v>16</v>
      </c>
    </row>
    <row r="13" spans="1:13" ht="15" x14ac:dyDescent="0.2">
      <c r="E13" s="10" t="s">
        <v>16</v>
      </c>
    </row>
    <row r="14" spans="1:13" ht="15" x14ac:dyDescent="0.2">
      <c r="E14" s="10" t="s">
        <v>17</v>
      </c>
    </row>
    <row r="15" spans="1:13" ht="15" x14ac:dyDescent="0.2">
      <c r="E15" s="10"/>
    </row>
    <row r="17" spans="1:5" ht="18" x14ac:dyDescent="0.25">
      <c r="A17" s="12" t="s">
        <v>18</v>
      </c>
      <c r="B17" s="12"/>
    </row>
    <row r="18" spans="1:5" ht="15" x14ac:dyDescent="0.2">
      <c r="A18" s="28" t="s">
        <v>134</v>
      </c>
      <c r="B18" s="28"/>
    </row>
    <row r="19" spans="1:5" ht="14.25" x14ac:dyDescent="0.2">
      <c r="A19" s="30"/>
      <c r="B19" s="31" t="s">
        <v>145</v>
      </c>
    </row>
    <row r="20" spans="1:5" ht="15" x14ac:dyDescent="0.2">
      <c r="A20" s="32" t="s">
        <v>125</v>
      </c>
      <c r="B20" s="32" t="s">
        <v>126</v>
      </c>
      <c r="C20" s="32" t="s">
        <v>127</v>
      </c>
      <c r="D20" s="32" t="s">
        <v>246</v>
      </c>
      <c r="E20" s="32" t="s">
        <v>129</v>
      </c>
    </row>
    <row r="21" spans="1:5" x14ac:dyDescent="0.2">
      <c r="A21" s="29" t="s">
        <v>299</v>
      </c>
      <c r="B21" s="4" t="s">
        <v>145</v>
      </c>
      <c r="C21" s="4" t="s">
        <v>154</v>
      </c>
      <c r="D21" s="4" t="s">
        <v>303</v>
      </c>
      <c r="E21" s="11" t="s">
        <v>305</v>
      </c>
    </row>
    <row r="23" spans="1:5" ht="14.25" x14ac:dyDescent="0.2">
      <c r="A23" s="30"/>
      <c r="B23" s="31" t="s">
        <v>124</v>
      </c>
    </row>
    <row r="24" spans="1:5" ht="15" x14ac:dyDescent="0.2">
      <c r="A24" s="32" t="s">
        <v>125</v>
      </c>
      <c r="B24" s="32" t="s">
        <v>126</v>
      </c>
      <c r="C24" s="32" t="s">
        <v>127</v>
      </c>
      <c r="D24" s="32" t="s">
        <v>246</v>
      </c>
      <c r="E24" s="32" t="s">
        <v>129</v>
      </c>
    </row>
    <row r="25" spans="1:5" x14ac:dyDescent="0.2">
      <c r="A25" s="29" t="s">
        <v>299</v>
      </c>
      <c r="B25" s="4" t="s">
        <v>306</v>
      </c>
      <c r="C25" s="4" t="s">
        <v>154</v>
      </c>
      <c r="D25" s="4" t="s">
        <v>303</v>
      </c>
      <c r="E25" s="11" t="s">
        <v>307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6.2851562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290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61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292</v>
      </c>
      <c r="B6" s="13" t="s">
        <v>293</v>
      </c>
      <c r="C6" s="13" t="s">
        <v>294</v>
      </c>
      <c r="D6" s="13" t="str">
        <f>"0,6394"</f>
        <v>0,6394</v>
      </c>
      <c r="E6" s="13" t="s">
        <v>30</v>
      </c>
      <c r="F6" s="13" t="s">
        <v>295</v>
      </c>
      <c r="G6" s="15" t="s">
        <v>236</v>
      </c>
      <c r="H6" s="15" t="s">
        <v>121</v>
      </c>
      <c r="I6" s="14" t="s">
        <v>296</v>
      </c>
      <c r="J6" s="14"/>
      <c r="K6" s="22" t="str">
        <f>"185,0"</f>
        <v>185,0</v>
      </c>
      <c r="L6" s="23" t="str">
        <f>"118,2890"</f>
        <v>118,2890</v>
      </c>
      <c r="M6" s="13" t="s">
        <v>41</v>
      </c>
    </row>
    <row r="8" spans="1:13" ht="15" x14ac:dyDescent="0.2">
      <c r="E8" s="10" t="s">
        <v>13</v>
      </c>
    </row>
    <row r="9" spans="1:13" ht="15" x14ac:dyDescent="0.2">
      <c r="E9" s="10" t="s">
        <v>14</v>
      </c>
    </row>
    <row r="10" spans="1:13" ht="15" x14ac:dyDescent="0.2">
      <c r="E10" s="10" t="s">
        <v>15</v>
      </c>
    </row>
    <row r="11" spans="1:13" ht="15" x14ac:dyDescent="0.2">
      <c r="E11" s="10" t="s">
        <v>16</v>
      </c>
    </row>
    <row r="12" spans="1:13" ht="15" x14ac:dyDescent="0.2">
      <c r="E12" s="10" t="s">
        <v>16</v>
      </c>
    </row>
    <row r="13" spans="1:13" ht="15" x14ac:dyDescent="0.2">
      <c r="E13" s="10" t="s">
        <v>17</v>
      </c>
    </row>
    <row r="14" spans="1:13" ht="15" x14ac:dyDescent="0.2">
      <c r="E14" s="10"/>
    </row>
    <row r="16" spans="1:13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145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246</v>
      </c>
      <c r="E19" s="32" t="s">
        <v>129</v>
      </c>
    </row>
    <row r="20" spans="1:5" x14ac:dyDescent="0.2">
      <c r="A20" s="29" t="s">
        <v>291</v>
      </c>
      <c r="B20" s="4" t="s">
        <v>145</v>
      </c>
      <c r="C20" s="4" t="s">
        <v>137</v>
      </c>
      <c r="D20" s="4" t="s">
        <v>121</v>
      </c>
      <c r="E20" s="11" t="s">
        <v>297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570312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21" style="4" bestFit="1" customWidth="1"/>
    <col min="14" max="16384" width="9.140625" style="3"/>
  </cols>
  <sheetData>
    <row r="1" spans="1:13" s="2" customFormat="1" ht="29.1" customHeight="1" x14ac:dyDescent="0.2">
      <c r="A1" s="56" t="s">
        <v>263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61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265</v>
      </c>
      <c r="B6" s="13" t="s">
        <v>266</v>
      </c>
      <c r="C6" s="13" t="s">
        <v>267</v>
      </c>
      <c r="D6" s="13" t="str">
        <f>"0,6436"</f>
        <v>0,6436</v>
      </c>
      <c r="E6" s="13" t="s">
        <v>268</v>
      </c>
      <c r="F6" s="13" t="s">
        <v>75</v>
      </c>
      <c r="G6" s="15" t="s">
        <v>51</v>
      </c>
      <c r="H6" s="15" t="s">
        <v>269</v>
      </c>
      <c r="I6" s="15" t="s">
        <v>56</v>
      </c>
      <c r="J6" s="14"/>
      <c r="K6" s="22" t="str">
        <f>"165,0"</f>
        <v>165,0</v>
      </c>
      <c r="L6" s="23" t="str">
        <f>"107,1497"</f>
        <v>107,1497</v>
      </c>
      <c r="M6" s="13" t="s">
        <v>90</v>
      </c>
    </row>
    <row r="8" spans="1:13" ht="15" x14ac:dyDescent="0.2">
      <c r="A8" s="57" t="s">
        <v>163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3" t="s">
        <v>271</v>
      </c>
      <c r="B9" s="13" t="s">
        <v>272</v>
      </c>
      <c r="C9" s="13" t="s">
        <v>273</v>
      </c>
      <c r="D9" s="13" t="str">
        <f>"0,6018"</f>
        <v>0,6018</v>
      </c>
      <c r="E9" s="13" t="s">
        <v>30</v>
      </c>
      <c r="F9" s="13" t="s">
        <v>31</v>
      </c>
      <c r="G9" s="15" t="s">
        <v>56</v>
      </c>
      <c r="H9" s="15" t="s">
        <v>99</v>
      </c>
      <c r="I9" s="15" t="s">
        <v>236</v>
      </c>
      <c r="J9" s="14"/>
      <c r="K9" s="22" t="str">
        <f>"175,0"</f>
        <v>175,0</v>
      </c>
      <c r="L9" s="23" t="str">
        <f>"105,3150"</f>
        <v>105,3150</v>
      </c>
      <c r="M9" s="13" t="s">
        <v>41</v>
      </c>
    </row>
    <row r="11" spans="1:13" ht="15" x14ac:dyDescent="0.2">
      <c r="A11" s="57" t="s">
        <v>69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3" t="s">
        <v>275</v>
      </c>
      <c r="B12" s="13" t="s">
        <v>276</v>
      </c>
      <c r="C12" s="13" t="s">
        <v>277</v>
      </c>
      <c r="D12" s="13" t="str">
        <f>"0,5663"</f>
        <v>0,5663</v>
      </c>
      <c r="E12" s="13" t="s">
        <v>278</v>
      </c>
      <c r="F12" s="13" t="s">
        <v>279</v>
      </c>
      <c r="G12" s="15" t="s">
        <v>76</v>
      </c>
      <c r="H12" s="15" t="s">
        <v>77</v>
      </c>
      <c r="I12" s="14" t="s">
        <v>78</v>
      </c>
      <c r="J12" s="14"/>
      <c r="K12" s="22" t="str">
        <f>"210,0"</f>
        <v>210,0</v>
      </c>
      <c r="L12" s="23" t="str">
        <f>"118,9230"</f>
        <v>118,9230</v>
      </c>
      <c r="M12" s="13" t="s">
        <v>280</v>
      </c>
    </row>
    <row r="14" spans="1:13" ht="15" x14ac:dyDescent="0.2">
      <c r="A14" s="57" t="s">
        <v>91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3" x14ac:dyDescent="0.2">
      <c r="A15" s="13" t="s">
        <v>282</v>
      </c>
      <c r="B15" s="13" t="s">
        <v>283</v>
      </c>
      <c r="C15" s="13" t="s">
        <v>284</v>
      </c>
      <c r="D15" s="13" t="str">
        <f>"0,5365"</f>
        <v>0,5365</v>
      </c>
      <c r="E15" s="13" t="s">
        <v>30</v>
      </c>
      <c r="F15" s="13" t="s">
        <v>31</v>
      </c>
      <c r="G15" s="15" t="s">
        <v>76</v>
      </c>
      <c r="H15" s="14" t="s">
        <v>285</v>
      </c>
      <c r="I15" s="15" t="s">
        <v>285</v>
      </c>
      <c r="J15" s="14"/>
      <c r="K15" s="22" t="str">
        <f>"215,0"</f>
        <v>215,0</v>
      </c>
      <c r="L15" s="23" t="str">
        <f>"115,3475"</f>
        <v>115,3475</v>
      </c>
      <c r="M15" s="13" t="s">
        <v>41</v>
      </c>
    </row>
    <row r="17" spans="1:5" ht="15" x14ac:dyDescent="0.2">
      <c r="E17" s="10" t="s">
        <v>13</v>
      </c>
    </row>
    <row r="18" spans="1:5" ht="15" x14ac:dyDescent="0.2">
      <c r="E18" s="10" t="s">
        <v>14</v>
      </c>
    </row>
    <row r="19" spans="1:5" ht="15" x14ac:dyDescent="0.2">
      <c r="E19" s="10" t="s">
        <v>15</v>
      </c>
    </row>
    <row r="20" spans="1:5" ht="15" x14ac:dyDescent="0.2">
      <c r="E20" s="10" t="s">
        <v>16</v>
      </c>
    </row>
    <row r="21" spans="1:5" ht="15" x14ac:dyDescent="0.2">
      <c r="E21" s="10" t="s">
        <v>16</v>
      </c>
    </row>
    <row r="22" spans="1:5" ht="15" x14ac:dyDescent="0.2">
      <c r="E22" s="10" t="s">
        <v>17</v>
      </c>
    </row>
    <row r="23" spans="1:5" ht="15" x14ac:dyDescent="0.2">
      <c r="E23" s="10"/>
    </row>
    <row r="25" spans="1:5" ht="18" x14ac:dyDescent="0.25">
      <c r="A25" s="12" t="s">
        <v>18</v>
      </c>
      <c r="B25" s="12"/>
    </row>
    <row r="26" spans="1:5" ht="15" x14ac:dyDescent="0.2">
      <c r="A26" s="28" t="s">
        <v>134</v>
      </c>
      <c r="B26" s="28"/>
    </row>
    <row r="27" spans="1:5" ht="14.25" x14ac:dyDescent="0.2">
      <c r="A27" s="30"/>
      <c r="B27" s="31" t="s">
        <v>145</v>
      </c>
    </row>
    <row r="28" spans="1:5" ht="15" x14ac:dyDescent="0.2">
      <c r="A28" s="32" t="s">
        <v>125</v>
      </c>
      <c r="B28" s="32" t="s">
        <v>126</v>
      </c>
      <c r="C28" s="32" t="s">
        <v>127</v>
      </c>
      <c r="D28" s="32" t="s">
        <v>246</v>
      </c>
      <c r="E28" s="32" t="s">
        <v>129</v>
      </c>
    </row>
    <row r="29" spans="1:5" x14ac:dyDescent="0.2">
      <c r="A29" s="29" t="s">
        <v>274</v>
      </c>
      <c r="B29" s="4" t="s">
        <v>145</v>
      </c>
      <c r="C29" s="4" t="s">
        <v>154</v>
      </c>
      <c r="D29" s="4" t="s">
        <v>77</v>
      </c>
      <c r="E29" s="11" t="s">
        <v>286</v>
      </c>
    </row>
    <row r="30" spans="1:5" x14ac:dyDescent="0.2">
      <c r="A30" s="29" t="s">
        <v>281</v>
      </c>
      <c r="B30" s="4" t="s">
        <v>145</v>
      </c>
      <c r="C30" s="4" t="s">
        <v>151</v>
      </c>
      <c r="D30" s="4" t="s">
        <v>285</v>
      </c>
      <c r="E30" s="11" t="s">
        <v>287</v>
      </c>
    </row>
    <row r="31" spans="1:5" x14ac:dyDescent="0.2">
      <c r="A31" s="29" t="s">
        <v>270</v>
      </c>
      <c r="B31" s="4" t="s">
        <v>145</v>
      </c>
      <c r="C31" s="4" t="s">
        <v>172</v>
      </c>
      <c r="D31" s="4" t="s">
        <v>236</v>
      </c>
      <c r="E31" s="11" t="s">
        <v>288</v>
      </c>
    </row>
    <row r="33" spans="1:5" ht="14.25" x14ac:dyDescent="0.2">
      <c r="A33" s="30"/>
      <c r="B33" s="31" t="s">
        <v>124</v>
      </c>
    </row>
    <row r="34" spans="1:5" ht="15" x14ac:dyDescent="0.2">
      <c r="A34" s="32" t="s">
        <v>125</v>
      </c>
      <c r="B34" s="32" t="s">
        <v>126</v>
      </c>
      <c r="C34" s="32" t="s">
        <v>127</v>
      </c>
      <c r="D34" s="32" t="s">
        <v>246</v>
      </c>
      <c r="E34" s="32" t="s">
        <v>129</v>
      </c>
    </row>
    <row r="35" spans="1:5" x14ac:dyDescent="0.2">
      <c r="A35" s="29" t="s">
        <v>264</v>
      </c>
      <c r="B35" s="4" t="s">
        <v>130</v>
      </c>
      <c r="C35" s="4" t="s">
        <v>137</v>
      </c>
      <c r="D35" s="4" t="s">
        <v>56</v>
      </c>
      <c r="E35" s="11" t="s">
        <v>289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56" t="s">
        <v>175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176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178</v>
      </c>
      <c r="B6" s="13" t="s">
        <v>179</v>
      </c>
      <c r="C6" s="13" t="s">
        <v>180</v>
      </c>
      <c r="D6" s="13" t="str">
        <f>"0,9693"</f>
        <v>0,9693</v>
      </c>
      <c r="E6" s="13" t="s">
        <v>96</v>
      </c>
      <c r="F6" s="13" t="s">
        <v>31</v>
      </c>
      <c r="G6" s="15" t="s">
        <v>36</v>
      </c>
      <c r="H6" s="15" t="s">
        <v>181</v>
      </c>
      <c r="I6" s="14" t="s">
        <v>182</v>
      </c>
      <c r="J6" s="14"/>
      <c r="K6" s="22" t="str">
        <f>"60,0"</f>
        <v>60,0</v>
      </c>
      <c r="L6" s="23" t="str">
        <f>"58,1610"</f>
        <v>58,1610</v>
      </c>
      <c r="M6" s="13" t="s">
        <v>183</v>
      </c>
    </row>
    <row r="8" spans="1:13" ht="15" x14ac:dyDescent="0.2">
      <c r="A8" s="57" t="s">
        <v>176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3" t="s">
        <v>185</v>
      </c>
      <c r="B9" s="13" t="s">
        <v>186</v>
      </c>
      <c r="C9" s="13" t="s">
        <v>180</v>
      </c>
      <c r="D9" s="13" t="str">
        <f>"0,9515"</f>
        <v>0,9515</v>
      </c>
      <c r="E9" s="13" t="s">
        <v>187</v>
      </c>
      <c r="F9" s="13" t="s">
        <v>188</v>
      </c>
      <c r="G9" s="15" t="s">
        <v>68</v>
      </c>
      <c r="H9" s="15" t="s">
        <v>189</v>
      </c>
      <c r="I9" s="15" t="s">
        <v>190</v>
      </c>
      <c r="J9" s="14"/>
      <c r="K9" s="22" t="str">
        <f>"87,5"</f>
        <v>87,5</v>
      </c>
      <c r="L9" s="23" t="str">
        <f>"98,2424"</f>
        <v>98,2424</v>
      </c>
      <c r="M9" s="13" t="s">
        <v>191</v>
      </c>
    </row>
    <row r="11" spans="1:13" ht="15" x14ac:dyDescent="0.2">
      <c r="A11" s="57" t="s">
        <v>42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6" t="s">
        <v>193</v>
      </c>
      <c r="B12" s="16" t="s">
        <v>194</v>
      </c>
      <c r="C12" s="16" t="s">
        <v>195</v>
      </c>
      <c r="D12" s="16" t="str">
        <f>"0,7014"</f>
        <v>0,7014</v>
      </c>
      <c r="E12" s="16" t="s">
        <v>30</v>
      </c>
      <c r="F12" s="16" t="s">
        <v>31</v>
      </c>
      <c r="G12" s="17" t="s">
        <v>53</v>
      </c>
      <c r="H12" s="17" t="s">
        <v>196</v>
      </c>
      <c r="I12" s="18" t="s">
        <v>197</v>
      </c>
      <c r="J12" s="18"/>
      <c r="K12" s="24" t="str">
        <f>"107,5"</f>
        <v>107,5</v>
      </c>
      <c r="L12" s="25" t="str">
        <f>"75,4005"</f>
        <v>75,4005</v>
      </c>
      <c r="M12" s="16" t="s">
        <v>41</v>
      </c>
    </row>
    <row r="13" spans="1:13" x14ac:dyDescent="0.2">
      <c r="A13" s="19" t="s">
        <v>199</v>
      </c>
      <c r="B13" s="19" t="s">
        <v>200</v>
      </c>
      <c r="C13" s="19" t="s">
        <v>201</v>
      </c>
      <c r="D13" s="19" t="str">
        <f>"0,6673"</f>
        <v>0,6673</v>
      </c>
      <c r="E13" s="19" t="s">
        <v>202</v>
      </c>
      <c r="F13" s="19" t="s">
        <v>31</v>
      </c>
      <c r="G13" s="20" t="s">
        <v>203</v>
      </c>
      <c r="H13" s="21" t="s">
        <v>204</v>
      </c>
      <c r="I13" s="21"/>
      <c r="J13" s="21"/>
      <c r="K13" s="26" t="str">
        <f>"97,5"</f>
        <v>97,5</v>
      </c>
      <c r="L13" s="27" t="str">
        <f>"65,0617"</f>
        <v>65,0617</v>
      </c>
      <c r="M13" s="19" t="s">
        <v>205</v>
      </c>
    </row>
    <row r="15" spans="1:13" ht="15" x14ac:dyDescent="0.2">
      <c r="A15" s="57" t="s">
        <v>61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3" x14ac:dyDescent="0.2">
      <c r="A16" s="16" t="s">
        <v>63</v>
      </c>
      <c r="B16" s="16" t="s">
        <v>64</v>
      </c>
      <c r="C16" s="16" t="s">
        <v>65</v>
      </c>
      <c r="D16" s="16" t="str">
        <f>"0,6388"</f>
        <v>0,6388</v>
      </c>
      <c r="E16" s="16" t="s">
        <v>47</v>
      </c>
      <c r="F16" s="16" t="s">
        <v>48</v>
      </c>
      <c r="G16" s="17" t="s">
        <v>68</v>
      </c>
      <c r="H16" s="17" t="s">
        <v>66</v>
      </c>
      <c r="I16" s="18" t="s">
        <v>33</v>
      </c>
      <c r="J16" s="18"/>
      <c r="K16" s="24" t="str">
        <f>"80,0"</f>
        <v>80,0</v>
      </c>
      <c r="L16" s="25" t="str">
        <f>"54,1702"</f>
        <v>54,1702</v>
      </c>
      <c r="M16" s="16" t="s">
        <v>57</v>
      </c>
    </row>
    <row r="17" spans="1:13" x14ac:dyDescent="0.2">
      <c r="A17" s="33" t="s">
        <v>207</v>
      </c>
      <c r="B17" s="33" t="s">
        <v>208</v>
      </c>
      <c r="C17" s="33" t="s">
        <v>209</v>
      </c>
      <c r="D17" s="33" t="str">
        <f>"0,6198"</f>
        <v>0,6198</v>
      </c>
      <c r="E17" s="33" t="s">
        <v>30</v>
      </c>
      <c r="F17" s="33" t="s">
        <v>31</v>
      </c>
      <c r="G17" s="35" t="s">
        <v>210</v>
      </c>
      <c r="H17" s="34" t="s">
        <v>49</v>
      </c>
      <c r="I17" s="35" t="s">
        <v>211</v>
      </c>
      <c r="J17" s="34"/>
      <c r="K17" s="36" t="str">
        <f>"132,5"</f>
        <v>132,5</v>
      </c>
      <c r="L17" s="37" t="str">
        <f>"82,1235"</f>
        <v>82,1235</v>
      </c>
      <c r="M17" s="33" t="s">
        <v>41</v>
      </c>
    </row>
    <row r="18" spans="1:13" x14ac:dyDescent="0.2">
      <c r="A18" s="33" t="s">
        <v>213</v>
      </c>
      <c r="B18" s="33" t="s">
        <v>214</v>
      </c>
      <c r="C18" s="33" t="s">
        <v>215</v>
      </c>
      <c r="D18" s="33" t="str">
        <f>"0,6193"</f>
        <v>0,6193</v>
      </c>
      <c r="E18" s="33" t="s">
        <v>30</v>
      </c>
      <c r="F18" s="33" t="s">
        <v>216</v>
      </c>
      <c r="G18" s="35" t="s">
        <v>79</v>
      </c>
      <c r="H18" s="34" t="s">
        <v>49</v>
      </c>
      <c r="I18" s="34" t="s">
        <v>49</v>
      </c>
      <c r="J18" s="34"/>
      <c r="K18" s="36" t="str">
        <f>"125,0"</f>
        <v>125,0</v>
      </c>
      <c r="L18" s="37" t="str">
        <f>"77,4125"</f>
        <v>77,4125</v>
      </c>
      <c r="M18" s="33" t="s">
        <v>41</v>
      </c>
    </row>
    <row r="19" spans="1:13" x14ac:dyDescent="0.2">
      <c r="A19" s="19" t="s">
        <v>218</v>
      </c>
      <c r="B19" s="19" t="s">
        <v>219</v>
      </c>
      <c r="C19" s="19" t="s">
        <v>220</v>
      </c>
      <c r="D19" s="19" t="str">
        <f>"0,6329"</f>
        <v>0,6329</v>
      </c>
      <c r="E19" s="19" t="s">
        <v>30</v>
      </c>
      <c r="F19" s="19" t="s">
        <v>31</v>
      </c>
      <c r="G19" s="20" t="s">
        <v>54</v>
      </c>
      <c r="H19" s="20" t="s">
        <v>221</v>
      </c>
      <c r="I19" s="20" t="s">
        <v>38</v>
      </c>
      <c r="J19" s="21"/>
      <c r="K19" s="26" t="str">
        <f>"115,0"</f>
        <v>115,0</v>
      </c>
      <c r="L19" s="27" t="str">
        <f>"75,0398"</f>
        <v>75,0398</v>
      </c>
      <c r="M19" s="19" t="s">
        <v>222</v>
      </c>
    </row>
    <row r="21" spans="1:13" ht="15" x14ac:dyDescent="0.2">
      <c r="A21" s="57" t="s">
        <v>163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 x14ac:dyDescent="0.2">
      <c r="A22" s="16" t="s">
        <v>224</v>
      </c>
      <c r="B22" s="16" t="s">
        <v>225</v>
      </c>
      <c r="C22" s="16" t="s">
        <v>226</v>
      </c>
      <c r="D22" s="16" t="str">
        <f>"0,5973"</f>
        <v>0,5973</v>
      </c>
      <c r="E22" s="16" t="s">
        <v>30</v>
      </c>
      <c r="F22" s="16" t="s">
        <v>31</v>
      </c>
      <c r="G22" s="17" t="s">
        <v>40</v>
      </c>
      <c r="H22" s="18" t="s">
        <v>51</v>
      </c>
      <c r="I22" s="18" t="s">
        <v>51</v>
      </c>
      <c r="J22" s="18"/>
      <c r="K22" s="24" t="str">
        <f>"135,0"</f>
        <v>135,0</v>
      </c>
      <c r="L22" s="25" t="str">
        <f>"80,6355"</f>
        <v>80,6355</v>
      </c>
      <c r="M22" s="16" t="s">
        <v>41</v>
      </c>
    </row>
    <row r="23" spans="1:13" x14ac:dyDescent="0.2">
      <c r="A23" s="19" t="s">
        <v>228</v>
      </c>
      <c r="B23" s="19" t="s">
        <v>229</v>
      </c>
      <c r="C23" s="19" t="s">
        <v>230</v>
      </c>
      <c r="D23" s="19" t="str">
        <f>"0,6069"</f>
        <v>0,6069</v>
      </c>
      <c r="E23" s="19" t="s">
        <v>30</v>
      </c>
      <c r="F23" s="19" t="s">
        <v>31</v>
      </c>
      <c r="G23" s="20" t="s">
        <v>53</v>
      </c>
      <c r="H23" s="20" t="s">
        <v>221</v>
      </c>
      <c r="I23" s="20" t="s">
        <v>197</v>
      </c>
      <c r="J23" s="21"/>
      <c r="K23" s="26" t="str">
        <f>"112,5"</f>
        <v>112,5</v>
      </c>
      <c r="L23" s="27" t="str">
        <f>"68,2762"</f>
        <v>68,2762</v>
      </c>
      <c r="M23" s="19" t="s">
        <v>231</v>
      </c>
    </row>
    <row r="25" spans="1:13" ht="15" x14ac:dyDescent="0.2">
      <c r="A25" s="57" t="s">
        <v>69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3" x14ac:dyDescent="0.2">
      <c r="A26" s="16" t="s">
        <v>233</v>
      </c>
      <c r="B26" s="16" t="s">
        <v>234</v>
      </c>
      <c r="C26" s="16" t="s">
        <v>235</v>
      </c>
      <c r="D26" s="16" t="str">
        <f>"0,5575"</f>
        <v>0,5575</v>
      </c>
      <c r="E26" s="16" t="s">
        <v>96</v>
      </c>
      <c r="F26" s="16" t="s">
        <v>31</v>
      </c>
      <c r="G26" s="18" t="s">
        <v>236</v>
      </c>
      <c r="H26" s="17" t="s">
        <v>236</v>
      </c>
      <c r="I26" s="17" t="s">
        <v>237</v>
      </c>
      <c r="J26" s="18"/>
      <c r="K26" s="24" t="str">
        <f>"182,5"</f>
        <v>182,5</v>
      </c>
      <c r="L26" s="25" t="str">
        <f>"101,7438"</f>
        <v>101,7438</v>
      </c>
      <c r="M26" s="16" t="s">
        <v>238</v>
      </c>
    </row>
    <row r="27" spans="1:13" x14ac:dyDescent="0.2">
      <c r="A27" s="19" t="s">
        <v>233</v>
      </c>
      <c r="B27" s="19" t="s">
        <v>239</v>
      </c>
      <c r="C27" s="19" t="s">
        <v>235</v>
      </c>
      <c r="D27" s="19" t="str">
        <f>"0,5575"</f>
        <v>0,5575</v>
      </c>
      <c r="E27" s="19" t="s">
        <v>96</v>
      </c>
      <c r="F27" s="19" t="s">
        <v>31</v>
      </c>
      <c r="G27" s="21" t="s">
        <v>236</v>
      </c>
      <c r="H27" s="20" t="s">
        <v>236</v>
      </c>
      <c r="I27" s="20" t="s">
        <v>237</v>
      </c>
      <c r="J27" s="21"/>
      <c r="K27" s="26" t="str">
        <f>"182,5"</f>
        <v>182,5</v>
      </c>
      <c r="L27" s="27" t="str">
        <f>"101,7438"</f>
        <v>101,7438</v>
      </c>
      <c r="M27" s="19" t="s">
        <v>238</v>
      </c>
    </row>
    <row r="29" spans="1:13" ht="15" x14ac:dyDescent="0.2">
      <c r="A29" s="57" t="s">
        <v>91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3" x14ac:dyDescent="0.2">
      <c r="A30" s="13" t="s">
        <v>241</v>
      </c>
      <c r="B30" s="13" t="s">
        <v>242</v>
      </c>
      <c r="C30" s="13" t="s">
        <v>243</v>
      </c>
      <c r="D30" s="13" t="str">
        <f>"0,5427"</f>
        <v>0,5427</v>
      </c>
      <c r="E30" s="13" t="s">
        <v>244</v>
      </c>
      <c r="F30" s="13" t="s">
        <v>31</v>
      </c>
      <c r="G30" s="15" t="s">
        <v>50</v>
      </c>
      <c r="H30" s="15" t="s">
        <v>55</v>
      </c>
      <c r="I30" s="14" t="s">
        <v>98</v>
      </c>
      <c r="J30" s="14"/>
      <c r="K30" s="22" t="str">
        <f>"150,0"</f>
        <v>150,0</v>
      </c>
      <c r="L30" s="23" t="str">
        <f>"82,8703"</f>
        <v>82,8703</v>
      </c>
      <c r="M30" s="13" t="s">
        <v>41</v>
      </c>
    </row>
    <row r="32" spans="1:13" ht="15" x14ac:dyDescent="0.2">
      <c r="E32" s="10" t="s">
        <v>13</v>
      </c>
    </row>
    <row r="33" spans="1:5" ht="15" x14ac:dyDescent="0.2">
      <c r="E33" s="10" t="s">
        <v>14</v>
      </c>
    </row>
    <row r="34" spans="1:5" ht="15" x14ac:dyDescent="0.2">
      <c r="E34" s="10" t="s">
        <v>15</v>
      </c>
    </row>
    <row r="35" spans="1:5" ht="15" x14ac:dyDescent="0.2">
      <c r="E35" s="10" t="s">
        <v>16</v>
      </c>
    </row>
    <row r="36" spans="1:5" ht="15" x14ac:dyDescent="0.2">
      <c r="E36" s="10" t="s">
        <v>16</v>
      </c>
    </row>
    <row r="37" spans="1:5" ht="15" x14ac:dyDescent="0.2">
      <c r="E37" s="10" t="s">
        <v>17</v>
      </c>
    </row>
    <row r="38" spans="1:5" ht="15" x14ac:dyDescent="0.2">
      <c r="E38" s="10"/>
    </row>
    <row r="40" spans="1:5" ht="18" x14ac:dyDescent="0.25">
      <c r="A40" s="12" t="s">
        <v>18</v>
      </c>
      <c r="B40" s="12"/>
    </row>
    <row r="41" spans="1:5" ht="15" x14ac:dyDescent="0.2">
      <c r="A41" s="28" t="s">
        <v>123</v>
      </c>
      <c r="B41" s="28"/>
    </row>
    <row r="42" spans="1:5" ht="14.25" x14ac:dyDescent="0.2">
      <c r="A42" s="30"/>
      <c r="B42" s="31" t="s">
        <v>145</v>
      </c>
    </row>
    <row r="43" spans="1:5" ht="15" x14ac:dyDescent="0.2">
      <c r="A43" s="32" t="s">
        <v>125</v>
      </c>
      <c r="B43" s="32" t="s">
        <v>126</v>
      </c>
      <c r="C43" s="32" t="s">
        <v>127</v>
      </c>
      <c r="D43" s="32" t="s">
        <v>246</v>
      </c>
      <c r="E43" s="32" t="s">
        <v>129</v>
      </c>
    </row>
    <row r="44" spans="1:5" x14ac:dyDescent="0.2">
      <c r="A44" s="29" t="s">
        <v>177</v>
      </c>
      <c r="B44" s="4" t="s">
        <v>145</v>
      </c>
      <c r="C44" s="4" t="s">
        <v>247</v>
      </c>
      <c r="D44" s="4" t="s">
        <v>181</v>
      </c>
      <c r="E44" s="11" t="s">
        <v>248</v>
      </c>
    </row>
    <row r="47" spans="1:5" ht="15" x14ac:dyDescent="0.2">
      <c r="A47" s="28" t="s">
        <v>134</v>
      </c>
      <c r="B47" s="28"/>
    </row>
    <row r="48" spans="1:5" ht="14.25" x14ac:dyDescent="0.2">
      <c r="A48" s="30"/>
      <c r="B48" s="31" t="s">
        <v>135</v>
      </c>
    </row>
    <row r="49" spans="1:5" ht="15" x14ac:dyDescent="0.2">
      <c r="A49" s="32" t="s">
        <v>125</v>
      </c>
      <c r="B49" s="32" t="s">
        <v>126</v>
      </c>
      <c r="C49" s="32" t="s">
        <v>127</v>
      </c>
      <c r="D49" s="32" t="s">
        <v>246</v>
      </c>
      <c r="E49" s="32" t="s">
        <v>129</v>
      </c>
    </row>
    <row r="50" spans="1:5" x14ac:dyDescent="0.2">
      <c r="A50" s="29" t="s">
        <v>184</v>
      </c>
      <c r="B50" s="4" t="s">
        <v>249</v>
      </c>
      <c r="C50" s="4" t="s">
        <v>247</v>
      </c>
      <c r="D50" s="4" t="s">
        <v>190</v>
      </c>
      <c r="E50" s="11" t="s">
        <v>250</v>
      </c>
    </row>
    <row r="51" spans="1:5" x14ac:dyDescent="0.2">
      <c r="A51" s="29" t="s">
        <v>62</v>
      </c>
      <c r="B51" s="4" t="s">
        <v>136</v>
      </c>
      <c r="C51" s="4" t="s">
        <v>137</v>
      </c>
      <c r="D51" s="4" t="s">
        <v>66</v>
      </c>
      <c r="E51" s="11" t="s">
        <v>251</v>
      </c>
    </row>
    <row r="53" spans="1:5" ht="14.25" x14ac:dyDescent="0.2">
      <c r="A53" s="30"/>
      <c r="B53" s="31" t="s">
        <v>140</v>
      </c>
    </row>
    <row r="54" spans="1:5" ht="15" x14ac:dyDescent="0.2">
      <c r="A54" s="32" t="s">
        <v>125</v>
      </c>
      <c r="B54" s="32" t="s">
        <v>126</v>
      </c>
      <c r="C54" s="32" t="s">
        <v>127</v>
      </c>
      <c r="D54" s="32" t="s">
        <v>246</v>
      </c>
      <c r="E54" s="32" t="s">
        <v>129</v>
      </c>
    </row>
    <row r="55" spans="1:5" x14ac:dyDescent="0.2">
      <c r="A55" s="29" t="s">
        <v>232</v>
      </c>
      <c r="B55" s="4" t="s">
        <v>141</v>
      </c>
      <c r="C55" s="4" t="s">
        <v>154</v>
      </c>
      <c r="D55" s="4" t="s">
        <v>237</v>
      </c>
      <c r="E55" s="11" t="s">
        <v>252</v>
      </c>
    </row>
    <row r="57" spans="1:5" ht="14.25" x14ac:dyDescent="0.2">
      <c r="A57" s="30"/>
      <c r="B57" s="31" t="s">
        <v>145</v>
      </c>
    </row>
    <row r="58" spans="1:5" ht="15" x14ac:dyDescent="0.2">
      <c r="A58" s="32" t="s">
        <v>125</v>
      </c>
      <c r="B58" s="32" t="s">
        <v>126</v>
      </c>
      <c r="C58" s="32" t="s">
        <v>127</v>
      </c>
      <c r="D58" s="32" t="s">
        <v>246</v>
      </c>
      <c r="E58" s="32" t="s">
        <v>129</v>
      </c>
    </row>
    <row r="59" spans="1:5" x14ac:dyDescent="0.2">
      <c r="A59" s="29" t="s">
        <v>232</v>
      </c>
      <c r="B59" s="4" t="s">
        <v>145</v>
      </c>
      <c r="C59" s="4" t="s">
        <v>154</v>
      </c>
      <c r="D59" s="4" t="s">
        <v>237</v>
      </c>
      <c r="E59" s="11" t="s">
        <v>252</v>
      </c>
    </row>
    <row r="60" spans="1:5" x14ac:dyDescent="0.2">
      <c r="A60" s="29" t="s">
        <v>206</v>
      </c>
      <c r="B60" s="4" t="s">
        <v>145</v>
      </c>
      <c r="C60" s="4" t="s">
        <v>137</v>
      </c>
      <c r="D60" s="4" t="s">
        <v>211</v>
      </c>
      <c r="E60" s="11" t="s">
        <v>253</v>
      </c>
    </row>
    <row r="61" spans="1:5" x14ac:dyDescent="0.2">
      <c r="A61" s="29" t="s">
        <v>223</v>
      </c>
      <c r="B61" s="4" t="s">
        <v>145</v>
      </c>
      <c r="C61" s="4" t="s">
        <v>172</v>
      </c>
      <c r="D61" s="4" t="s">
        <v>40</v>
      </c>
      <c r="E61" s="11" t="s">
        <v>254</v>
      </c>
    </row>
    <row r="62" spans="1:5" x14ac:dyDescent="0.2">
      <c r="A62" s="29" t="s">
        <v>212</v>
      </c>
      <c r="B62" s="4" t="s">
        <v>145</v>
      </c>
      <c r="C62" s="4" t="s">
        <v>137</v>
      </c>
      <c r="D62" s="4" t="s">
        <v>79</v>
      </c>
      <c r="E62" s="11" t="s">
        <v>255</v>
      </c>
    </row>
    <row r="63" spans="1:5" x14ac:dyDescent="0.2">
      <c r="A63" s="29" t="s">
        <v>192</v>
      </c>
      <c r="B63" s="4" t="s">
        <v>145</v>
      </c>
      <c r="C63" s="4" t="s">
        <v>142</v>
      </c>
      <c r="D63" s="4" t="s">
        <v>196</v>
      </c>
      <c r="E63" s="11" t="s">
        <v>256</v>
      </c>
    </row>
    <row r="64" spans="1:5" x14ac:dyDescent="0.2">
      <c r="A64" s="29" t="s">
        <v>227</v>
      </c>
      <c r="B64" s="4" t="s">
        <v>145</v>
      </c>
      <c r="C64" s="4" t="s">
        <v>172</v>
      </c>
      <c r="D64" s="4" t="s">
        <v>197</v>
      </c>
      <c r="E64" s="11" t="s">
        <v>257</v>
      </c>
    </row>
    <row r="66" spans="1:5" ht="14.25" x14ac:dyDescent="0.2">
      <c r="A66" s="30"/>
      <c r="B66" s="31" t="s">
        <v>124</v>
      </c>
    </row>
    <row r="67" spans="1:5" ht="15" x14ac:dyDescent="0.2">
      <c r="A67" s="32" t="s">
        <v>125</v>
      </c>
      <c r="B67" s="32" t="s">
        <v>126</v>
      </c>
      <c r="C67" s="32" t="s">
        <v>127</v>
      </c>
      <c r="D67" s="32" t="s">
        <v>246</v>
      </c>
      <c r="E67" s="32" t="s">
        <v>129</v>
      </c>
    </row>
    <row r="68" spans="1:5" x14ac:dyDescent="0.2">
      <c r="A68" s="29" t="s">
        <v>240</v>
      </c>
      <c r="B68" s="4" t="s">
        <v>130</v>
      </c>
      <c r="C68" s="4" t="s">
        <v>151</v>
      </c>
      <c r="D68" s="4" t="s">
        <v>55</v>
      </c>
      <c r="E68" s="11" t="s">
        <v>258</v>
      </c>
    </row>
    <row r="69" spans="1:5" x14ac:dyDescent="0.2">
      <c r="A69" s="29" t="s">
        <v>217</v>
      </c>
      <c r="B69" s="4" t="s">
        <v>130</v>
      </c>
      <c r="C69" s="4" t="s">
        <v>137</v>
      </c>
      <c r="D69" s="4" t="s">
        <v>38</v>
      </c>
      <c r="E69" s="11" t="s">
        <v>259</v>
      </c>
    </row>
    <row r="70" spans="1:5" x14ac:dyDescent="0.2">
      <c r="A70" s="29" t="s">
        <v>198</v>
      </c>
      <c r="B70" s="4" t="s">
        <v>260</v>
      </c>
      <c r="C70" s="4" t="s">
        <v>142</v>
      </c>
      <c r="D70" s="4" t="s">
        <v>203</v>
      </c>
      <c r="E70" s="11" t="s">
        <v>261</v>
      </c>
    </row>
  </sheetData>
  <mergeCells count="18">
    <mergeCell ref="A29:J29"/>
    <mergeCell ref="K3:K4"/>
    <mergeCell ref="L3:L4"/>
    <mergeCell ref="M3:M4"/>
    <mergeCell ref="A5:J5"/>
    <mergeCell ref="A8:J8"/>
    <mergeCell ref="A11:J11"/>
    <mergeCell ref="A15:J15"/>
    <mergeCell ref="A21:J21"/>
    <mergeCell ref="A25:J2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1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1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56" t="s">
        <v>162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22</v>
      </c>
      <c r="H3" s="51"/>
      <c r="I3" s="51"/>
      <c r="J3" s="51"/>
      <c r="K3" s="51" t="s">
        <v>23</v>
      </c>
      <c r="L3" s="51"/>
      <c r="M3" s="51"/>
      <c r="N3" s="51"/>
      <c r="O3" s="51" t="s">
        <v>24</v>
      </c>
      <c r="P3" s="51"/>
      <c r="Q3" s="51"/>
      <c r="R3" s="51"/>
      <c r="S3" s="51" t="s">
        <v>1</v>
      </c>
      <c r="T3" s="51" t="s">
        <v>3</v>
      </c>
      <c r="U3" s="52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48"/>
      <c r="T4" s="48"/>
      <c r="U4" s="53"/>
    </row>
    <row r="5" spans="1:21" ht="15" x14ac:dyDescent="0.2">
      <c r="A5" s="54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 x14ac:dyDescent="0.2">
      <c r="A6" s="13" t="s">
        <v>165</v>
      </c>
      <c r="B6" s="13" t="s">
        <v>166</v>
      </c>
      <c r="C6" s="13" t="s">
        <v>167</v>
      </c>
      <c r="D6" s="13" t="str">
        <f>"0,5922"</f>
        <v>0,5922</v>
      </c>
      <c r="E6" s="13" t="s">
        <v>168</v>
      </c>
      <c r="F6" s="13" t="s">
        <v>169</v>
      </c>
      <c r="G6" s="14" t="s">
        <v>89</v>
      </c>
      <c r="H6" s="15" t="s">
        <v>89</v>
      </c>
      <c r="I6" s="15" t="s">
        <v>80</v>
      </c>
      <c r="J6" s="14"/>
      <c r="K6" s="14" t="s">
        <v>50</v>
      </c>
      <c r="L6" s="15" t="s">
        <v>50</v>
      </c>
      <c r="M6" s="14" t="s">
        <v>55</v>
      </c>
      <c r="N6" s="14"/>
      <c r="O6" s="15" t="s">
        <v>80</v>
      </c>
      <c r="P6" s="15" t="s">
        <v>77</v>
      </c>
      <c r="Q6" s="14" t="s">
        <v>170</v>
      </c>
      <c r="R6" s="14"/>
      <c r="S6" s="22" t="str">
        <f>"540,0"</f>
        <v>540,0</v>
      </c>
      <c r="T6" s="23" t="str">
        <f>"349,2085"</f>
        <v>349,2085</v>
      </c>
      <c r="U6" s="13" t="s">
        <v>41</v>
      </c>
    </row>
    <row r="8" spans="1:21" ht="15" x14ac:dyDescent="0.2">
      <c r="E8" s="10" t="s">
        <v>13</v>
      </c>
    </row>
    <row r="9" spans="1:21" ht="15" x14ac:dyDescent="0.2">
      <c r="E9" s="10" t="s">
        <v>14</v>
      </c>
    </row>
    <row r="10" spans="1:21" ht="15" x14ac:dyDescent="0.2">
      <c r="E10" s="10" t="s">
        <v>15</v>
      </c>
    </row>
    <row r="11" spans="1:21" ht="15" x14ac:dyDescent="0.2">
      <c r="E11" s="10" t="s">
        <v>16</v>
      </c>
    </row>
    <row r="12" spans="1:21" ht="15" x14ac:dyDescent="0.2">
      <c r="E12" s="10" t="s">
        <v>16</v>
      </c>
    </row>
    <row r="13" spans="1:21" ht="15" x14ac:dyDescent="0.2">
      <c r="E13" s="10" t="s">
        <v>17</v>
      </c>
    </row>
    <row r="14" spans="1:21" ht="15" x14ac:dyDescent="0.2">
      <c r="E14" s="10"/>
    </row>
    <row r="16" spans="1:21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124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128</v>
      </c>
      <c r="E19" s="32" t="s">
        <v>129</v>
      </c>
    </row>
    <row r="20" spans="1:5" x14ac:dyDescent="0.2">
      <c r="A20" s="29" t="s">
        <v>164</v>
      </c>
      <c r="B20" s="4" t="s">
        <v>171</v>
      </c>
      <c r="C20" s="4" t="s">
        <v>172</v>
      </c>
      <c r="D20" s="4" t="s">
        <v>173</v>
      </c>
      <c r="E20" s="11" t="s">
        <v>174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5.140625" style="4" bestFit="1" customWidth="1"/>
    <col min="6" max="6" width="31.5703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1" bestFit="1" customWidth="1"/>
    <col min="20" max="20" width="8.5703125" style="2" bestFit="1" customWidth="1"/>
    <col min="21" max="21" width="21" style="4" bestFit="1" customWidth="1"/>
    <col min="22" max="16384" width="9.140625" style="3"/>
  </cols>
  <sheetData>
    <row r="1" spans="1:21" s="2" customFormat="1" ht="29.1" customHeight="1" x14ac:dyDescent="0.2">
      <c r="A1" s="56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22</v>
      </c>
      <c r="H3" s="51"/>
      <c r="I3" s="51"/>
      <c r="J3" s="51"/>
      <c r="K3" s="51" t="s">
        <v>23</v>
      </c>
      <c r="L3" s="51"/>
      <c r="M3" s="51"/>
      <c r="N3" s="51"/>
      <c r="O3" s="51" t="s">
        <v>24</v>
      </c>
      <c r="P3" s="51"/>
      <c r="Q3" s="51"/>
      <c r="R3" s="51"/>
      <c r="S3" s="51" t="s">
        <v>1</v>
      </c>
      <c r="T3" s="51" t="s">
        <v>3</v>
      </c>
      <c r="U3" s="52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48"/>
      <c r="T4" s="48"/>
      <c r="U4" s="53"/>
    </row>
    <row r="5" spans="1:21" ht="15" x14ac:dyDescent="0.2">
      <c r="A5" s="54" t="s">
        <v>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 x14ac:dyDescent="0.2">
      <c r="A6" s="13" t="s">
        <v>27</v>
      </c>
      <c r="B6" s="13" t="s">
        <v>28</v>
      </c>
      <c r="C6" s="13" t="s">
        <v>29</v>
      </c>
      <c r="D6" s="13" t="str">
        <f>"0,5778"</f>
        <v>0,5778</v>
      </c>
      <c r="E6" s="13" t="s">
        <v>30</v>
      </c>
      <c r="F6" s="13" t="s">
        <v>31</v>
      </c>
      <c r="G6" s="14" t="s">
        <v>32</v>
      </c>
      <c r="H6" s="15" t="s">
        <v>33</v>
      </c>
      <c r="I6" s="15" t="s">
        <v>34</v>
      </c>
      <c r="J6" s="14"/>
      <c r="K6" s="15" t="s">
        <v>35</v>
      </c>
      <c r="L6" s="15" t="s">
        <v>36</v>
      </c>
      <c r="M6" s="15" t="s">
        <v>37</v>
      </c>
      <c r="N6" s="14"/>
      <c r="O6" s="15" t="s">
        <v>38</v>
      </c>
      <c r="P6" s="15" t="s">
        <v>39</v>
      </c>
      <c r="Q6" s="15" t="s">
        <v>40</v>
      </c>
      <c r="R6" s="14"/>
      <c r="S6" s="22" t="str">
        <f>"285,0"</f>
        <v>285,0</v>
      </c>
      <c r="T6" s="23" t="str">
        <f>"167,6226"</f>
        <v>167,6226</v>
      </c>
      <c r="U6" s="13" t="s">
        <v>41</v>
      </c>
    </row>
    <row r="8" spans="1:21" ht="15" x14ac:dyDescent="0.2">
      <c r="A8" s="57" t="s">
        <v>42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 x14ac:dyDescent="0.2">
      <c r="A9" s="16" t="s">
        <v>44</v>
      </c>
      <c r="B9" s="16" t="s">
        <v>45</v>
      </c>
      <c r="C9" s="16" t="s">
        <v>46</v>
      </c>
      <c r="D9" s="16" t="str">
        <f>"0,6760"</f>
        <v>0,6760</v>
      </c>
      <c r="E9" s="16" t="s">
        <v>47</v>
      </c>
      <c r="F9" s="16" t="s">
        <v>48</v>
      </c>
      <c r="G9" s="17" t="s">
        <v>49</v>
      </c>
      <c r="H9" s="17" t="s">
        <v>50</v>
      </c>
      <c r="I9" s="18" t="s">
        <v>51</v>
      </c>
      <c r="J9" s="18"/>
      <c r="K9" s="17" t="s">
        <v>52</v>
      </c>
      <c r="L9" s="17" t="s">
        <v>53</v>
      </c>
      <c r="M9" s="18" t="s">
        <v>54</v>
      </c>
      <c r="N9" s="18"/>
      <c r="O9" s="17" t="s">
        <v>55</v>
      </c>
      <c r="P9" s="18" t="s">
        <v>56</v>
      </c>
      <c r="Q9" s="18" t="s">
        <v>56</v>
      </c>
      <c r="R9" s="18"/>
      <c r="S9" s="24" t="str">
        <f>"390,0"</f>
        <v>390,0</v>
      </c>
      <c r="T9" s="25" t="str">
        <f>"271,5492"</f>
        <v>271,5492</v>
      </c>
      <c r="U9" s="16" t="s">
        <v>57</v>
      </c>
    </row>
    <row r="10" spans="1:21" x14ac:dyDescent="0.2">
      <c r="A10" s="19" t="s">
        <v>59</v>
      </c>
      <c r="B10" s="19" t="s">
        <v>60</v>
      </c>
      <c r="C10" s="19" t="s">
        <v>46</v>
      </c>
      <c r="D10" s="19" t="str">
        <f>"0,6760"</f>
        <v>0,6760</v>
      </c>
      <c r="E10" s="19" t="s">
        <v>47</v>
      </c>
      <c r="F10" s="19" t="s">
        <v>48</v>
      </c>
      <c r="G10" s="20" t="s">
        <v>49</v>
      </c>
      <c r="H10" s="20" t="s">
        <v>50</v>
      </c>
      <c r="I10" s="21" t="s">
        <v>51</v>
      </c>
      <c r="J10" s="21"/>
      <c r="K10" s="20" t="s">
        <v>33</v>
      </c>
      <c r="L10" s="20" t="s">
        <v>52</v>
      </c>
      <c r="M10" s="21" t="s">
        <v>54</v>
      </c>
      <c r="N10" s="21"/>
      <c r="O10" s="20" t="s">
        <v>49</v>
      </c>
      <c r="P10" s="20" t="s">
        <v>51</v>
      </c>
      <c r="Q10" s="20" t="s">
        <v>55</v>
      </c>
      <c r="R10" s="21"/>
      <c r="S10" s="26" t="str">
        <f>"385,0"</f>
        <v>385,0</v>
      </c>
      <c r="T10" s="27" t="str">
        <f>"260,2600"</f>
        <v>260,2600</v>
      </c>
      <c r="U10" s="19" t="s">
        <v>41</v>
      </c>
    </row>
    <row r="12" spans="1:21" ht="15" x14ac:dyDescent="0.2">
      <c r="A12" s="57" t="s">
        <v>61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21" x14ac:dyDescent="0.2">
      <c r="A13" s="13" t="s">
        <v>63</v>
      </c>
      <c r="B13" s="13" t="s">
        <v>64</v>
      </c>
      <c r="C13" s="13" t="s">
        <v>65</v>
      </c>
      <c r="D13" s="13" t="str">
        <f>"0,6388"</f>
        <v>0,6388</v>
      </c>
      <c r="E13" s="13" t="s">
        <v>47</v>
      </c>
      <c r="F13" s="13" t="s">
        <v>48</v>
      </c>
      <c r="G13" s="15" t="s">
        <v>66</v>
      </c>
      <c r="H13" s="15" t="s">
        <v>67</v>
      </c>
      <c r="I13" s="14" t="s">
        <v>54</v>
      </c>
      <c r="J13" s="14"/>
      <c r="K13" s="15" t="s">
        <v>68</v>
      </c>
      <c r="L13" s="15" t="s">
        <v>66</v>
      </c>
      <c r="M13" s="14" t="s">
        <v>33</v>
      </c>
      <c r="N13" s="14"/>
      <c r="O13" s="15" t="s">
        <v>49</v>
      </c>
      <c r="P13" s="15" t="s">
        <v>50</v>
      </c>
      <c r="Q13" s="15" t="s">
        <v>51</v>
      </c>
      <c r="R13" s="14"/>
      <c r="S13" s="22" t="str">
        <f>"315,0"</f>
        <v>315,0</v>
      </c>
      <c r="T13" s="23" t="str">
        <f>"213,2953"</f>
        <v>213,2953</v>
      </c>
      <c r="U13" s="13" t="s">
        <v>57</v>
      </c>
    </row>
    <row r="15" spans="1:21" ht="15" x14ac:dyDescent="0.2">
      <c r="A15" s="57" t="s">
        <v>69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21" x14ac:dyDescent="0.2">
      <c r="A16" s="16" t="s">
        <v>71</v>
      </c>
      <c r="B16" s="16" t="s">
        <v>72</v>
      </c>
      <c r="C16" s="16" t="s">
        <v>73</v>
      </c>
      <c r="D16" s="16" t="str">
        <f>"0,5589"</f>
        <v>0,5589</v>
      </c>
      <c r="E16" s="16" t="s">
        <v>74</v>
      </c>
      <c r="F16" s="16" t="s">
        <v>75</v>
      </c>
      <c r="G16" s="17" t="s">
        <v>76</v>
      </c>
      <c r="H16" s="18" t="s">
        <v>77</v>
      </c>
      <c r="I16" s="18" t="s">
        <v>78</v>
      </c>
      <c r="J16" s="18"/>
      <c r="K16" s="17" t="s">
        <v>79</v>
      </c>
      <c r="L16" s="18" t="s">
        <v>49</v>
      </c>
      <c r="M16" s="18" t="s">
        <v>49</v>
      </c>
      <c r="N16" s="18"/>
      <c r="O16" s="17" t="s">
        <v>80</v>
      </c>
      <c r="P16" s="17" t="s">
        <v>81</v>
      </c>
      <c r="Q16" s="18" t="s">
        <v>82</v>
      </c>
      <c r="R16" s="18"/>
      <c r="S16" s="24" t="str">
        <f>"530,0"</f>
        <v>530,0</v>
      </c>
      <c r="T16" s="25" t="str">
        <f>"296,2170"</f>
        <v>296,2170</v>
      </c>
      <c r="U16" s="16" t="s">
        <v>83</v>
      </c>
    </row>
    <row r="17" spans="1:21" x14ac:dyDescent="0.2">
      <c r="A17" s="19" t="s">
        <v>85</v>
      </c>
      <c r="B17" s="19" t="s">
        <v>86</v>
      </c>
      <c r="C17" s="19" t="s">
        <v>87</v>
      </c>
      <c r="D17" s="19" t="str">
        <f>"0,5613"</f>
        <v>0,5613</v>
      </c>
      <c r="E17" s="19" t="s">
        <v>88</v>
      </c>
      <c r="F17" s="19" t="s">
        <v>75</v>
      </c>
      <c r="G17" s="20" t="s">
        <v>89</v>
      </c>
      <c r="H17" s="20" t="s">
        <v>80</v>
      </c>
      <c r="I17" s="21" t="s">
        <v>76</v>
      </c>
      <c r="J17" s="21"/>
      <c r="K17" s="20" t="s">
        <v>50</v>
      </c>
      <c r="L17" s="20" t="s">
        <v>51</v>
      </c>
      <c r="M17" s="21" t="s">
        <v>55</v>
      </c>
      <c r="N17" s="21"/>
      <c r="O17" s="21" t="s">
        <v>76</v>
      </c>
      <c r="P17" s="21" t="s">
        <v>76</v>
      </c>
      <c r="Q17" s="20" t="s">
        <v>77</v>
      </c>
      <c r="R17" s="21"/>
      <c r="S17" s="26" t="str">
        <f>"545,0"</f>
        <v>545,0</v>
      </c>
      <c r="T17" s="27" t="str">
        <f>"306,8262"</f>
        <v>306,8262</v>
      </c>
      <c r="U17" s="19" t="s">
        <v>90</v>
      </c>
    </row>
    <row r="19" spans="1:21" ht="15" x14ac:dyDescent="0.2">
      <c r="A19" s="57" t="s">
        <v>91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21" x14ac:dyDescent="0.2">
      <c r="A20" s="16" t="s">
        <v>93</v>
      </c>
      <c r="B20" s="16" t="s">
        <v>94</v>
      </c>
      <c r="C20" s="16" t="s">
        <v>95</v>
      </c>
      <c r="D20" s="16" t="str">
        <f>"0,5375"</f>
        <v>0,5375</v>
      </c>
      <c r="E20" s="16" t="s">
        <v>96</v>
      </c>
      <c r="F20" s="16" t="s">
        <v>31</v>
      </c>
      <c r="G20" s="18" t="s">
        <v>76</v>
      </c>
      <c r="H20" s="17" t="s">
        <v>76</v>
      </c>
      <c r="I20" s="17" t="s">
        <v>97</v>
      </c>
      <c r="J20" s="18"/>
      <c r="K20" s="17" t="s">
        <v>98</v>
      </c>
      <c r="L20" s="17" t="s">
        <v>56</v>
      </c>
      <c r="M20" s="18" t="s">
        <v>99</v>
      </c>
      <c r="N20" s="18"/>
      <c r="O20" s="17" t="s">
        <v>100</v>
      </c>
      <c r="P20" s="17" t="s">
        <v>101</v>
      </c>
      <c r="Q20" s="18" t="s">
        <v>102</v>
      </c>
      <c r="R20" s="18"/>
      <c r="S20" s="24" t="str">
        <f>"647,5"</f>
        <v>647,5</v>
      </c>
      <c r="T20" s="25" t="str">
        <f>"348,0313"</f>
        <v>348,0313</v>
      </c>
      <c r="U20" s="16" t="s">
        <v>103</v>
      </c>
    </row>
    <row r="21" spans="1:21" x14ac:dyDescent="0.2">
      <c r="A21" s="19" t="s">
        <v>93</v>
      </c>
      <c r="B21" s="19" t="s">
        <v>104</v>
      </c>
      <c r="C21" s="19" t="s">
        <v>95</v>
      </c>
      <c r="D21" s="19" t="str">
        <f>"0,5375"</f>
        <v>0,5375</v>
      </c>
      <c r="E21" s="19" t="s">
        <v>96</v>
      </c>
      <c r="F21" s="19" t="s">
        <v>31</v>
      </c>
      <c r="G21" s="21" t="s">
        <v>76</v>
      </c>
      <c r="H21" s="20" t="s">
        <v>76</v>
      </c>
      <c r="I21" s="20" t="s">
        <v>97</v>
      </c>
      <c r="J21" s="21"/>
      <c r="K21" s="20" t="s">
        <v>98</v>
      </c>
      <c r="L21" s="20" t="s">
        <v>56</v>
      </c>
      <c r="M21" s="21" t="s">
        <v>99</v>
      </c>
      <c r="N21" s="21"/>
      <c r="O21" s="20" t="s">
        <v>100</v>
      </c>
      <c r="P21" s="20" t="s">
        <v>101</v>
      </c>
      <c r="Q21" s="21" t="s">
        <v>102</v>
      </c>
      <c r="R21" s="21"/>
      <c r="S21" s="26" t="str">
        <f>"647,5"</f>
        <v>647,5</v>
      </c>
      <c r="T21" s="27" t="str">
        <f>"358,8202"</f>
        <v>358,8202</v>
      </c>
      <c r="U21" s="19" t="s">
        <v>103</v>
      </c>
    </row>
    <row r="23" spans="1:21" ht="15" x14ac:dyDescent="0.2">
      <c r="A23" s="57" t="s">
        <v>105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21" x14ac:dyDescent="0.2">
      <c r="A24" s="16" t="s">
        <v>107</v>
      </c>
      <c r="B24" s="16" t="s">
        <v>108</v>
      </c>
      <c r="C24" s="16" t="s">
        <v>109</v>
      </c>
      <c r="D24" s="16" t="str">
        <f>"0,5279"</f>
        <v>0,5279</v>
      </c>
      <c r="E24" s="16" t="s">
        <v>30</v>
      </c>
      <c r="F24" s="16" t="s">
        <v>110</v>
      </c>
      <c r="G24" s="17" t="s">
        <v>111</v>
      </c>
      <c r="H24" s="17" t="s">
        <v>112</v>
      </c>
      <c r="I24" s="17" t="s">
        <v>100</v>
      </c>
      <c r="J24" s="18"/>
      <c r="K24" s="17" t="s">
        <v>56</v>
      </c>
      <c r="L24" s="18" t="s">
        <v>113</v>
      </c>
      <c r="M24" s="17" t="s">
        <v>113</v>
      </c>
      <c r="N24" s="18"/>
      <c r="O24" s="17" t="s">
        <v>112</v>
      </c>
      <c r="P24" s="17" t="s">
        <v>114</v>
      </c>
      <c r="Q24" s="17" t="s">
        <v>115</v>
      </c>
      <c r="R24" s="18"/>
      <c r="S24" s="24" t="str">
        <f>"752,5"</f>
        <v>752,5</v>
      </c>
      <c r="T24" s="25" t="str">
        <f>"397,2447"</f>
        <v>397,2447</v>
      </c>
      <c r="U24" s="16" t="s">
        <v>41</v>
      </c>
    </row>
    <row r="25" spans="1:21" x14ac:dyDescent="0.2">
      <c r="A25" s="19" t="s">
        <v>117</v>
      </c>
      <c r="B25" s="19" t="s">
        <v>118</v>
      </c>
      <c r="C25" s="19" t="s">
        <v>119</v>
      </c>
      <c r="D25" s="19" t="str">
        <f>"0,5210"</f>
        <v>0,5210</v>
      </c>
      <c r="E25" s="19" t="s">
        <v>30</v>
      </c>
      <c r="F25" s="19" t="s">
        <v>31</v>
      </c>
      <c r="G25" s="20" t="s">
        <v>78</v>
      </c>
      <c r="H25" s="20" t="s">
        <v>120</v>
      </c>
      <c r="I25" s="20" t="s">
        <v>112</v>
      </c>
      <c r="J25" s="21"/>
      <c r="K25" s="20" t="s">
        <v>99</v>
      </c>
      <c r="L25" s="20" t="s">
        <v>89</v>
      </c>
      <c r="M25" s="21" t="s">
        <v>121</v>
      </c>
      <c r="N25" s="21"/>
      <c r="O25" s="20" t="s">
        <v>100</v>
      </c>
      <c r="P25" s="20" t="s">
        <v>114</v>
      </c>
      <c r="Q25" s="21" t="s">
        <v>115</v>
      </c>
      <c r="R25" s="21"/>
      <c r="S25" s="26" t="str">
        <f>"730,0"</f>
        <v>730,0</v>
      </c>
      <c r="T25" s="27" t="str">
        <f>"380,3300"</f>
        <v>380,3300</v>
      </c>
      <c r="U25" s="19" t="s">
        <v>122</v>
      </c>
    </row>
    <row r="27" spans="1:21" ht="15" x14ac:dyDescent="0.2">
      <c r="E27" s="10" t="s">
        <v>13</v>
      </c>
    </row>
    <row r="28" spans="1:21" ht="15" x14ac:dyDescent="0.2">
      <c r="E28" s="10" t="s">
        <v>14</v>
      </c>
    </row>
    <row r="29" spans="1:21" ht="15" x14ac:dyDescent="0.2">
      <c r="E29" s="10" t="s">
        <v>15</v>
      </c>
    </row>
    <row r="30" spans="1:21" ht="15" x14ac:dyDescent="0.2">
      <c r="E30" s="10" t="s">
        <v>16</v>
      </c>
    </row>
    <row r="31" spans="1:21" ht="15" x14ac:dyDescent="0.2">
      <c r="E31" s="10" t="s">
        <v>16</v>
      </c>
    </row>
    <row r="32" spans="1:21" ht="15" x14ac:dyDescent="0.2">
      <c r="E32" s="10" t="s">
        <v>17</v>
      </c>
    </row>
    <row r="33" spans="1:5" ht="15" x14ac:dyDescent="0.2">
      <c r="E33" s="10"/>
    </row>
    <row r="35" spans="1:5" ht="18" x14ac:dyDescent="0.25">
      <c r="A35" s="12" t="s">
        <v>18</v>
      </c>
      <c r="B35" s="12"/>
    </row>
    <row r="36" spans="1:5" ht="15" x14ac:dyDescent="0.2">
      <c r="A36" s="28" t="s">
        <v>123</v>
      </c>
      <c r="B36" s="28"/>
    </row>
    <row r="37" spans="1:5" ht="14.25" x14ac:dyDescent="0.2">
      <c r="A37" s="30"/>
      <c r="B37" s="31" t="s">
        <v>124</v>
      </c>
    </row>
    <row r="38" spans="1:5" ht="15" x14ac:dyDescent="0.2">
      <c r="A38" s="32" t="s">
        <v>125</v>
      </c>
      <c r="B38" s="32" t="s">
        <v>126</v>
      </c>
      <c r="C38" s="32" t="s">
        <v>127</v>
      </c>
      <c r="D38" s="32" t="s">
        <v>128</v>
      </c>
      <c r="E38" s="32" t="s">
        <v>129</v>
      </c>
    </row>
    <row r="39" spans="1:5" x14ac:dyDescent="0.2">
      <c r="A39" s="29" t="s">
        <v>26</v>
      </c>
      <c r="B39" s="4" t="s">
        <v>130</v>
      </c>
      <c r="C39" s="4" t="s">
        <v>131</v>
      </c>
      <c r="D39" s="4" t="s">
        <v>132</v>
      </c>
      <c r="E39" s="11" t="s">
        <v>133</v>
      </c>
    </row>
    <row r="42" spans="1:5" ht="15" x14ac:dyDescent="0.2">
      <c r="A42" s="28" t="s">
        <v>134</v>
      </c>
      <c r="B42" s="28"/>
    </row>
    <row r="43" spans="1:5" ht="14.25" x14ac:dyDescent="0.2">
      <c r="A43" s="30"/>
      <c r="B43" s="31" t="s">
        <v>135</v>
      </c>
    </row>
    <row r="44" spans="1:5" ht="15" x14ac:dyDescent="0.2">
      <c r="A44" s="32" t="s">
        <v>125</v>
      </c>
      <c r="B44" s="32" t="s">
        <v>126</v>
      </c>
      <c r="C44" s="32" t="s">
        <v>127</v>
      </c>
      <c r="D44" s="32" t="s">
        <v>128</v>
      </c>
      <c r="E44" s="32" t="s">
        <v>129</v>
      </c>
    </row>
    <row r="45" spans="1:5" x14ac:dyDescent="0.2">
      <c r="A45" s="29" t="s">
        <v>62</v>
      </c>
      <c r="B45" s="4" t="s">
        <v>136</v>
      </c>
      <c r="C45" s="4" t="s">
        <v>137</v>
      </c>
      <c r="D45" s="4" t="s">
        <v>138</v>
      </c>
      <c r="E45" s="11" t="s">
        <v>139</v>
      </c>
    </row>
    <row r="47" spans="1:5" ht="14.25" x14ac:dyDescent="0.2">
      <c r="A47" s="30"/>
      <c r="B47" s="31" t="s">
        <v>140</v>
      </c>
    </row>
    <row r="48" spans="1:5" ht="15" x14ac:dyDescent="0.2">
      <c r="A48" s="32" t="s">
        <v>125</v>
      </c>
      <c r="B48" s="32" t="s">
        <v>126</v>
      </c>
      <c r="C48" s="32" t="s">
        <v>127</v>
      </c>
      <c r="D48" s="32" t="s">
        <v>128</v>
      </c>
      <c r="E48" s="32" t="s">
        <v>129</v>
      </c>
    </row>
    <row r="49" spans="1:5" x14ac:dyDescent="0.2">
      <c r="A49" s="29" t="s">
        <v>43</v>
      </c>
      <c r="B49" s="4" t="s">
        <v>141</v>
      </c>
      <c r="C49" s="4" t="s">
        <v>142</v>
      </c>
      <c r="D49" s="4" t="s">
        <v>143</v>
      </c>
      <c r="E49" s="11" t="s">
        <v>144</v>
      </c>
    </row>
    <row r="51" spans="1:5" ht="14.25" x14ac:dyDescent="0.2">
      <c r="A51" s="30"/>
      <c r="B51" s="31" t="s">
        <v>145</v>
      </c>
    </row>
    <row r="52" spans="1:5" ht="15" x14ac:dyDescent="0.2">
      <c r="A52" s="32" t="s">
        <v>125</v>
      </c>
      <c r="B52" s="32" t="s">
        <v>126</v>
      </c>
      <c r="C52" s="32" t="s">
        <v>127</v>
      </c>
      <c r="D52" s="32" t="s">
        <v>128</v>
      </c>
      <c r="E52" s="32" t="s">
        <v>129</v>
      </c>
    </row>
    <row r="53" spans="1:5" x14ac:dyDescent="0.2">
      <c r="A53" s="29" t="s">
        <v>106</v>
      </c>
      <c r="B53" s="4" t="s">
        <v>145</v>
      </c>
      <c r="C53" s="4" t="s">
        <v>146</v>
      </c>
      <c r="D53" s="4" t="s">
        <v>147</v>
      </c>
      <c r="E53" s="11" t="s">
        <v>148</v>
      </c>
    </row>
    <row r="54" spans="1:5" x14ac:dyDescent="0.2">
      <c r="A54" s="29" t="s">
        <v>116</v>
      </c>
      <c r="B54" s="4" t="s">
        <v>145</v>
      </c>
      <c r="C54" s="4" t="s">
        <v>146</v>
      </c>
      <c r="D54" s="4" t="s">
        <v>149</v>
      </c>
      <c r="E54" s="11" t="s">
        <v>150</v>
      </c>
    </row>
    <row r="55" spans="1:5" x14ac:dyDescent="0.2">
      <c r="A55" s="29" t="s">
        <v>92</v>
      </c>
      <c r="B55" s="4" t="s">
        <v>145</v>
      </c>
      <c r="C55" s="4" t="s">
        <v>151</v>
      </c>
      <c r="D55" s="4" t="s">
        <v>152</v>
      </c>
      <c r="E55" s="11" t="s">
        <v>153</v>
      </c>
    </row>
    <row r="56" spans="1:5" x14ac:dyDescent="0.2">
      <c r="A56" s="29" t="s">
        <v>70</v>
      </c>
      <c r="B56" s="4" t="s">
        <v>145</v>
      </c>
      <c r="C56" s="4" t="s">
        <v>154</v>
      </c>
      <c r="D56" s="4" t="s">
        <v>155</v>
      </c>
      <c r="E56" s="11" t="s">
        <v>156</v>
      </c>
    </row>
    <row r="57" spans="1:5" x14ac:dyDescent="0.2">
      <c r="A57" s="29" t="s">
        <v>58</v>
      </c>
      <c r="B57" s="4" t="s">
        <v>145</v>
      </c>
      <c r="C57" s="4" t="s">
        <v>142</v>
      </c>
      <c r="D57" s="4" t="s">
        <v>157</v>
      </c>
      <c r="E57" s="11" t="s">
        <v>158</v>
      </c>
    </row>
    <row r="59" spans="1:5" ht="14.25" x14ac:dyDescent="0.2">
      <c r="A59" s="30"/>
      <c r="B59" s="31" t="s">
        <v>124</v>
      </c>
    </row>
    <row r="60" spans="1:5" ht="15" x14ac:dyDescent="0.2">
      <c r="A60" s="32" t="s">
        <v>125</v>
      </c>
      <c r="B60" s="32" t="s">
        <v>126</v>
      </c>
      <c r="C60" s="32" t="s">
        <v>127</v>
      </c>
      <c r="D60" s="32" t="s">
        <v>128</v>
      </c>
      <c r="E60" s="32" t="s">
        <v>129</v>
      </c>
    </row>
    <row r="61" spans="1:5" x14ac:dyDescent="0.2">
      <c r="A61" s="29" t="s">
        <v>92</v>
      </c>
      <c r="B61" s="4" t="s">
        <v>130</v>
      </c>
      <c r="C61" s="4" t="s">
        <v>151</v>
      </c>
      <c r="D61" s="4" t="s">
        <v>152</v>
      </c>
      <c r="E61" s="11" t="s">
        <v>159</v>
      </c>
    </row>
    <row r="62" spans="1:5" x14ac:dyDescent="0.2">
      <c r="A62" s="29" t="s">
        <v>84</v>
      </c>
      <c r="B62" s="4" t="s">
        <v>130</v>
      </c>
      <c r="C62" s="4" t="s">
        <v>154</v>
      </c>
      <c r="D62" s="4" t="s">
        <v>160</v>
      </c>
      <c r="E62" s="11" t="s">
        <v>161</v>
      </c>
    </row>
  </sheetData>
  <mergeCells count="19">
    <mergeCell ref="A8:R8"/>
    <mergeCell ref="A12:R12"/>
    <mergeCell ref="A15:R15"/>
    <mergeCell ref="A19:R19"/>
    <mergeCell ref="A23:R23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3" width="2.140625" style="3" customWidth="1"/>
    <col min="14" max="14" width="4.85546875" style="3" customWidth="1"/>
    <col min="15" max="17" width="2.140625" style="3" customWidth="1"/>
    <col min="18" max="18" width="4.85546875" style="3" customWidth="1"/>
    <col min="19" max="19" width="7.85546875" style="11" bestFit="1" customWidth="1"/>
    <col min="20" max="20" width="6.42578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56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7</v>
      </c>
      <c r="C3" s="47" t="s">
        <v>11</v>
      </c>
      <c r="D3" s="51"/>
      <c r="E3" s="51" t="s">
        <v>4</v>
      </c>
      <c r="F3" s="51" t="s">
        <v>8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 t="s">
        <v>1</v>
      </c>
      <c r="T3" s="51" t="s">
        <v>3</v>
      </c>
      <c r="U3" s="52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48"/>
      <c r="T4" s="48"/>
      <c r="U4" s="53"/>
    </row>
    <row r="5" spans="1:21" x14ac:dyDescent="0.2">
      <c r="G5" s="6"/>
    </row>
    <row r="6" spans="1:21" ht="15" x14ac:dyDescent="0.2">
      <c r="E6" s="10" t="s">
        <v>13</v>
      </c>
    </row>
    <row r="7" spans="1:21" ht="15" x14ac:dyDescent="0.2">
      <c r="E7" s="10" t="s">
        <v>14</v>
      </c>
    </row>
    <row r="8" spans="1:21" ht="15" x14ac:dyDescent="0.2">
      <c r="E8" s="10" t="s">
        <v>15</v>
      </c>
    </row>
    <row r="9" spans="1:21" ht="15" x14ac:dyDescent="0.2">
      <c r="E9" s="10" t="s">
        <v>16</v>
      </c>
    </row>
    <row r="10" spans="1:21" ht="15" x14ac:dyDescent="0.2">
      <c r="E10" s="10" t="s">
        <v>16</v>
      </c>
    </row>
    <row r="11" spans="1:21" ht="15" x14ac:dyDescent="0.2">
      <c r="E11" s="10" t="s">
        <v>17</v>
      </c>
    </row>
    <row r="12" spans="1:21" ht="15" x14ac:dyDescent="0.2">
      <c r="E12" s="10"/>
    </row>
    <row r="14" spans="1:21" ht="18" x14ac:dyDescent="0.25">
      <c r="A14" s="12" t="s">
        <v>18</v>
      </c>
      <c r="B14" s="12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3" width="2.140625" style="3" customWidth="1"/>
    <col min="14" max="14" width="4.85546875" style="3" customWidth="1"/>
    <col min="15" max="17" width="2.140625" style="3" customWidth="1"/>
    <col min="18" max="18" width="4.85546875" style="3" customWidth="1"/>
    <col min="19" max="19" width="7.85546875" style="11" bestFit="1" customWidth="1"/>
    <col min="20" max="20" width="6.42578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56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">
      <c r="A3" s="45" t="s">
        <v>0</v>
      </c>
      <c r="B3" s="47" t="s">
        <v>7</v>
      </c>
      <c r="C3" s="47" t="s">
        <v>11</v>
      </c>
      <c r="D3" s="51"/>
      <c r="E3" s="51" t="s">
        <v>4</v>
      </c>
      <c r="F3" s="51" t="s">
        <v>8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 t="s">
        <v>1</v>
      </c>
      <c r="T3" s="51" t="s">
        <v>3</v>
      </c>
      <c r="U3" s="52" t="s">
        <v>2</v>
      </c>
    </row>
    <row r="4" spans="1:21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48"/>
      <c r="T4" s="48"/>
      <c r="U4" s="53"/>
    </row>
    <row r="5" spans="1:21" x14ac:dyDescent="0.2">
      <c r="G5" s="6"/>
    </row>
    <row r="6" spans="1:21" ht="15" x14ac:dyDescent="0.2">
      <c r="E6" s="10" t="s">
        <v>13</v>
      </c>
    </row>
    <row r="7" spans="1:21" ht="15" x14ac:dyDescent="0.2">
      <c r="E7" s="10" t="s">
        <v>14</v>
      </c>
    </row>
    <row r="8" spans="1:21" ht="15" x14ac:dyDescent="0.2">
      <c r="E8" s="10" t="s">
        <v>15</v>
      </c>
    </row>
    <row r="9" spans="1:21" ht="15" x14ac:dyDescent="0.2">
      <c r="E9" s="10" t="s">
        <v>16</v>
      </c>
    </row>
    <row r="10" spans="1:21" ht="15" x14ac:dyDescent="0.2">
      <c r="E10" s="10" t="s">
        <v>16</v>
      </c>
    </row>
    <row r="11" spans="1:21" ht="15" x14ac:dyDescent="0.2">
      <c r="E11" s="10" t="s">
        <v>17</v>
      </c>
    </row>
    <row r="12" spans="1:21" ht="15" x14ac:dyDescent="0.2">
      <c r="E12" s="10"/>
    </row>
    <row r="14" spans="1:21" ht="18" x14ac:dyDescent="0.25">
      <c r="A14" s="12" t="s">
        <v>18</v>
      </c>
      <c r="B14" s="12"/>
    </row>
  </sheetData>
  <mergeCells count="13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7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6" t="s">
        <v>424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422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6" t="s">
        <v>419</v>
      </c>
      <c r="B6" s="16" t="s">
        <v>214</v>
      </c>
      <c r="C6" s="16" t="s">
        <v>215</v>
      </c>
      <c r="D6" s="16" t="str">
        <f>"1,0000"</f>
        <v>1,0000</v>
      </c>
      <c r="E6" s="16" t="s">
        <v>30</v>
      </c>
      <c r="F6" s="16" t="s">
        <v>216</v>
      </c>
      <c r="G6" s="17" t="s">
        <v>55</v>
      </c>
      <c r="H6" s="17" t="s">
        <v>418</v>
      </c>
      <c r="I6" s="24" t="str">
        <f>"4050,0"</f>
        <v>4050,0</v>
      </c>
      <c r="J6" s="25" t="str">
        <f>"49,0909"</f>
        <v>49,0909</v>
      </c>
      <c r="K6" s="16" t="s">
        <v>41</v>
      </c>
    </row>
    <row r="7" spans="1:11" x14ac:dyDescent="0.2">
      <c r="A7" s="19" t="s">
        <v>417</v>
      </c>
      <c r="B7" s="19" t="s">
        <v>416</v>
      </c>
      <c r="C7" s="19" t="s">
        <v>415</v>
      </c>
      <c r="D7" s="19" t="str">
        <f>"1,0000"</f>
        <v>1,0000</v>
      </c>
      <c r="E7" s="19" t="s">
        <v>414</v>
      </c>
      <c r="F7" s="19" t="s">
        <v>169</v>
      </c>
      <c r="G7" s="20" t="s">
        <v>55</v>
      </c>
      <c r="H7" s="20" t="s">
        <v>413</v>
      </c>
      <c r="I7" s="26" t="str">
        <f>"2250,0"</f>
        <v>2250,0</v>
      </c>
      <c r="J7" s="27" t="str">
        <f>"22,7272"</f>
        <v>22,7272</v>
      </c>
      <c r="K7" s="19" t="s">
        <v>41</v>
      </c>
    </row>
    <row r="9" spans="1:11" ht="15" x14ac:dyDescent="0.2">
      <c r="E9" s="10" t="s">
        <v>13</v>
      </c>
    </row>
    <row r="10" spans="1:11" ht="15" x14ac:dyDescent="0.2">
      <c r="E10" s="10" t="s">
        <v>14</v>
      </c>
    </row>
    <row r="11" spans="1:11" ht="15" x14ac:dyDescent="0.2">
      <c r="E11" s="10" t="s">
        <v>15</v>
      </c>
    </row>
    <row r="12" spans="1:11" ht="15" x14ac:dyDescent="0.2">
      <c r="E12" s="10" t="s">
        <v>16</v>
      </c>
    </row>
    <row r="13" spans="1:11" ht="15" x14ac:dyDescent="0.2">
      <c r="E13" s="10" t="s">
        <v>16</v>
      </c>
    </row>
    <row r="14" spans="1:11" ht="15" x14ac:dyDescent="0.2">
      <c r="E14" s="10" t="s">
        <v>17</v>
      </c>
    </row>
    <row r="15" spans="1:11" ht="15" x14ac:dyDescent="0.2">
      <c r="E15" s="10"/>
    </row>
    <row r="17" spans="1:5" ht="18" x14ac:dyDescent="0.25">
      <c r="A17" s="12" t="s">
        <v>18</v>
      </c>
      <c r="B17" s="12"/>
    </row>
    <row r="18" spans="1:5" ht="15" x14ac:dyDescent="0.2">
      <c r="A18" s="28" t="s">
        <v>134</v>
      </c>
      <c r="B18" s="28"/>
    </row>
    <row r="19" spans="1:5" ht="14.25" x14ac:dyDescent="0.2">
      <c r="A19" s="30"/>
      <c r="B19" s="31" t="s">
        <v>145</v>
      </c>
    </row>
    <row r="20" spans="1:5" ht="15" x14ac:dyDescent="0.2">
      <c r="A20" s="32" t="s">
        <v>125</v>
      </c>
      <c r="B20" s="32" t="s">
        <v>126</v>
      </c>
      <c r="C20" s="32" t="s">
        <v>127</v>
      </c>
      <c r="D20" s="32" t="s">
        <v>246</v>
      </c>
      <c r="E20" s="32" t="s">
        <v>410</v>
      </c>
    </row>
    <row r="21" spans="1:5" x14ac:dyDescent="0.2">
      <c r="A21" s="29" t="s">
        <v>212</v>
      </c>
      <c r="B21" s="4" t="s">
        <v>145</v>
      </c>
      <c r="C21" s="4" t="s">
        <v>408</v>
      </c>
      <c r="D21" s="4" t="s">
        <v>412</v>
      </c>
      <c r="E21" s="11" t="s">
        <v>411</v>
      </c>
    </row>
    <row r="23" spans="1:5" ht="14.25" x14ac:dyDescent="0.2">
      <c r="A23" s="30"/>
      <c r="B23" s="31" t="s">
        <v>124</v>
      </c>
    </row>
    <row r="24" spans="1:5" ht="15" x14ac:dyDescent="0.2">
      <c r="A24" s="32" t="s">
        <v>125</v>
      </c>
      <c r="B24" s="32" t="s">
        <v>126</v>
      </c>
      <c r="C24" s="32" t="s">
        <v>127</v>
      </c>
      <c r="D24" s="32" t="s">
        <v>246</v>
      </c>
      <c r="E24" s="32" t="s">
        <v>410</v>
      </c>
    </row>
    <row r="25" spans="1:5" x14ac:dyDescent="0.2">
      <c r="A25" s="29" t="s">
        <v>409</v>
      </c>
      <c r="B25" s="4" t="s">
        <v>130</v>
      </c>
      <c r="C25" s="4" t="s">
        <v>408</v>
      </c>
      <c r="D25" s="4" t="s">
        <v>407</v>
      </c>
      <c r="E25" s="11" t="s">
        <v>406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10.5703125" style="4" bestFit="1" customWidth="1"/>
    <col min="12" max="16384" width="9.140625" style="3"/>
  </cols>
  <sheetData>
    <row r="1" spans="1:11" s="2" customFormat="1" ht="29.1" customHeight="1" x14ac:dyDescent="0.2">
      <c r="A1" s="56" t="s">
        <v>430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422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6" t="s">
        <v>429</v>
      </c>
      <c r="B6" s="16" t="s">
        <v>326</v>
      </c>
      <c r="C6" s="16" t="s">
        <v>327</v>
      </c>
      <c r="D6" s="16" t="str">
        <f>"1,0000"</f>
        <v>1,0000</v>
      </c>
      <c r="E6" s="16" t="s">
        <v>30</v>
      </c>
      <c r="F6" s="16" t="s">
        <v>328</v>
      </c>
      <c r="G6" s="17" t="s">
        <v>55</v>
      </c>
      <c r="H6" s="17" t="s">
        <v>428</v>
      </c>
      <c r="I6" s="24" t="str">
        <f>"4500,0"</f>
        <v>4500,0</v>
      </c>
      <c r="J6" s="25" t="str">
        <f>"66,6666"</f>
        <v>66,6666</v>
      </c>
      <c r="K6" s="16" t="s">
        <v>329</v>
      </c>
    </row>
    <row r="7" spans="1:11" x14ac:dyDescent="0.2">
      <c r="A7" s="19" t="s">
        <v>429</v>
      </c>
      <c r="B7" s="19" t="s">
        <v>330</v>
      </c>
      <c r="C7" s="19" t="s">
        <v>327</v>
      </c>
      <c r="D7" s="19" t="str">
        <f>"1,0000"</f>
        <v>1,0000</v>
      </c>
      <c r="E7" s="19" t="s">
        <v>30</v>
      </c>
      <c r="F7" s="19" t="s">
        <v>328</v>
      </c>
      <c r="G7" s="20" t="s">
        <v>55</v>
      </c>
      <c r="H7" s="20" t="s">
        <v>428</v>
      </c>
      <c r="I7" s="26" t="str">
        <f>"4500,0"</f>
        <v>4500,0</v>
      </c>
      <c r="J7" s="27" t="str">
        <f>"66,6666"</f>
        <v>66,6666</v>
      </c>
      <c r="K7" s="19" t="s">
        <v>329</v>
      </c>
    </row>
    <row r="9" spans="1:11" ht="15" x14ac:dyDescent="0.2">
      <c r="E9" s="10" t="s">
        <v>13</v>
      </c>
    </row>
    <row r="10" spans="1:11" ht="15" x14ac:dyDescent="0.2">
      <c r="E10" s="10" t="s">
        <v>14</v>
      </c>
    </row>
    <row r="11" spans="1:11" ht="15" x14ac:dyDescent="0.2">
      <c r="E11" s="10" t="s">
        <v>15</v>
      </c>
    </row>
    <row r="12" spans="1:11" ht="15" x14ac:dyDescent="0.2">
      <c r="E12" s="10" t="s">
        <v>16</v>
      </c>
    </row>
    <row r="13" spans="1:11" ht="15" x14ac:dyDescent="0.2">
      <c r="E13" s="10" t="s">
        <v>16</v>
      </c>
    </row>
    <row r="14" spans="1:11" ht="15" x14ac:dyDescent="0.2">
      <c r="E14" s="10" t="s">
        <v>17</v>
      </c>
    </row>
    <row r="15" spans="1:11" ht="15" x14ac:dyDescent="0.2">
      <c r="E15" s="10"/>
    </row>
    <row r="17" spans="1:5" ht="18" x14ac:dyDescent="0.25">
      <c r="A17" s="12" t="s">
        <v>18</v>
      </c>
      <c r="B17" s="12"/>
    </row>
    <row r="18" spans="1:5" ht="15" x14ac:dyDescent="0.2">
      <c r="A18" s="28" t="s">
        <v>134</v>
      </c>
      <c r="B18" s="28"/>
    </row>
    <row r="19" spans="1:5" ht="14.25" x14ac:dyDescent="0.2">
      <c r="A19" s="30"/>
      <c r="B19" s="31" t="s">
        <v>145</v>
      </c>
    </row>
    <row r="20" spans="1:5" ht="15" x14ac:dyDescent="0.2">
      <c r="A20" s="32" t="s">
        <v>125</v>
      </c>
      <c r="B20" s="32" t="s">
        <v>126</v>
      </c>
      <c r="C20" s="32" t="s">
        <v>127</v>
      </c>
      <c r="D20" s="32" t="s">
        <v>246</v>
      </c>
      <c r="E20" s="32" t="s">
        <v>410</v>
      </c>
    </row>
    <row r="21" spans="1:5" x14ac:dyDescent="0.2">
      <c r="A21" s="29" t="s">
        <v>427</v>
      </c>
      <c r="B21" s="4" t="s">
        <v>145</v>
      </c>
      <c r="C21" s="4" t="s">
        <v>408</v>
      </c>
      <c r="D21" s="4" t="s">
        <v>426</v>
      </c>
      <c r="E21" s="11" t="s">
        <v>425</v>
      </c>
    </row>
    <row r="23" spans="1:5" ht="14.25" x14ac:dyDescent="0.2">
      <c r="A23" s="30"/>
      <c r="B23" s="31" t="s">
        <v>124</v>
      </c>
    </row>
    <row r="24" spans="1:5" ht="15" x14ac:dyDescent="0.2">
      <c r="A24" s="32" t="s">
        <v>125</v>
      </c>
      <c r="B24" s="32" t="s">
        <v>126</v>
      </c>
      <c r="C24" s="32" t="s">
        <v>127</v>
      </c>
      <c r="D24" s="32" t="s">
        <v>246</v>
      </c>
      <c r="E24" s="32" t="s">
        <v>410</v>
      </c>
    </row>
    <row r="25" spans="1:5" x14ac:dyDescent="0.2">
      <c r="A25" s="29" t="s">
        <v>427</v>
      </c>
      <c r="B25" s="4" t="s">
        <v>306</v>
      </c>
      <c r="C25" s="4" t="s">
        <v>408</v>
      </c>
      <c r="D25" s="4" t="s">
        <v>426</v>
      </c>
      <c r="E25" s="11" t="s">
        <v>425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1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56" t="s">
        <v>402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24</v>
      </c>
      <c r="L3" s="51"/>
      <c r="M3" s="51"/>
      <c r="N3" s="51"/>
      <c r="O3" s="51" t="s">
        <v>1</v>
      </c>
      <c r="P3" s="51" t="s">
        <v>3</v>
      </c>
      <c r="Q3" s="52" t="s">
        <v>2</v>
      </c>
    </row>
    <row r="4" spans="1:17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48"/>
      <c r="P4" s="48"/>
      <c r="Q4" s="53"/>
    </row>
    <row r="5" spans="1:17" ht="15" x14ac:dyDescent="0.2">
      <c r="A5" s="54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 x14ac:dyDescent="0.2">
      <c r="A6" s="13" t="s">
        <v>390</v>
      </c>
      <c r="B6" s="13" t="s">
        <v>391</v>
      </c>
      <c r="C6" s="13" t="s">
        <v>392</v>
      </c>
      <c r="D6" s="13" t="str">
        <f>"0,5446"</f>
        <v>0,5446</v>
      </c>
      <c r="E6" s="13" t="s">
        <v>30</v>
      </c>
      <c r="F6" s="13" t="s">
        <v>31</v>
      </c>
      <c r="G6" s="15" t="s">
        <v>318</v>
      </c>
      <c r="H6" s="15" t="s">
        <v>51</v>
      </c>
      <c r="I6" s="14"/>
      <c r="J6" s="14"/>
      <c r="K6" s="15" t="s">
        <v>120</v>
      </c>
      <c r="L6" s="15" t="s">
        <v>361</v>
      </c>
      <c r="M6" s="14" t="s">
        <v>112</v>
      </c>
      <c r="N6" s="14"/>
      <c r="O6" s="22" t="str">
        <f>"395,0"</f>
        <v>395,0</v>
      </c>
      <c r="P6" s="23" t="str">
        <f>"229,9601"</f>
        <v>229,9601</v>
      </c>
      <c r="Q6" s="13" t="s">
        <v>41</v>
      </c>
    </row>
    <row r="8" spans="1:17" ht="15" x14ac:dyDescent="0.2">
      <c r="E8" s="10" t="s">
        <v>13</v>
      </c>
    </row>
    <row r="9" spans="1:17" ht="15" x14ac:dyDescent="0.2">
      <c r="E9" s="10" t="s">
        <v>14</v>
      </c>
    </row>
    <row r="10" spans="1:17" ht="15" x14ac:dyDescent="0.2">
      <c r="E10" s="10" t="s">
        <v>15</v>
      </c>
    </row>
    <row r="11" spans="1:17" ht="15" x14ac:dyDescent="0.2">
      <c r="E11" s="10" t="s">
        <v>16</v>
      </c>
    </row>
    <row r="12" spans="1:17" ht="15" x14ac:dyDescent="0.2">
      <c r="E12" s="10" t="s">
        <v>16</v>
      </c>
    </row>
    <row r="13" spans="1:17" ht="15" x14ac:dyDescent="0.2">
      <c r="E13" s="10" t="s">
        <v>17</v>
      </c>
    </row>
    <row r="14" spans="1:17" ht="15" x14ac:dyDescent="0.2">
      <c r="E14" s="10"/>
    </row>
    <row r="16" spans="1:17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124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128</v>
      </c>
      <c r="E19" s="32" t="s">
        <v>129</v>
      </c>
    </row>
    <row r="20" spans="1:5" x14ac:dyDescent="0.2">
      <c r="A20" s="29" t="s">
        <v>389</v>
      </c>
      <c r="B20" s="4" t="s">
        <v>171</v>
      </c>
      <c r="C20" s="4" t="s">
        <v>151</v>
      </c>
      <c r="D20" s="4" t="s">
        <v>400</v>
      </c>
      <c r="E20" s="11" t="s">
        <v>403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15" style="4" bestFit="1" customWidth="1"/>
    <col min="12" max="16384" width="9.140625" style="3"/>
  </cols>
  <sheetData>
    <row r="1" spans="1:11" s="2" customFormat="1" ht="29.1" customHeight="1" x14ac:dyDescent="0.2">
      <c r="A1" s="56" t="s">
        <v>442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422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6" t="s">
        <v>441</v>
      </c>
      <c r="B6" s="16" t="s">
        <v>440</v>
      </c>
      <c r="C6" s="16" t="s">
        <v>439</v>
      </c>
      <c r="D6" s="16" t="str">
        <f>"1,0000"</f>
        <v>1,0000</v>
      </c>
      <c r="E6" s="16" t="s">
        <v>414</v>
      </c>
      <c r="F6" s="16" t="s">
        <v>169</v>
      </c>
      <c r="G6" s="17" t="s">
        <v>53</v>
      </c>
      <c r="H6" s="17" t="s">
        <v>438</v>
      </c>
      <c r="I6" s="24" t="str">
        <f>"2000,0"</f>
        <v>2000,0</v>
      </c>
      <c r="J6" s="25" t="str">
        <f>"27,3972"</f>
        <v>27,3972</v>
      </c>
      <c r="K6" s="16" t="s">
        <v>437</v>
      </c>
    </row>
    <row r="7" spans="1:11" x14ac:dyDescent="0.2">
      <c r="A7" s="19" t="s">
        <v>59</v>
      </c>
      <c r="B7" s="19" t="s">
        <v>60</v>
      </c>
      <c r="C7" s="19" t="s">
        <v>46</v>
      </c>
      <c r="D7" s="19" t="str">
        <f>"1,0000"</f>
        <v>1,0000</v>
      </c>
      <c r="E7" s="19" t="s">
        <v>47</v>
      </c>
      <c r="F7" s="19" t="s">
        <v>48</v>
      </c>
      <c r="G7" s="20" t="s">
        <v>53</v>
      </c>
      <c r="H7" s="20" t="s">
        <v>436</v>
      </c>
      <c r="I7" s="26" t="str">
        <f>"3200,0"</f>
        <v>3200,0</v>
      </c>
      <c r="J7" s="27" t="str">
        <f>"43,5967"</f>
        <v>43,5967</v>
      </c>
      <c r="K7" s="19" t="s">
        <v>41</v>
      </c>
    </row>
    <row r="9" spans="1:11" ht="15" x14ac:dyDescent="0.2">
      <c r="E9" s="10" t="s">
        <v>13</v>
      </c>
    </row>
    <row r="10" spans="1:11" ht="15" x14ac:dyDescent="0.2">
      <c r="E10" s="10" t="s">
        <v>14</v>
      </c>
    </row>
    <row r="11" spans="1:11" ht="15" x14ac:dyDescent="0.2">
      <c r="E11" s="10" t="s">
        <v>15</v>
      </c>
    </row>
    <row r="12" spans="1:11" ht="15" x14ac:dyDescent="0.2">
      <c r="E12" s="10" t="s">
        <v>16</v>
      </c>
    </row>
    <row r="13" spans="1:11" ht="15" x14ac:dyDescent="0.2">
      <c r="E13" s="10" t="s">
        <v>16</v>
      </c>
    </row>
    <row r="14" spans="1:11" ht="15" x14ac:dyDescent="0.2">
      <c r="E14" s="10" t="s">
        <v>17</v>
      </c>
    </row>
    <row r="15" spans="1:11" ht="15" x14ac:dyDescent="0.2">
      <c r="E15" s="10"/>
    </row>
    <row r="17" spans="1:5" ht="18" x14ac:dyDescent="0.25">
      <c r="A17" s="12" t="s">
        <v>18</v>
      </c>
      <c r="B17" s="12"/>
    </row>
    <row r="18" spans="1:5" ht="15" x14ac:dyDescent="0.2">
      <c r="A18" s="28" t="s">
        <v>134</v>
      </c>
      <c r="B18" s="28"/>
    </row>
    <row r="19" spans="1:5" ht="14.25" x14ac:dyDescent="0.2">
      <c r="A19" s="30"/>
      <c r="B19" s="31" t="s">
        <v>135</v>
      </c>
    </row>
    <row r="20" spans="1:5" ht="15" x14ac:dyDescent="0.2">
      <c r="A20" s="32" t="s">
        <v>125</v>
      </c>
      <c r="B20" s="32" t="s">
        <v>126</v>
      </c>
      <c r="C20" s="32" t="s">
        <v>127</v>
      </c>
      <c r="D20" s="32" t="s">
        <v>246</v>
      </c>
      <c r="E20" s="32" t="s">
        <v>410</v>
      </c>
    </row>
    <row r="21" spans="1:5" x14ac:dyDescent="0.2">
      <c r="A21" s="29" t="s">
        <v>435</v>
      </c>
      <c r="B21" s="4" t="s">
        <v>136</v>
      </c>
      <c r="C21" s="4" t="s">
        <v>408</v>
      </c>
      <c r="D21" s="4" t="s">
        <v>434</v>
      </c>
      <c r="E21" s="11" t="s">
        <v>433</v>
      </c>
    </row>
    <row r="23" spans="1:5" ht="14.25" x14ac:dyDescent="0.2">
      <c r="A23" s="30"/>
      <c r="B23" s="31" t="s">
        <v>145</v>
      </c>
    </row>
    <row r="24" spans="1:5" ht="15" x14ac:dyDescent="0.2">
      <c r="A24" s="32" t="s">
        <v>125</v>
      </c>
      <c r="B24" s="32" t="s">
        <v>126</v>
      </c>
      <c r="C24" s="32" t="s">
        <v>127</v>
      </c>
      <c r="D24" s="32" t="s">
        <v>246</v>
      </c>
      <c r="E24" s="32" t="s">
        <v>410</v>
      </c>
    </row>
    <row r="25" spans="1:5" x14ac:dyDescent="0.2">
      <c r="A25" s="29" t="s">
        <v>58</v>
      </c>
      <c r="B25" s="4" t="s">
        <v>145</v>
      </c>
      <c r="C25" s="4" t="s">
        <v>408</v>
      </c>
      <c r="D25" s="4" t="s">
        <v>432</v>
      </c>
      <c r="E25" s="11" t="s">
        <v>431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15" style="4" bestFit="1" customWidth="1"/>
    <col min="12" max="16384" width="9.140625" style="3"/>
  </cols>
  <sheetData>
    <row r="1" spans="1:11" s="2" customFormat="1" ht="29.1" customHeight="1" x14ac:dyDescent="0.2">
      <c r="A1" s="56" t="s">
        <v>466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422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6" t="s">
        <v>465</v>
      </c>
      <c r="B6" s="16" t="s">
        <v>464</v>
      </c>
      <c r="C6" s="16" t="s">
        <v>463</v>
      </c>
      <c r="D6" s="16" t="str">
        <f>"1,0000"</f>
        <v>1,0000</v>
      </c>
      <c r="E6" s="16" t="s">
        <v>414</v>
      </c>
      <c r="F6" s="16" t="s">
        <v>31</v>
      </c>
      <c r="G6" s="17" t="s">
        <v>454</v>
      </c>
      <c r="H6" s="17" t="s">
        <v>462</v>
      </c>
      <c r="I6" s="24" t="str">
        <f>"4565,0"</f>
        <v>4565,0</v>
      </c>
      <c r="J6" s="25" t="str">
        <f>"70,6656"</f>
        <v>70,6656</v>
      </c>
      <c r="K6" s="16" t="s">
        <v>437</v>
      </c>
    </row>
    <row r="7" spans="1:11" x14ac:dyDescent="0.2">
      <c r="A7" s="33" t="s">
        <v>461</v>
      </c>
      <c r="B7" s="33" t="s">
        <v>460</v>
      </c>
      <c r="C7" s="33" t="s">
        <v>459</v>
      </c>
      <c r="D7" s="33" t="str">
        <f>"1,0000"</f>
        <v>1,0000</v>
      </c>
      <c r="E7" s="33" t="s">
        <v>414</v>
      </c>
      <c r="F7" s="33" t="s">
        <v>169</v>
      </c>
      <c r="G7" s="35" t="s">
        <v>454</v>
      </c>
      <c r="H7" s="35" t="s">
        <v>458</v>
      </c>
      <c r="I7" s="36" t="str">
        <f>"2750,0"</f>
        <v>2750,0</v>
      </c>
      <c r="J7" s="37" t="str">
        <f>"58,1395"</f>
        <v>58,1395</v>
      </c>
      <c r="K7" s="33" t="s">
        <v>437</v>
      </c>
    </row>
    <row r="8" spans="1:11" x14ac:dyDescent="0.2">
      <c r="A8" s="19" t="s">
        <v>457</v>
      </c>
      <c r="B8" s="19" t="s">
        <v>456</v>
      </c>
      <c r="C8" s="19" t="s">
        <v>455</v>
      </c>
      <c r="D8" s="19" t="str">
        <f>"1,0000"</f>
        <v>1,0000</v>
      </c>
      <c r="E8" s="19" t="s">
        <v>30</v>
      </c>
      <c r="F8" s="19" t="s">
        <v>31</v>
      </c>
      <c r="G8" s="20" t="s">
        <v>454</v>
      </c>
      <c r="H8" s="20" t="s">
        <v>453</v>
      </c>
      <c r="I8" s="26" t="str">
        <f>"2475,0"</f>
        <v>2475,0</v>
      </c>
      <c r="J8" s="27" t="str">
        <f>"56,2500"</f>
        <v>56,2500</v>
      </c>
      <c r="K8" s="19" t="s">
        <v>452</v>
      </c>
    </row>
    <row r="10" spans="1:11" ht="15" x14ac:dyDescent="0.2">
      <c r="E10" s="10" t="s">
        <v>13</v>
      </c>
    </row>
    <row r="11" spans="1:11" ht="15" x14ac:dyDescent="0.2">
      <c r="E11" s="10" t="s">
        <v>14</v>
      </c>
    </row>
    <row r="12" spans="1:11" ht="15" x14ac:dyDescent="0.2">
      <c r="E12" s="10" t="s">
        <v>15</v>
      </c>
    </row>
    <row r="13" spans="1:11" ht="15" x14ac:dyDescent="0.2">
      <c r="E13" s="10" t="s">
        <v>16</v>
      </c>
    </row>
    <row r="14" spans="1:11" ht="15" x14ac:dyDescent="0.2">
      <c r="E14" s="10" t="s">
        <v>16</v>
      </c>
    </row>
    <row r="15" spans="1:11" ht="15" x14ac:dyDescent="0.2">
      <c r="E15" s="10" t="s">
        <v>17</v>
      </c>
    </row>
    <row r="16" spans="1:11" ht="15" x14ac:dyDescent="0.2">
      <c r="E16" s="10"/>
    </row>
    <row r="18" spans="1:5" ht="18" x14ac:dyDescent="0.25">
      <c r="A18" s="12" t="s">
        <v>18</v>
      </c>
      <c r="B18" s="12"/>
    </row>
    <row r="19" spans="1:5" ht="15" x14ac:dyDescent="0.2">
      <c r="A19" s="28" t="s">
        <v>123</v>
      </c>
      <c r="B19" s="28"/>
    </row>
    <row r="20" spans="1:5" ht="14.25" x14ac:dyDescent="0.2">
      <c r="A20" s="30"/>
      <c r="B20" s="31" t="s">
        <v>145</v>
      </c>
    </row>
    <row r="21" spans="1:5" ht="15" x14ac:dyDescent="0.2">
      <c r="A21" s="32" t="s">
        <v>125</v>
      </c>
      <c r="B21" s="32" t="s">
        <v>126</v>
      </c>
      <c r="C21" s="32" t="s">
        <v>127</v>
      </c>
      <c r="D21" s="32" t="s">
        <v>246</v>
      </c>
      <c r="E21" s="32" t="s">
        <v>410</v>
      </c>
    </row>
    <row r="22" spans="1:5" x14ac:dyDescent="0.2">
      <c r="A22" s="29" t="s">
        <v>451</v>
      </c>
      <c r="B22" s="4" t="s">
        <v>145</v>
      </c>
      <c r="C22" s="4" t="s">
        <v>408</v>
      </c>
      <c r="D22" s="4" t="s">
        <v>450</v>
      </c>
      <c r="E22" s="11" t="s">
        <v>449</v>
      </c>
    </row>
    <row r="23" spans="1:5" x14ac:dyDescent="0.2">
      <c r="A23" s="29" t="s">
        <v>448</v>
      </c>
      <c r="B23" s="4" t="s">
        <v>145</v>
      </c>
      <c r="C23" s="4" t="s">
        <v>408</v>
      </c>
      <c r="D23" s="4" t="s">
        <v>447</v>
      </c>
      <c r="E23" s="11" t="s">
        <v>446</v>
      </c>
    </row>
    <row r="24" spans="1:5" x14ac:dyDescent="0.2">
      <c r="A24" s="29" t="s">
        <v>445</v>
      </c>
      <c r="B24" s="4" t="s">
        <v>145</v>
      </c>
      <c r="C24" s="4" t="s">
        <v>408</v>
      </c>
      <c r="D24" s="4" t="s">
        <v>444</v>
      </c>
      <c r="E24" s="11" t="s">
        <v>443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7" width="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15" style="4" bestFit="1" customWidth="1"/>
    <col min="12" max="16384" width="9.140625" style="3"/>
  </cols>
  <sheetData>
    <row r="1" spans="1:11" s="2" customFormat="1" ht="29.1" customHeight="1" x14ac:dyDescent="0.2">
      <c r="A1" s="56" t="s">
        <v>488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487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6" t="s">
        <v>486</v>
      </c>
      <c r="B6" s="16" t="s">
        <v>485</v>
      </c>
      <c r="C6" s="16" t="s">
        <v>484</v>
      </c>
      <c r="D6" s="16" t="str">
        <f>"1,0000"</f>
        <v>1,0000</v>
      </c>
      <c r="E6" s="16" t="s">
        <v>414</v>
      </c>
      <c r="F6" s="16" t="s">
        <v>169</v>
      </c>
      <c r="G6" s="17" t="s">
        <v>458</v>
      </c>
      <c r="H6" s="17" t="s">
        <v>483</v>
      </c>
      <c r="I6" s="24" t="str">
        <f>"1650,0"</f>
        <v>1650,0</v>
      </c>
      <c r="J6" s="25" t="str">
        <f>"17,6470"</f>
        <v>17,6470</v>
      </c>
      <c r="K6" s="16" t="s">
        <v>437</v>
      </c>
    </row>
    <row r="7" spans="1:11" x14ac:dyDescent="0.2">
      <c r="A7" s="33" t="s">
        <v>482</v>
      </c>
      <c r="B7" s="33" t="s">
        <v>481</v>
      </c>
      <c r="C7" s="33" t="s">
        <v>480</v>
      </c>
      <c r="D7" s="33" t="str">
        <f>"1,0000"</f>
        <v>1,0000</v>
      </c>
      <c r="E7" s="33" t="s">
        <v>479</v>
      </c>
      <c r="F7" s="33" t="s">
        <v>478</v>
      </c>
      <c r="G7" s="35" t="s">
        <v>458</v>
      </c>
      <c r="H7" s="35" t="s">
        <v>477</v>
      </c>
      <c r="I7" s="36" t="str">
        <f>"1050,0"</f>
        <v>1050,0</v>
      </c>
      <c r="J7" s="37" t="str">
        <f>"14,0000"</f>
        <v>14,0000</v>
      </c>
      <c r="K7" s="33" t="s">
        <v>41</v>
      </c>
    </row>
    <row r="8" spans="1:11" x14ac:dyDescent="0.2">
      <c r="A8" s="19" t="s">
        <v>417</v>
      </c>
      <c r="B8" s="19" t="s">
        <v>416</v>
      </c>
      <c r="C8" s="19" t="s">
        <v>415</v>
      </c>
      <c r="D8" s="19" t="str">
        <f>"1,0000"</f>
        <v>1,0000</v>
      </c>
      <c r="E8" s="19" t="s">
        <v>414</v>
      </c>
      <c r="F8" s="19" t="s">
        <v>169</v>
      </c>
      <c r="G8" s="20" t="s">
        <v>458</v>
      </c>
      <c r="H8" s="20" t="s">
        <v>476</v>
      </c>
      <c r="I8" s="26" t="str">
        <f>"1400,0"</f>
        <v>1400,0</v>
      </c>
      <c r="J8" s="27" t="str">
        <f>"14,1414"</f>
        <v>14,1414</v>
      </c>
      <c r="K8" s="19" t="s">
        <v>41</v>
      </c>
    </row>
    <row r="10" spans="1:11" ht="15" x14ac:dyDescent="0.2">
      <c r="E10" s="10" t="s">
        <v>13</v>
      </c>
    </row>
    <row r="11" spans="1:11" ht="15" x14ac:dyDescent="0.2">
      <c r="E11" s="10" t="s">
        <v>14</v>
      </c>
    </row>
    <row r="12" spans="1:11" ht="15" x14ac:dyDescent="0.2">
      <c r="E12" s="10" t="s">
        <v>15</v>
      </c>
    </row>
    <row r="13" spans="1:11" ht="15" x14ac:dyDescent="0.2">
      <c r="E13" s="10" t="s">
        <v>16</v>
      </c>
    </row>
    <row r="14" spans="1:11" ht="15" x14ac:dyDescent="0.2">
      <c r="E14" s="10" t="s">
        <v>16</v>
      </c>
    </row>
    <row r="15" spans="1:11" ht="15" x14ac:dyDescent="0.2">
      <c r="E15" s="10" t="s">
        <v>17</v>
      </c>
    </row>
    <row r="16" spans="1:11" ht="15" x14ac:dyDescent="0.2">
      <c r="E16" s="10"/>
    </row>
    <row r="18" spans="1:5" ht="18" x14ac:dyDescent="0.25">
      <c r="A18" s="12" t="s">
        <v>18</v>
      </c>
      <c r="B18" s="12"/>
    </row>
    <row r="19" spans="1:5" ht="15" x14ac:dyDescent="0.2">
      <c r="A19" s="28" t="s">
        <v>134</v>
      </c>
      <c r="B19" s="28"/>
    </row>
    <row r="20" spans="1:5" ht="14.25" x14ac:dyDescent="0.2">
      <c r="A20" s="30"/>
      <c r="B20" s="31" t="s">
        <v>135</v>
      </c>
    </row>
    <row r="21" spans="1:5" ht="15" x14ac:dyDescent="0.2">
      <c r="A21" s="32" t="s">
        <v>125</v>
      </c>
      <c r="B21" s="32" t="s">
        <v>126</v>
      </c>
      <c r="C21" s="32" t="s">
        <v>127</v>
      </c>
      <c r="D21" s="32" t="s">
        <v>246</v>
      </c>
      <c r="E21" s="32" t="s">
        <v>410</v>
      </c>
    </row>
    <row r="22" spans="1:5" x14ac:dyDescent="0.2">
      <c r="A22" s="29" t="s">
        <v>475</v>
      </c>
      <c r="B22" s="4" t="s">
        <v>474</v>
      </c>
      <c r="C22" s="4" t="s">
        <v>408</v>
      </c>
      <c r="D22" s="4" t="s">
        <v>473</v>
      </c>
      <c r="E22" s="11" t="s">
        <v>472</v>
      </c>
    </row>
    <row r="24" spans="1:5" ht="14.25" x14ac:dyDescent="0.2">
      <c r="A24" s="30"/>
      <c r="B24" s="31" t="s">
        <v>145</v>
      </c>
    </row>
    <row r="25" spans="1:5" ht="15" x14ac:dyDescent="0.2">
      <c r="A25" s="32" t="s">
        <v>125</v>
      </c>
      <c r="B25" s="32" t="s">
        <v>126</v>
      </c>
      <c r="C25" s="32" t="s">
        <v>127</v>
      </c>
      <c r="D25" s="32" t="s">
        <v>246</v>
      </c>
      <c r="E25" s="32" t="s">
        <v>410</v>
      </c>
    </row>
    <row r="26" spans="1:5" x14ac:dyDescent="0.2">
      <c r="A26" s="29" t="s">
        <v>471</v>
      </c>
      <c r="B26" s="4" t="s">
        <v>145</v>
      </c>
      <c r="C26" s="4" t="s">
        <v>408</v>
      </c>
      <c r="D26" s="4" t="s">
        <v>470</v>
      </c>
      <c r="E26" s="11" t="s">
        <v>469</v>
      </c>
    </row>
    <row r="28" spans="1:5" ht="14.25" x14ac:dyDescent="0.2">
      <c r="A28" s="30"/>
      <c r="B28" s="31" t="s">
        <v>124</v>
      </c>
    </row>
    <row r="29" spans="1:5" ht="15" x14ac:dyDescent="0.2">
      <c r="A29" s="32" t="s">
        <v>125</v>
      </c>
      <c r="B29" s="32" t="s">
        <v>126</v>
      </c>
      <c r="C29" s="32" t="s">
        <v>127</v>
      </c>
      <c r="D29" s="32" t="s">
        <v>246</v>
      </c>
      <c r="E29" s="32" t="s">
        <v>410</v>
      </c>
    </row>
    <row r="30" spans="1:5" x14ac:dyDescent="0.2">
      <c r="A30" s="29" t="s">
        <v>409</v>
      </c>
      <c r="B30" s="4" t="s">
        <v>130</v>
      </c>
      <c r="C30" s="4" t="s">
        <v>408</v>
      </c>
      <c r="D30" s="4" t="s">
        <v>468</v>
      </c>
      <c r="E30" s="11" t="s">
        <v>467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7" width="5.5703125" style="3" customWidth="1"/>
    <col min="8" max="8" width="10.42578125" style="3" customWidth="1"/>
    <col min="9" max="9" width="7.85546875" style="11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6" t="s">
        <v>492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423</v>
      </c>
      <c r="E3" s="51" t="s">
        <v>4</v>
      </c>
      <c r="F3" s="51" t="s">
        <v>8</v>
      </c>
      <c r="G3" s="51" t="s">
        <v>491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420</v>
      </c>
      <c r="B5" s="55"/>
      <c r="C5" s="55"/>
      <c r="D5" s="55"/>
      <c r="E5" s="55"/>
      <c r="F5" s="55"/>
      <c r="G5" s="55"/>
      <c r="H5" s="55"/>
    </row>
    <row r="6" spans="1:11" x14ac:dyDescent="0.2">
      <c r="A6" s="13" t="s">
        <v>417</v>
      </c>
      <c r="B6" s="13" t="s">
        <v>416</v>
      </c>
      <c r="C6" s="13" t="s">
        <v>415</v>
      </c>
      <c r="D6" s="13" t="str">
        <f>"1,0000"</f>
        <v>1,0000</v>
      </c>
      <c r="E6" s="13" t="s">
        <v>414</v>
      </c>
      <c r="F6" s="13" t="s">
        <v>169</v>
      </c>
      <c r="G6" s="15" t="s">
        <v>53</v>
      </c>
      <c r="H6" s="15" t="s">
        <v>413</v>
      </c>
      <c r="I6" s="22" t="str">
        <f>"1500,0"</f>
        <v>1500,0</v>
      </c>
      <c r="J6" s="23" t="str">
        <f>"15,1515"</f>
        <v>15,1515</v>
      </c>
      <c r="K6" s="13" t="s">
        <v>41</v>
      </c>
    </row>
    <row r="8" spans="1:11" ht="15" x14ac:dyDescent="0.2">
      <c r="E8" s="10" t="s">
        <v>13</v>
      </c>
    </row>
    <row r="9" spans="1:11" ht="15" x14ac:dyDescent="0.2">
      <c r="E9" s="10" t="s">
        <v>14</v>
      </c>
    </row>
    <row r="10" spans="1:11" ht="15" x14ac:dyDescent="0.2">
      <c r="E10" s="10" t="s">
        <v>15</v>
      </c>
    </row>
    <row r="11" spans="1:11" ht="15" x14ac:dyDescent="0.2">
      <c r="E11" s="10" t="s">
        <v>16</v>
      </c>
    </row>
    <row r="12" spans="1:11" ht="15" x14ac:dyDescent="0.2">
      <c r="E12" s="10" t="s">
        <v>16</v>
      </c>
    </row>
    <row r="13" spans="1:11" ht="15" x14ac:dyDescent="0.2">
      <c r="E13" s="10" t="s">
        <v>17</v>
      </c>
    </row>
    <row r="14" spans="1:11" ht="15" x14ac:dyDescent="0.2">
      <c r="E14" s="10"/>
    </row>
    <row r="16" spans="1:11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124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246</v>
      </c>
      <c r="E19" s="32" t="s">
        <v>410</v>
      </c>
    </row>
    <row r="20" spans="1:5" x14ac:dyDescent="0.2">
      <c r="A20" s="29" t="s">
        <v>409</v>
      </c>
      <c r="B20" s="4" t="s">
        <v>130</v>
      </c>
      <c r="C20" s="4" t="s">
        <v>408</v>
      </c>
      <c r="D20" s="4" t="s">
        <v>490</v>
      </c>
      <c r="E20" s="11" t="s">
        <v>489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9" width="4.5703125" style="3" customWidth="1"/>
    <col min="10" max="10" width="4.85546875" style="3" customWidth="1"/>
    <col min="11" max="11" width="7.85546875" style="11" bestFit="1" customWidth="1"/>
    <col min="12" max="12" width="7.5703125" style="2" bestFit="1" customWidth="1"/>
    <col min="13" max="13" width="15" style="4" bestFit="1" customWidth="1"/>
    <col min="14" max="16384" width="9.140625" style="3"/>
  </cols>
  <sheetData>
    <row r="1" spans="1:13" s="2" customFormat="1" ht="29.1" customHeight="1" x14ac:dyDescent="0.2">
      <c r="A1" s="56" t="s">
        <v>503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502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38">
        <v>1</v>
      </c>
      <c r="H4" s="38">
        <v>2</v>
      </c>
      <c r="I4" s="38">
        <v>3</v>
      </c>
      <c r="J4" s="38" t="s">
        <v>5</v>
      </c>
      <c r="K4" s="48"/>
      <c r="L4" s="48"/>
      <c r="M4" s="53"/>
    </row>
    <row r="5" spans="1:13" ht="15" x14ac:dyDescent="0.2">
      <c r="A5" s="54" t="s">
        <v>69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6" t="s">
        <v>486</v>
      </c>
      <c r="B6" s="16" t="s">
        <v>485</v>
      </c>
      <c r="C6" s="16" t="s">
        <v>484</v>
      </c>
      <c r="D6" s="16" t="str">
        <f>"0,5727"</f>
        <v>0,5727</v>
      </c>
      <c r="E6" s="16" t="s">
        <v>414</v>
      </c>
      <c r="F6" s="16" t="s">
        <v>169</v>
      </c>
      <c r="G6" s="18" t="s">
        <v>499</v>
      </c>
      <c r="H6" s="17" t="s">
        <v>499</v>
      </c>
      <c r="I6" s="17" t="s">
        <v>182</v>
      </c>
      <c r="J6" s="18"/>
      <c r="K6" s="24" t="str">
        <f>"65,0"</f>
        <v>65,0</v>
      </c>
      <c r="L6" s="25" t="str">
        <f>"40,2035"</f>
        <v>40,2035</v>
      </c>
      <c r="M6" s="16" t="s">
        <v>437</v>
      </c>
    </row>
    <row r="7" spans="1:13" x14ac:dyDescent="0.2">
      <c r="A7" s="33" t="s">
        <v>501</v>
      </c>
      <c r="B7" s="33" t="s">
        <v>229</v>
      </c>
      <c r="C7" s="33" t="s">
        <v>500</v>
      </c>
      <c r="D7" s="33" t="str">
        <f>"0,5691"</f>
        <v>0,5691</v>
      </c>
      <c r="E7" s="33" t="s">
        <v>30</v>
      </c>
      <c r="F7" s="33" t="s">
        <v>31</v>
      </c>
      <c r="G7" s="35" t="s">
        <v>36</v>
      </c>
      <c r="H7" s="35" t="s">
        <v>181</v>
      </c>
      <c r="I7" s="35" t="s">
        <v>496</v>
      </c>
      <c r="J7" s="34"/>
      <c r="K7" s="36" t="str">
        <f>"67,5"</f>
        <v>67,5</v>
      </c>
      <c r="L7" s="37" t="str">
        <f>"38,4143"</f>
        <v>38,4143</v>
      </c>
      <c r="M7" s="33" t="s">
        <v>41</v>
      </c>
    </row>
    <row r="8" spans="1:13" x14ac:dyDescent="0.2">
      <c r="A8" s="19" t="s">
        <v>417</v>
      </c>
      <c r="B8" s="19" t="s">
        <v>416</v>
      </c>
      <c r="C8" s="19" t="s">
        <v>415</v>
      </c>
      <c r="D8" s="19" t="str">
        <f>"0,5565"</f>
        <v>0,5565</v>
      </c>
      <c r="E8" s="19" t="s">
        <v>414</v>
      </c>
      <c r="F8" s="19" t="s">
        <v>169</v>
      </c>
      <c r="G8" s="20" t="s">
        <v>499</v>
      </c>
      <c r="H8" s="21" t="s">
        <v>494</v>
      </c>
      <c r="I8" s="20" t="s">
        <v>494</v>
      </c>
      <c r="J8" s="21"/>
      <c r="K8" s="26" t="str">
        <f>"72,5"</f>
        <v>72,5</v>
      </c>
      <c r="L8" s="27" t="str">
        <f>"41,0725"</f>
        <v>41,0725</v>
      </c>
      <c r="M8" s="19" t="s">
        <v>41</v>
      </c>
    </row>
    <row r="10" spans="1:13" ht="15" x14ac:dyDescent="0.2">
      <c r="E10" s="10" t="s">
        <v>13</v>
      </c>
    </row>
    <row r="11" spans="1:13" ht="15" x14ac:dyDescent="0.2">
      <c r="E11" s="10" t="s">
        <v>14</v>
      </c>
    </row>
    <row r="12" spans="1:13" ht="15" x14ac:dyDescent="0.2">
      <c r="E12" s="10" t="s">
        <v>15</v>
      </c>
    </row>
    <row r="13" spans="1:13" ht="15" x14ac:dyDescent="0.2">
      <c r="E13" s="10" t="s">
        <v>16</v>
      </c>
    </row>
    <row r="14" spans="1:13" ht="15" x14ac:dyDescent="0.2">
      <c r="E14" s="10" t="s">
        <v>16</v>
      </c>
    </row>
    <row r="15" spans="1:13" ht="15" x14ac:dyDescent="0.2">
      <c r="E15" s="10" t="s">
        <v>17</v>
      </c>
    </row>
    <row r="16" spans="1:13" ht="15" x14ac:dyDescent="0.2">
      <c r="E16" s="10"/>
    </row>
    <row r="18" spans="1:5" ht="18" x14ac:dyDescent="0.25">
      <c r="A18" s="12" t="s">
        <v>18</v>
      </c>
      <c r="B18" s="12"/>
    </row>
    <row r="19" spans="1:5" ht="15" x14ac:dyDescent="0.2">
      <c r="A19" s="28" t="s">
        <v>134</v>
      </c>
      <c r="B19" s="28"/>
    </row>
    <row r="20" spans="1:5" ht="14.25" x14ac:dyDescent="0.2">
      <c r="A20" s="30"/>
      <c r="B20" s="31" t="s">
        <v>135</v>
      </c>
    </row>
    <row r="21" spans="1:5" ht="15" x14ac:dyDescent="0.2">
      <c r="A21" s="32" t="s">
        <v>125</v>
      </c>
      <c r="B21" s="32" t="s">
        <v>126</v>
      </c>
      <c r="C21" s="32" t="s">
        <v>127</v>
      </c>
      <c r="D21" s="32" t="s">
        <v>246</v>
      </c>
      <c r="E21" s="32" t="s">
        <v>129</v>
      </c>
    </row>
    <row r="22" spans="1:5" x14ac:dyDescent="0.2">
      <c r="A22" s="29" t="s">
        <v>475</v>
      </c>
      <c r="B22" s="4" t="s">
        <v>474</v>
      </c>
      <c r="C22" s="4" t="s">
        <v>154</v>
      </c>
      <c r="D22" s="4" t="s">
        <v>182</v>
      </c>
      <c r="E22" s="11" t="s">
        <v>498</v>
      </c>
    </row>
    <row r="24" spans="1:5" ht="14.25" x14ac:dyDescent="0.2">
      <c r="A24" s="30"/>
      <c r="B24" s="31" t="s">
        <v>145</v>
      </c>
    </row>
    <row r="25" spans="1:5" ht="15" x14ac:dyDescent="0.2">
      <c r="A25" s="32" t="s">
        <v>125</v>
      </c>
      <c r="B25" s="32" t="s">
        <v>126</v>
      </c>
      <c r="C25" s="32" t="s">
        <v>127</v>
      </c>
      <c r="D25" s="32" t="s">
        <v>246</v>
      </c>
      <c r="E25" s="32" t="s">
        <v>129</v>
      </c>
    </row>
    <row r="26" spans="1:5" x14ac:dyDescent="0.2">
      <c r="A26" s="29" t="s">
        <v>497</v>
      </c>
      <c r="B26" s="4" t="s">
        <v>145</v>
      </c>
      <c r="C26" s="4" t="s">
        <v>154</v>
      </c>
      <c r="D26" s="4" t="s">
        <v>496</v>
      </c>
      <c r="E26" s="11" t="s">
        <v>495</v>
      </c>
    </row>
    <row r="28" spans="1:5" ht="14.25" x14ac:dyDescent="0.2">
      <c r="A28" s="30"/>
      <c r="B28" s="31" t="s">
        <v>124</v>
      </c>
    </row>
    <row r="29" spans="1:5" ht="15" x14ac:dyDescent="0.2">
      <c r="A29" s="32" t="s">
        <v>125</v>
      </c>
      <c r="B29" s="32" t="s">
        <v>126</v>
      </c>
      <c r="C29" s="32" t="s">
        <v>127</v>
      </c>
      <c r="D29" s="32" t="s">
        <v>246</v>
      </c>
      <c r="E29" s="32" t="s">
        <v>129</v>
      </c>
    </row>
    <row r="30" spans="1:5" x14ac:dyDescent="0.2">
      <c r="A30" s="29" t="s">
        <v>409</v>
      </c>
      <c r="B30" s="4" t="s">
        <v>130</v>
      </c>
      <c r="C30" s="4" t="s">
        <v>154</v>
      </c>
      <c r="D30" s="4" t="s">
        <v>494</v>
      </c>
      <c r="E30" s="11" t="s">
        <v>493</v>
      </c>
    </row>
  </sheetData>
  <mergeCells count="12">
    <mergeCell ref="F3:F4"/>
    <mergeCell ref="G3:J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1.140625" style="4" bestFit="1" customWidth="1"/>
    <col min="7" max="9" width="4.5703125" style="3" customWidth="1"/>
    <col min="10" max="10" width="4.85546875" style="3" customWidth="1"/>
    <col min="11" max="11" width="7.85546875" style="11" bestFit="1" customWidth="1"/>
    <col min="12" max="12" width="7.5703125" style="2" bestFit="1" customWidth="1"/>
    <col min="13" max="13" width="15" style="4" bestFit="1" customWidth="1"/>
    <col min="14" max="16384" width="9.140625" style="3"/>
  </cols>
  <sheetData>
    <row r="1" spans="1:13" s="2" customFormat="1" ht="29.1" customHeight="1" x14ac:dyDescent="0.2">
      <c r="A1" s="56" t="s">
        <v>515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502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38">
        <v>1</v>
      </c>
      <c r="H4" s="38">
        <v>2</v>
      </c>
      <c r="I4" s="38">
        <v>3</v>
      </c>
      <c r="J4" s="38" t="s">
        <v>5</v>
      </c>
      <c r="K4" s="48"/>
      <c r="L4" s="48"/>
      <c r="M4" s="53"/>
    </row>
    <row r="5" spans="1:13" ht="15" x14ac:dyDescent="0.2">
      <c r="A5" s="54" t="s">
        <v>42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6" t="s">
        <v>441</v>
      </c>
      <c r="B6" s="16" t="s">
        <v>440</v>
      </c>
      <c r="C6" s="16" t="s">
        <v>439</v>
      </c>
      <c r="D6" s="16" t="str">
        <f>"0,6789"</f>
        <v>0,6789</v>
      </c>
      <c r="E6" s="16" t="s">
        <v>414</v>
      </c>
      <c r="F6" s="16" t="s">
        <v>169</v>
      </c>
      <c r="G6" s="17" t="s">
        <v>453</v>
      </c>
      <c r="H6" s="17" t="s">
        <v>35</v>
      </c>
      <c r="I6" s="17" t="s">
        <v>36</v>
      </c>
      <c r="J6" s="18"/>
      <c r="K6" s="24" t="str">
        <f>"52,5"</f>
        <v>52,5</v>
      </c>
      <c r="L6" s="25" t="str">
        <f>"37,7808"</f>
        <v>37,7808</v>
      </c>
      <c r="M6" s="16" t="s">
        <v>437</v>
      </c>
    </row>
    <row r="7" spans="1:13" x14ac:dyDescent="0.2">
      <c r="A7" s="19" t="s">
        <v>193</v>
      </c>
      <c r="B7" s="19" t="s">
        <v>194</v>
      </c>
      <c r="C7" s="19" t="s">
        <v>195</v>
      </c>
      <c r="D7" s="19" t="str">
        <f>"0,7014"</f>
        <v>0,7014</v>
      </c>
      <c r="E7" s="19" t="s">
        <v>30</v>
      </c>
      <c r="F7" s="19" t="s">
        <v>31</v>
      </c>
      <c r="G7" s="20" t="s">
        <v>454</v>
      </c>
      <c r="H7" s="20" t="s">
        <v>181</v>
      </c>
      <c r="I7" s="21" t="s">
        <v>182</v>
      </c>
      <c r="J7" s="21"/>
      <c r="K7" s="26" t="str">
        <f>"60,0"</f>
        <v>60,0</v>
      </c>
      <c r="L7" s="27" t="str">
        <f>"42,0840"</f>
        <v>42,0840</v>
      </c>
      <c r="M7" s="19" t="s">
        <v>41</v>
      </c>
    </row>
    <row r="9" spans="1:13" ht="15" x14ac:dyDescent="0.2">
      <c r="A9" s="57" t="s">
        <v>61</v>
      </c>
      <c r="B9" s="58"/>
      <c r="C9" s="58"/>
      <c r="D9" s="58"/>
      <c r="E9" s="58"/>
      <c r="F9" s="58"/>
      <c r="G9" s="58"/>
      <c r="H9" s="58"/>
      <c r="I9" s="58"/>
      <c r="J9" s="58"/>
    </row>
    <row r="10" spans="1:13" x14ac:dyDescent="0.2">
      <c r="A10" s="16" t="s">
        <v>514</v>
      </c>
      <c r="B10" s="16" t="s">
        <v>513</v>
      </c>
      <c r="C10" s="16" t="s">
        <v>512</v>
      </c>
      <c r="D10" s="16" t="str">
        <f>"0,6358"</f>
        <v>0,6358</v>
      </c>
      <c r="E10" s="16" t="s">
        <v>30</v>
      </c>
      <c r="F10" s="16" t="s">
        <v>31</v>
      </c>
      <c r="G10" s="17" t="s">
        <v>36</v>
      </c>
      <c r="H10" s="17" t="s">
        <v>37</v>
      </c>
      <c r="I10" s="18" t="s">
        <v>182</v>
      </c>
      <c r="J10" s="18"/>
      <c r="K10" s="24" t="str">
        <f>"57,5"</f>
        <v>57,5</v>
      </c>
      <c r="L10" s="25" t="str">
        <f>"39,4832"</f>
        <v>39,4832</v>
      </c>
      <c r="M10" s="16" t="s">
        <v>41</v>
      </c>
    </row>
    <row r="11" spans="1:13" x14ac:dyDescent="0.2">
      <c r="A11" s="19" t="s">
        <v>218</v>
      </c>
      <c r="B11" s="19" t="s">
        <v>219</v>
      </c>
      <c r="C11" s="19" t="s">
        <v>220</v>
      </c>
      <c r="D11" s="19" t="str">
        <f>"0,6329"</f>
        <v>0,6329</v>
      </c>
      <c r="E11" s="19" t="s">
        <v>30</v>
      </c>
      <c r="F11" s="19" t="s">
        <v>31</v>
      </c>
      <c r="G11" s="20" t="s">
        <v>458</v>
      </c>
      <c r="H11" s="20" t="s">
        <v>37</v>
      </c>
      <c r="I11" s="20" t="s">
        <v>181</v>
      </c>
      <c r="J11" s="21"/>
      <c r="K11" s="26" t="str">
        <f>"60,0"</f>
        <v>60,0</v>
      </c>
      <c r="L11" s="27" t="str">
        <f>"39,1512"</f>
        <v>39,1512</v>
      </c>
      <c r="M11" s="19" t="s">
        <v>222</v>
      </c>
    </row>
    <row r="13" spans="1:13" ht="15" x14ac:dyDescent="0.2">
      <c r="A13" s="57" t="s">
        <v>163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3" x14ac:dyDescent="0.2">
      <c r="A14" s="13" t="s">
        <v>224</v>
      </c>
      <c r="B14" s="13" t="s">
        <v>225</v>
      </c>
      <c r="C14" s="13" t="s">
        <v>226</v>
      </c>
      <c r="D14" s="13" t="str">
        <f>"0,5973"</f>
        <v>0,5973</v>
      </c>
      <c r="E14" s="13" t="s">
        <v>30</v>
      </c>
      <c r="F14" s="13" t="s">
        <v>31</v>
      </c>
      <c r="G14" s="15" t="s">
        <v>182</v>
      </c>
      <c r="H14" s="15" t="s">
        <v>68</v>
      </c>
      <c r="I14" s="15" t="s">
        <v>66</v>
      </c>
      <c r="J14" s="14"/>
      <c r="K14" s="22" t="str">
        <f>"80,0"</f>
        <v>80,0</v>
      </c>
      <c r="L14" s="23" t="str">
        <f>"47,7840"</f>
        <v>47,7840</v>
      </c>
      <c r="M14" s="13" t="s">
        <v>41</v>
      </c>
    </row>
    <row r="16" spans="1:13" ht="15" x14ac:dyDescent="0.2">
      <c r="A16" s="57" t="s">
        <v>69</v>
      </c>
      <c r="B16" s="58"/>
      <c r="C16" s="58"/>
      <c r="D16" s="58"/>
      <c r="E16" s="58"/>
      <c r="F16" s="58"/>
      <c r="G16" s="58"/>
      <c r="H16" s="58"/>
      <c r="I16" s="58"/>
      <c r="J16" s="58"/>
    </row>
    <row r="17" spans="1:13" x14ac:dyDescent="0.2">
      <c r="A17" s="16" t="s">
        <v>233</v>
      </c>
      <c r="B17" s="16" t="s">
        <v>234</v>
      </c>
      <c r="C17" s="16" t="s">
        <v>235</v>
      </c>
      <c r="D17" s="16" t="str">
        <f>"0,5575"</f>
        <v>0,5575</v>
      </c>
      <c r="E17" s="16" t="s">
        <v>96</v>
      </c>
      <c r="F17" s="16" t="s">
        <v>31</v>
      </c>
      <c r="G17" s="17" t="s">
        <v>511</v>
      </c>
      <c r="H17" s="17" t="s">
        <v>189</v>
      </c>
      <c r="I17" s="18" t="s">
        <v>190</v>
      </c>
      <c r="J17" s="18"/>
      <c r="K17" s="24" t="str">
        <f>"82,5"</f>
        <v>82,5</v>
      </c>
      <c r="L17" s="25" t="str">
        <f>"45,9938"</f>
        <v>45,9938</v>
      </c>
      <c r="M17" s="16" t="s">
        <v>238</v>
      </c>
    </row>
    <row r="18" spans="1:13" x14ac:dyDescent="0.2">
      <c r="A18" s="19" t="s">
        <v>233</v>
      </c>
      <c r="B18" s="19" t="s">
        <v>239</v>
      </c>
      <c r="C18" s="19" t="s">
        <v>235</v>
      </c>
      <c r="D18" s="19" t="str">
        <f>"0,5575"</f>
        <v>0,5575</v>
      </c>
      <c r="E18" s="19" t="s">
        <v>96</v>
      </c>
      <c r="F18" s="19" t="s">
        <v>31</v>
      </c>
      <c r="G18" s="20" t="s">
        <v>511</v>
      </c>
      <c r="H18" s="20" t="s">
        <v>189</v>
      </c>
      <c r="I18" s="21" t="s">
        <v>190</v>
      </c>
      <c r="J18" s="21"/>
      <c r="K18" s="26" t="str">
        <f>"82,5"</f>
        <v>82,5</v>
      </c>
      <c r="L18" s="27" t="str">
        <f>"45,9938"</f>
        <v>45,9938</v>
      </c>
      <c r="M18" s="19" t="s">
        <v>238</v>
      </c>
    </row>
    <row r="20" spans="1:13" ht="15" x14ac:dyDescent="0.2">
      <c r="E20" s="10" t="s">
        <v>13</v>
      </c>
    </row>
    <row r="21" spans="1:13" ht="15" x14ac:dyDescent="0.2">
      <c r="E21" s="10" t="s">
        <v>14</v>
      </c>
    </row>
    <row r="22" spans="1:13" ht="15" x14ac:dyDescent="0.2">
      <c r="E22" s="10" t="s">
        <v>15</v>
      </c>
    </row>
    <row r="23" spans="1:13" ht="15" x14ac:dyDescent="0.2">
      <c r="E23" s="10" t="s">
        <v>16</v>
      </c>
    </row>
    <row r="24" spans="1:13" ht="15" x14ac:dyDescent="0.2">
      <c r="E24" s="10" t="s">
        <v>16</v>
      </c>
    </row>
    <row r="25" spans="1:13" ht="15" x14ac:dyDescent="0.2">
      <c r="E25" s="10" t="s">
        <v>17</v>
      </c>
    </row>
    <row r="26" spans="1:13" ht="15" x14ac:dyDescent="0.2">
      <c r="E26" s="10"/>
    </row>
    <row r="28" spans="1:13" ht="18" x14ac:dyDescent="0.25">
      <c r="A28" s="12" t="s">
        <v>18</v>
      </c>
      <c r="B28" s="12"/>
    </row>
    <row r="29" spans="1:13" ht="15" x14ac:dyDescent="0.2">
      <c r="A29" s="28" t="s">
        <v>134</v>
      </c>
      <c r="B29" s="28"/>
    </row>
    <row r="30" spans="1:13" ht="14.25" x14ac:dyDescent="0.2">
      <c r="A30" s="30"/>
      <c r="B30" s="31" t="s">
        <v>135</v>
      </c>
    </row>
    <row r="31" spans="1:13" ht="15" x14ac:dyDescent="0.2">
      <c r="A31" s="32" t="s">
        <v>125</v>
      </c>
      <c r="B31" s="32" t="s">
        <v>126</v>
      </c>
      <c r="C31" s="32" t="s">
        <v>127</v>
      </c>
      <c r="D31" s="32" t="s">
        <v>246</v>
      </c>
      <c r="E31" s="32" t="s">
        <v>129</v>
      </c>
    </row>
    <row r="32" spans="1:13" x14ac:dyDescent="0.2">
      <c r="A32" s="29" t="s">
        <v>510</v>
      </c>
      <c r="B32" s="4" t="s">
        <v>474</v>
      </c>
      <c r="C32" s="4" t="s">
        <v>137</v>
      </c>
      <c r="D32" s="4" t="s">
        <v>37</v>
      </c>
      <c r="E32" s="11" t="s">
        <v>509</v>
      </c>
    </row>
    <row r="33" spans="1:5" x14ac:dyDescent="0.2">
      <c r="A33" s="29" t="s">
        <v>435</v>
      </c>
      <c r="B33" s="4" t="s">
        <v>136</v>
      </c>
      <c r="C33" s="4" t="s">
        <v>142</v>
      </c>
      <c r="D33" s="4" t="s">
        <v>36</v>
      </c>
      <c r="E33" s="11" t="s">
        <v>508</v>
      </c>
    </row>
    <row r="35" spans="1:5" ht="14.25" x14ac:dyDescent="0.2">
      <c r="A35" s="30"/>
      <c r="B35" s="31" t="s">
        <v>140</v>
      </c>
    </row>
    <row r="36" spans="1:5" ht="15" x14ac:dyDescent="0.2">
      <c r="A36" s="32" t="s">
        <v>125</v>
      </c>
      <c r="B36" s="32" t="s">
        <v>126</v>
      </c>
      <c r="C36" s="32" t="s">
        <v>127</v>
      </c>
      <c r="D36" s="32" t="s">
        <v>246</v>
      </c>
      <c r="E36" s="32" t="s">
        <v>129</v>
      </c>
    </row>
    <row r="37" spans="1:5" x14ac:dyDescent="0.2">
      <c r="A37" s="29" t="s">
        <v>232</v>
      </c>
      <c r="B37" s="4" t="s">
        <v>141</v>
      </c>
      <c r="C37" s="4" t="s">
        <v>154</v>
      </c>
      <c r="D37" s="4" t="s">
        <v>189</v>
      </c>
      <c r="E37" s="11" t="s">
        <v>506</v>
      </c>
    </row>
    <row r="39" spans="1:5" ht="14.25" x14ac:dyDescent="0.2">
      <c r="A39" s="30"/>
      <c r="B39" s="31" t="s">
        <v>145</v>
      </c>
    </row>
    <row r="40" spans="1:5" ht="15" x14ac:dyDescent="0.2">
      <c r="A40" s="32" t="s">
        <v>125</v>
      </c>
      <c r="B40" s="32" t="s">
        <v>126</v>
      </c>
      <c r="C40" s="32" t="s">
        <v>127</v>
      </c>
      <c r="D40" s="32" t="s">
        <v>246</v>
      </c>
      <c r="E40" s="32" t="s">
        <v>129</v>
      </c>
    </row>
    <row r="41" spans="1:5" x14ac:dyDescent="0.2">
      <c r="A41" s="29" t="s">
        <v>223</v>
      </c>
      <c r="B41" s="4" t="s">
        <v>145</v>
      </c>
      <c r="C41" s="4" t="s">
        <v>172</v>
      </c>
      <c r="D41" s="4" t="s">
        <v>66</v>
      </c>
      <c r="E41" s="11" t="s">
        <v>507</v>
      </c>
    </row>
    <row r="42" spans="1:5" x14ac:dyDescent="0.2">
      <c r="A42" s="29" t="s">
        <v>232</v>
      </c>
      <c r="B42" s="4" t="s">
        <v>145</v>
      </c>
      <c r="C42" s="4" t="s">
        <v>154</v>
      </c>
      <c r="D42" s="4" t="s">
        <v>189</v>
      </c>
      <c r="E42" s="11" t="s">
        <v>506</v>
      </c>
    </row>
    <row r="43" spans="1:5" x14ac:dyDescent="0.2">
      <c r="A43" s="29" t="s">
        <v>192</v>
      </c>
      <c r="B43" s="4" t="s">
        <v>145</v>
      </c>
      <c r="C43" s="4" t="s">
        <v>142</v>
      </c>
      <c r="D43" s="4" t="s">
        <v>181</v>
      </c>
      <c r="E43" s="11" t="s">
        <v>505</v>
      </c>
    </row>
    <row r="45" spans="1:5" ht="14.25" x14ac:dyDescent="0.2">
      <c r="A45" s="30"/>
      <c r="B45" s="31" t="s">
        <v>124</v>
      </c>
    </row>
    <row r="46" spans="1:5" ht="15" x14ac:dyDescent="0.2">
      <c r="A46" s="32" t="s">
        <v>125</v>
      </c>
      <c r="B46" s="32" t="s">
        <v>126</v>
      </c>
      <c r="C46" s="32" t="s">
        <v>127</v>
      </c>
      <c r="D46" s="32" t="s">
        <v>246</v>
      </c>
      <c r="E46" s="32" t="s">
        <v>129</v>
      </c>
    </row>
    <row r="47" spans="1:5" x14ac:dyDescent="0.2">
      <c r="A47" s="29" t="s">
        <v>217</v>
      </c>
      <c r="B47" s="4" t="s">
        <v>130</v>
      </c>
      <c r="C47" s="4" t="s">
        <v>137</v>
      </c>
      <c r="D47" s="4" t="s">
        <v>181</v>
      </c>
      <c r="E47" s="11" t="s">
        <v>504</v>
      </c>
    </row>
  </sheetData>
  <mergeCells count="15">
    <mergeCell ref="A9:J9"/>
    <mergeCell ref="A13:J13"/>
    <mergeCell ref="A16:J16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K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11" bestFit="1" customWidth="1"/>
    <col min="10" max="10" width="9.5703125" style="2" bestFit="1" customWidth="1"/>
    <col min="11" max="11" width="11.7109375" style="4" bestFit="1" customWidth="1"/>
    <col min="12" max="16384" width="9.140625" style="3"/>
  </cols>
  <sheetData>
    <row r="1" spans="1:11" s="2" customFormat="1" ht="29.1" customHeight="1" x14ac:dyDescent="0.2">
      <c r="A1" s="56" t="s">
        <v>527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526</v>
      </c>
      <c r="E3" s="51" t="s">
        <v>4</v>
      </c>
      <c r="F3" s="51" t="s">
        <v>8</v>
      </c>
      <c r="G3" s="51" t="s">
        <v>525</v>
      </c>
      <c r="H3" s="51"/>
      <c r="I3" s="51" t="s">
        <v>421</v>
      </c>
      <c r="J3" s="51" t="s">
        <v>3</v>
      </c>
      <c r="K3" s="52" t="s">
        <v>2</v>
      </c>
    </row>
    <row r="4" spans="1:11" s="1" customFormat="1" ht="21" customHeight="1" thickBot="1" x14ac:dyDescent="0.25">
      <c r="A4" s="46"/>
      <c r="B4" s="48"/>
      <c r="C4" s="48"/>
      <c r="D4" s="48"/>
      <c r="E4" s="48"/>
      <c r="F4" s="48"/>
      <c r="G4" s="38" t="s">
        <v>9</v>
      </c>
      <c r="H4" s="38" t="s">
        <v>10</v>
      </c>
      <c r="I4" s="48"/>
      <c r="J4" s="48"/>
      <c r="K4" s="53"/>
    </row>
    <row r="5" spans="1:11" ht="15" x14ac:dyDescent="0.2">
      <c r="A5" s="54" t="s">
        <v>311</v>
      </c>
      <c r="B5" s="55"/>
      <c r="C5" s="55"/>
      <c r="D5" s="55"/>
      <c r="E5" s="55"/>
      <c r="F5" s="55"/>
      <c r="G5" s="55"/>
      <c r="H5" s="55"/>
    </row>
    <row r="6" spans="1:11" x14ac:dyDescent="0.2">
      <c r="A6" s="13" t="s">
        <v>524</v>
      </c>
      <c r="B6" s="13" t="s">
        <v>523</v>
      </c>
      <c r="C6" s="13" t="s">
        <v>522</v>
      </c>
      <c r="D6" s="13" t="str">
        <f>"0,9212"</f>
        <v>0,9212</v>
      </c>
      <c r="E6" s="13" t="s">
        <v>521</v>
      </c>
      <c r="F6" s="13" t="s">
        <v>31</v>
      </c>
      <c r="G6" s="15" t="s">
        <v>181</v>
      </c>
      <c r="H6" s="15" t="s">
        <v>436</v>
      </c>
      <c r="I6" s="22" t="str">
        <f>"1920,0"</f>
        <v>1920,0</v>
      </c>
      <c r="J6" s="23" t="str">
        <f>"1768,7040"</f>
        <v>1768,7040</v>
      </c>
      <c r="K6" s="13" t="s">
        <v>520</v>
      </c>
    </row>
    <row r="8" spans="1:11" ht="15" x14ac:dyDescent="0.2">
      <c r="E8" s="10" t="s">
        <v>13</v>
      </c>
    </row>
    <row r="9" spans="1:11" ht="15" x14ac:dyDescent="0.2">
      <c r="E9" s="10" t="s">
        <v>14</v>
      </c>
    </row>
    <row r="10" spans="1:11" ht="15" x14ac:dyDescent="0.2">
      <c r="E10" s="10" t="s">
        <v>15</v>
      </c>
    </row>
    <row r="11" spans="1:11" ht="15" x14ac:dyDescent="0.2">
      <c r="E11" s="10" t="s">
        <v>16</v>
      </c>
    </row>
    <row r="12" spans="1:11" ht="15" x14ac:dyDescent="0.2">
      <c r="E12" s="10" t="s">
        <v>16</v>
      </c>
    </row>
    <row r="13" spans="1:11" ht="15" x14ac:dyDescent="0.2">
      <c r="E13" s="10" t="s">
        <v>17</v>
      </c>
    </row>
    <row r="14" spans="1:11" ht="15" x14ac:dyDescent="0.2">
      <c r="E14" s="10"/>
    </row>
    <row r="16" spans="1:11" ht="18" x14ac:dyDescent="0.25">
      <c r="A16" s="12" t="s">
        <v>18</v>
      </c>
      <c r="B16" s="12"/>
    </row>
    <row r="17" spans="1:5" ht="15" x14ac:dyDescent="0.2">
      <c r="A17" s="28" t="s">
        <v>123</v>
      </c>
      <c r="B17" s="28"/>
    </row>
    <row r="18" spans="1:5" ht="14.25" x14ac:dyDescent="0.2">
      <c r="A18" s="30"/>
      <c r="B18" s="31" t="s">
        <v>124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246</v>
      </c>
      <c r="E19" s="32" t="s">
        <v>519</v>
      </c>
    </row>
    <row r="20" spans="1:5" x14ac:dyDescent="0.2">
      <c r="A20" s="29" t="s">
        <v>518</v>
      </c>
      <c r="B20" s="4" t="s">
        <v>306</v>
      </c>
      <c r="C20" s="4" t="s">
        <v>362</v>
      </c>
      <c r="D20" s="4" t="s">
        <v>517</v>
      </c>
      <c r="E20" s="11" t="s">
        <v>516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2" width="5.5703125" style="3" customWidth="1"/>
    <col min="13" max="13" width="2.140625" style="3" customWidth="1"/>
    <col min="14" max="14" width="4.85546875" style="3" customWidth="1"/>
    <col min="15" max="15" width="7.85546875" style="11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56" t="s">
        <v>399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23</v>
      </c>
      <c r="H3" s="51"/>
      <c r="I3" s="51"/>
      <c r="J3" s="51"/>
      <c r="K3" s="51" t="s">
        <v>24</v>
      </c>
      <c r="L3" s="51"/>
      <c r="M3" s="51"/>
      <c r="N3" s="51"/>
      <c r="O3" s="51" t="s">
        <v>1</v>
      </c>
      <c r="P3" s="51" t="s">
        <v>3</v>
      </c>
      <c r="Q3" s="52" t="s">
        <v>2</v>
      </c>
    </row>
    <row r="4" spans="1:17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48"/>
      <c r="P4" s="48"/>
      <c r="Q4" s="53"/>
    </row>
    <row r="5" spans="1:17" ht="15" x14ac:dyDescent="0.2">
      <c r="A5" s="54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 x14ac:dyDescent="0.2">
      <c r="A6" s="13" t="s">
        <v>241</v>
      </c>
      <c r="B6" s="13" t="s">
        <v>242</v>
      </c>
      <c r="C6" s="13" t="s">
        <v>243</v>
      </c>
      <c r="D6" s="13" t="str">
        <f>"0,5427"</f>
        <v>0,5427</v>
      </c>
      <c r="E6" s="13" t="s">
        <v>244</v>
      </c>
      <c r="F6" s="13" t="s">
        <v>31</v>
      </c>
      <c r="G6" s="15" t="s">
        <v>50</v>
      </c>
      <c r="H6" s="15" t="s">
        <v>55</v>
      </c>
      <c r="I6" s="14" t="s">
        <v>98</v>
      </c>
      <c r="J6" s="14"/>
      <c r="K6" s="15" t="s">
        <v>245</v>
      </c>
      <c r="L6" s="15" t="s">
        <v>111</v>
      </c>
      <c r="M6" s="14"/>
      <c r="N6" s="14"/>
      <c r="O6" s="22" t="str">
        <f>"395,0"</f>
        <v>395,0</v>
      </c>
      <c r="P6" s="23" t="str">
        <f>"218,2251"</f>
        <v>218,2251</v>
      </c>
      <c r="Q6" s="13" t="s">
        <v>41</v>
      </c>
    </row>
    <row r="8" spans="1:17" ht="15" x14ac:dyDescent="0.2">
      <c r="E8" s="10" t="s">
        <v>13</v>
      </c>
    </row>
    <row r="9" spans="1:17" ht="15" x14ac:dyDescent="0.2">
      <c r="E9" s="10" t="s">
        <v>14</v>
      </c>
    </row>
    <row r="10" spans="1:17" ht="15" x14ac:dyDescent="0.2">
      <c r="E10" s="10" t="s">
        <v>15</v>
      </c>
    </row>
    <row r="11" spans="1:17" ht="15" x14ac:dyDescent="0.2">
      <c r="E11" s="10" t="s">
        <v>16</v>
      </c>
    </row>
    <row r="12" spans="1:17" ht="15" x14ac:dyDescent="0.2">
      <c r="E12" s="10" t="s">
        <v>16</v>
      </c>
    </row>
    <row r="13" spans="1:17" ht="15" x14ac:dyDescent="0.2">
      <c r="E13" s="10" t="s">
        <v>17</v>
      </c>
    </row>
    <row r="14" spans="1:17" ht="15" x14ac:dyDescent="0.2">
      <c r="E14" s="10"/>
    </row>
    <row r="16" spans="1:17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124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128</v>
      </c>
      <c r="E19" s="32" t="s">
        <v>129</v>
      </c>
    </row>
    <row r="20" spans="1:5" x14ac:dyDescent="0.2">
      <c r="A20" s="29" t="s">
        <v>240</v>
      </c>
      <c r="B20" s="4" t="s">
        <v>130</v>
      </c>
      <c r="C20" s="4" t="s">
        <v>151</v>
      </c>
      <c r="D20" s="4" t="s">
        <v>400</v>
      </c>
      <c r="E20" s="11" t="s">
        <v>401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397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22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42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59</v>
      </c>
      <c r="B6" s="13" t="s">
        <v>60</v>
      </c>
      <c r="C6" s="13" t="s">
        <v>46</v>
      </c>
      <c r="D6" s="13" t="str">
        <f>"0,6760"</f>
        <v>0,6760</v>
      </c>
      <c r="E6" s="13" t="s">
        <v>47</v>
      </c>
      <c r="F6" s="13" t="s">
        <v>48</v>
      </c>
      <c r="G6" s="15" t="s">
        <v>49</v>
      </c>
      <c r="H6" s="15" t="s">
        <v>50</v>
      </c>
      <c r="I6" s="14" t="s">
        <v>51</v>
      </c>
      <c r="J6" s="14"/>
      <c r="K6" s="22" t="str">
        <f>"140,0"</f>
        <v>140,0</v>
      </c>
      <c r="L6" s="23" t="str">
        <f>"94,6400"</f>
        <v>94,6400</v>
      </c>
      <c r="M6" s="13" t="s">
        <v>41</v>
      </c>
    </row>
    <row r="8" spans="1:13" ht="15" x14ac:dyDescent="0.2">
      <c r="E8" s="10" t="s">
        <v>13</v>
      </c>
    </row>
    <row r="9" spans="1:13" ht="15" x14ac:dyDescent="0.2">
      <c r="E9" s="10" t="s">
        <v>14</v>
      </c>
    </row>
    <row r="10" spans="1:13" ht="15" x14ac:dyDescent="0.2">
      <c r="E10" s="10" t="s">
        <v>15</v>
      </c>
    </row>
    <row r="11" spans="1:13" ht="15" x14ac:dyDescent="0.2">
      <c r="E11" s="10" t="s">
        <v>16</v>
      </c>
    </row>
    <row r="12" spans="1:13" ht="15" x14ac:dyDescent="0.2">
      <c r="E12" s="10" t="s">
        <v>16</v>
      </c>
    </row>
    <row r="13" spans="1:13" ht="15" x14ac:dyDescent="0.2">
      <c r="E13" s="10" t="s">
        <v>17</v>
      </c>
    </row>
    <row r="14" spans="1:13" ht="15" x14ac:dyDescent="0.2">
      <c r="E14" s="10"/>
    </row>
    <row r="16" spans="1:13" ht="18" x14ac:dyDescent="0.25">
      <c r="A16" s="12" t="s">
        <v>18</v>
      </c>
      <c r="B16" s="12"/>
    </row>
    <row r="17" spans="1:5" ht="15" x14ac:dyDescent="0.2">
      <c r="A17" s="28" t="s">
        <v>134</v>
      </c>
      <c r="B17" s="28"/>
    </row>
    <row r="18" spans="1:5" ht="14.25" x14ac:dyDescent="0.2">
      <c r="A18" s="30"/>
      <c r="B18" s="31" t="s">
        <v>145</v>
      </c>
    </row>
    <row r="19" spans="1:5" ht="15" x14ac:dyDescent="0.2">
      <c r="A19" s="32" t="s">
        <v>125</v>
      </c>
      <c r="B19" s="32" t="s">
        <v>126</v>
      </c>
      <c r="C19" s="32" t="s">
        <v>127</v>
      </c>
      <c r="D19" s="32" t="s">
        <v>246</v>
      </c>
      <c r="E19" s="32" t="s">
        <v>129</v>
      </c>
    </row>
    <row r="20" spans="1:5" x14ac:dyDescent="0.2">
      <c r="A20" s="29" t="s">
        <v>58</v>
      </c>
      <c r="B20" s="4" t="s">
        <v>145</v>
      </c>
      <c r="C20" s="4" t="s">
        <v>142</v>
      </c>
      <c r="D20" s="4" t="s">
        <v>50</v>
      </c>
      <c r="E20" s="11" t="s">
        <v>398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11" bestFit="1" customWidth="1"/>
    <col min="12" max="12" width="6.42578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396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/>
      <c r="E3" s="51" t="s">
        <v>4</v>
      </c>
      <c r="F3" s="51" t="s">
        <v>8</v>
      </c>
      <c r="G3" s="51"/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x14ac:dyDescent="0.2">
      <c r="G5" s="6"/>
    </row>
    <row r="6" spans="1:13" ht="15" x14ac:dyDescent="0.2">
      <c r="E6" s="10" t="s">
        <v>13</v>
      </c>
    </row>
    <row r="7" spans="1:13" ht="15" x14ac:dyDescent="0.2">
      <c r="E7" s="10" t="s">
        <v>14</v>
      </c>
    </row>
    <row r="8" spans="1:13" ht="15" x14ac:dyDescent="0.2">
      <c r="E8" s="10" t="s">
        <v>15</v>
      </c>
    </row>
    <row r="9" spans="1:13" ht="15" x14ac:dyDescent="0.2">
      <c r="E9" s="10" t="s">
        <v>16</v>
      </c>
    </row>
    <row r="10" spans="1:13" ht="15" x14ac:dyDescent="0.2">
      <c r="E10" s="10" t="s">
        <v>16</v>
      </c>
    </row>
    <row r="11" spans="1:13" ht="15" x14ac:dyDescent="0.2">
      <c r="E11" s="10" t="s">
        <v>17</v>
      </c>
    </row>
    <row r="12" spans="1:13" ht="15" x14ac:dyDescent="0.2">
      <c r="E12" s="10"/>
    </row>
    <row r="14" spans="1:13" ht="18" x14ac:dyDescent="0.25">
      <c r="A14" s="12" t="s">
        <v>18</v>
      </c>
      <c r="B14" s="12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C17" sqref="C1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56" t="s">
        <v>377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24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404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379</v>
      </c>
      <c r="B6" s="13" t="s">
        <v>380</v>
      </c>
      <c r="C6" s="13" t="s">
        <v>381</v>
      </c>
      <c r="D6" s="13" t="str">
        <f>"1,0799"</f>
        <v>1,0799</v>
      </c>
      <c r="E6" s="13" t="s">
        <v>382</v>
      </c>
      <c r="F6" s="13" t="s">
        <v>328</v>
      </c>
      <c r="G6" s="15" t="s">
        <v>182</v>
      </c>
      <c r="H6" s="15" t="s">
        <v>68</v>
      </c>
      <c r="I6" s="15" t="s">
        <v>66</v>
      </c>
      <c r="J6" s="15" t="s">
        <v>33</v>
      </c>
      <c r="K6" s="22" t="str">
        <f>"80,0"</f>
        <v>80,0</v>
      </c>
      <c r="L6" s="23" t="str">
        <f>"106,2622"</f>
        <v>106,2622</v>
      </c>
      <c r="M6" s="13" t="s">
        <v>383</v>
      </c>
    </row>
    <row r="8" spans="1:13" ht="15" x14ac:dyDescent="0.2">
      <c r="A8" s="57" t="s">
        <v>91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6" t="s">
        <v>385</v>
      </c>
      <c r="B9" s="16" t="s">
        <v>386</v>
      </c>
      <c r="C9" s="16" t="s">
        <v>387</v>
      </c>
      <c r="D9" s="16" t="str">
        <f>"0,5382"</f>
        <v>0,5382</v>
      </c>
      <c r="E9" s="16" t="s">
        <v>187</v>
      </c>
      <c r="F9" s="16" t="s">
        <v>188</v>
      </c>
      <c r="G9" s="17" t="s">
        <v>100</v>
      </c>
      <c r="H9" s="17" t="s">
        <v>388</v>
      </c>
      <c r="I9" s="18" t="s">
        <v>115</v>
      </c>
      <c r="J9" s="18"/>
      <c r="K9" s="24" t="str">
        <f>"300,0"</f>
        <v>300,0</v>
      </c>
      <c r="L9" s="25" t="str">
        <f>"161,4600"</f>
        <v>161,4600</v>
      </c>
      <c r="M9" s="16" t="s">
        <v>41</v>
      </c>
    </row>
    <row r="10" spans="1:13" x14ac:dyDescent="0.2">
      <c r="A10" s="19" t="s">
        <v>390</v>
      </c>
      <c r="B10" s="19" t="s">
        <v>391</v>
      </c>
      <c r="C10" s="19" t="s">
        <v>392</v>
      </c>
      <c r="D10" s="19" t="str">
        <f>"0,5446"</f>
        <v>0,5446</v>
      </c>
      <c r="E10" s="19" t="s">
        <v>30</v>
      </c>
      <c r="F10" s="19" t="s">
        <v>31</v>
      </c>
      <c r="G10" s="20" t="s">
        <v>120</v>
      </c>
      <c r="H10" s="20" t="s">
        <v>361</v>
      </c>
      <c r="I10" s="21" t="s">
        <v>112</v>
      </c>
      <c r="J10" s="21"/>
      <c r="K10" s="26" t="str">
        <f>"250,0"</f>
        <v>250,0</v>
      </c>
      <c r="L10" s="27" t="str">
        <f>"145,5444"</f>
        <v>145,5444</v>
      </c>
      <c r="M10" s="19" t="s">
        <v>41</v>
      </c>
    </row>
    <row r="12" spans="1:13" ht="15" x14ac:dyDescent="0.2">
      <c r="E12" s="10" t="s">
        <v>13</v>
      </c>
    </row>
    <row r="13" spans="1:13" ht="15" x14ac:dyDescent="0.2">
      <c r="E13" s="10" t="s">
        <v>14</v>
      </c>
    </row>
    <row r="14" spans="1:13" ht="15" x14ac:dyDescent="0.2">
      <c r="E14" s="10" t="s">
        <v>15</v>
      </c>
    </row>
    <row r="15" spans="1:13" ht="15" x14ac:dyDescent="0.2">
      <c r="E15" s="10" t="s">
        <v>16</v>
      </c>
    </row>
    <row r="16" spans="1:13" ht="15" x14ac:dyDescent="0.2">
      <c r="E16" s="10" t="s">
        <v>16</v>
      </c>
    </row>
    <row r="17" spans="1:5" ht="15" x14ac:dyDescent="0.2">
      <c r="E17" s="10" t="s">
        <v>17</v>
      </c>
    </row>
    <row r="18" spans="1:5" ht="15" x14ac:dyDescent="0.2">
      <c r="E18" s="10"/>
    </row>
    <row r="20" spans="1:5" ht="18" x14ac:dyDescent="0.25">
      <c r="A20" s="12" t="s">
        <v>18</v>
      </c>
      <c r="B20" s="12"/>
    </row>
    <row r="21" spans="1:5" ht="15" x14ac:dyDescent="0.2">
      <c r="A21" s="28" t="s">
        <v>134</v>
      </c>
      <c r="B21" s="28"/>
    </row>
    <row r="22" spans="1:5" ht="14.25" x14ac:dyDescent="0.2">
      <c r="A22" s="30"/>
      <c r="B22" s="31" t="s">
        <v>135</v>
      </c>
    </row>
    <row r="23" spans="1:5" ht="15" x14ac:dyDescent="0.2">
      <c r="A23" s="32" t="s">
        <v>125</v>
      </c>
      <c r="B23" s="32" t="s">
        <v>126</v>
      </c>
      <c r="C23" s="32" t="s">
        <v>127</v>
      </c>
      <c r="D23" s="32" t="s">
        <v>246</v>
      </c>
      <c r="E23" s="32" t="s">
        <v>129</v>
      </c>
    </row>
    <row r="24" spans="1:5" x14ac:dyDescent="0.2">
      <c r="A24" s="29" t="s">
        <v>378</v>
      </c>
      <c r="B24" s="4" t="s">
        <v>249</v>
      </c>
      <c r="C24" s="4" t="s">
        <v>405</v>
      </c>
      <c r="D24" s="4" t="s">
        <v>66</v>
      </c>
      <c r="E24" s="11" t="s">
        <v>393</v>
      </c>
    </row>
    <row r="26" spans="1:5" ht="14.25" x14ac:dyDescent="0.2">
      <c r="A26" s="30"/>
      <c r="B26" s="31" t="s">
        <v>145</v>
      </c>
    </row>
    <row r="27" spans="1:5" ht="15" x14ac:dyDescent="0.2">
      <c r="A27" s="32" t="s">
        <v>125</v>
      </c>
      <c r="B27" s="32" t="s">
        <v>126</v>
      </c>
      <c r="C27" s="32" t="s">
        <v>127</v>
      </c>
      <c r="D27" s="32" t="s">
        <v>246</v>
      </c>
      <c r="E27" s="32" t="s">
        <v>129</v>
      </c>
    </row>
    <row r="28" spans="1:5" x14ac:dyDescent="0.2">
      <c r="A28" s="29" t="s">
        <v>384</v>
      </c>
      <c r="B28" s="4" t="s">
        <v>145</v>
      </c>
      <c r="C28" s="4" t="s">
        <v>151</v>
      </c>
      <c r="D28" s="4" t="s">
        <v>388</v>
      </c>
      <c r="E28" s="11" t="s">
        <v>394</v>
      </c>
    </row>
    <row r="30" spans="1:5" ht="14.25" x14ac:dyDescent="0.2">
      <c r="A30" s="30"/>
      <c r="B30" s="31" t="s">
        <v>124</v>
      </c>
    </row>
    <row r="31" spans="1:5" ht="15" x14ac:dyDescent="0.2">
      <c r="A31" s="32" t="s">
        <v>125</v>
      </c>
      <c r="B31" s="32" t="s">
        <v>126</v>
      </c>
      <c r="C31" s="32" t="s">
        <v>127</v>
      </c>
      <c r="D31" s="32" t="s">
        <v>246</v>
      </c>
      <c r="E31" s="32" t="s">
        <v>129</v>
      </c>
    </row>
    <row r="32" spans="1:5" x14ac:dyDescent="0.2">
      <c r="A32" s="29" t="s">
        <v>389</v>
      </c>
      <c r="B32" s="4" t="s">
        <v>171</v>
      </c>
      <c r="C32" s="4" t="s">
        <v>151</v>
      </c>
      <c r="D32" s="4" t="s">
        <v>361</v>
      </c>
      <c r="E32" s="11" t="s">
        <v>395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11" bestFit="1" customWidth="1"/>
    <col min="12" max="12" width="8.5703125" style="2" bestFit="1" customWidth="1"/>
    <col min="13" max="13" width="16.5703125" style="4" bestFit="1" customWidth="1"/>
    <col min="14" max="16384" width="9.140625" style="3"/>
  </cols>
  <sheetData>
    <row r="1" spans="1:13" s="2" customFormat="1" ht="29.1" customHeight="1" x14ac:dyDescent="0.2">
      <c r="A1" s="56" t="s">
        <v>310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 t="s">
        <v>21</v>
      </c>
      <c r="E3" s="51" t="s">
        <v>4</v>
      </c>
      <c r="F3" s="51" t="s">
        <v>8</v>
      </c>
      <c r="G3" s="51" t="s">
        <v>24</v>
      </c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5" spans="1:13" ht="15" x14ac:dyDescent="0.2">
      <c r="A5" s="54" t="s">
        <v>311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x14ac:dyDescent="0.2">
      <c r="A6" s="13" t="s">
        <v>313</v>
      </c>
      <c r="B6" s="13" t="s">
        <v>314</v>
      </c>
      <c r="C6" s="13" t="s">
        <v>315</v>
      </c>
      <c r="D6" s="13" t="str">
        <f>"0,8647"</f>
        <v>0,8647</v>
      </c>
      <c r="E6" s="13" t="s">
        <v>316</v>
      </c>
      <c r="F6" s="13" t="s">
        <v>31</v>
      </c>
      <c r="G6" s="15" t="s">
        <v>317</v>
      </c>
      <c r="H6" s="15" t="s">
        <v>49</v>
      </c>
      <c r="I6" s="14" t="s">
        <v>318</v>
      </c>
      <c r="J6" s="14"/>
      <c r="K6" s="22" t="str">
        <f>"130,0"</f>
        <v>130,0</v>
      </c>
      <c r="L6" s="23" t="str">
        <f>"112,4045"</f>
        <v>112,4045</v>
      </c>
      <c r="M6" s="13" t="s">
        <v>41</v>
      </c>
    </row>
    <row r="8" spans="1:13" ht="15" x14ac:dyDescent="0.2">
      <c r="A8" s="57" t="s">
        <v>176</v>
      </c>
      <c r="B8" s="58"/>
      <c r="C8" s="58"/>
      <c r="D8" s="58"/>
      <c r="E8" s="58"/>
      <c r="F8" s="58"/>
      <c r="G8" s="58"/>
      <c r="H8" s="58"/>
      <c r="I8" s="58"/>
      <c r="J8" s="58"/>
    </row>
    <row r="9" spans="1:13" x14ac:dyDescent="0.2">
      <c r="A9" s="13" t="s">
        <v>185</v>
      </c>
      <c r="B9" s="13" t="s">
        <v>186</v>
      </c>
      <c r="C9" s="13" t="s">
        <v>180</v>
      </c>
      <c r="D9" s="13" t="str">
        <f>"0,9515"</f>
        <v>0,9515</v>
      </c>
      <c r="E9" s="13" t="s">
        <v>187</v>
      </c>
      <c r="F9" s="13" t="s">
        <v>188</v>
      </c>
      <c r="G9" s="15" t="s">
        <v>317</v>
      </c>
      <c r="H9" s="15" t="s">
        <v>49</v>
      </c>
      <c r="I9" s="15" t="s">
        <v>40</v>
      </c>
      <c r="J9" s="14"/>
      <c r="K9" s="22" t="str">
        <f>"135,0"</f>
        <v>135,0</v>
      </c>
      <c r="L9" s="23" t="str">
        <f>"151,5739"</f>
        <v>151,5739</v>
      </c>
      <c r="M9" s="13" t="s">
        <v>191</v>
      </c>
    </row>
    <row r="11" spans="1:13" ht="15" x14ac:dyDescent="0.2">
      <c r="A11" s="57" t="s">
        <v>319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">
      <c r="A12" s="16" t="s">
        <v>321</v>
      </c>
      <c r="B12" s="16" t="s">
        <v>322</v>
      </c>
      <c r="C12" s="16" t="s">
        <v>323</v>
      </c>
      <c r="D12" s="16" t="str">
        <f>"0,7367"</f>
        <v>0,7367</v>
      </c>
      <c r="E12" s="16" t="s">
        <v>30</v>
      </c>
      <c r="F12" s="16" t="s">
        <v>31</v>
      </c>
      <c r="G12" s="18" t="s">
        <v>40</v>
      </c>
      <c r="H12" s="17" t="s">
        <v>40</v>
      </c>
      <c r="I12" s="17" t="s">
        <v>51</v>
      </c>
      <c r="J12" s="18"/>
      <c r="K12" s="24" t="str">
        <f>"145,0"</f>
        <v>145,0</v>
      </c>
      <c r="L12" s="25" t="str">
        <f>"111,0944"</f>
        <v>111,0944</v>
      </c>
      <c r="M12" s="16" t="s">
        <v>324</v>
      </c>
    </row>
    <row r="13" spans="1:13" x14ac:dyDescent="0.2">
      <c r="A13" s="33" t="s">
        <v>325</v>
      </c>
      <c r="B13" s="33" t="s">
        <v>326</v>
      </c>
      <c r="C13" s="33" t="s">
        <v>327</v>
      </c>
      <c r="D13" s="33" t="str">
        <f>"0,7258"</f>
        <v>0,7258</v>
      </c>
      <c r="E13" s="33" t="s">
        <v>30</v>
      </c>
      <c r="F13" s="33" t="s">
        <v>328</v>
      </c>
      <c r="G13" s="34" t="s">
        <v>296</v>
      </c>
      <c r="H13" s="34" t="s">
        <v>296</v>
      </c>
      <c r="I13" s="34"/>
      <c r="J13" s="34"/>
      <c r="K13" s="36" t="str">
        <f>"0.00"</f>
        <v>0.00</v>
      </c>
      <c r="L13" s="37" t="str">
        <f>"0,0000"</f>
        <v>0,0000</v>
      </c>
      <c r="M13" s="33" t="s">
        <v>329</v>
      </c>
    </row>
    <row r="14" spans="1:13" x14ac:dyDescent="0.2">
      <c r="A14" s="19" t="s">
        <v>325</v>
      </c>
      <c r="B14" s="19" t="s">
        <v>330</v>
      </c>
      <c r="C14" s="19" t="s">
        <v>327</v>
      </c>
      <c r="D14" s="19" t="str">
        <f>"0,7258"</f>
        <v>0,7258</v>
      </c>
      <c r="E14" s="19" t="s">
        <v>30</v>
      </c>
      <c r="F14" s="19" t="s">
        <v>328</v>
      </c>
      <c r="G14" s="21" t="s">
        <v>296</v>
      </c>
      <c r="H14" s="21" t="s">
        <v>296</v>
      </c>
      <c r="I14" s="21"/>
      <c r="J14" s="21"/>
      <c r="K14" s="26" t="str">
        <f>"0.00"</f>
        <v>0.00</v>
      </c>
      <c r="L14" s="27" t="str">
        <f>"0,0000"</f>
        <v>0,0000</v>
      </c>
      <c r="M14" s="19" t="s">
        <v>329</v>
      </c>
    </row>
    <row r="16" spans="1:13" ht="15" x14ac:dyDescent="0.2">
      <c r="A16" s="57" t="s">
        <v>42</v>
      </c>
      <c r="B16" s="58"/>
      <c r="C16" s="58"/>
      <c r="D16" s="58"/>
      <c r="E16" s="58"/>
      <c r="F16" s="58"/>
      <c r="G16" s="58"/>
      <c r="H16" s="58"/>
      <c r="I16" s="58"/>
      <c r="J16" s="58"/>
    </row>
    <row r="17" spans="1:13" x14ac:dyDescent="0.2">
      <c r="A17" s="16" t="s">
        <v>332</v>
      </c>
      <c r="B17" s="16" t="s">
        <v>333</v>
      </c>
      <c r="C17" s="16" t="s">
        <v>334</v>
      </c>
      <c r="D17" s="16" t="str">
        <f>"0,6797"</f>
        <v>0,6797</v>
      </c>
      <c r="E17" s="16" t="s">
        <v>30</v>
      </c>
      <c r="F17" s="16" t="s">
        <v>335</v>
      </c>
      <c r="G17" s="17" t="s">
        <v>89</v>
      </c>
      <c r="H17" s="18" t="s">
        <v>296</v>
      </c>
      <c r="I17" s="18" t="s">
        <v>296</v>
      </c>
      <c r="J17" s="18"/>
      <c r="K17" s="24" t="str">
        <f>"180,0"</f>
        <v>180,0</v>
      </c>
      <c r="L17" s="25" t="str">
        <f>"122,3460"</f>
        <v>122,3460</v>
      </c>
      <c r="M17" s="16" t="s">
        <v>336</v>
      </c>
    </row>
    <row r="18" spans="1:13" x14ac:dyDescent="0.2">
      <c r="A18" s="33" t="s">
        <v>337</v>
      </c>
      <c r="B18" s="33" t="s">
        <v>45</v>
      </c>
      <c r="C18" s="33" t="s">
        <v>46</v>
      </c>
      <c r="D18" s="33" t="str">
        <f>"0,6760"</f>
        <v>0,6760</v>
      </c>
      <c r="E18" s="33" t="s">
        <v>47</v>
      </c>
      <c r="F18" s="33" t="s">
        <v>48</v>
      </c>
      <c r="G18" s="35" t="s">
        <v>55</v>
      </c>
      <c r="H18" s="34" t="s">
        <v>56</v>
      </c>
      <c r="I18" s="34" t="s">
        <v>56</v>
      </c>
      <c r="J18" s="34"/>
      <c r="K18" s="36" t="str">
        <f>"150,0"</f>
        <v>150,0</v>
      </c>
      <c r="L18" s="37" t="str">
        <f>"104,4420"</f>
        <v>104,4420</v>
      </c>
      <c r="M18" s="33" t="s">
        <v>57</v>
      </c>
    </row>
    <row r="19" spans="1:13" x14ac:dyDescent="0.2">
      <c r="A19" s="19" t="s">
        <v>59</v>
      </c>
      <c r="B19" s="19" t="s">
        <v>60</v>
      </c>
      <c r="C19" s="19" t="s">
        <v>46</v>
      </c>
      <c r="D19" s="19" t="str">
        <f>"0,6760"</f>
        <v>0,6760</v>
      </c>
      <c r="E19" s="19" t="s">
        <v>47</v>
      </c>
      <c r="F19" s="19" t="s">
        <v>48</v>
      </c>
      <c r="G19" s="20" t="s">
        <v>49</v>
      </c>
      <c r="H19" s="20" t="s">
        <v>51</v>
      </c>
      <c r="I19" s="20" t="s">
        <v>55</v>
      </c>
      <c r="J19" s="21"/>
      <c r="K19" s="26" t="str">
        <f>"150,0"</f>
        <v>150,0</v>
      </c>
      <c r="L19" s="27" t="str">
        <f>"101,4000"</f>
        <v>101,4000</v>
      </c>
      <c r="M19" s="19" t="s">
        <v>41</v>
      </c>
    </row>
    <row r="21" spans="1:13" ht="15" x14ac:dyDescent="0.2">
      <c r="A21" s="57" t="s">
        <v>61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3" x14ac:dyDescent="0.2">
      <c r="A22" s="16" t="s">
        <v>63</v>
      </c>
      <c r="B22" s="16" t="s">
        <v>64</v>
      </c>
      <c r="C22" s="16" t="s">
        <v>65</v>
      </c>
      <c r="D22" s="16" t="str">
        <f>"0,6388"</f>
        <v>0,6388</v>
      </c>
      <c r="E22" s="16" t="s">
        <v>47</v>
      </c>
      <c r="F22" s="16" t="s">
        <v>48</v>
      </c>
      <c r="G22" s="17" t="s">
        <v>49</v>
      </c>
      <c r="H22" s="17" t="s">
        <v>50</v>
      </c>
      <c r="I22" s="17" t="s">
        <v>51</v>
      </c>
      <c r="J22" s="18"/>
      <c r="K22" s="24" t="str">
        <f>"145,0"</f>
        <v>145,0</v>
      </c>
      <c r="L22" s="25" t="str">
        <f>"98,1836"</f>
        <v>98,1836</v>
      </c>
      <c r="M22" s="16" t="s">
        <v>57</v>
      </c>
    </row>
    <row r="23" spans="1:13" x14ac:dyDescent="0.2">
      <c r="A23" s="19" t="s">
        <v>339</v>
      </c>
      <c r="B23" s="19" t="s">
        <v>340</v>
      </c>
      <c r="C23" s="19" t="s">
        <v>341</v>
      </c>
      <c r="D23" s="19" t="str">
        <f>"0,6214"</f>
        <v>0,6214</v>
      </c>
      <c r="E23" s="19" t="s">
        <v>342</v>
      </c>
      <c r="F23" s="19" t="s">
        <v>343</v>
      </c>
      <c r="G23" s="20" t="s">
        <v>76</v>
      </c>
      <c r="H23" s="21" t="s">
        <v>344</v>
      </c>
      <c r="I23" s="21" t="s">
        <v>344</v>
      </c>
      <c r="J23" s="21"/>
      <c r="K23" s="26" t="str">
        <f>"200,0"</f>
        <v>200,0</v>
      </c>
      <c r="L23" s="27" t="str">
        <f>"124,2800"</f>
        <v>124,2800</v>
      </c>
      <c r="M23" s="19" t="s">
        <v>345</v>
      </c>
    </row>
    <row r="25" spans="1:13" ht="15" x14ac:dyDescent="0.2">
      <c r="A25" s="57" t="s">
        <v>163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3" x14ac:dyDescent="0.2">
      <c r="A26" s="16" t="s">
        <v>347</v>
      </c>
      <c r="B26" s="16" t="s">
        <v>348</v>
      </c>
      <c r="C26" s="16" t="s">
        <v>349</v>
      </c>
      <c r="D26" s="16" t="str">
        <f>"0,5893"</f>
        <v>0,5893</v>
      </c>
      <c r="E26" s="16" t="s">
        <v>30</v>
      </c>
      <c r="F26" s="16" t="s">
        <v>31</v>
      </c>
      <c r="G26" s="17" t="s">
        <v>77</v>
      </c>
      <c r="H26" s="17" t="s">
        <v>170</v>
      </c>
      <c r="I26" s="17" t="s">
        <v>350</v>
      </c>
      <c r="J26" s="18"/>
      <c r="K26" s="24" t="str">
        <f>"235,0"</f>
        <v>235,0</v>
      </c>
      <c r="L26" s="25" t="str">
        <f>"138,4855"</f>
        <v>138,4855</v>
      </c>
      <c r="M26" s="16" t="s">
        <v>41</v>
      </c>
    </row>
    <row r="27" spans="1:13" x14ac:dyDescent="0.2">
      <c r="A27" s="33" t="s">
        <v>352</v>
      </c>
      <c r="B27" s="33" t="s">
        <v>353</v>
      </c>
      <c r="C27" s="33" t="s">
        <v>167</v>
      </c>
      <c r="D27" s="33" t="str">
        <f>"0,5922"</f>
        <v>0,5922</v>
      </c>
      <c r="E27" s="33" t="s">
        <v>187</v>
      </c>
      <c r="F27" s="33" t="s">
        <v>188</v>
      </c>
      <c r="G27" s="35" t="s">
        <v>77</v>
      </c>
      <c r="H27" s="35" t="s">
        <v>170</v>
      </c>
      <c r="I27" s="35" t="s">
        <v>245</v>
      </c>
      <c r="J27" s="34"/>
      <c r="K27" s="36" t="str">
        <f>"230,0"</f>
        <v>230,0</v>
      </c>
      <c r="L27" s="37" t="str">
        <f>"136,2060"</f>
        <v>136,2060</v>
      </c>
      <c r="M27" s="33" t="s">
        <v>191</v>
      </c>
    </row>
    <row r="28" spans="1:13" x14ac:dyDescent="0.2">
      <c r="A28" s="19" t="s">
        <v>355</v>
      </c>
      <c r="B28" s="19" t="s">
        <v>356</v>
      </c>
      <c r="C28" s="19" t="s">
        <v>357</v>
      </c>
      <c r="D28" s="19" t="str">
        <f>"0,5956"</f>
        <v>0,5956</v>
      </c>
      <c r="E28" s="19" t="s">
        <v>187</v>
      </c>
      <c r="F28" s="19" t="s">
        <v>188</v>
      </c>
      <c r="G28" s="21" t="s">
        <v>77</v>
      </c>
      <c r="H28" s="20" t="s">
        <v>77</v>
      </c>
      <c r="I28" s="21" t="s">
        <v>170</v>
      </c>
      <c r="J28" s="21"/>
      <c r="K28" s="26" t="str">
        <f>"210,0"</f>
        <v>210,0</v>
      </c>
      <c r="L28" s="27" t="str">
        <f>"166,3511"</f>
        <v>166,3511</v>
      </c>
      <c r="M28" s="19" t="s">
        <v>191</v>
      </c>
    </row>
    <row r="30" spans="1:13" ht="15" x14ac:dyDescent="0.2">
      <c r="A30" s="57" t="s">
        <v>69</v>
      </c>
      <c r="B30" s="58"/>
      <c r="C30" s="58"/>
      <c r="D30" s="58"/>
      <c r="E30" s="58"/>
      <c r="F30" s="58"/>
      <c r="G30" s="58"/>
      <c r="H30" s="58"/>
      <c r="I30" s="58"/>
      <c r="J30" s="58"/>
    </row>
    <row r="31" spans="1:13" x14ac:dyDescent="0.2">
      <c r="A31" s="13" t="s">
        <v>359</v>
      </c>
      <c r="B31" s="13" t="s">
        <v>194</v>
      </c>
      <c r="C31" s="13" t="s">
        <v>360</v>
      </c>
      <c r="D31" s="13" t="str">
        <f>"0,5630"</f>
        <v>0,5630</v>
      </c>
      <c r="E31" s="13" t="s">
        <v>30</v>
      </c>
      <c r="F31" s="13" t="s">
        <v>31</v>
      </c>
      <c r="G31" s="15" t="s">
        <v>361</v>
      </c>
      <c r="H31" s="15" t="s">
        <v>112</v>
      </c>
      <c r="I31" s="14" t="s">
        <v>100</v>
      </c>
      <c r="J31" s="14"/>
      <c r="K31" s="22" t="str">
        <f>"260,0"</f>
        <v>260,0</v>
      </c>
      <c r="L31" s="23" t="str">
        <f>"146,3800"</f>
        <v>146,3800</v>
      </c>
      <c r="M31" s="13" t="s">
        <v>41</v>
      </c>
    </row>
    <row r="33" spans="1:13" ht="15" x14ac:dyDescent="0.2">
      <c r="A33" s="57" t="s">
        <v>91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3" x14ac:dyDescent="0.2">
      <c r="A34" s="13" t="s">
        <v>241</v>
      </c>
      <c r="B34" s="13" t="s">
        <v>242</v>
      </c>
      <c r="C34" s="13" t="s">
        <v>243</v>
      </c>
      <c r="D34" s="13" t="str">
        <f>"0,5427"</f>
        <v>0,5427</v>
      </c>
      <c r="E34" s="13" t="s">
        <v>244</v>
      </c>
      <c r="F34" s="13" t="s">
        <v>31</v>
      </c>
      <c r="G34" s="15" t="s">
        <v>245</v>
      </c>
      <c r="H34" s="15" t="s">
        <v>111</v>
      </c>
      <c r="I34" s="14"/>
      <c r="J34" s="14"/>
      <c r="K34" s="22" t="str">
        <f>"245,0"</f>
        <v>245,0</v>
      </c>
      <c r="L34" s="23" t="str">
        <f>"135,3548"</f>
        <v>135,3548</v>
      </c>
      <c r="M34" s="13" t="s">
        <v>41</v>
      </c>
    </row>
    <row r="36" spans="1:13" ht="15" x14ac:dyDescent="0.2">
      <c r="E36" s="10" t="s">
        <v>13</v>
      </c>
    </row>
    <row r="37" spans="1:13" ht="15" x14ac:dyDescent="0.2">
      <c r="E37" s="10" t="s">
        <v>14</v>
      </c>
    </row>
    <row r="38" spans="1:13" ht="15" x14ac:dyDescent="0.2">
      <c r="E38" s="10" t="s">
        <v>15</v>
      </c>
    </row>
    <row r="39" spans="1:13" ht="15" x14ac:dyDescent="0.2">
      <c r="E39" s="10" t="s">
        <v>16</v>
      </c>
    </row>
    <row r="40" spans="1:13" ht="15" x14ac:dyDescent="0.2">
      <c r="E40" s="10" t="s">
        <v>16</v>
      </c>
    </row>
    <row r="41" spans="1:13" ht="15" x14ac:dyDescent="0.2">
      <c r="E41" s="10" t="s">
        <v>17</v>
      </c>
    </row>
    <row r="42" spans="1:13" ht="15" x14ac:dyDescent="0.2">
      <c r="E42" s="10"/>
    </row>
    <row r="44" spans="1:13" ht="18" x14ac:dyDescent="0.25">
      <c r="A44" s="12" t="s">
        <v>18</v>
      </c>
      <c r="B44" s="12"/>
    </row>
    <row r="45" spans="1:13" ht="15" x14ac:dyDescent="0.2">
      <c r="A45" s="28" t="s">
        <v>123</v>
      </c>
      <c r="B45" s="28"/>
    </row>
    <row r="46" spans="1:13" ht="14.25" x14ac:dyDescent="0.2">
      <c r="A46" s="30"/>
      <c r="B46" s="31" t="s">
        <v>145</v>
      </c>
    </row>
    <row r="47" spans="1:13" ht="15" x14ac:dyDescent="0.2">
      <c r="A47" s="32" t="s">
        <v>125</v>
      </c>
      <c r="B47" s="32" t="s">
        <v>126</v>
      </c>
      <c r="C47" s="32" t="s">
        <v>127</v>
      </c>
      <c r="D47" s="32" t="s">
        <v>246</v>
      </c>
      <c r="E47" s="32" t="s">
        <v>129</v>
      </c>
    </row>
    <row r="48" spans="1:13" x14ac:dyDescent="0.2">
      <c r="A48" s="29" t="s">
        <v>312</v>
      </c>
      <c r="B48" s="4" t="s">
        <v>145</v>
      </c>
      <c r="C48" s="4" t="s">
        <v>362</v>
      </c>
      <c r="D48" s="4" t="s">
        <v>49</v>
      </c>
      <c r="E48" s="11" t="s">
        <v>363</v>
      </c>
    </row>
    <row r="51" spans="1:5" ht="15" x14ac:dyDescent="0.2">
      <c r="A51" s="28" t="s">
        <v>134</v>
      </c>
      <c r="B51" s="28"/>
    </row>
    <row r="52" spans="1:5" ht="14.25" x14ac:dyDescent="0.2">
      <c r="A52" s="30"/>
      <c r="B52" s="31" t="s">
        <v>135</v>
      </c>
    </row>
    <row r="53" spans="1:5" ht="15" x14ac:dyDescent="0.2">
      <c r="A53" s="32" t="s">
        <v>125</v>
      </c>
      <c r="B53" s="32" t="s">
        <v>126</v>
      </c>
      <c r="C53" s="32" t="s">
        <v>127</v>
      </c>
      <c r="D53" s="32" t="s">
        <v>246</v>
      </c>
      <c r="E53" s="32" t="s">
        <v>129</v>
      </c>
    </row>
    <row r="54" spans="1:5" x14ac:dyDescent="0.2">
      <c r="A54" s="29" t="s">
        <v>184</v>
      </c>
      <c r="B54" s="4" t="s">
        <v>249</v>
      </c>
      <c r="C54" s="4" t="s">
        <v>247</v>
      </c>
      <c r="D54" s="4" t="s">
        <v>40</v>
      </c>
      <c r="E54" s="11" t="s">
        <v>364</v>
      </c>
    </row>
    <row r="55" spans="1:5" x14ac:dyDescent="0.2">
      <c r="A55" s="29" t="s">
        <v>320</v>
      </c>
      <c r="B55" s="4" t="s">
        <v>136</v>
      </c>
      <c r="C55" s="4" t="s">
        <v>365</v>
      </c>
      <c r="D55" s="4" t="s">
        <v>51</v>
      </c>
      <c r="E55" s="11" t="s">
        <v>366</v>
      </c>
    </row>
    <row r="56" spans="1:5" x14ac:dyDescent="0.2">
      <c r="A56" s="29" t="s">
        <v>62</v>
      </c>
      <c r="B56" s="4" t="s">
        <v>136</v>
      </c>
      <c r="C56" s="4" t="s">
        <v>137</v>
      </c>
      <c r="D56" s="4" t="s">
        <v>51</v>
      </c>
      <c r="E56" s="11" t="s">
        <v>367</v>
      </c>
    </row>
    <row r="58" spans="1:5" ht="14.25" x14ac:dyDescent="0.2">
      <c r="A58" s="30"/>
      <c r="B58" s="31" t="s">
        <v>140</v>
      </c>
    </row>
    <row r="59" spans="1:5" ht="15" x14ac:dyDescent="0.2">
      <c r="A59" s="32" t="s">
        <v>125</v>
      </c>
      <c r="B59" s="32" t="s">
        <v>126</v>
      </c>
      <c r="C59" s="32" t="s">
        <v>127</v>
      </c>
      <c r="D59" s="32" t="s">
        <v>246</v>
      </c>
      <c r="E59" s="32" t="s">
        <v>129</v>
      </c>
    </row>
    <row r="60" spans="1:5" x14ac:dyDescent="0.2">
      <c r="A60" s="29" t="s">
        <v>331</v>
      </c>
      <c r="B60" s="4" t="s">
        <v>141</v>
      </c>
      <c r="C60" s="4" t="s">
        <v>142</v>
      </c>
      <c r="D60" s="4" t="s">
        <v>89</v>
      </c>
      <c r="E60" s="11" t="s">
        <v>368</v>
      </c>
    </row>
    <row r="61" spans="1:5" x14ac:dyDescent="0.2">
      <c r="A61" s="29" t="s">
        <v>43</v>
      </c>
      <c r="B61" s="4" t="s">
        <v>141</v>
      </c>
      <c r="C61" s="4" t="s">
        <v>142</v>
      </c>
      <c r="D61" s="4" t="s">
        <v>55</v>
      </c>
      <c r="E61" s="11" t="s">
        <v>369</v>
      </c>
    </row>
    <row r="63" spans="1:5" ht="14.25" x14ac:dyDescent="0.2">
      <c r="A63" s="30"/>
      <c r="B63" s="31" t="s">
        <v>145</v>
      </c>
    </row>
    <row r="64" spans="1:5" ht="15" x14ac:dyDescent="0.2">
      <c r="A64" s="32" t="s">
        <v>125</v>
      </c>
      <c r="B64" s="32" t="s">
        <v>126</v>
      </c>
      <c r="C64" s="32" t="s">
        <v>127</v>
      </c>
      <c r="D64" s="32" t="s">
        <v>246</v>
      </c>
      <c r="E64" s="32" t="s">
        <v>129</v>
      </c>
    </row>
    <row r="65" spans="1:5" x14ac:dyDescent="0.2">
      <c r="A65" s="29" t="s">
        <v>358</v>
      </c>
      <c r="B65" s="4" t="s">
        <v>145</v>
      </c>
      <c r="C65" s="4" t="s">
        <v>154</v>
      </c>
      <c r="D65" s="4" t="s">
        <v>112</v>
      </c>
      <c r="E65" s="11" t="s">
        <v>370</v>
      </c>
    </row>
    <row r="66" spans="1:5" x14ac:dyDescent="0.2">
      <c r="A66" s="29" t="s">
        <v>346</v>
      </c>
      <c r="B66" s="4" t="s">
        <v>145</v>
      </c>
      <c r="C66" s="4" t="s">
        <v>172</v>
      </c>
      <c r="D66" s="4" t="s">
        <v>350</v>
      </c>
      <c r="E66" s="11" t="s">
        <v>371</v>
      </c>
    </row>
    <row r="67" spans="1:5" x14ac:dyDescent="0.2">
      <c r="A67" s="29" t="s">
        <v>351</v>
      </c>
      <c r="B67" s="4" t="s">
        <v>145</v>
      </c>
      <c r="C67" s="4" t="s">
        <v>172</v>
      </c>
      <c r="D67" s="4" t="s">
        <v>245</v>
      </c>
      <c r="E67" s="11" t="s">
        <v>372</v>
      </c>
    </row>
    <row r="68" spans="1:5" x14ac:dyDescent="0.2">
      <c r="A68" s="29" t="s">
        <v>338</v>
      </c>
      <c r="B68" s="4" t="s">
        <v>145</v>
      </c>
      <c r="C68" s="4" t="s">
        <v>137</v>
      </c>
      <c r="D68" s="4" t="s">
        <v>76</v>
      </c>
      <c r="E68" s="11" t="s">
        <v>373</v>
      </c>
    </row>
    <row r="69" spans="1:5" x14ac:dyDescent="0.2">
      <c r="A69" s="29" t="s">
        <v>58</v>
      </c>
      <c r="B69" s="4" t="s">
        <v>145</v>
      </c>
      <c r="C69" s="4" t="s">
        <v>142</v>
      </c>
      <c r="D69" s="4" t="s">
        <v>55</v>
      </c>
      <c r="E69" s="11" t="s">
        <v>374</v>
      </c>
    </row>
    <row r="71" spans="1:5" ht="14.25" x14ac:dyDescent="0.2">
      <c r="A71" s="30"/>
      <c r="B71" s="31" t="s">
        <v>124</v>
      </c>
    </row>
    <row r="72" spans="1:5" ht="15" x14ac:dyDescent="0.2">
      <c r="A72" s="32" t="s">
        <v>125</v>
      </c>
      <c r="B72" s="32" t="s">
        <v>126</v>
      </c>
      <c r="C72" s="32" t="s">
        <v>127</v>
      </c>
      <c r="D72" s="32" t="s">
        <v>246</v>
      </c>
      <c r="E72" s="32" t="s">
        <v>129</v>
      </c>
    </row>
    <row r="73" spans="1:5" x14ac:dyDescent="0.2">
      <c r="A73" s="29" t="s">
        <v>354</v>
      </c>
      <c r="B73" s="4" t="s">
        <v>306</v>
      </c>
      <c r="C73" s="4" t="s">
        <v>172</v>
      </c>
      <c r="D73" s="4" t="s">
        <v>77</v>
      </c>
      <c r="E73" s="11" t="s">
        <v>375</v>
      </c>
    </row>
    <row r="74" spans="1:5" x14ac:dyDescent="0.2">
      <c r="A74" s="29" t="s">
        <v>240</v>
      </c>
      <c r="B74" s="4" t="s">
        <v>130</v>
      </c>
      <c r="C74" s="4" t="s">
        <v>151</v>
      </c>
      <c r="D74" s="4" t="s">
        <v>111</v>
      </c>
      <c r="E74" s="11" t="s">
        <v>376</v>
      </c>
    </row>
  </sheetData>
  <mergeCells count="19">
    <mergeCell ref="A33:J33"/>
    <mergeCell ref="A8:J8"/>
    <mergeCell ref="A11:J11"/>
    <mergeCell ref="A16:J16"/>
    <mergeCell ref="A21:J21"/>
    <mergeCell ref="A25:J25"/>
    <mergeCell ref="A30:J3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11" bestFit="1" customWidth="1"/>
    <col min="12" max="12" width="6.42578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309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/>
      <c r="E3" s="51" t="s">
        <v>4</v>
      </c>
      <c r="F3" s="51" t="s">
        <v>8</v>
      </c>
      <c r="G3" s="51"/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6" spans="1:13" ht="15" x14ac:dyDescent="0.2">
      <c r="E6" s="10" t="s">
        <v>13</v>
      </c>
    </row>
    <row r="7" spans="1:13" ht="15" x14ac:dyDescent="0.2">
      <c r="E7" s="10" t="s">
        <v>14</v>
      </c>
    </row>
    <row r="8" spans="1:13" ht="15" x14ac:dyDescent="0.2">
      <c r="E8" s="10" t="s">
        <v>15</v>
      </c>
    </row>
    <row r="9" spans="1:13" ht="15" x14ac:dyDescent="0.2">
      <c r="E9" s="10" t="s">
        <v>16</v>
      </c>
    </row>
    <row r="10" spans="1:13" ht="15" x14ac:dyDescent="0.2">
      <c r="E10" s="10" t="s">
        <v>16</v>
      </c>
    </row>
    <row r="11" spans="1:13" ht="15" x14ac:dyDescent="0.2">
      <c r="E11" s="10" t="s">
        <v>17</v>
      </c>
    </row>
    <row r="12" spans="1:13" ht="15" x14ac:dyDescent="0.2">
      <c r="E12" s="10"/>
    </row>
    <row r="14" spans="1:13" ht="18" x14ac:dyDescent="0.25">
      <c r="A14" s="12" t="s">
        <v>18</v>
      </c>
      <c r="B14" s="12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11" bestFit="1" customWidth="1"/>
    <col min="12" max="12" width="6.42578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6" t="s">
        <v>308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">
      <c r="A3" s="45" t="s">
        <v>0</v>
      </c>
      <c r="B3" s="47" t="s">
        <v>7</v>
      </c>
      <c r="C3" s="47" t="s">
        <v>11</v>
      </c>
      <c r="D3" s="51"/>
      <c r="E3" s="51" t="s">
        <v>4</v>
      </c>
      <c r="F3" s="51" t="s">
        <v>8</v>
      </c>
      <c r="G3" s="51"/>
      <c r="H3" s="51"/>
      <c r="I3" s="51"/>
      <c r="J3" s="51"/>
      <c r="K3" s="51" t="s">
        <v>262</v>
      </c>
      <c r="L3" s="51" t="s">
        <v>3</v>
      </c>
      <c r="M3" s="52" t="s">
        <v>2</v>
      </c>
    </row>
    <row r="4" spans="1:13" s="1" customFormat="1" ht="21" customHeight="1" thickBot="1" x14ac:dyDescent="0.25">
      <c r="A4" s="46"/>
      <c r="B4" s="48"/>
      <c r="C4" s="48"/>
      <c r="D4" s="48"/>
      <c r="E4" s="48"/>
      <c r="F4" s="48"/>
      <c r="G4" s="9">
        <v>1</v>
      </c>
      <c r="H4" s="9">
        <v>2</v>
      </c>
      <c r="I4" s="9">
        <v>3</v>
      </c>
      <c r="J4" s="9" t="s">
        <v>5</v>
      </c>
      <c r="K4" s="48"/>
      <c r="L4" s="48"/>
      <c r="M4" s="53"/>
    </row>
    <row r="6" spans="1:13" ht="15" x14ac:dyDescent="0.2">
      <c r="E6" s="10" t="s">
        <v>13</v>
      </c>
    </row>
    <row r="7" spans="1:13" ht="15" x14ac:dyDescent="0.2">
      <c r="E7" s="10" t="s">
        <v>14</v>
      </c>
    </row>
    <row r="8" spans="1:13" ht="15" x14ac:dyDescent="0.2">
      <c r="E8" s="10" t="s">
        <v>15</v>
      </c>
    </row>
    <row r="9" spans="1:13" ht="15" x14ac:dyDescent="0.2">
      <c r="E9" s="10" t="s">
        <v>16</v>
      </c>
    </row>
    <row r="10" spans="1:13" ht="15" x14ac:dyDescent="0.2">
      <c r="E10" s="10" t="s">
        <v>16</v>
      </c>
    </row>
    <row r="11" spans="1:13" ht="15" x14ac:dyDescent="0.2">
      <c r="E11" s="10" t="s">
        <v>17</v>
      </c>
    </row>
    <row r="12" spans="1:13" ht="15" x14ac:dyDescent="0.2">
      <c r="E12" s="10"/>
    </row>
    <row r="14" spans="1:13" ht="18" x14ac:dyDescent="0.25">
      <c r="A14" s="12" t="s">
        <v>18</v>
      </c>
      <c r="B14" s="12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Лист16</vt:lpstr>
      <vt:lpstr>Двоеборье проф.</vt:lpstr>
      <vt:lpstr>Двоеборье люб</vt:lpstr>
      <vt:lpstr>Люб. присед б.э.</vt:lpstr>
      <vt:lpstr>ПРО присед 1.слой</vt:lpstr>
      <vt:lpstr>ПРО тяга б.э.</vt:lpstr>
      <vt:lpstr>Люб. тяга б.э.</vt:lpstr>
      <vt:lpstr>ПРО тяга 1.слой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ПЛ. б.э.</vt:lpstr>
      <vt:lpstr>Люб. ПЛ. б.э.</vt:lpstr>
      <vt:lpstr>Люб. ПЛ. софт стандарт</vt:lpstr>
      <vt:lpstr>ПРО ПЛ. 1.слой</vt:lpstr>
      <vt:lpstr>Русская тяга проф. 150 кг.</vt:lpstr>
      <vt:lpstr>Русская тяга люб. 150 кг.</vt:lpstr>
      <vt:lpstr>Русская тяга люб. 100 кг.</vt:lpstr>
      <vt:lpstr>Русская тяга люб. 55 кг.</vt:lpstr>
      <vt:lpstr>РБ Проф 50 кг.</vt:lpstr>
      <vt:lpstr>РЖ Проф 100 кг.</vt:lpstr>
      <vt:lpstr>Бицепс Профессионалы</vt:lpstr>
      <vt:lpstr>Бицепс Любители</vt:lpstr>
      <vt:lpstr>Люб. становая 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2022-04-24T12:05:03Z</cp:lastPrinted>
  <dcterms:created xsi:type="dcterms:W3CDTF">2002-06-16T13:36:44Z</dcterms:created>
  <dcterms:modified xsi:type="dcterms:W3CDTF">2022-05-11T05:19:26Z</dcterms:modified>
</cp:coreProperties>
</file>